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92" windowWidth="11388" windowHeight="9432" tabRatio="899" firstSheet="33" activeTab="5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元)" sheetId="69" state="hidden" r:id="rId19"/>
    <sheet name="比较法-住宅、综合" sheetId="78" r:id="rId20"/>
    <sheet name="成本法" sheetId="68" r:id="rId21"/>
    <sheet name="假设开发法" sheetId="12" r:id="rId22"/>
    <sheet name="比较法-住宅" sheetId="21" r:id="rId23"/>
    <sheet name="比较法-保障房" sheetId="84" state="hidden"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地下车库" sheetId="82"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工程进度" sheetId="79" r:id="rId48"/>
    <sheet name="土地案例" sheetId="80" r:id="rId49"/>
    <sheet name="工程形象进度" sheetId="81" r:id="rId50"/>
    <sheet name="住宅案例" sheetId="83" r:id="rId51"/>
    <sheet name="Sheet1" sheetId="85" r:id="rId52"/>
  </sheets>
  <externalReferences>
    <externalReference r:id="rId53"/>
    <externalReference r:id="rId54"/>
  </externalReferences>
  <definedNames>
    <definedName name="_xlnm._FilterDatabase" localSheetId="29" hidden="1">'比较法-办公'!$A$1:$L$50</definedName>
    <definedName name="_xlnm._FilterDatabase" localSheetId="23" hidden="1">'比较法-保障房'!$A$1:$L$49</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9" hidden="1">'比较法-住宅、综合'!$A$1:$L$50</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33">'收益法-地下车库'!$A$1:$AK$69</definedName>
    <definedName name="_xlnm.Print_Area" localSheetId="24">'收益法-商业'!$A$1:$AK$69</definedName>
    <definedName name="_xlnm.Print_Area" localSheetId="12">'数据-汇总表'!$A$1:$P$32</definedName>
    <definedName name="八级">区片价!$O$1:$O$40</definedName>
    <definedName name="办公层高" localSheetId="19">'[1]不动产比较法-办公'!$B$119:$M$119</definedName>
    <definedName name="办公层高">'比较法-办公'!$B$119:$M$119</definedName>
    <definedName name="办公朝向" localSheetId="19">'[1]不动产比较法-办公'!$B$91:$M$91</definedName>
    <definedName name="办公朝向">'比较法-办公'!$B$91:$M$91</definedName>
    <definedName name="办公道路级别" localSheetId="19">'[1]不动产比较法-办公'!$B$87:$M$87</definedName>
    <definedName name="办公道路级别">'比较法-办公'!$B$87:$M$87</definedName>
    <definedName name="办公公共部分装修" localSheetId="19">'[1]不动产比较法-办公'!$B$108:$M$108</definedName>
    <definedName name="办公公共部分装修">'比较法-办公'!$B$108:$M$108</definedName>
    <definedName name="办公基础设施水平" localSheetId="19">'[1]不动产比较法-办公'!$B$117:$M$117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'[1]不动产比较法-办公'!$B$106:$M$106</definedName>
    <definedName name="办公建筑结构">'比较法-办公'!$B$106:$M$106</definedName>
    <definedName name="办公建筑类型" localSheetId="19">'[1]不动产比较法-办公'!$B$101:$M$101</definedName>
    <definedName name="办公建筑类型">'比较法-办公'!$B$101:$M$101</definedName>
    <definedName name="办公交易情况" localSheetId="19">'[1]不动产比较法-办公'!$A$62:$M$62</definedName>
    <definedName name="办公交易情况">'比较法-办公'!$A$62:$M$62</definedName>
    <definedName name="办公楼层" localSheetId="19">'[1]不动产比较法-办公'!$B$89:$M$89</definedName>
    <definedName name="办公楼层">'比较法-办公'!$B$89:$M$89</definedName>
    <definedName name="办公内部装修" localSheetId="19">'[1]不动产比较法-办公'!$B$123:$M$123</definedName>
    <definedName name="办公内部装修">'比较法-办公'!$B$123:$M$123</definedName>
    <definedName name="办公物业管理" localSheetId="19">'[1]不动产比较法-办公'!$B$115:$M$115</definedName>
    <definedName name="办公物业管理">'比较法-办公'!$B$115:$M$115</definedName>
    <definedName name="办公用途" localSheetId="19">'[1]不动产比较法-办公'!$B$64:$M$64</definedName>
    <definedName name="办公用途">'比较法-办公'!$B$64:$M$64</definedName>
    <definedName name="仓储公共部分装修" localSheetId="19">'[1]不动产比较法-仓储'!$B$77:$M$77</definedName>
    <definedName name="仓储公共部分装修">'比较法-仓储'!$B$77:$M$77</definedName>
    <definedName name="仓储交易情况" localSheetId="19">'[1]不动产比较法-仓储'!$A$49:$M$49</definedName>
    <definedName name="仓储交易情况">'比较法-仓储'!$A$49:$M$49</definedName>
    <definedName name="仓储楼层" localSheetId="19">'[1]不动产比较法-仓储'!$B$69:$M$69</definedName>
    <definedName name="仓储楼层">'比较法-仓储'!$B$69:$M$69</definedName>
    <definedName name="仓储物业等级" localSheetId="19">'[1]不动产比较法-仓储'!$B$82:$M$82</definedName>
    <definedName name="仓储物业等级">'比较法-仓储'!$B$82:$M$82</definedName>
    <definedName name="仓储用途" localSheetId="19">'[1]不动产比较法-仓储'!$B$51:$M$51</definedName>
    <definedName name="仓储用途">'比较法-仓储'!$B$51:$M$51</definedName>
    <definedName name="产业集聚程度" localSheetId="19">[1]定义!$N$1:$N$6</definedName>
    <definedName name="产业集聚程度">定义!$N$1:$N$6</definedName>
    <definedName name="车位公共部分装修" localSheetId="19">'[1]不动产比较法-车位'!$B$83:$M$83</definedName>
    <definedName name="车位公共部分装修">'比较法-车位'!$B$83:$M$83</definedName>
    <definedName name="车位交易情况" localSheetId="19">'[1]不动产比较法-车位'!$A$51:$M$51</definedName>
    <definedName name="车位交易情况">'比较法-车位'!$A$51:$M$51</definedName>
    <definedName name="车位类型" localSheetId="19">'[1]不动产比较法-车位'!$B$93:$M$93</definedName>
    <definedName name="车位类型">'比较法-车位'!$B$93:$M$93</definedName>
    <definedName name="车位楼层" localSheetId="19">'[1]不动产比较法-车位'!$B$71:$M$71</definedName>
    <definedName name="车位楼层">'比较法-车位'!$B$71:$M$71</definedName>
    <definedName name="车位配套类型" localSheetId="19">'[1]不动产比较法-车位'!$B$79:$M$79</definedName>
    <definedName name="车位配套类型">'比较法-车位'!$B$79:$M$79</definedName>
    <definedName name="车位物业等级" localSheetId="19">'[1]不动产比较法-车位'!$B$88:$M$88</definedName>
    <definedName name="车位物业等级">'比较法-车位'!$B$88:$M$88</definedName>
    <definedName name="车位用途" localSheetId="19">'[1]不动产比较法-车位'!$B$53:$M$53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修正!$C$17:$C$39</definedName>
    <definedName name="法定最高年限" localSheetId="19">[1]定义!$G$2:$G$4</definedName>
    <definedName name="法定最高年限">定义!$G$1:$G$4</definedName>
    <definedName name="工业公共部分装修" localSheetId="19">'[1]不动产比较法-工业'!$B$95:$M$95</definedName>
    <definedName name="工业公共部分装修">'比较法-工业'!$B$95:$M$95</definedName>
    <definedName name="工业基础设施水平" localSheetId="19">'[1]不动产比较法-工业'!$B$102:$M$102</definedName>
    <definedName name="工业基础设施水平">'比较法-工业'!$B$102:$M$102</definedName>
    <definedName name="工业建筑结构" localSheetId="19">'[1]不动产比较法-工业'!$B$93:$M$93</definedName>
    <definedName name="工业建筑结构">'比较法-工业'!$B$93:$M$93</definedName>
    <definedName name="工业建筑类型" localSheetId="19">'[1]不动产比较法-工业'!$B$88:$M$88</definedName>
    <definedName name="工业建筑类型">'比较法-工业'!$B$88:$M$88</definedName>
    <definedName name="工业交易情况" localSheetId="19">'[1]不动产比较法-工业'!$A$55:$M$55</definedName>
    <definedName name="工业交易情况">'比较法-工业'!$A$55:$M$55</definedName>
    <definedName name="工业内部装修" localSheetId="19">'[1]不动产比较法-工业'!$B$104:$M$104</definedName>
    <definedName name="工业内部装修">'比较法-工业'!$B$104:$M$104</definedName>
    <definedName name="工业物业管理" localSheetId="19">'[1]不动产比较法-工业'!$B$100:$M$100</definedName>
    <definedName name="工业物业管理">'比较法-工业'!$B$100:$M$100</definedName>
    <definedName name="工业用途" localSheetId="19">'[1]不动产比较法-工业'!$B$57:$M$57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建筑结构" localSheetId="23">工程形象进度!#REF!</definedName>
    <definedName name="建筑结构" localSheetId="33">工程形象进度!#REF!</definedName>
    <definedName name="建筑结构">工程形象进度!#REF!</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19">[1]定义!$D$1:$D$4</definedName>
    <definedName name="判定">定义!$D$1:$D$4</definedName>
    <definedName name="七级">区片价!$N$1:$N$49</definedName>
    <definedName name="七通一平" localSheetId="19">[1]修正!$A$6:$A$14</definedName>
    <definedName name="七通一平">修正!$A$6:$A$14</definedName>
    <definedName name="区域土地利用方向" localSheetId="19">[1]定义!$P$1:$P$6</definedName>
    <definedName name="区域土地利用方向">定义!$P$1:$P$6</definedName>
    <definedName name="三级">区片价!$J$1:$J$21</definedName>
    <definedName name="商业层高" localSheetId="19">'[1]不动产比较法-商业'!$B$116:$M$116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'[1]不动产比较法-商业'!$B$107:$M$107</definedName>
    <definedName name="商业公共部分装修">'比较法-商业'!$B$107:$M$107</definedName>
    <definedName name="商业基础设施水平" localSheetId="19">'[1]不动产比较法-商业'!$B$112:$M$112</definedName>
    <definedName name="商业基础设施水平">'比较法-商业'!$B$112:$M$112</definedName>
    <definedName name="商业建筑结构" localSheetId="19">'[1]不动产比较法-商业'!$B$105:$M$105</definedName>
    <definedName name="商业建筑结构">'比较法-商业'!$B$105:$M$105</definedName>
    <definedName name="商业交易情况" localSheetId="19">'[1]不动产比较法-商业'!$A$61:$M$61</definedName>
    <definedName name="商业交易情况">'比较法-商业'!$A$61:$M$61</definedName>
    <definedName name="商业街名称" localSheetId="19">[1]修正!$C$59:$C$119</definedName>
    <definedName name="商业街名称">修正!$C$59:$C$119</definedName>
    <definedName name="商业进深比" localSheetId="19">'[1]不动产比较法-商业'!$B$120:$M$120</definedName>
    <definedName name="商业进深比">'比较法-商业'!$B$120:$M$120</definedName>
    <definedName name="商业类型" localSheetId="19">'[1]不动产比较法-商业'!$B$100:$M$100</definedName>
    <definedName name="商业类型">'比较法-商业'!$B$100:$M$100</definedName>
    <definedName name="商业临街状况" localSheetId="19">'[1]不动产比较法-商业'!$B$86:$M$86</definedName>
    <definedName name="商业临街状况">'比较法-商业'!$B$86:$M$86</definedName>
    <definedName name="商业楼层" localSheetId="19">'[1]不动产比较法-商业'!$B$92:$M$92</definedName>
    <definedName name="商业楼层">'比较法-商业'!$B$92:$M$92</definedName>
    <definedName name="商业内部装修" localSheetId="19">'[1]不动产比较法-商业'!$B$122:$M$122</definedName>
    <definedName name="商业内部装修">'比较法-商业'!$B$122:$M$122</definedName>
    <definedName name="商业人流量" localSheetId="19">'[1]不动产比较法-商业'!$B$90:$M$90</definedName>
    <definedName name="商业人流量">'比较法-商业'!$B$90:$M$90</definedName>
    <definedName name="商业业态" localSheetId="19">'[1]不动产比较法-商业'!$B$114:$M$114</definedName>
    <definedName name="商业业态">'比较法-商业'!$B$114:$M$114</definedName>
    <definedName name="商业用途" localSheetId="19">'[1]不动产比较法-商业'!$B$63:$M$63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'[1]不动产比较法-仓储'!$B$89:$M$89</definedName>
    <definedName name="是否封闭">'比较法-仓储'!$B$89:$M$89</definedName>
    <definedName name="是否直接入户" localSheetId="19">'[1]不动产比较法-车位'!$B$95:$M$95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19">'比较法-住宅、综合'!$A$75:$M$75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19">'[1]比较法-工业'!$B$101:$M$101</definedName>
    <definedName name="套工土地级别">'土地比较法-工业'!$B$99:$M$99</definedName>
    <definedName name="套工用途" localSheetId="19">'[1]比较法-工业'!$B$72:$M$72</definedName>
    <definedName name="套工用途">'土地比较法-工业'!$B$70:$M$70</definedName>
    <definedName name="套工宗地开发程度">'土地比较法-工业'!$B$112:$M$112</definedName>
    <definedName name="套工宗地形状" localSheetId="19">'[1]比较法-工业'!$B$112:$M$112</definedName>
    <definedName name="套工宗地形状">'土地比较法-工业'!$B$110:$M$110</definedName>
    <definedName name="套综道路等级" localSheetId="19">'比较法-住宅、综合'!$B$108:$M$108</definedName>
    <definedName name="套综道路等级">'土地比较法-住宅、综合'!$B$106:$M$106</definedName>
    <definedName name="套综工程地质条件" localSheetId="19">'比较法-住宅、综合'!$B$127:$M$127</definedName>
    <definedName name="套综工程地质条件">'土地比较法-住宅、综合'!$B$125:$M$125</definedName>
    <definedName name="套综交易情况" localSheetId="19">'比较法-住宅、综合'!$A$75:$M$75</definedName>
    <definedName name="套综交易情况">'土地比较法-住宅、综合'!$A$73:$M$73</definedName>
    <definedName name="套综临街宽度及深度" localSheetId="19">'比较法-住宅、综合'!$B$123:$M$123</definedName>
    <definedName name="套综临街宽度及深度">'土地比较法-住宅、综合'!$B$121:$M$121</definedName>
    <definedName name="套综土地级别" localSheetId="19">'比较法-住宅、综合'!$B$110:$M$110</definedName>
    <definedName name="套综土地级别">'土地比较法-住宅、综合'!$B$108:$M$108</definedName>
    <definedName name="套综用途" localSheetId="19">'比较法-住宅、综合'!$B$77:$M$77</definedName>
    <definedName name="套综用途">'土地比较法-住宅、综合'!$B$75:$M$75</definedName>
    <definedName name="套综宗地内开发程度" localSheetId="19">'比较法-住宅、综合'!$B$125:$M$125</definedName>
    <definedName name="套综宗地内开发程度">'土地比较法-住宅、综合'!$B$123:$M$123</definedName>
    <definedName name="套综宗地形状" localSheetId="19">'比较法-住宅、综合'!$B$121:$M$121</definedName>
    <definedName name="套综宗地形状">'土地比较法-住宅、综合'!$B$119:$M$119</definedName>
    <definedName name="土地估价师" localSheetId="19">[1]估价师及机构信息!$D$3:$D$24</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19">'[1]数据-汇总表'!$C$17:$C$26</definedName>
    <definedName name="项目类型">'数据-汇总表'!$C$17:$C$26</definedName>
    <definedName name="写字楼等级" localSheetId="19">'[1]不动产比较法-办公'!$B$113:$M$113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类型">[1]定义!$A$1:$A$50</definedName>
    <definedName name="用途明细">定义!$A$1:$A$50</definedName>
    <definedName name="有无电梯" localSheetId="19">'[1]不动产比较法-仓储'!$B$84:$M$84</definedName>
    <definedName name="有无电梯">'比较法-仓储'!$B$84:$M$84</definedName>
    <definedName name="主用途" localSheetId="19">[1]定义!$F$1:$F$10</definedName>
    <definedName name="主用途">定义!$F$1:$F$10</definedName>
    <definedName name="住宅朝向" localSheetId="23">'比较法-保障房'!$B$88:$M$88</definedName>
    <definedName name="住宅朝向" localSheetId="19">'[1]不动产比较法-住宅'!$B$88:$M$88</definedName>
    <definedName name="住宅朝向">'比较法-住宅'!$B$88:$M$88</definedName>
    <definedName name="住宅房型" localSheetId="23">'比较法-保障房'!$B$118:$M$118</definedName>
    <definedName name="住宅房型" localSheetId="19">'[1]不动产比较法-住宅'!$B$118:$M$118</definedName>
    <definedName name="住宅房型">'比较法-住宅'!$B$118:$M$118</definedName>
    <definedName name="住宅公共部分装修" localSheetId="23">'比较法-保障房'!$B$109:$M$109</definedName>
    <definedName name="住宅公共部分装修" localSheetId="19">'[1]不动产比较法-住宅'!$B$109:$M$109</definedName>
    <definedName name="住宅公共部分装修">'比较法-住宅'!$B$109:$M$109</definedName>
    <definedName name="住宅基础设施水平" localSheetId="23">'比较法-保障房'!$B$116:$M$116</definedName>
    <definedName name="住宅基础设施水平" localSheetId="19">'[1]不动产比较法-住宅'!$B$116:$M$116</definedName>
    <definedName name="住宅基础设施水平">'比较法-住宅'!$B$116:$M$116</definedName>
    <definedName name="住宅建筑结构" localSheetId="23">'比较法-保障房'!$B$105:$M$105</definedName>
    <definedName name="住宅建筑结构" localSheetId="19">'[1]不动产比较法-住宅'!$B$105:$M$105</definedName>
    <definedName name="住宅建筑结构">'比较法-住宅'!$B$105:$M$105</definedName>
    <definedName name="住宅建筑类型" localSheetId="23">'比较法-保障房'!$B$100:$M$100</definedName>
    <definedName name="住宅建筑类型" localSheetId="19">'[1]不动产比较法-住宅'!$B$100:$M$100</definedName>
    <definedName name="住宅建筑类型">'比较法-住宅'!$B$100:$M$100</definedName>
    <definedName name="住宅建筑品质" localSheetId="23">'比较法-保障房'!$B$107:$M$107</definedName>
    <definedName name="住宅建筑品质" localSheetId="19">'[1]不动产比较法-住宅'!$B$107:$M$107</definedName>
    <definedName name="住宅建筑品质">'比较法-住宅'!$B$107:$M$107</definedName>
    <definedName name="住宅交易情况" localSheetId="23">'比较法-保障房'!$A$61:$M$61</definedName>
    <definedName name="住宅交易情况" localSheetId="19">'[1]不动产比较法-住宅'!$A$61:$M$61</definedName>
    <definedName name="住宅交易情况">'比较法-住宅'!$A$61:$M$61</definedName>
    <definedName name="住宅楼层" localSheetId="23">'比较法-保障房'!$B$86:$M$86</definedName>
    <definedName name="住宅楼层" localSheetId="19">'[1]不动产比较法-住宅'!$B$86:$M$86</definedName>
    <definedName name="住宅楼层">'比较法-住宅'!$B$86:$M$86</definedName>
    <definedName name="住宅内部装修" localSheetId="23">'比较法-保障房'!$B$122:$M$122</definedName>
    <definedName name="住宅内部装修" localSheetId="19">'[1]不动产比较法-住宅'!$B$122:$M$122</definedName>
    <definedName name="住宅内部装修">'比较法-住宅'!$B$122:$M$122</definedName>
    <definedName name="住宅物业管理" localSheetId="23">'比较法-保障房'!$B$114:$M$114</definedName>
    <definedName name="住宅物业管理" localSheetId="19">'[1]不动产比较法-住宅'!$B$114:$M$114</definedName>
    <definedName name="住宅物业管理">'比较法-住宅'!$B$114:$M$114</definedName>
    <definedName name="住宅用途" localSheetId="23">'比较法-保障房'!$B$63:$M$63</definedName>
    <definedName name="住宅用途" localSheetId="19">'[1]不动产比较法-住宅'!$B$63:$M$63</definedName>
    <definedName name="住宅用途">'比较法-住宅'!$B$63:$M$63</definedName>
    <definedName name="住宅主力户型面积" localSheetId="23">'比较法-保障房'!$B$120:$M$120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36" i="79" l="1"/>
  <c r="H38" i="79"/>
  <c r="H37" i="79"/>
  <c r="F37" i="79"/>
  <c r="F36" i="79"/>
  <c r="G48" i="78" l="1"/>
  <c r="G40" i="78"/>
  <c r="G9" i="78"/>
  <c r="G7" i="78"/>
  <c r="N10" i="85"/>
  <c r="N11" i="85"/>
  <c r="N12" i="85"/>
  <c r="N13" i="85"/>
  <c r="N14" i="85"/>
  <c r="N15" i="85"/>
  <c r="N16" i="85"/>
  <c r="N17" i="85"/>
  <c r="N18" i="85"/>
  <c r="N19" i="85"/>
  <c r="N20" i="85"/>
  <c r="N21" i="85"/>
  <c r="N22" i="85"/>
  <c r="N23" i="85"/>
  <c r="P23" i="85"/>
  <c r="Q23" i="85"/>
  <c r="R23" i="85"/>
  <c r="S23" i="85"/>
  <c r="T23" i="85"/>
  <c r="O23" i="85"/>
  <c r="F7" i="85"/>
  <c r="F8" i="85" s="1"/>
  <c r="D7" i="85"/>
  <c r="D8" i="85" s="1"/>
  <c r="B7" i="85"/>
  <c r="B8" i="85" s="1"/>
  <c r="R47" i="84"/>
  <c r="D3" i="4"/>
  <c r="B2" i="1"/>
  <c r="C7" i="84"/>
  <c r="E7" i="84"/>
  <c r="C58" i="84"/>
  <c r="D58" i="84"/>
  <c r="E58" i="84"/>
  <c r="F58" i="84"/>
  <c r="G58" i="84"/>
  <c r="H58" i="84"/>
  <c r="I58" i="84"/>
  <c r="J58" i="84"/>
  <c r="K58" i="84"/>
  <c r="L58" i="84"/>
  <c r="M58" i="84"/>
  <c r="N58" i="84"/>
  <c r="O58" i="84"/>
  <c r="F7" i="84"/>
  <c r="AA7" i="84"/>
  <c r="F8" i="84"/>
  <c r="AA8" i="84"/>
  <c r="C63" i="84"/>
  <c r="F9" i="84"/>
  <c r="AA9" i="84"/>
  <c r="F10" i="84"/>
  <c r="AA10" i="84"/>
  <c r="D69" i="84"/>
  <c r="E69" i="84"/>
  <c r="I5" i="3"/>
  <c r="K5" i="3"/>
  <c r="O5" i="3"/>
  <c r="AD5" i="3"/>
  <c r="J5" i="3"/>
  <c r="L5" i="3"/>
  <c r="M5" i="3"/>
  <c r="N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A3" i="3"/>
  <c r="I4" i="6"/>
  <c r="C11" i="84"/>
  <c r="F11" i="84"/>
  <c r="AA11" i="84"/>
  <c r="B70" i="84"/>
  <c r="F12" i="84"/>
  <c r="AA12" i="84"/>
  <c r="B72" i="84"/>
  <c r="F13" i="84"/>
  <c r="AA13" i="84"/>
  <c r="B74" i="84"/>
  <c r="F14" i="84"/>
  <c r="AA14" i="84"/>
  <c r="D77" i="84"/>
  <c r="F15" i="84"/>
  <c r="AA15" i="84"/>
  <c r="D79" i="84"/>
  <c r="F17" i="84"/>
  <c r="AA17" i="84"/>
  <c r="D81" i="84"/>
  <c r="F19" i="84"/>
  <c r="AA19" i="84"/>
  <c r="F21" i="84"/>
  <c r="AA21" i="84"/>
  <c r="D85" i="84"/>
  <c r="F23" i="84"/>
  <c r="AA23" i="84"/>
  <c r="F25" i="84"/>
  <c r="AA25" i="84"/>
  <c r="F26" i="84"/>
  <c r="AA26" i="84"/>
  <c r="B90" i="84"/>
  <c r="F27" i="84"/>
  <c r="AA27" i="84"/>
  <c r="B92" i="84"/>
  <c r="F28" i="84"/>
  <c r="AA28" i="84"/>
  <c r="B94" i="84"/>
  <c r="F29" i="84"/>
  <c r="AA29" i="84"/>
  <c r="B96" i="84"/>
  <c r="F30" i="84"/>
  <c r="AA30" i="84"/>
  <c r="B98" i="84"/>
  <c r="F31" i="84"/>
  <c r="AA31" i="84"/>
  <c r="F32" i="84"/>
  <c r="AA32" i="84"/>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C33" i="84"/>
  <c r="F33" i="84"/>
  <c r="AA33" i="84"/>
  <c r="F34" i="84"/>
  <c r="AA34" i="84"/>
  <c r="D108" i="84"/>
  <c r="F35" i="84"/>
  <c r="AA35" i="84"/>
  <c r="F36" i="84"/>
  <c r="AA36" i="84"/>
  <c r="D113" i="84"/>
  <c r="E113" i="84"/>
  <c r="F113" i="84"/>
  <c r="G113" i="84"/>
  <c r="F37" i="84"/>
  <c r="AA37" i="84"/>
  <c r="F38" i="84"/>
  <c r="AA38" i="84"/>
  <c r="F39" i="84"/>
  <c r="AA39" i="84"/>
  <c r="F40" i="84"/>
  <c r="AA40" i="84"/>
  <c r="F41" i="84"/>
  <c r="AA41" i="84"/>
  <c r="F42" i="84"/>
  <c r="AA42" i="84"/>
  <c r="D125" i="84"/>
  <c r="F43" i="84"/>
  <c r="AA43" i="84"/>
  <c r="B126" i="84"/>
  <c r="F44" i="84"/>
  <c r="AA44" i="84"/>
  <c r="B128" i="84"/>
  <c r="F45" i="84"/>
  <c r="AA45" i="84"/>
  <c r="B130" i="84"/>
  <c r="F46" i="84"/>
  <c r="AA46" i="84"/>
  <c r="R48" i="84"/>
  <c r="T47" i="84"/>
  <c r="G7" i="84"/>
  <c r="H7" i="84"/>
  <c r="AB7" i="84"/>
  <c r="H8" i="84"/>
  <c r="AB8" i="84"/>
  <c r="H9" i="84"/>
  <c r="AB9" i="84"/>
  <c r="H10" i="84"/>
  <c r="AB10" i="84"/>
  <c r="H11" i="84"/>
  <c r="AB11" i="84"/>
  <c r="H12" i="84"/>
  <c r="AB12" i="84"/>
  <c r="H13" i="84"/>
  <c r="AB13" i="84"/>
  <c r="H14" i="84"/>
  <c r="AB14" i="84"/>
  <c r="H15" i="84"/>
  <c r="AB15" i="84"/>
  <c r="H17" i="84"/>
  <c r="AB17" i="84"/>
  <c r="H19" i="84"/>
  <c r="AB19" i="84"/>
  <c r="H21" i="84"/>
  <c r="AB21" i="84"/>
  <c r="H23" i="84"/>
  <c r="AB23" i="84"/>
  <c r="H25" i="84"/>
  <c r="AB25" i="84"/>
  <c r="H26" i="84"/>
  <c r="AB26" i="84"/>
  <c r="H27" i="84"/>
  <c r="AB27" i="84"/>
  <c r="H28" i="84"/>
  <c r="AB28" i="84"/>
  <c r="H29" i="84"/>
  <c r="AB29" i="84"/>
  <c r="H30" i="84"/>
  <c r="AB30" i="84"/>
  <c r="H31" i="84"/>
  <c r="AB31" i="84"/>
  <c r="H32" i="84"/>
  <c r="AB32" i="84"/>
  <c r="H33" i="84"/>
  <c r="AB33" i="84"/>
  <c r="H34" i="84"/>
  <c r="AB34" i="84"/>
  <c r="H35" i="84"/>
  <c r="AB35" i="84"/>
  <c r="H36" i="84"/>
  <c r="AB36" i="84"/>
  <c r="H37" i="84"/>
  <c r="AB37" i="84"/>
  <c r="H38" i="84"/>
  <c r="AB38" i="84"/>
  <c r="H39" i="84"/>
  <c r="AB39" i="84"/>
  <c r="H40" i="84"/>
  <c r="AB40" i="84"/>
  <c r="H41" i="84"/>
  <c r="AB41" i="84"/>
  <c r="H42" i="84"/>
  <c r="AB42" i="84"/>
  <c r="H43" i="84"/>
  <c r="AB43" i="84"/>
  <c r="H44" i="84"/>
  <c r="AB44" i="84"/>
  <c r="H45" i="84"/>
  <c r="AB45" i="84"/>
  <c r="H46" i="84"/>
  <c r="AB46" i="84"/>
  <c r="T48" i="84"/>
  <c r="V47" i="84"/>
  <c r="I7" i="84"/>
  <c r="J7" i="84"/>
  <c r="AC7" i="84"/>
  <c r="J8" i="84"/>
  <c r="AC8" i="84"/>
  <c r="J9" i="84"/>
  <c r="AC9" i="84"/>
  <c r="J10" i="84"/>
  <c r="AC10" i="84"/>
  <c r="J11" i="84"/>
  <c r="AC11" i="84"/>
  <c r="J12" i="84"/>
  <c r="AC12" i="84"/>
  <c r="J13" i="84"/>
  <c r="AC13" i="84"/>
  <c r="J14" i="84"/>
  <c r="AC14" i="84"/>
  <c r="J15" i="84"/>
  <c r="AC15" i="84"/>
  <c r="J17" i="84"/>
  <c r="AC17" i="84"/>
  <c r="J19" i="84"/>
  <c r="AC19" i="84"/>
  <c r="J21" i="84"/>
  <c r="AC21" i="84"/>
  <c r="J23" i="84"/>
  <c r="AC23" i="84"/>
  <c r="J25" i="84"/>
  <c r="AC25" i="84"/>
  <c r="J26" i="84"/>
  <c r="AC26" i="84"/>
  <c r="J27" i="84"/>
  <c r="AC27" i="84"/>
  <c r="J28" i="84"/>
  <c r="AC28" i="84"/>
  <c r="J29" i="84"/>
  <c r="AC29" i="84"/>
  <c r="J30" i="84"/>
  <c r="AC30" i="84"/>
  <c r="J31" i="84"/>
  <c r="AC31" i="84"/>
  <c r="J32" i="84"/>
  <c r="AC32" i="84"/>
  <c r="J33" i="84"/>
  <c r="AC33" i="84"/>
  <c r="J34" i="84"/>
  <c r="AC34" i="84"/>
  <c r="J35" i="84"/>
  <c r="AC35" i="84"/>
  <c r="J36" i="84"/>
  <c r="AC36" i="84"/>
  <c r="J37" i="84"/>
  <c r="AC37" i="84"/>
  <c r="J38" i="84"/>
  <c r="AC38" i="84"/>
  <c r="J39" i="84"/>
  <c r="AC39" i="84"/>
  <c r="J40" i="84"/>
  <c r="AC40" i="84"/>
  <c r="J41" i="84"/>
  <c r="AC41" i="84"/>
  <c r="J42" i="84"/>
  <c r="AC42" i="84"/>
  <c r="J43" i="84"/>
  <c r="AC43" i="84"/>
  <c r="J44" i="84"/>
  <c r="AC44" i="84"/>
  <c r="J45" i="84"/>
  <c r="AC45" i="84"/>
  <c r="J46" i="84"/>
  <c r="AC46" i="84"/>
  <c r="V48" i="84"/>
  <c r="R49" i="84"/>
  <c r="C49" i="84"/>
  <c r="C19" i="6"/>
  <c r="C20" i="6"/>
  <c r="C21" i="6"/>
  <c r="C22" i="6"/>
  <c r="F19" i="6"/>
  <c r="E19" i="6"/>
  <c r="F20" i="6"/>
  <c r="E20" i="6"/>
  <c r="G21"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BC5" i="3"/>
  <c r="BE5" i="3"/>
  <c r="E8" i="6"/>
  <c r="F27"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1" i="6"/>
  <c r="E32" i="6"/>
  <c r="D3" i="84"/>
  <c r="B2" i="84"/>
  <c r="B3" i="84"/>
  <c r="R47" i="21"/>
  <c r="C7" i="21"/>
  <c r="E7" i="21"/>
  <c r="C58" i="21"/>
  <c r="D58" i="21"/>
  <c r="E58" i="21"/>
  <c r="F58" i="21"/>
  <c r="G58" i="21"/>
  <c r="H58" i="21"/>
  <c r="I58" i="21"/>
  <c r="J58" i="21"/>
  <c r="K58" i="21"/>
  <c r="L58" i="21"/>
  <c r="M58" i="21"/>
  <c r="N58" i="21"/>
  <c r="O58" i="21"/>
  <c r="F7" i="21"/>
  <c r="AA7" i="21"/>
  <c r="F8" i="21"/>
  <c r="AA8" i="21"/>
  <c r="C63" i="21"/>
  <c r="F9" i="21"/>
  <c r="AA9" i="21"/>
  <c r="F10" i="21"/>
  <c r="AA10" i="21"/>
  <c r="D69" i="21"/>
  <c r="E69" i="21"/>
  <c r="C11"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B3" i="21"/>
  <c r="C6" i="12"/>
  <c r="C145" i="84"/>
  <c r="J142" i="84"/>
  <c r="J140" i="84"/>
  <c r="K139" i="84"/>
  <c r="K145" i="84"/>
  <c r="K143" i="84"/>
  <c r="E125" i="84"/>
  <c r="F125" i="84"/>
  <c r="G125" i="84"/>
  <c r="D123"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D115" i="84"/>
  <c r="E115" i="84"/>
  <c r="F115" i="84"/>
  <c r="G115" i="84"/>
  <c r="H115" i="84"/>
  <c r="I115" i="84"/>
  <c r="J115" i="84"/>
  <c r="K115" i="84"/>
  <c r="L115" i="84"/>
  <c r="M115" i="84"/>
  <c r="H113" i="84"/>
  <c r="H111" i="84"/>
  <c r="G111" i="84"/>
  <c r="F111" i="84"/>
  <c r="E111" i="84"/>
  <c r="D111" i="84"/>
  <c r="C111" i="84"/>
  <c r="D110" i="84"/>
  <c r="E110" i="84"/>
  <c r="F110" i="84"/>
  <c r="G110" i="84"/>
  <c r="H110" i="84"/>
  <c r="I110" i="84"/>
  <c r="J110" i="84"/>
  <c r="K110" i="84"/>
  <c r="L110" i="84"/>
  <c r="M110" i="84"/>
  <c r="E108" i="84"/>
  <c r="F108" i="84"/>
  <c r="G108" i="84"/>
  <c r="H108" i="84"/>
  <c r="I108" i="84"/>
  <c r="J108" i="84"/>
  <c r="K108" i="84"/>
  <c r="L108" i="84"/>
  <c r="M108" i="84"/>
  <c r="D106" i="84"/>
  <c r="E106" i="84"/>
  <c r="F106" i="84"/>
  <c r="G106" i="84"/>
  <c r="H106" i="84"/>
  <c r="I106" i="84"/>
  <c r="J106" i="84"/>
  <c r="K106" i="84"/>
  <c r="L106" i="84"/>
  <c r="M106" i="84"/>
  <c r="M102" i="84"/>
  <c r="L102" i="84"/>
  <c r="K102" i="84"/>
  <c r="J102" i="84"/>
  <c r="I102" i="84"/>
  <c r="H102" i="84"/>
  <c r="G102" i="84"/>
  <c r="F102" i="84"/>
  <c r="E102" i="84"/>
  <c r="D102" i="84"/>
  <c r="C102" i="84"/>
  <c r="D101" i="84"/>
  <c r="E101" i="84"/>
  <c r="F101" i="84"/>
  <c r="G101" i="84"/>
  <c r="H101" i="84"/>
  <c r="I101" i="84"/>
  <c r="J101" i="84"/>
  <c r="K101" i="84"/>
  <c r="L101" i="84"/>
  <c r="M101" i="84"/>
  <c r="D89" i="84"/>
  <c r="E89" i="84"/>
  <c r="F89" i="84"/>
  <c r="G89" i="84"/>
  <c r="H89" i="84"/>
  <c r="I89" i="84"/>
  <c r="J89" i="84"/>
  <c r="K89" i="84"/>
  <c r="L89" i="84"/>
  <c r="M89" i="84"/>
  <c r="M87" i="84"/>
  <c r="L87" i="84"/>
  <c r="K87" i="84"/>
  <c r="J87" i="84"/>
  <c r="I87" i="84"/>
  <c r="H87" i="84"/>
  <c r="G87" i="84"/>
  <c r="F87" i="84"/>
  <c r="E87" i="84"/>
  <c r="D87" i="84"/>
  <c r="E85" i="84"/>
  <c r="F85" i="84"/>
  <c r="G85" i="84"/>
  <c r="D83" i="84"/>
  <c r="E83" i="84"/>
  <c r="F83" i="84"/>
  <c r="G83" i="84"/>
  <c r="E81" i="84"/>
  <c r="F81" i="84"/>
  <c r="G81" i="84"/>
  <c r="E79" i="84"/>
  <c r="F79" i="84"/>
  <c r="G79" i="84"/>
  <c r="E77" i="84"/>
  <c r="F77" i="84"/>
  <c r="G77" i="84"/>
  <c r="F69" i="84"/>
  <c r="G69" i="84"/>
  <c r="H69" i="84"/>
  <c r="I69" i="84"/>
  <c r="J69" i="84"/>
  <c r="K69" i="84"/>
  <c r="L69" i="84"/>
  <c r="M69" i="84"/>
  <c r="M67" i="84"/>
  <c r="L67" i="84"/>
  <c r="K67" i="84"/>
  <c r="J67" i="84"/>
  <c r="I67" i="84"/>
  <c r="H67" i="84"/>
  <c r="G67" i="84"/>
  <c r="F67" i="84"/>
  <c r="E67" i="84"/>
  <c r="D67" i="84"/>
  <c r="C67" i="84"/>
  <c r="D66" i="84"/>
  <c r="E66" i="84"/>
  <c r="F66" i="84"/>
  <c r="G66" i="84"/>
  <c r="H66" i="84"/>
  <c r="I66" i="84"/>
  <c r="I54" i="84"/>
  <c r="J54" i="84"/>
  <c r="G54" i="84"/>
  <c r="H54" i="84"/>
  <c r="E54" i="84"/>
  <c r="F54" i="84"/>
  <c r="P49" i="84"/>
  <c r="P48" i="84"/>
  <c r="P47" i="84"/>
  <c r="Q46" i="84"/>
  <c r="Z46" i="84"/>
  <c r="Q45" i="84"/>
  <c r="Z45" i="84"/>
  <c r="Q44" i="84"/>
  <c r="Z44" i="84"/>
  <c r="Q43" i="84"/>
  <c r="Z43" i="84"/>
  <c r="Q42" i="84"/>
  <c r="Z42" i="84"/>
  <c r="Q41" i="84"/>
  <c r="Z41" i="84"/>
  <c r="Q40" i="84"/>
  <c r="Z40" i="84"/>
  <c r="Q39" i="84"/>
  <c r="Z39" i="84"/>
  <c r="Q38" i="84"/>
  <c r="Z38" i="84"/>
  <c r="Q37" i="84"/>
  <c r="Z37" i="84"/>
  <c r="Q36" i="84"/>
  <c r="Z36" i="84"/>
  <c r="Q35" i="84"/>
  <c r="Z35" i="84"/>
  <c r="Q34" i="84"/>
  <c r="Z34" i="84"/>
  <c r="Q33" i="84"/>
  <c r="Z33" i="84"/>
  <c r="Q32" i="84"/>
  <c r="Z32" i="84"/>
  <c r="Q31" i="84"/>
  <c r="Z31" i="84"/>
  <c r="Q30" i="84"/>
  <c r="Z30" i="84"/>
  <c r="Q29" i="84"/>
  <c r="Z29" i="84"/>
  <c r="Q28" i="84"/>
  <c r="Z28" i="84"/>
  <c r="Q27" i="84"/>
  <c r="Z27" i="84"/>
  <c r="Q26" i="84"/>
  <c r="Z26" i="84"/>
  <c r="Q25" i="84"/>
  <c r="Z25" i="84"/>
  <c r="Q23" i="84"/>
  <c r="Z23" i="84"/>
  <c r="C23" i="84"/>
  <c r="Q21" i="84"/>
  <c r="Z21" i="84"/>
  <c r="C21" i="84"/>
  <c r="Q19" i="84"/>
  <c r="Z19" i="84"/>
  <c r="C19" i="84"/>
  <c r="Q17" i="84"/>
  <c r="Z17" i="84"/>
  <c r="C17" i="84"/>
  <c r="Q15" i="84"/>
  <c r="Z15" i="84"/>
  <c r="C15" i="84"/>
  <c r="Q14" i="84"/>
  <c r="Z14" i="84"/>
  <c r="Q13" i="84"/>
  <c r="Z13" i="84"/>
  <c r="Q12" i="84"/>
  <c r="Z12" i="84"/>
  <c r="Q11" i="84"/>
  <c r="Z11" i="84"/>
  <c r="Q10" i="84"/>
  <c r="Z10" i="84"/>
  <c r="Q9" i="84"/>
  <c r="Z9" i="84"/>
  <c r="W8" i="84"/>
  <c r="S8" i="84"/>
  <c r="U8" i="84"/>
  <c r="AH8" i="1"/>
  <c r="H45" i="82"/>
  <c r="Q72" i="82"/>
  <c r="Q59" i="82"/>
  <c r="K59" i="82"/>
  <c r="P74" i="82"/>
  <c r="F59" i="82"/>
  <c r="Q58" i="82"/>
  <c r="Q51" i="82"/>
  <c r="J50" i="82"/>
  <c r="J51" i="82"/>
  <c r="M47" i="82"/>
  <c r="D46" i="82"/>
  <c r="B52" i="1"/>
  <c r="F34" i="82"/>
  <c r="F62" i="82"/>
  <c r="F33" i="82"/>
  <c r="F61" i="82"/>
  <c r="B43" i="1"/>
  <c r="B41" i="1"/>
  <c r="F32" i="82"/>
  <c r="F60" i="82"/>
  <c r="F31" i="82"/>
  <c r="F28" i="82"/>
  <c r="C42" i="1"/>
  <c r="C28" i="82"/>
  <c r="F23" i="82"/>
  <c r="D23" i="82"/>
  <c r="F21" i="82"/>
  <c r="M20" i="82"/>
  <c r="F20" i="82"/>
  <c r="M19" i="82"/>
  <c r="M18" i="82"/>
  <c r="F18" i="82"/>
  <c r="M17" i="82"/>
  <c r="F17" i="82"/>
  <c r="F15" i="82"/>
  <c r="A6" i="1"/>
  <c r="A7" i="1"/>
  <c r="A8" i="1"/>
  <c r="G1" i="82"/>
  <c r="G10" i="79"/>
  <c r="G14" i="79"/>
  <c r="G15" i="79"/>
  <c r="G17" i="79"/>
  <c r="G18" i="79"/>
  <c r="G19" i="79"/>
  <c r="G21" i="79"/>
  <c r="F33" i="79"/>
  <c r="N6" i="1"/>
  <c r="N14" i="1"/>
  <c r="N9" i="1"/>
  <c r="N8" i="1"/>
  <c r="N7" i="1"/>
  <c r="G11" i="79"/>
  <c r="G12" i="79"/>
  <c r="G13" i="79"/>
  <c r="G16" i="79"/>
  <c r="G20" i="79"/>
  <c r="G22" i="79"/>
  <c r="G23" i="79"/>
  <c r="G24" i="79"/>
  <c r="W11" i="84"/>
  <c r="S9" i="84"/>
  <c r="W9" i="84"/>
  <c r="U10" i="84"/>
  <c r="S12" i="84"/>
  <c r="W12" i="84"/>
  <c r="U13" i="84"/>
  <c r="S14" i="84"/>
  <c r="W14" i="84"/>
  <c r="S15" i="84"/>
  <c r="W15" i="84"/>
  <c r="S17" i="84"/>
  <c r="W17" i="84"/>
  <c r="S19" i="84"/>
  <c r="W19" i="84"/>
  <c r="S21" i="84"/>
  <c r="W21" i="84"/>
  <c r="U9" i="84"/>
  <c r="S10" i="84"/>
  <c r="W10" i="84"/>
  <c r="U12" i="84"/>
  <c r="S13" i="84"/>
  <c r="W13" i="84"/>
  <c r="U14" i="84"/>
  <c r="U15" i="84"/>
  <c r="U17" i="84"/>
  <c r="U19" i="84"/>
  <c r="U33" i="84"/>
  <c r="S23" i="84"/>
  <c r="W23" i="84"/>
  <c r="U25" i="84"/>
  <c r="S26" i="84"/>
  <c r="W26" i="84"/>
  <c r="U27" i="84"/>
  <c r="S28" i="84"/>
  <c r="W28" i="84"/>
  <c r="U29" i="84"/>
  <c r="S30" i="84"/>
  <c r="W30" i="84"/>
  <c r="U31" i="84"/>
  <c r="S32" i="84"/>
  <c r="W32" i="84"/>
  <c r="U34" i="84"/>
  <c r="S35" i="84"/>
  <c r="W35" i="84"/>
  <c r="U36" i="84"/>
  <c r="S37" i="84"/>
  <c r="W37" i="84"/>
  <c r="U38" i="84"/>
  <c r="S39" i="84"/>
  <c r="W39" i="84"/>
  <c r="U40" i="84"/>
  <c r="S41" i="84"/>
  <c r="W41" i="84"/>
  <c r="U42" i="84"/>
  <c r="S43" i="84"/>
  <c r="W43" i="84"/>
  <c r="U44" i="84"/>
  <c r="S45" i="84"/>
  <c r="W45" i="84"/>
  <c r="U45" i="84"/>
  <c r="U21" i="84"/>
  <c r="U23" i="84"/>
  <c r="S25" i="84"/>
  <c r="W25" i="84"/>
  <c r="U26" i="84"/>
  <c r="S27" i="84"/>
  <c r="W27" i="84"/>
  <c r="U28" i="84"/>
  <c r="S29" i="84"/>
  <c r="W29" i="84"/>
  <c r="U30" i="84"/>
  <c r="S31" i="84"/>
  <c r="W31" i="84"/>
  <c r="U32" i="84"/>
  <c r="S34" i="84"/>
  <c r="W34" i="84"/>
  <c r="U35" i="84"/>
  <c r="S36" i="84"/>
  <c r="W36" i="84"/>
  <c r="U37" i="84"/>
  <c r="S38" i="84"/>
  <c r="W38" i="84"/>
  <c r="U39" i="84"/>
  <c r="S40" i="84"/>
  <c r="W40" i="84"/>
  <c r="U41" i="84"/>
  <c r="S42" i="84"/>
  <c r="W42" i="84"/>
  <c r="U43" i="84"/>
  <c r="S44" i="84"/>
  <c r="W44" i="84"/>
  <c r="S46" i="84"/>
  <c r="W46" i="84"/>
  <c r="K141" i="84"/>
  <c r="U46" i="84"/>
  <c r="K144" i="84"/>
  <c r="D24" i="82"/>
  <c r="P61" i="82"/>
  <c r="D22" i="82"/>
  <c r="H8" i="81"/>
  <c r="H7" i="81"/>
  <c r="D13" i="81"/>
  <c r="E11" i="81"/>
  <c r="C10" i="81"/>
  <c r="C9" i="81"/>
  <c r="C8" i="81"/>
  <c r="C7" i="81"/>
  <c r="C6" i="81"/>
  <c r="E6" i="81"/>
  <c r="F1" i="81"/>
  <c r="E1" i="81"/>
  <c r="D11" i="81"/>
  <c r="L14" i="1"/>
  <c r="L7" i="1"/>
  <c r="L8" i="1"/>
  <c r="L9" i="1"/>
  <c r="D8" i="1"/>
  <c r="AG8" i="1"/>
  <c r="G15" i="4"/>
  <c r="F8" i="1"/>
  <c r="S11" i="84"/>
  <c r="W33" i="84"/>
  <c r="U7" i="84"/>
  <c r="U11" i="84"/>
  <c r="S33" i="84"/>
  <c r="W7" i="84"/>
  <c r="I48" i="84"/>
  <c r="S7" i="84"/>
  <c r="B24" i="1"/>
  <c r="H9" i="81"/>
  <c r="H11" i="81"/>
  <c r="H6" i="81"/>
  <c r="D9" i="81"/>
  <c r="F9" i="81"/>
  <c r="D8" i="81"/>
  <c r="F8" i="81"/>
  <c r="D10" i="81"/>
  <c r="F10" i="81"/>
  <c r="D7" i="81"/>
  <c r="E48" i="84"/>
  <c r="I53" i="84"/>
  <c r="J53" i="84"/>
  <c r="I52" i="84"/>
  <c r="J52" i="84"/>
  <c r="G48" i="84"/>
  <c r="F7" i="81"/>
  <c r="D6" i="81"/>
  <c r="G4" i="81"/>
  <c r="D4" i="81"/>
  <c r="E53" i="84"/>
  <c r="F53" i="84"/>
  <c r="E52" i="84"/>
  <c r="F52" i="84"/>
  <c r="G53" i="84"/>
  <c r="H53" i="84"/>
  <c r="G52" i="84"/>
  <c r="H52" i="84"/>
  <c r="I8" i="81"/>
  <c r="C4" i="81"/>
  <c r="D3" i="81"/>
  <c r="C3" i="81"/>
  <c r="F6" i="81"/>
  <c r="F11" i="81"/>
  <c r="H4" i="81"/>
  <c r="G3" i="81"/>
  <c r="H3" i="81"/>
  <c r="C48" i="84"/>
  <c r="P37" i="80"/>
  <c r="P36" i="80"/>
  <c r="P35" i="80"/>
  <c r="P34" i="80"/>
  <c r="P33" i="80"/>
  <c r="P32" i="80"/>
  <c r="P31" i="80"/>
  <c r="P30" i="80"/>
  <c r="P29" i="80"/>
  <c r="P28" i="80"/>
  <c r="P27" i="80"/>
  <c r="P26" i="80"/>
  <c r="P25" i="80"/>
  <c r="P24" i="80"/>
  <c r="P23" i="80"/>
  <c r="P22" i="80"/>
  <c r="P21" i="80"/>
  <c r="P20" i="80"/>
  <c r="P19" i="80"/>
  <c r="P18" i="80"/>
  <c r="P17" i="80"/>
  <c r="P16" i="80"/>
  <c r="P15" i="80"/>
  <c r="P14" i="80"/>
  <c r="P13" i="80"/>
  <c r="P12" i="80"/>
  <c r="P11" i="80"/>
  <c r="P10" i="80"/>
  <c r="P9" i="80"/>
  <c r="P8" i="80"/>
  <c r="P7" i="80"/>
  <c r="P6" i="80"/>
  <c r="P5" i="80"/>
  <c r="P4" i="80"/>
  <c r="P3" i="80"/>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D111" i="78"/>
  <c r="E111" i="78"/>
  <c r="F111" i="78"/>
  <c r="G111" i="78"/>
  <c r="H111" i="78"/>
  <c r="I111" i="78"/>
  <c r="J111" i="78"/>
  <c r="K111" i="78"/>
  <c r="L111" i="78"/>
  <c r="M111" i="78"/>
  <c r="D109" i="78"/>
  <c r="E109" i="78"/>
  <c r="F109" i="78"/>
  <c r="G109" i="78"/>
  <c r="H109" i="78"/>
  <c r="I109" i="78"/>
  <c r="J109" i="78"/>
  <c r="K109" i="78"/>
  <c r="L109" i="78"/>
  <c r="M109" i="78"/>
  <c r="D107" i="78"/>
  <c r="E107" i="78"/>
  <c r="F107" i="78"/>
  <c r="G107" i="78"/>
  <c r="H107" i="78"/>
  <c r="I107" i="78"/>
  <c r="J107" i="78"/>
  <c r="K107" i="78"/>
  <c r="L107" i="78"/>
  <c r="M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G83" i="78"/>
  <c r="H83" i="78"/>
  <c r="I83" i="78"/>
  <c r="J83" i="78"/>
  <c r="K83" i="78"/>
  <c r="L83" i="78"/>
  <c r="M83" i="78"/>
  <c r="M81" i="78"/>
  <c r="L81" i="78"/>
  <c r="K81" i="78"/>
  <c r="J81" i="78"/>
  <c r="I81" i="78"/>
  <c r="H81" i="78"/>
  <c r="G81" i="78"/>
  <c r="F81" i="78"/>
  <c r="E81" i="78"/>
  <c r="D81" i="78"/>
  <c r="C81" i="78"/>
  <c r="D73" i="78"/>
  <c r="E73" i="78"/>
  <c r="F73" i="78"/>
  <c r="G73" i="78"/>
  <c r="H73" i="78"/>
  <c r="I73" i="78"/>
  <c r="J73" i="78"/>
  <c r="K73" i="78"/>
  <c r="L73" i="78"/>
  <c r="M73" i="78"/>
  <c r="N73" i="78"/>
  <c r="B73" i="78"/>
  <c r="H67" i="78"/>
  <c r="I67" i="78"/>
  <c r="C67" i="78"/>
  <c r="E67" i="78"/>
  <c r="H66" i="78"/>
  <c r="I66" i="78"/>
  <c r="C66" i="78"/>
  <c r="E66" i="78"/>
  <c r="H65" i="78"/>
  <c r="I65" i="78"/>
  <c r="C65" i="78"/>
  <c r="E65" i="78"/>
  <c r="H64" i="78"/>
  <c r="I64" i="78"/>
  <c r="C64" i="78"/>
  <c r="E64" i="78"/>
  <c r="H63" i="78"/>
  <c r="I63" i="78"/>
  <c r="C63" i="78"/>
  <c r="E63" i="78"/>
  <c r="H62" i="78"/>
  <c r="I62" i="78"/>
  <c r="C62" i="78"/>
  <c r="H61" i="78"/>
  <c r="I61" i="78"/>
  <c r="C61" i="78"/>
  <c r="H60" i="78"/>
  <c r="I60" i="78"/>
  <c r="C60" i="78"/>
  <c r="H59" i="78"/>
  <c r="I59" i="78"/>
  <c r="C59" i="78"/>
  <c r="E58" i="78"/>
  <c r="E68" i="78"/>
  <c r="J57" i="78"/>
  <c r="P50" i="78"/>
  <c r="P49" i="78"/>
  <c r="P48" i="78"/>
  <c r="I48" i="78"/>
  <c r="T48" i="78"/>
  <c r="E48" i="78"/>
  <c r="Q47" i="78"/>
  <c r="Z47" i="78"/>
  <c r="J47" i="78"/>
  <c r="AC47" i="78"/>
  <c r="H47" i="78"/>
  <c r="AB47" i="78"/>
  <c r="F47" i="78"/>
  <c r="AA47" i="78"/>
  <c r="Q46" i="78"/>
  <c r="Z46" i="78"/>
  <c r="J46" i="78"/>
  <c r="AC46" i="78"/>
  <c r="H46" i="78"/>
  <c r="AB46" i="78"/>
  <c r="F46" i="78"/>
  <c r="AA46" i="78"/>
  <c r="Q45" i="78"/>
  <c r="Z45" i="78"/>
  <c r="J45" i="78"/>
  <c r="AC45" i="78"/>
  <c r="H45" i="78"/>
  <c r="AB45" i="78"/>
  <c r="F45" i="78"/>
  <c r="AA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I40" i="78"/>
  <c r="E40" i="78"/>
  <c r="C40" i="78"/>
  <c r="Q39" i="78"/>
  <c r="Z39" i="78"/>
  <c r="H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AA34" i="78"/>
  <c r="Q33" i="78"/>
  <c r="Z33" i="78"/>
  <c r="J33" i="78"/>
  <c r="AC33" i="78"/>
  <c r="H33" i="78"/>
  <c r="AB33" i="78"/>
  <c r="F33" i="78"/>
  <c r="Q31" i="78"/>
  <c r="Z31" i="78"/>
  <c r="J31" i="78"/>
  <c r="H31" i="78"/>
  <c r="AB31" i="78"/>
  <c r="F31" i="78"/>
  <c r="C31" i="78"/>
  <c r="Q29" i="78"/>
  <c r="Z29" i="78"/>
  <c r="J29" i="78"/>
  <c r="AC29" i="78"/>
  <c r="H29" i="78"/>
  <c r="AB29" i="78"/>
  <c r="F29" i="78"/>
  <c r="AA29" i="78"/>
  <c r="C29" i="78"/>
  <c r="Q27" i="78"/>
  <c r="Z27" i="78"/>
  <c r="J27" i="78"/>
  <c r="AC27" i="78"/>
  <c r="H27" i="78"/>
  <c r="AB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Q12" i="78"/>
  <c r="Z12" i="78"/>
  <c r="J12" i="78"/>
  <c r="AC12" i="78"/>
  <c r="H12" i="78"/>
  <c r="AB12" i="78"/>
  <c r="F12" i="78"/>
  <c r="AA12" i="78"/>
  <c r="Q11" i="78"/>
  <c r="Z11" i="78"/>
  <c r="J11" i="78"/>
  <c r="AC11" i="78"/>
  <c r="H11" i="78"/>
  <c r="AB11" i="78"/>
  <c r="F11" i="78"/>
  <c r="AA11" i="78"/>
  <c r="J10" i="78"/>
  <c r="AC10" i="78"/>
  <c r="H10" i="78"/>
  <c r="AB10" i="78"/>
  <c r="F10" i="78"/>
  <c r="AA10" i="78"/>
  <c r="I9" i="78"/>
  <c r="E9" i="78"/>
  <c r="C9" i="78"/>
  <c r="C70" i="78"/>
  <c r="I7" i="78"/>
  <c r="E7" i="78"/>
  <c r="S10" i="78"/>
  <c r="F39" i="78"/>
  <c r="AA39" i="78"/>
  <c r="W10" i="78"/>
  <c r="F40" i="78"/>
  <c r="J40" i="78"/>
  <c r="E55" i="78"/>
  <c r="F55" i="78"/>
  <c r="I55" i="78"/>
  <c r="J55" i="78"/>
  <c r="J39" i="78"/>
  <c r="AC39" i="78"/>
  <c r="H40" i="78"/>
  <c r="AB40" i="78"/>
  <c r="S17" i="78"/>
  <c r="W17" i="78"/>
  <c r="S19" i="78"/>
  <c r="W19" i="78"/>
  <c r="S21" i="78"/>
  <c r="W21" i="78"/>
  <c r="U10" i="78"/>
  <c r="U11" i="78"/>
  <c r="S12" i="78"/>
  <c r="W12" i="78"/>
  <c r="U14" i="78"/>
  <c r="S15" i="78"/>
  <c r="W15" i="78"/>
  <c r="U16" i="78"/>
  <c r="U17" i="78"/>
  <c r="U19" i="78"/>
  <c r="U21" i="78"/>
  <c r="U23" i="78"/>
  <c r="U25" i="78"/>
  <c r="U27" i="78"/>
  <c r="U29" i="78"/>
  <c r="AA33" i="78"/>
  <c r="S33" i="78"/>
  <c r="AB39" i="78"/>
  <c r="U39" i="78"/>
  <c r="U40" i="78"/>
  <c r="D70" i="78"/>
  <c r="C72" i="78"/>
  <c r="S11" i="78"/>
  <c r="W11" i="78"/>
  <c r="U12" i="78"/>
  <c r="S14" i="78"/>
  <c r="W14" i="78"/>
  <c r="U15" i="78"/>
  <c r="S16" i="78"/>
  <c r="W16" i="78"/>
  <c r="S23" i="78"/>
  <c r="W23" i="78"/>
  <c r="S25" i="78"/>
  <c r="W25" i="78"/>
  <c r="S27" i="78"/>
  <c r="W27" i="78"/>
  <c r="S29" i="78"/>
  <c r="W29" i="78"/>
  <c r="AA31" i="78"/>
  <c r="S31" i="78"/>
  <c r="AC31" i="78"/>
  <c r="W31" i="78"/>
  <c r="U31" i="78"/>
  <c r="AA40" i="78"/>
  <c r="S40" i="78"/>
  <c r="AC40" i="78"/>
  <c r="W40" i="78"/>
  <c r="U33" i="78"/>
  <c r="S34" i="78"/>
  <c r="W34" i="78"/>
  <c r="U36" i="78"/>
  <c r="S37" i="78"/>
  <c r="W37" i="78"/>
  <c r="U38" i="78"/>
  <c r="U41" i="78"/>
  <c r="S42" i="78"/>
  <c r="W42" i="78"/>
  <c r="U43" i="78"/>
  <c r="S44" i="78"/>
  <c r="W44" i="78"/>
  <c r="U45" i="78"/>
  <c r="S46" i="78"/>
  <c r="W46" i="78"/>
  <c r="U47" i="78"/>
  <c r="R48" i="78"/>
  <c r="V48" i="78"/>
  <c r="G55" i="78"/>
  <c r="H55" i="78"/>
  <c r="W33" i="78"/>
  <c r="U34" i="78"/>
  <c r="S36" i="78"/>
  <c r="W36" i="78"/>
  <c r="U37" i="78"/>
  <c r="S38" i="78"/>
  <c r="W38" i="78"/>
  <c r="S39" i="78"/>
  <c r="S41" i="78"/>
  <c r="W41" i="78"/>
  <c r="U42" i="78"/>
  <c r="S43" i="78"/>
  <c r="W43" i="78"/>
  <c r="U44" i="78"/>
  <c r="S45" i="78"/>
  <c r="W45" i="78"/>
  <c r="U46" i="78"/>
  <c r="S47" i="78"/>
  <c r="W47" i="78"/>
  <c r="W39" i="78"/>
  <c r="D72" i="78"/>
  <c r="E70" i="78"/>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c r="AD10" i="71"/>
  <c r="AD11" i="71"/>
  <c r="AG11" i="71"/>
  <c r="AH11" i="71"/>
  <c r="AE11" i="71"/>
  <c r="AF11" i="71"/>
  <c r="N11" i="71"/>
  <c r="Q11" i="71"/>
  <c r="P11" i="71"/>
  <c r="O11" i="71"/>
  <c r="Q12" i="71"/>
  <c r="F11" i="71"/>
  <c r="F10" i="71"/>
  <c r="F9" i="71"/>
  <c r="P12" i="71"/>
  <c r="E11" i="71"/>
  <c r="E10" i="71"/>
  <c r="E9" i="71"/>
  <c r="O12" i="71"/>
  <c r="N12"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AB26" i="71"/>
  <c r="P26" i="71"/>
  <c r="AA26" i="71"/>
  <c r="O26" i="71"/>
  <c r="Y26" i="71"/>
  <c r="Z26" i="71"/>
  <c r="N26" i="71"/>
  <c r="X26" i="71"/>
  <c r="Q25" i="71"/>
  <c r="AB25" i="71"/>
  <c r="P25" i="71"/>
  <c r="O25" i="71"/>
  <c r="Y25" i="71"/>
  <c r="Z25" i="71"/>
  <c r="N25" i="71"/>
  <c r="Q24" i="71"/>
  <c r="F25" i="71"/>
  <c r="F26" i="71"/>
  <c r="F27" i="71"/>
  <c r="V27"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Q20" i="71"/>
  <c r="F21" i="71"/>
  <c r="F22" i="71"/>
  <c r="F23" i="71"/>
  <c r="V23" i="71"/>
  <c r="P20" i="71"/>
  <c r="O20" i="71"/>
  <c r="N20" i="71"/>
  <c r="D20" i="71"/>
  <c r="Q19" i="71"/>
  <c r="AB19" i="71"/>
  <c r="P19" i="71"/>
  <c r="O19" i="71"/>
  <c r="Y19" i="71"/>
  <c r="Z19" i="71"/>
  <c r="N19" i="71"/>
  <c r="N18" i="71"/>
  <c r="X18" i="71"/>
  <c r="Q18" i="71"/>
  <c r="AB18" i="71"/>
  <c r="P18" i="71"/>
  <c r="O18" i="71"/>
  <c r="Y18" i="71"/>
  <c r="Z18" i="71"/>
  <c r="Q17" i="71"/>
  <c r="AB17" i="71"/>
  <c r="P17" i="71"/>
  <c r="O17" i="71"/>
  <c r="Y17" i="71"/>
  <c r="Z17" i="71"/>
  <c r="N17" i="71"/>
  <c r="X17" i="71"/>
  <c r="Q16" i="71"/>
  <c r="F17" i="71"/>
  <c r="F18" i="71"/>
  <c r="F19" i="71"/>
  <c r="V19" i="71"/>
  <c r="P16" i="71"/>
  <c r="E17" i="71"/>
  <c r="E18" i="71"/>
  <c r="E19" i="71"/>
  <c r="U19" i="71"/>
  <c r="O16" i="71"/>
  <c r="N16" i="71"/>
  <c r="D16" i="71"/>
  <c r="O15" i="71"/>
  <c r="N15" i="71"/>
  <c r="B17" i="71"/>
  <c r="B18" i="71"/>
  <c r="B19" i="71"/>
  <c r="S19" i="71"/>
  <c r="X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AA17" i="71"/>
  <c r="AA18" i="71"/>
  <c r="X19" i="71"/>
  <c r="AA19" i="71"/>
  <c r="C21" i="71"/>
  <c r="C22" i="71"/>
  <c r="Y20" i="71"/>
  <c r="Z20" i="71"/>
  <c r="AB20" i="71"/>
  <c r="X21" i="71"/>
  <c r="AA21" i="71"/>
  <c r="X22" i="71"/>
  <c r="AA22" i="71"/>
  <c r="X23" i="71"/>
  <c r="AA23" i="71"/>
  <c r="C25" i="71"/>
  <c r="D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C27" i="71"/>
  <c r="C30" i="71"/>
  <c r="C31" i="71"/>
  <c r="D29" i="71"/>
  <c r="C34" i="71"/>
  <c r="D34" i="71"/>
  <c r="D33" i="71"/>
  <c r="C38" i="71"/>
  <c r="D37" i="71"/>
  <c r="P15" i="71"/>
  <c r="E42" i="71"/>
  <c r="E43" i="71"/>
  <c r="U43" i="71"/>
  <c r="E46" i="71"/>
  <c r="E47" i="71"/>
  <c r="U47" i="71"/>
  <c r="E50" i="71"/>
  <c r="E51" i="71"/>
  <c r="U51" i="71"/>
  <c r="Q52" i="71"/>
  <c r="U55" i="71"/>
  <c r="E54" i="71"/>
  <c r="Q15" i="71"/>
  <c r="AB12" i="71"/>
  <c r="C42" i="71"/>
  <c r="D41" i="71"/>
  <c r="C46" i="71"/>
  <c r="D45" i="71"/>
  <c r="C50" i="71"/>
  <c r="D49" i="71"/>
  <c r="Q54" i="71"/>
  <c r="T55" i="71"/>
  <c r="O55" i="71"/>
  <c r="D55" i="71"/>
  <c r="C54" i="71"/>
  <c r="Q55" i="71"/>
  <c r="C58" i="71"/>
  <c r="E58" i="71"/>
  <c r="E57" i="71"/>
  <c r="D59" i="71"/>
  <c r="C62" i="71"/>
  <c r="E62" i="71"/>
  <c r="E61" i="71"/>
  <c r="D63" i="71"/>
  <c r="C66" i="71"/>
  <c r="E66" i="71"/>
  <c r="E65" i="71"/>
  <c r="D67" i="71"/>
  <c r="C70" i="71"/>
  <c r="C74" i="71"/>
  <c r="C73" i="71"/>
  <c r="D73" i="71"/>
  <c r="T15" i="71"/>
  <c r="C14" i="71"/>
  <c r="C13" i="71"/>
  <c r="D13" i="71"/>
  <c r="F15" i="71"/>
  <c r="F14" i="71"/>
  <c r="F13" i="71"/>
  <c r="AB13" i="71"/>
  <c r="AB15" i="71"/>
  <c r="E15" i="71"/>
  <c r="E14" i="71"/>
  <c r="E13" i="71"/>
  <c r="AA3" i="71"/>
  <c r="AA12" i="71"/>
  <c r="AA13" i="71"/>
  <c r="AA14" i="71"/>
  <c r="AA15" i="71"/>
  <c r="D15" i="71"/>
  <c r="U15" i="71"/>
  <c r="C53" i="71"/>
  <c r="O54" i="71"/>
  <c r="D54" i="71"/>
  <c r="C51" i="71"/>
  <c r="D51" i="71"/>
  <c r="D50" i="71"/>
  <c r="D70" i="71"/>
  <c r="C69" i="71"/>
  <c r="D69" i="71"/>
  <c r="D62" i="71"/>
  <c r="C61" i="71"/>
  <c r="D61" i="71"/>
  <c r="D74" i="71"/>
  <c r="D66" i="71"/>
  <c r="C65" i="71"/>
  <c r="D65" i="71"/>
  <c r="D58" i="71"/>
  <c r="C57" i="71"/>
  <c r="D57" i="71"/>
  <c r="C47" i="71"/>
  <c r="D46" i="71"/>
  <c r="C43" i="71"/>
  <c r="D42" i="71"/>
  <c r="P54" i="71"/>
  <c r="E53" i="71"/>
  <c r="P52" i="71"/>
  <c r="C39" i="71"/>
  <c r="D38" i="71"/>
  <c r="D30" i="71"/>
  <c r="D26" i="71"/>
  <c r="C23" i="71"/>
  <c r="D22" i="71"/>
  <c r="C19" i="71"/>
  <c r="D18" i="71"/>
  <c r="V15" i="71"/>
  <c r="P53" i="71"/>
  <c r="O53" i="71"/>
  <c r="D53" i="71"/>
  <c r="O52" i="71"/>
  <c r="T19" i="71"/>
  <c r="D19" i="71"/>
  <c r="T23" i="71"/>
  <c r="D23" i="71"/>
  <c r="T39" i="71"/>
  <c r="D39" i="71"/>
  <c r="T43" i="71"/>
  <c r="D43" i="71"/>
  <c r="T47" i="71"/>
  <c r="D47" i="71"/>
  <c r="T51" i="71"/>
  <c r="O27" i="6"/>
  <c r="N27" i="6"/>
  <c r="P20" i="6"/>
  <c r="P19" i="6"/>
  <c r="P21" i="6"/>
  <c r="P22" i="6"/>
  <c r="P23" i="6"/>
  <c r="P24" i="6"/>
  <c r="P25" i="6"/>
  <c r="P26" i="6"/>
  <c r="P27" i="6"/>
  <c r="AP8"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Q21" i="34"/>
  <c r="Z21" i="34"/>
  <c r="D84" i="34"/>
  <c r="E84" i="34"/>
  <c r="F84" i="34"/>
  <c r="G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H29" i="39"/>
  <c r="J29" i="39"/>
  <c r="AC29" i="39"/>
  <c r="J18" i="36"/>
  <c r="AC18" i="36"/>
  <c r="F68" i="35"/>
  <c r="H18" i="35"/>
  <c r="AB18" i="35"/>
  <c r="S18" i="35"/>
  <c r="G68" i="35"/>
  <c r="J18" i="35"/>
  <c r="F77" i="37"/>
  <c r="G77" i="37"/>
  <c r="H21" i="37"/>
  <c r="F21" i="37"/>
  <c r="AA21" i="37"/>
  <c r="H21" i="34"/>
  <c r="AB21" i="34"/>
  <c r="F83" i="33"/>
  <c r="H21" i="33"/>
  <c r="U21" i="33"/>
  <c r="F21" i="33"/>
  <c r="E83" i="21"/>
  <c r="F83" i="21"/>
  <c r="H1" i="69"/>
  <c r="AC25" i="40"/>
  <c r="W25" i="40"/>
  <c r="AB25" i="40"/>
  <c r="U25" i="40"/>
  <c r="AB29" i="39"/>
  <c r="U29" i="39"/>
  <c r="W29" i="39"/>
  <c r="W18" i="36"/>
  <c r="AB21" i="37"/>
  <c r="U21" i="37"/>
  <c r="S21" i="37"/>
  <c r="U21" i="34"/>
  <c r="AB21" i="33"/>
  <c r="AA21" i="33"/>
  <c r="S21" i="33"/>
  <c r="U18" i="35"/>
  <c r="AC18" i="35"/>
  <c r="W18" i="35"/>
  <c r="J21" i="37"/>
  <c r="W21" i="37"/>
  <c r="J21" i="34"/>
  <c r="W21" i="34"/>
  <c r="G83" i="33"/>
  <c r="J21" i="33"/>
  <c r="W21" i="33"/>
  <c r="U21" i="21"/>
  <c r="F38" i="69"/>
  <c r="E37" i="69"/>
  <c r="F36" i="69"/>
  <c r="F35" i="69"/>
  <c r="F21" i="69"/>
  <c r="C21" i="69"/>
  <c r="F20" i="69"/>
  <c r="E10" i="69"/>
  <c r="E9" i="69"/>
  <c r="C7" i="69"/>
  <c r="AC21" i="37"/>
  <c r="AC21" i="34"/>
  <c r="G83" i="21"/>
  <c r="W21" i="21"/>
  <c r="C40" i="69"/>
  <c r="F38" i="68"/>
  <c r="E37" i="68"/>
  <c r="F36" i="68"/>
  <c r="F35" i="68"/>
  <c r="F21" i="68"/>
  <c r="C21" i="68"/>
  <c r="F20" i="68"/>
  <c r="E10" i="68"/>
  <c r="E9" i="68"/>
  <c r="C40" i="68"/>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B8" i="1"/>
  <c r="E8" i="1"/>
  <c r="A9" i="1"/>
  <c r="A10" i="1"/>
  <c r="A11" i="1"/>
  <c r="A12" i="1"/>
  <c r="A13" i="1"/>
  <c r="B11" i="1"/>
  <c r="E11" i="1"/>
  <c r="B7" i="1"/>
  <c r="E7" i="1"/>
  <c r="K10" i="1"/>
  <c r="M10" i="1"/>
  <c r="O10" i="1"/>
  <c r="P10" i="1"/>
  <c r="B13" i="1"/>
  <c r="E13" i="1"/>
  <c r="K13" i="1"/>
  <c r="G79" i="36"/>
  <c r="G85" i="35"/>
  <c r="G97" i="37"/>
  <c r="G110" i="34"/>
  <c r="G111" i="21"/>
  <c r="G109" i="33"/>
  <c r="D23" i="31"/>
  <c r="L2" i="31"/>
  <c r="K2" i="31"/>
  <c r="J2" i="31"/>
  <c r="I2" i="31"/>
  <c r="H2" i="31"/>
  <c r="G2" i="31"/>
  <c r="F2" i="31"/>
  <c r="E2" i="31"/>
  <c r="D2" i="31"/>
  <c r="C2" i="31"/>
  <c r="D46" i="15"/>
  <c r="BL112" i="3"/>
  <c r="AZ112" i="3"/>
  <c r="AX112" i="3"/>
  <c r="AW112" i="3"/>
  <c r="AV112" i="3"/>
  <c r="BL111" i="3"/>
  <c r="AX111" i="3"/>
  <c r="AW111" i="3"/>
  <c r="AV111" i="3"/>
  <c r="BL110" i="3"/>
  <c r="AX110" i="3"/>
  <c r="AW110" i="3"/>
  <c r="AV110" i="3"/>
  <c r="BL109" i="3"/>
  <c r="AX109" i="3"/>
  <c r="AW109" i="3"/>
  <c r="AV109" i="3"/>
  <c r="BL108" i="3"/>
  <c r="AX108" i="3"/>
  <c r="AW108" i="3"/>
  <c r="AV108" i="3"/>
  <c r="BL107" i="3"/>
  <c r="AX107" i="3"/>
  <c r="AW107" i="3"/>
  <c r="AV107" i="3"/>
  <c r="BL106" i="3"/>
  <c r="AZ106" i="3"/>
  <c r="AX106" i="3"/>
  <c r="AW106" i="3"/>
  <c r="AV106" i="3"/>
  <c r="BL105" i="3"/>
  <c r="AX105" i="3"/>
  <c r="AW105" i="3"/>
  <c r="AV105" i="3"/>
  <c r="BL104" i="3"/>
  <c r="AX104" i="3"/>
  <c r="AW104" i="3"/>
  <c r="AV104" i="3"/>
  <c r="BL103" i="3"/>
  <c r="AZ103" i="3"/>
  <c r="AX103" i="3"/>
  <c r="AW103" i="3"/>
  <c r="AV103" i="3"/>
  <c r="BL102" i="3"/>
  <c r="AX102" i="3"/>
  <c r="AW102" i="3"/>
  <c r="AV102" i="3"/>
  <c r="BL101" i="3"/>
  <c r="AX101" i="3"/>
  <c r="AW101" i="3"/>
  <c r="AV101" i="3"/>
  <c r="BL100" i="3"/>
  <c r="AZ100" i="3"/>
  <c r="AX100" i="3"/>
  <c r="AW100" i="3"/>
  <c r="AV100" i="3"/>
  <c r="BL99" i="3"/>
  <c r="AZ99" i="3"/>
  <c r="AX99" i="3"/>
  <c r="AW99" i="3"/>
  <c r="AV99" i="3"/>
  <c r="BL98" i="3"/>
  <c r="AX98" i="3"/>
  <c r="AW98" i="3"/>
  <c r="AV98" i="3"/>
  <c r="BL97" i="3"/>
  <c r="AX97" i="3"/>
  <c r="AW97" i="3"/>
  <c r="AV97" i="3"/>
  <c r="BL96" i="3"/>
  <c r="AZ96" i="3"/>
  <c r="AX96" i="3"/>
  <c r="AW96" i="3"/>
  <c r="AV96" i="3"/>
  <c r="BL95" i="3"/>
  <c r="AZ95" i="3"/>
  <c r="AX95" i="3"/>
  <c r="AW95" i="3"/>
  <c r="AV95" i="3"/>
  <c r="BL94" i="3"/>
  <c r="AX94" i="3"/>
  <c r="AW94" i="3"/>
  <c r="AV94" i="3"/>
  <c r="BL93" i="3"/>
  <c r="AX93" i="3"/>
  <c r="AW93" i="3"/>
  <c r="AV93" i="3"/>
  <c r="BL92" i="3"/>
  <c r="AZ92" i="3"/>
  <c r="AX92" i="3"/>
  <c r="AW92" i="3"/>
  <c r="AV92" i="3"/>
  <c r="BL91" i="3"/>
  <c r="AX91" i="3"/>
  <c r="AW91" i="3"/>
  <c r="AV91" i="3"/>
  <c r="BL90" i="3"/>
  <c r="AZ90" i="3"/>
  <c r="AX90" i="3"/>
  <c r="AW90" i="3"/>
  <c r="AV90" i="3"/>
  <c r="BL89" i="3"/>
  <c r="AX89" i="3"/>
  <c r="AW89" i="3"/>
  <c r="AV89" i="3"/>
  <c r="BL88" i="3"/>
  <c r="AX88" i="3"/>
  <c r="AW88" i="3"/>
  <c r="AV88" i="3"/>
  <c r="BL87" i="3"/>
  <c r="AZ87" i="3"/>
  <c r="AX87" i="3"/>
  <c r="AW87" i="3"/>
  <c r="AV87" i="3"/>
  <c r="BL86" i="3"/>
  <c r="AX86" i="3"/>
  <c r="AW86" i="3"/>
  <c r="AV86" i="3"/>
  <c r="BL85" i="3"/>
  <c r="AX85" i="3"/>
  <c r="AW85" i="3"/>
  <c r="AV85" i="3"/>
  <c r="BL84" i="3"/>
  <c r="AX84" i="3"/>
  <c r="AW84" i="3"/>
  <c r="AV84" i="3"/>
  <c r="BL83" i="3"/>
  <c r="AX83" i="3"/>
  <c r="AW83" i="3"/>
  <c r="AV83" i="3"/>
  <c r="BL82" i="3"/>
  <c r="AX82" i="3"/>
  <c r="AW82" i="3"/>
  <c r="AV82" i="3"/>
  <c r="BL81" i="3"/>
  <c r="AZ81" i="3"/>
  <c r="AX81" i="3"/>
  <c r="AW81" i="3"/>
  <c r="AV81" i="3"/>
  <c r="BL80" i="3"/>
  <c r="AX80" i="3"/>
  <c r="AW80" i="3"/>
  <c r="AV80" i="3"/>
  <c r="BL79" i="3"/>
  <c r="AX79" i="3"/>
  <c r="AW79" i="3"/>
  <c r="AV79" i="3"/>
  <c r="BL78" i="3"/>
  <c r="AX78" i="3"/>
  <c r="AW78" i="3"/>
  <c r="AV78" i="3"/>
  <c r="BL77" i="3"/>
  <c r="AX77" i="3"/>
  <c r="AW77" i="3"/>
  <c r="AV77" i="3"/>
  <c r="BL76" i="3"/>
  <c r="AZ76" i="3"/>
  <c r="AX76" i="3"/>
  <c r="AW76" i="3"/>
  <c r="AV76" i="3"/>
  <c r="BL75" i="3"/>
  <c r="AX75" i="3"/>
  <c r="AW75" i="3"/>
  <c r="AV75" i="3"/>
  <c r="BL74" i="3"/>
  <c r="AX74" i="3"/>
  <c r="AW74" i="3"/>
  <c r="AV74" i="3"/>
  <c r="BL73" i="3"/>
  <c r="AX73" i="3"/>
  <c r="AW73" i="3"/>
  <c r="AV73" i="3"/>
  <c r="BL72" i="3"/>
  <c r="AX72" i="3"/>
  <c r="AW72" i="3"/>
  <c r="AV72" i="3"/>
  <c r="BL71" i="3"/>
  <c r="AX71" i="3"/>
  <c r="AW71" i="3"/>
  <c r="AV71" i="3"/>
  <c r="BL70" i="3"/>
  <c r="AZ70" i="3"/>
  <c r="AX70" i="3"/>
  <c r="AW70" i="3"/>
  <c r="AV70" i="3"/>
  <c r="BL69" i="3"/>
  <c r="AX69" i="3"/>
  <c r="AW69" i="3"/>
  <c r="AV69" i="3"/>
  <c r="BL68" i="3"/>
  <c r="AZ68" i="3"/>
  <c r="AX68" i="3"/>
  <c r="AW68" i="3"/>
  <c r="AV68" i="3"/>
  <c r="BL67" i="3"/>
  <c r="AX67" i="3"/>
  <c r="AW67" i="3"/>
  <c r="AV67" i="3"/>
  <c r="BL66" i="3"/>
  <c r="AX66" i="3"/>
  <c r="AW66" i="3"/>
  <c r="AV66" i="3"/>
  <c r="BL65" i="3"/>
  <c r="AZ65" i="3"/>
  <c r="AX65" i="3"/>
  <c r="AW65" i="3"/>
  <c r="AV65" i="3"/>
  <c r="BL64" i="3"/>
  <c r="AZ64" i="3"/>
  <c r="AX64" i="3"/>
  <c r="AW64" i="3"/>
  <c r="AV64" i="3"/>
  <c r="BL63" i="3"/>
  <c r="AX63" i="3"/>
  <c r="AW63" i="3"/>
  <c r="AV63" i="3"/>
  <c r="BL62" i="3"/>
  <c r="AZ62" i="3"/>
  <c r="AX62" i="3"/>
  <c r="AW62" i="3"/>
  <c r="AV62" i="3"/>
  <c r="BL61" i="3"/>
  <c r="AX61" i="3"/>
  <c r="AW61" i="3"/>
  <c r="AV61" i="3"/>
  <c r="BL60" i="3"/>
  <c r="AZ60" i="3"/>
  <c r="AX60" i="3"/>
  <c r="AW60" i="3"/>
  <c r="AV60" i="3"/>
  <c r="BL59" i="3"/>
  <c r="AX59" i="3"/>
  <c r="AW59" i="3"/>
  <c r="AV59" i="3"/>
  <c r="BL58" i="3"/>
  <c r="AX58" i="3"/>
  <c r="AW58" i="3"/>
  <c r="AV58" i="3"/>
  <c r="BL57" i="3"/>
  <c r="AZ57" i="3"/>
  <c r="AX57" i="3"/>
  <c r="AW57" i="3"/>
  <c r="AV57" i="3"/>
  <c r="BL56" i="3"/>
  <c r="AX56" i="3"/>
  <c r="AW56" i="3"/>
  <c r="AV56" i="3"/>
  <c r="BL55" i="3"/>
  <c r="AX55" i="3"/>
  <c r="AW55" i="3"/>
  <c r="AV55" i="3"/>
  <c r="BL54" i="3"/>
  <c r="AZ54" i="3"/>
  <c r="AX54" i="3"/>
  <c r="AW54" i="3"/>
  <c r="AV54" i="3"/>
  <c r="BL53" i="3"/>
  <c r="AX53" i="3"/>
  <c r="AW53" i="3"/>
  <c r="AV53" i="3"/>
  <c r="BL52" i="3"/>
  <c r="AZ52" i="3"/>
  <c r="AX52" i="3"/>
  <c r="AW52" i="3"/>
  <c r="AV52" i="3"/>
  <c r="BL51" i="3"/>
  <c r="AX51" i="3"/>
  <c r="AW51" i="3"/>
  <c r="AV51" i="3"/>
  <c r="BL50" i="3"/>
  <c r="AX50" i="3"/>
  <c r="AW50" i="3"/>
  <c r="AV50" i="3"/>
  <c r="BL49" i="3"/>
  <c r="AZ49" i="3"/>
  <c r="AX49" i="3"/>
  <c r="AW49" i="3"/>
  <c r="AV49" i="3"/>
  <c r="BL48" i="3"/>
  <c r="AZ48" i="3"/>
  <c r="AX48" i="3"/>
  <c r="AW48" i="3"/>
  <c r="AV48" i="3"/>
  <c r="BL47" i="3"/>
  <c r="AX47" i="3"/>
  <c r="AW47" i="3"/>
  <c r="AV47" i="3"/>
  <c r="BL46" i="3"/>
  <c r="AZ46" i="3"/>
  <c r="AX46" i="3"/>
  <c r="AW46" i="3"/>
  <c r="AV46" i="3"/>
  <c r="BL45" i="3"/>
  <c r="AX45" i="3"/>
  <c r="AW45" i="3"/>
  <c r="AV45" i="3"/>
  <c r="BL44" i="3"/>
  <c r="AZ44" i="3"/>
  <c r="AX44" i="3"/>
  <c r="AW44" i="3"/>
  <c r="AV44" i="3"/>
  <c r="BL43" i="3"/>
  <c r="AX43" i="3"/>
  <c r="AW43" i="3"/>
  <c r="AV43" i="3"/>
  <c r="BL42" i="3"/>
  <c r="AX42" i="3"/>
  <c r="AW42" i="3"/>
  <c r="AV42" i="3"/>
  <c r="BL41" i="3"/>
  <c r="AX41" i="3"/>
  <c r="AW41" i="3"/>
  <c r="AV41" i="3"/>
  <c r="BL40" i="3"/>
  <c r="AZ40" i="3"/>
  <c r="AX40" i="3"/>
  <c r="AW40" i="3"/>
  <c r="AV40" i="3"/>
  <c r="BL39" i="3"/>
  <c r="AX39" i="3"/>
  <c r="AW39" i="3"/>
  <c r="AV39" i="3"/>
  <c r="BL38" i="3"/>
  <c r="AZ38" i="3"/>
  <c r="AX38" i="3"/>
  <c r="AW38" i="3"/>
  <c r="AV38" i="3"/>
  <c r="BL37" i="3"/>
  <c r="AX37" i="3"/>
  <c r="AW37" i="3"/>
  <c r="AV37" i="3"/>
  <c r="AX36" i="3"/>
  <c r="AW36" i="3"/>
  <c r="AV36" i="3"/>
  <c r="AX35" i="3"/>
  <c r="AW35" i="3"/>
  <c r="AV35" i="3"/>
  <c r="AX34" i="3"/>
  <c r="AW34" i="3"/>
  <c r="AV34" i="3"/>
  <c r="AX33" i="3"/>
  <c r="AW33" i="3"/>
  <c r="AV33" i="3"/>
  <c r="AX32" i="3"/>
  <c r="AW32" i="3"/>
  <c r="AV32" i="3"/>
  <c r="AX31" i="3"/>
  <c r="AW31" i="3"/>
  <c r="AV31" i="3"/>
  <c r="AX30" i="3"/>
  <c r="AW30" i="3"/>
  <c r="AV30" i="3"/>
  <c r="BL29" i="3"/>
  <c r="AX29" i="3"/>
  <c r="AW29" i="3"/>
  <c r="AV29" i="3"/>
  <c r="AX28" i="3"/>
  <c r="AW28" i="3"/>
  <c r="AV28" i="3"/>
  <c r="AX27" i="3"/>
  <c r="AW27" i="3"/>
  <c r="AV27" i="3"/>
  <c r="AX26" i="3"/>
  <c r="AW26" i="3"/>
  <c r="AV26" i="3"/>
  <c r="AX25" i="3"/>
  <c r="AW25" i="3"/>
  <c r="AV25" i="3"/>
  <c r="BL24" i="3"/>
  <c r="AX24" i="3"/>
  <c r="AW24" i="3"/>
  <c r="AV24" i="3"/>
  <c r="BL23" i="3"/>
  <c r="AX23" i="3"/>
  <c r="AW23" i="3"/>
  <c r="AV23" i="3"/>
  <c r="AX22" i="3"/>
  <c r="AW22" i="3"/>
  <c r="AV22" i="3"/>
  <c r="BL21" i="3"/>
  <c r="AX21" i="3"/>
  <c r="AW21" i="3"/>
  <c r="AV21" i="3"/>
  <c r="BL20" i="3"/>
  <c r="AX20" i="3"/>
  <c r="AW20" i="3"/>
  <c r="AV20" i="3"/>
  <c r="BL19" i="3"/>
  <c r="AX19" i="3"/>
  <c r="AW19" i="3"/>
  <c r="AV19" i="3"/>
  <c r="BL18" i="3"/>
  <c r="AX18" i="3"/>
  <c r="AW18" i="3"/>
  <c r="AV18" i="3"/>
  <c r="BL207" i="3"/>
  <c r="AZ207" i="3"/>
  <c r="AX207" i="3"/>
  <c r="AW207" i="3"/>
  <c r="AV207" i="3"/>
  <c r="BL206" i="3"/>
  <c r="AX206" i="3"/>
  <c r="AW206" i="3"/>
  <c r="AV206" i="3"/>
  <c r="BL205" i="3"/>
  <c r="AZ205" i="3"/>
  <c r="AX205" i="3"/>
  <c r="AW205" i="3"/>
  <c r="AV205" i="3"/>
  <c r="AX204" i="3"/>
  <c r="AW204" i="3"/>
  <c r="AV204" i="3"/>
  <c r="BL203" i="3"/>
  <c r="AX203" i="3"/>
  <c r="AW203" i="3"/>
  <c r="AV203" i="3"/>
  <c r="BL202" i="3"/>
  <c r="AX202" i="3"/>
  <c r="AW202" i="3"/>
  <c r="AV202" i="3"/>
  <c r="BL201" i="3"/>
  <c r="AZ201" i="3"/>
  <c r="AX201" i="3"/>
  <c r="AW201" i="3"/>
  <c r="AV201" i="3"/>
  <c r="AX200" i="3"/>
  <c r="AW200" i="3"/>
  <c r="AV200" i="3"/>
  <c r="BL199" i="3"/>
  <c r="AX199" i="3"/>
  <c r="AW199" i="3"/>
  <c r="AV199" i="3"/>
  <c r="BL198" i="3"/>
  <c r="AX198" i="3"/>
  <c r="AW198" i="3"/>
  <c r="AV198" i="3"/>
  <c r="BL197" i="3"/>
  <c r="AX197" i="3"/>
  <c r="AW197" i="3"/>
  <c r="AV197" i="3"/>
  <c r="AX196" i="3"/>
  <c r="AW196" i="3"/>
  <c r="AV196" i="3"/>
  <c r="BL195" i="3"/>
  <c r="AX195" i="3"/>
  <c r="AW195" i="3"/>
  <c r="AV195" i="3"/>
  <c r="BL194" i="3"/>
  <c r="AX194" i="3"/>
  <c r="AW194" i="3"/>
  <c r="AV194" i="3"/>
  <c r="BL193" i="3"/>
  <c r="AZ193" i="3"/>
  <c r="AX193" i="3"/>
  <c r="AW193" i="3"/>
  <c r="AV193" i="3"/>
  <c r="AX192" i="3"/>
  <c r="AW192" i="3"/>
  <c r="AV192" i="3"/>
  <c r="BL191" i="3"/>
  <c r="AX191" i="3"/>
  <c r="AW191" i="3"/>
  <c r="AV191" i="3"/>
  <c r="BL190" i="3"/>
  <c r="AX190" i="3"/>
  <c r="AW190" i="3"/>
  <c r="AV190" i="3"/>
  <c r="BL189" i="3"/>
  <c r="AX189" i="3"/>
  <c r="AW189" i="3"/>
  <c r="AV189" i="3"/>
  <c r="AX188" i="3"/>
  <c r="AW188" i="3"/>
  <c r="AV188" i="3"/>
  <c r="BL187" i="3"/>
  <c r="AX187" i="3"/>
  <c r="AW187" i="3"/>
  <c r="AV187" i="3"/>
  <c r="BL186" i="3"/>
  <c r="AX186" i="3"/>
  <c r="AW186" i="3"/>
  <c r="AV186" i="3"/>
  <c r="BL185" i="3"/>
  <c r="AZ185" i="3"/>
  <c r="AX185" i="3"/>
  <c r="AW185" i="3"/>
  <c r="AV185" i="3"/>
  <c r="AX184" i="3"/>
  <c r="AW184" i="3"/>
  <c r="AV184" i="3"/>
  <c r="BL183" i="3"/>
  <c r="AX183" i="3"/>
  <c r="AW183" i="3"/>
  <c r="AV183" i="3"/>
  <c r="BL182" i="3"/>
  <c r="AX182" i="3"/>
  <c r="AW182" i="3"/>
  <c r="AV182" i="3"/>
  <c r="BL181" i="3"/>
  <c r="AX181" i="3"/>
  <c r="AW181" i="3"/>
  <c r="AV181" i="3"/>
  <c r="AX180" i="3"/>
  <c r="AW180" i="3"/>
  <c r="AV180" i="3"/>
  <c r="BL179" i="3"/>
  <c r="AX179" i="3"/>
  <c r="AW179" i="3"/>
  <c r="AV179" i="3"/>
  <c r="BL178" i="3"/>
  <c r="AX178" i="3"/>
  <c r="AW178" i="3"/>
  <c r="AV178" i="3"/>
  <c r="BL177" i="3"/>
  <c r="AZ177" i="3"/>
  <c r="AX177" i="3"/>
  <c r="AW177" i="3"/>
  <c r="AV177" i="3"/>
  <c r="AX176" i="3"/>
  <c r="AW176" i="3"/>
  <c r="AV176" i="3"/>
  <c r="BL175" i="3"/>
  <c r="AX175" i="3"/>
  <c r="AW175" i="3"/>
  <c r="AV175" i="3"/>
  <c r="BL174" i="3"/>
  <c r="AX174" i="3"/>
  <c r="AW174" i="3"/>
  <c r="AV174" i="3"/>
  <c r="BL173" i="3"/>
  <c r="AX173" i="3"/>
  <c r="AW173" i="3"/>
  <c r="AV173" i="3"/>
  <c r="AX172" i="3"/>
  <c r="AW172" i="3"/>
  <c r="AV172" i="3"/>
  <c r="BL171" i="3"/>
  <c r="AX171" i="3"/>
  <c r="AW171" i="3"/>
  <c r="AV171" i="3"/>
  <c r="BL170" i="3"/>
  <c r="AX170" i="3"/>
  <c r="AW170" i="3"/>
  <c r="AV170" i="3"/>
  <c r="BL169" i="3"/>
  <c r="AZ169" i="3"/>
  <c r="AX169" i="3"/>
  <c r="AW169" i="3"/>
  <c r="AV169" i="3"/>
  <c r="AX168" i="3"/>
  <c r="AW168" i="3"/>
  <c r="AV168" i="3"/>
  <c r="BL167" i="3"/>
  <c r="AX167" i="3"/>
  <c r="AW167" i="3"/>
  <c r="AV167" i="3"/>
  <c r="BL166" i="3"/>
  <c r="AX166" i="3"/>
  <c r="AW166" i="3"/>
  <c r="AV166" i="3"/>
  <c r="BL165" i="3"/>
  <c r="AX165" i="3"/>
  <c r="AW165" i="3"/>
  <c r="AV165" i="3"/>
  <c r="AX164" i="3"/>
  <c r="AW164" i="3"/>
  <c r="AV164" i="3"/>
  <c r="BL163" i="3"/>
  <c r="AX163" i="3"/>
  <c r="AW163" i="3"/>
  <c r="AV163" i="3"/>
  <c r="BL162" i="3"/>
  <c r="AX162" i="3"/>
  <c r="AW162" i="3"/>
  <c r="AV162" i="3"/>
  <c r="BL161" i="3"/>
  <c r="AZ161" i="3"/>
  <c r="AX161" i="3"/>
  <c r="AW161" i="3"/>
  <c r="AV161" i="3"/>
  <c r="AX160" i="3"/>
  <c r="AW160" i="3"/>
  <c r="AV160" i="3"/>
  <c r="BL159" i="3"/>
  <c r="AX159" i="3"/>
  <c r="AW159" i="3"/>
  <c r="AV159" i="3"/>
  <c r="BL158" i="3"/>
  <c r="AX158" i="3"/>
  <c r="AW158" i="3"/>
  <c r="AV158" i="3"/>
  <c r="BL157" i="3"/>
  <c r="AX157" i="3"/>
  <c r="AW157" i="3"/>
  <c r="AV157" i="3"/>
  <c r="AX156" i="3"/>
  <c r="AW156" i="3"/>
  <c r="AV156" i="3"/>
  <c r="BL155" i="3"/>
  <c r="AX155" i="3"/>
  <c r="AW155" i="3"/>
  <c r="AV155" i="3"/>
  <c r="BL154" i="3"/>
  <c r="AX154" i="3"/>
  <c r="AW154" i="3"/>
  <c r="AV154" i="3"/>
  <c r="BL153" i="3"/>
  <c r="AZ153" i="3"/>
  <c r="AX153" i="3"/>
  <c r="AW153" i="3"/>
  <c r="AV153" i="3"/>
  <c r="AX152" i="3"/>
  <c r="AW152" i="3"/>
  <c r="AV152" i="3"/>
  <c r="BL151" i="3"/>
  <c r="AX151" i="3"/>
  <c r="AW151" i="3"/>
  <c r="AV151" i="3"/>
  <c r="BL150" i="3"/>
  <c r="AX150" i="3"/>
  <c r="AW150" i="3"/>
  <c r="AV150" i="3"/>
  <c r="BL149" i="3"/>
  <c r="AX149" i="3"/>
  <c r="AW149" i="3"/>
  <c r="AV149" i="3"/>
  <c r="AX148" i="3"/>
  <c r="AW148" i="3"/>
  <c r="AV148" i="3"/>
  <c r="BL147" i="3"/>
  <c r="AX147" i="3"/>
  <c r="AW147" i="3"/>
  <c r="AV147" i="3"/>
  <c r="BL146" i="3"/>
  <c r="AX146" i="3"/>
  <c r="AW146" i="3"/>
  <c r="AV146" i="3"/>
  <c r="BL145" i="3"/>
  <c r="AZ145" i="3"/>
  <c r="AX145" i="3"/>
  <c r="AW145" i="3"/>
  <c r="AV145" i="3"/>
  <c r="AX144" i="3"/>
  <c r="AW144" i="3"/>
  <c r="AV144" i="3"/>
  <c r="BL143" i="3"/>
  <c r="AX143" i="3"/>
  <c r="AW143" i="3"/>
  <c r="AV143" i="3"/>
  <c r="BL142" i="3"/>
  <c r="AX142" i="3"/>
  <c r="AW142" i="3"/>
  <c r="AV142" i="3"/>
  <c r="BL141" i="3"/>
  <c r="AX141" i="3"/>
  <c r="AW141" i="3"/>
  <c r="AV141" i="3"/>
  <c r="AX140" i="3"/>
  <c r="AW140" i="3"/>
  <c r="AV140" i="3"/>
  <c r="BL139" i="3"/>
  <c r="AX139" i="3"/>
  <c r="AW139" i="3"/>
  <c r="AV139" i="3"/>
  <c r="BL138" i="3"/>
  <c r="AX138" i="3"/>
  <c r="AW138" i="3"/>
  <c r="AV138" i="3"/>
  <c r="BL137" i="3"/>
  <c r="AZ137" i="3"/>
  <c r="AX137" i="3"/>
  <c r="AW137" i="3"/>
  <c r="AV137" i="3"/>
  <c r="AX136" i="3"/>
  <c r="AW136" i="3"/>
  <c r="AV136" i="3"/>
  <c r="BL135" i="3"/>
  <c r="AX135" i="3"/>
  <c r="AW135" i="3"/>
  <c r="AV135" i="3"/>
  <c r="BL134" i="3"/>
  <c r="AZ134" i="3"/>
  <c r="AX134" i="3"/>
  <c r="AW134" i="3"/>
  <c r="AV134" i="3"/>
  <c r="BL133" i="3"/>
  <c r="AX133" i="3"/>
  <c r="AW133" i="3"/>
  <c r="AV133" i="3"/>
  <c r="AX132" i="3"/>
  <c r="AW132" i="3"/>
  <c r="AV132" i="3"/>
  <c r="BL131" i="3"/>
  <c r="AX131" i="3"/>
  <c r="AW131" i="3"/>
  <c r="AV131" i="3"/>
  <c r="BL130" i="3"/>
  <c r="AX130" i="3"/>
  <c r="AW130" i="3"/>
  <c r="AV130" i="3"/>
  <c r="BL129" i="3"/>
  <c r="AX129" i="3"/>
  <c r="AW129" i="3"/>
  <c r="AV129" i="3"/>
  <c r="AX128" i="3"/>
  <c r="AW128" i="3"/>
  <c r="AV128" i="3"/>
  <c r="BL127" i="3"/>
  <c r="AX127" i="3"/>
  <c r="AW127" i="3"/>
  <c r="AV127" i="3"/>
  <c r="BL126" i="3"/>
  <c r="AX126" i="3"/>
  <c r="AW126" i="3"/>
  <c r="AV126" i="3"/>
  <c r="BL125" i="3"/>
  <c r="AZ125" i="3"/>
  <c r="AX125" i="3"/>
  <c r="AW125" i="3"/>
  <c r="AV125" i="3"/>
  <c r="AX124" i="3"/>
  <c r="AW124" i="3"/>
  <c r="AV124" i="3"/>
  <c r="BL123" i="3"/>
  <c r="AX123" i="3"/>
  <c r="AW123" i="3"/>
  <c r="AV123" i="3"/>
  <c r="BL122" i="3"/>
  <c r="AZ122" i="3"/>
  <c r="AX122" i="3"/>
  <c r="AW122" i="3"/>
  <c r="AV122" i="3"/>
  <c r="BL121" i="3"/>
  <c r="AZ121" i="3"/>
  <c r="AX121" i="3"/>
  <c r="AW121" i="3"/>
  <c r="AV121" i="3"/>
  <c r="AX120" i="3"/>
  <c r="AW120" i="3"/>
  <c r="AV120" i="3"/>
  <c r="BL119" i="3"/>
  <c r="AX119" i="3"/>
  <c r="AW119" i="3"/>
  <c r="AV119" i="3"/>
  <c r="BL118" i="3"/>
  <c r="AZ118" i="3"/>
  <c r="AX118" i="3"/>
  <c r="AW118" i="3"/>
  <c r="AV118" i="3"/>
  <c r="BL117" i="3"/>
  <c r="AX117" i="3"/>
  <c r="AW117" i="3"/>
  <c r="AV117" i="3"/>
  <c r="AX116" i="3"/>
  <c r="AW116" i="3"/>
  <c r="AV116" i="3"/>
  <c r="BL115" i="3"/>
  <c r="AX115" i="3"/>
  <c r="AW115" i="3"/>
  <c r="AV115" i="3"/>
  <c r="BL114" i="3"/>
  <c r="AX114" i="3"/>
  <c r="AW114" i="3"/>
  <c r="AV114" i="3"/>
  <c r="BL113" i="3"/>
  <c r="AZ113" i="3"/>
  <c r="AX113" i="3"/>
  <c r="AW113" i="3"/>
  <c r="AV113" i="3"/>
  <c r="BL302" i="3"/>
  <c r="AZ302" i="3"/>
  <c r="AX302" i="3"/>
  <c r="AW302" i="3"/>
  <c r="AV302" i="3"/>
  <c r="BL301" i="3"/>
  <c r="AX301" i="3"/>
  <c r="AW301" i="3"/>
  <c r="AV301" i="3"/>
  <c r="BL300" i="3"/>
  <c r="AZ300" i="3"/>
  <c r="AX300" i="3"/>
  <c r="AW300" i="3"/>
  <c r="AV300" i="3"/>
  <c r="BL299" i="3"/>
  <c r="AX299" i="3"/>
  <c r="AW299" i="3"/>
  <c r="AV299" i="3"/>
  <c r="BL298" i="3"/>
  <c r="AX298" i="3"/>
  <c r="AW298" i="3"/>
  <c r="AV298" i="3"/>
  <c r="BL297" i="3"/>
  <c r="AX297" i="3"/>
  <c r="AW297" i="3"/>
  <c r="AV297" i="3"/>
  <c r="BL296" i="3"/>
  <c r="AX296" i="3"/>
  <c r="AW296" i="3"/>
  <c r="AV296" i="3"/>
  <c r="BL295" i="3"/>
  <c r="AX295" i="3"/>
  <c r="AW295" i="3"/>
  <c r="AV295" i="3"/>
  <c r="BL294" i="3"/>
  <c r="AZ294" i="3"/>
  <c r="AX294" i="3"/>
  <c r="AW294" i="3"/>
  <c r="AV294" i="3"/>
  <c r="BL293" i="3"/>
  <c r="AZ293" i="3"/>
  <c r="AX293" i="3"/>
  <c r="AW293" i="3"/>
  <c r="AV293" i="3"/>
  <c r="BL292" i="3"/>
  <c r="AZ292" i="3"/>
  <c r="AX292" i="3"/>
  <c r="AW292" i="3"/>
  <c r="AV292" i="3"/>
  <c r="BL291" i="3"/>
  <c r="AX291" i="3"/>
  <c r="AW291" i="3"/>
  <c r="AV291" i="3"/>
  <c r="BL290" i="3"/>
  <c r="AZ290" i="3"/>
  <c r="AX290" i="3"/>
  <c r="AW290" i="3"/>
  <c r="AV290" i="3"/>
  <c r="BL289" i="3"/>
  <c r="AZ289" i="3"/>
  <c r="AX289" i="3"/>
  <c r="AW289" i="3"/>
  <c r="AV289" i="3"/>
  <c r="BL288" i="3"/>
  <c r="AX288" i="3"/>
  <c r="AW288" i="3"/>
  <c r="AV288" i="3"/>
  <c r="BL287" i="3"/>
  <c r="AX287" i="3"/>
  <c r="AW287" i="3"/>
  <c r="AV287" i="3"/>
  <c r="BL286" i="3"/>
  <c r="AX286" i="3"/>
  <c r="AW286" i="3"/>
  <c r="AV286" i="3"/>
  <c r="BL285" i="3"/>
  <c r="AZ285" i="3"/>
  <c r="AX285" i="3"/>
  <c r="AW285" i="3"/>
  <c r="AV285" i="3"/>
  <c r="BL284" i="3"/>
  <c r="AZ284" i="3"/>
  <c r="AX284" i="3"/>
  <c r="AW284" i="3"/>
  <c r="AV284" i="3"/>
  <c r="BL283" i="3"/>
  <c r="AX283" i="3"/>
  <c r="AW283" i="3"/>
  <c r="AV283" i="3"/>
  <c r="BL282" i="3"/>
  <c r="AZ282" i="3"/>
  <c r="AX282" i="3"/>
  <c r="AW282" i="3"/>
  <c r="AV282" i="3"/>
  <c r="BL281" i="3"/>
  <c r="AX281" i="3"/>
  <c r="AW281" i="3"/>
  <c r="AV281" i="3"/>
  <c r="BL280" i="3"/>
  <c r="AX280" i="3"/>
  <c r="AW280" i="3"/>
  <c r="AV280" i="3"/>
  <c r="BL279" i="3"/>
  <c r="AX279" i="3"/>
  <c r="AW279" i="3"/>
  <c r="AV279" i="3"/>
  <c r="BL278" i="3"/>
  <c r="AZ278" i="3"/>
  <c r="AX278" i="3"/>
  <c r="AW278" i="3"/>
  <c r="AV278" i="3"/>
  <c r="BL277" i="3"/>
  <c r="AZ277" i="3"/>
  <c r="AX277" i="3"/>
  <c r="AW277" i="3"/>
  <c r="AV277" i="3"/>
  <c r="BL276" i="3"/>
  <c r="AZ276" i="3"/>
  <c r="AX276" i="3"/>
  <c r="AW276" i="3"/>
  <c r="AV276" i="3"/>
  <c r="BL275" i="3"/>
  <c r="AX275" i="3"/>
  <c r="AW275" i="3"/>
  <c r="AV275" i="3"/>
  <c r="BL274" i="3"/>
  <c r="AZ274" i="3"/>
  <c r="AX274" i="3"/>
  <c r="AW274" i="3"/>
  <c r="AV274" i="3"/>
  <c r="BL273" i="3"/>
  <c r="AX273" i="3"/>
  <c r="AW273" i="3"/>
  <c r="AV273" i="3"/>
  <c r="BL272" i="3"/>
  <c r="AZ272" i="3"/>
  <c r="AX272" i="3"/>
  <c r="AW272" i="3"/>
  <c r="AV272" i="3"/>
  <c r="BL271" i="3"/>
  <c r="AX271" i="3"/>
  <c r="AW271" i="3"/>
  <c r="AV271" i="3"/>
  <c r="BL270" i="3"/>
  <c r="AZ270" i="3"/>
  <c r="AX270" i="3"/>
  <c r="AW270" i="3"/>
  <c r="AV270" i="3"/>
  <c r="BL269" i="3"/>
  <c r="AX269" i="3"/>
  <c r="AW269" i="3"/>
  <c r="AV269" i="3"/>
  <c r="BL268" i="3"/>
  <c r="AX268" i="3"/>
  <c r="AW268" i="3"/>
  <c r="AV268" i="3"/>
  <c r="BL267" i="3"/>
  <c r="AZ267" i="3"/>
  <c r="AX267" i="3"/>
  <c r="AW267" i="3"/>
  <c r="AV267" i="3"/>
  <c r="BL266" i="3"/>
  <c r="AX266" i="3"/>
  <c r="AW266" i="3"/>
  <c r="AV266" i="3"/>
  <c r="BL265" i="3"/>
  <c r="AX265" i="3"/>
  <c r="AW265" i="3"/>
  <c r="AV265" i="3"/>
  <c r="BL264" i="3"/>
  <c r="AZ264" i="3"/>
  <c r="AX264" i="3"/>
  <c r="AW264" i="3"/>
  <c r="AV264" i="3"/>
  <c r="BL263" i="3"/>
  <c r="AX263" i="3"/>
  <c r="AW263" i="3"/>
  <c r="AV263" i="3"/>
  <c r="BL262" i="3"/>
  <c r="AZ262" i="3"/>
  <c r="AX262" i="3"/>
  <c r="AW262" i="3"/>
  <c r="AV262" i="3"/>
  <c r="BL261" i="3"/>
  <c r="AX261" i="3"/>
  <c r="AW261" i="3"/>
  <c r="AV261" i="3"/>
  <c r="BL260" i="3"/>
  <c r="AZ260" i="3"/>
  <c r="AX260" i="3"/>
  <c r="AW260" i="3"/>
  <c r="AV260" i="3"/>
  <c r="BL259" i="3"/>
  <c r="AX259" i="3"/>
  <c r="AW259" i="3"/>
  <c r="AV259" i="3"/>
  <c r="BL258" i="3"/>
  <c r="AZ258" i="3"/>
  <c r="AX258" i="3"/>
  <c r="AW258" i="3"/>
  <c r="AV258" i="3"/>
  <c r="BL257" i="3"/>
  <c r="AX257" i="3"/>
  <c r="AW257" i="3"/>
  <c r="AV257" i="3"/>
  <c r="BL256" i="3"/>
  <c r="AX256" i="3"/>
  <c r="AW256" i="3"/>
  <c r="AV256" i="3"/>
  <c r="BL255" i="3"/>
  <c r="AZ255" i="3"/>
  <c r="AX255" i="3"/>
  <c r="AW255" i="3"/>
  <c r="AV255" i="3"/>
  <c r="BL254" i="3"/>
  <c r="AX254" i="3"/>
  <c r="AW254" i="3"/>
  <c r="AV254" i="3"/>
  <c r="BL253" i="3"/>
  <c r="AX253" i="3"/>
  <c r="AW253" i="3"/>
  <c r="AV253" i="3"/>
  <c r="BL252" i="3"/>
  <c r="AX252" i="3"/>
  <c r="AW252" i="3"/>
  <c r="AV252" i="3"/>
  <c r="BL251" i="3"/>
  <c r="AX251" i="3"/>
  <c r="AW251" i="3"/>
  <c r="AV251" i="3"/>
  <c r="BL250" i="3"/>
  <c r="AX250" i="3"/>
  <c r="AW250" i="3"/>
  <c r="AV250" i="3"/>
  <c r="BL249" i="3"/>
  <c r="AX249" i="3"/>
  <c r="AW249" i="3"/>
  <c r="AV249" i="3"/>
  <c r="BL248" i="3"/>
  <c r="AX248" i="3"/>
  <c r="AW248" i="3"/>
  <c r="AV248" i="3"/>
  <c r="BL247" i="3"/>
  <c r="AZ247" i="3"/>
  <c r="AX247" i="3"/>
  <c r="AW247" i="3"/>
  <c r="AV247" i="3"/>
  <c r="BL246" i="3"/>
  <c r="AZ246" i="3"/>
  <c r="AX246" i="3"/>
  <c r="AW246" i="3"/>
  <c r="AV246" i="3"/>
  <c r="BL245" i="3"/>
  <c r="AX245" i="3"/>
  <c r="AW245" i="3"/>
  <c r="AV245" i="3"/>
  <c r="BL244" i="3"/>
  <c r="AZ244" i="3"/>
  <c r="AX244" i="3"/>
  <c r="AW244" i="3"/>
  <c r="AV244" i="3"/>
  <c r="BL243" i="3"/>
  <c r="AX243" i="3"/>
  <c r="AW243" i="3"/>
  <c r="AV243" i="3"/>
  <c r="BL242" i="3"/>
  <c r="AZ242" i="3"/>
  <c r="AX242" i="3"/>
  <c r="AW242" i="3"/>
  <c r="AV242" i="3"/>
  <c r="BL241" i="3"/>
  <c r="AX241" i="3"/>
  <c r="AW241" i="3"/>
  <c r="AV241" i="3"/>
  <c r="BL240" i="3"/>
  <c r="AX240" i="3"/>
  <c r="AW240" i="3"/>
  <c r="AV240" i="3"/>
  <c r="BL239" i="3"/>
  <c r="AZ239" i="3"/>
  <c r="AX239" i="3"/>
  <c r="AW239" i="3"/>
  <c r="AV239" i="3"/>
  <c r="BL238" i="3"/>
  <c r="AX238" i="3"/>
  <c r="AW238" i="3"/>
  <c r="AV238" i="3"/>
  <c r="BL237" i="3"/>
  <c r="AX237" i="3"/>
  <c r="AW237" i="3"/>
  <c r="AV237" i="3"/>
  <c r="BL236" i="3"/>
  <c r="AX236" i="3"/>
  <c r="AW236" i="3"/>
  <c r="AV236" i="3"/>
  <c r="BL235" i="3"/>
  <c r="AX235" i="3"/>
  <c r="AW235" i="3"/>
  <c r="AV235" i="3"/>
  <c r="BL234" i="3"/>
  <c r="AX234" i="3"/>
  <c r="AW234" i="3"/>
  <c r="AV234" i="3"/>
  <c r="BL233" i="3"/>
  <c r="AX233" i="3"/>
  <c r="AW233" i="3"/>
  <c r="AV233" i="3"/>
  <c r="BL232" i="3"/>
  <c r="AX232" i="3"/>
  <c r="AW232" i="3"/>
  <c r="AV232" i="3"/>
  <c r="BL231" i="3"/>
  <c r="AZ231" i="3"/>
  <c r="AX231" i="3"/>
  <c r="AW231" i="3"/>
  <c r="AV231" i="3"/>
  <c r="BL230" i="3"/>
  <c r="AZ230" i="3"/>
  <c r="AX230" i="3"/>
  <c r="AW230" i="3"/>
  <c r="AV230" i="3"/>
  <c r="BL229" i="3"/>
  <c r="AX229" i="3"/>
  <c r="AW229" i="3"/>
  <c r="AV229" i="3"/>
  <c r="BL228" i="3"/>
  <c r="AZ228" i="3"/>
  <c r="AX228" i="3"/>
  <c r="AW228" i="3"/>
  <c r="AV228" i="3"/>
  <c r="BL227" i="3"/>
  <c r="AX227" i="3"/>
  <c r="AW227" i="3"/>
  <c r="AV227" i="3"/>
  <c r="BL226" i="3"/>
  <c r="AZ226" i="3"/>
  <c r="AX226" i="3"/>
  <c r="AW226" i="3"/>
  <c r="AV226" i="3"/>
  <c r="BL225" i="3"/>
  <c r="AX225" i="3"/>
  <c r="AW225" i="3"/>
  <c r="AV225" i="3"/>
  <c r="BL224" i="3"/>
  <c r="AX224" i="3"/>
  <c r="AW224" i="3"/>
  <c r="AV224" i="3"/>
  <c r="BL223" i="3"/>
  <c r="AX223" i="3"/>
  <c r="AW223" i="3"/>
  <c r="AV223" i="3"/>
  <c r="BL222" i="3"/>
  <c r="AX222" i="3"/>
  <c r="AW222" i="3"/>
  <c r="AV222" i="3"/>
  <c r="BL221" i="3"/>
  <c r="AZ221" i="3"/>
  <c r="AX221" i="3"/>
  <c r="AW221" i="3"/>
  <c r="AV221" i="3"/>
  <c r="BL220" i="3"/>
  <c r="AZ220" i="3"/>
  <c r="AX220" i="3"/>
  <c r="AW220" i="3"/>
  <c r="AV220" i="3"/>
  <c r="BL219" i="3"/>
  <c r="AZ219" i="3"/>
  <c r="AX219" i="3"/>
  <c r="AW219" i="3"/>
  <c r="AV219" i="3"/>
  <c r="BL218" i="3"/>
  <c r="AX218" i="3"/>
  <c r="AW218" i="3"/>
  <c r="AV218" i="3"/>
  <c r="BL217" i="3"/>
  <c r="AZ217" i="3"/>
  <c r="AX217" i="3"/>
  <c r="AW217" i="3"/>
  <c r="AV217" i="3"/>
  <c r="BL216" i="3"/>
  <c r="AZ216" i="3"/>
  <c r="AX216" i="3"/>
  <c r="AW216" i="3"/>
  <c r="AV216" i="3"/>
  <c r="BL215" i="3"/>
  <c r="AX215" i="3"/>
  <c r="AW215" i="3"/>
  <c r="AV215" i="3"/>
  <c r="BL214" i="3"/>
  <c r="AX214" i="3"/>
  <c r="AW214" i="3"/>
  <c r="AV214" i="3"/>
  <c r="BL213" i="3"/>
  <c r="AX213" i="3"/>
  <c r="AW213" i="3"/>
  <c r="AV213" i="3"/>
  <c r="BL212" i="3"/>
  <c r="AZ212" i="3"/>
  <c r="AX212" i="3"/>
  <c r="AW212" i="3"/>
  <c r="AV212" i="3"/>
  <c r="BL211" i="3"/>
  <c r="AZ211" i="3"/>
  <c r="AX211" i="3"/>
  <c r="AW211" i="3"/>
  <c r="AV211" i="3"/>
  <c r="BL210" i="3"/>
  <c r="AX210" i="3"/>
  <c r="AW210" i="3"/>
  <c r="AV210" i="3"/>
  <c r="BL209" i="3"/>
  <c r="AX209" i="3"/>
  <c r="AW209" i="3"/>
  <c r="AV209" i="3"/>
  <c r="BL208" i="3"/>
  <c r="AZ208" i="3"/>
  <c r="AX208" i="3"/>
  <c r="AW208" i="3"/>
  <c r="AV208" i="3"/>
  <c r="BL397" i="3"/>
  <c r="AZ397" i="3"/>
  <c r="AX397" i="3"/>
  <c r="AW397" i="3"/>
  <c r="AV397" i="3"/>
  <c r="BL396" i="3"/>
  <c r="AX396" i="3"/>
  <c r="AW396" i="3"/>
  <c r="AV396" i="3"/>
  <c r="BL395" i="3"/>
  <c r="AZ395" i="3"/>
  <c r="AX395" i="3"/>
  <c r="AW395" i="3"/>
  <c r="AV395" i="3"/>
  <c r="AX394" i="3"/>
  <c r="AW394" i="3"/>
  <c r="AV394" i="3"/>
  <c r="BL393" i="3"/>
  <c r="AX393" i="3"/>
  <c r="AW393" i="3"/>
  <c r="AV393" i="3"/>
  <c r="AX392" i="3"/>
  <c r="AW392" i="3"/>
  <c r="AV392" i="3"/>
  <c r="AX391" i="3"/>
  <c r="AW391" i="3"/>
  <c r="AV391" i="3"/>
  <c r="AX390" i="3"/>
  <c r="AW390" i="3"/>
  <c r="AV390" i="3"/>
  <c r="AX389" i="3"/>
  <c r="AW389" i="3"/>
  <c r="AV389" i="3"/>
  <c r="AX388" i="3"/>
  <c r="AW388" i="3"/>
  <c r="AV388" i="3"/>
  <c r="AX387" i="3"/>
  <c r="AW387" i="3"/>
  <c r="AV387" i="3"/>
  <c r="BL386" i="3"/>
  <c r="AX386" i="3"/>
  <c r="AW386" i="3"/>
  <c r="AV386" i="3"/>
  <c r="BL385" i="3"/>
  <c r="AX385" i="3"/>
  <c r="AW385" i="3"/>
  <c r="AV385" i="3"/>
  <c r="AX384" i="3"/>
  <c r="AW384" i="3"/>
  <c r="AV384" i="3"/>
  <c r="BL383" i="3"/>
  <c r="AX383" i="3"/>
  <c r="AW383" i="3"/>
  <c r="AV383" i="3"/>
  <c r="AX382" i="3"/>
  <c r="AW382" i="3"/>
  <c r="AV382" i="3"/>
  <c r="BL381" i="3"/>
  <c r="AX381" i="3"/>
  <c r="AW381" i="3"/>
  <c r="AV381" i="3"/>
  <c r="AX380" i="3"/>
  <c r="AW380" i="3"/>
  <c r="AV380" i="3"/>
  <c r="AX379" i="3"/>
  <c r="AW379" i="3"/>
  <c r="AV379" i="3"/>
  <c r="AX378" i="3"/>
  <c r="AW378" i="3"/>
  <c r="AV378" i="3"/>
  <c r="AX377" i="3"/>
  <c r="AW377" i="3"/>
  <c r="AV377" i="3"/>
  <c r="AX376" i="3"/>
  <c r="AW376" i="3"/>
  <c r="AV376" i="3"/>
  <c r="BL375" i="3"/>
  <c r="AX375" i="3"/>
  <c r="AW375" i="3"/>
  <c r="AV375" i="3"/>
  <c r="AX374" i="3"/>
  <c r="AW374" i="3"/>
  <c r="AV374" i="3"/>
  <c r="AX373" i="3"/>
  <c r="AW373" i="3"/>
  <c r="AV373" i="3"/>
  <c r="AX372" i="3"/>
  <c r="AW372" i="3"/>
  <c r="AV372" i="3"/>
  <c r="AX371" i="3"/>
  <c r="AW371" i="3"/>
  <c r="AV371" i="3"/>
  <c r="AX370" i="3"/>
  <c r="AW370" i="3"/>
  <c r="AV370" i="3"/>
  <c r="AX369" i="3"/>
  <c r="AW369" i="3"/>
  <c r="AV369" i="3"/>
  <c r="BL368" i="3"/>
  <c r="AX368" i="3"/>
  <c r="AW368" i="3"/>
  <c r="AV368" i="3"/>
  <c r="BL367" i="3"/>
  <c r="AX367" i="3"/>
  <c r="AW367" i="3"/>
  <c r="AV367" i="3"/>
  <c r="AX366" i="3"/>
  <c r="AW366" i="3"/>
  <c r="AV366" i="3"/>
  <c r="BL365" i="3"/>
  <c r="AX365" i="3"/>
  <c r="AW365" i="3"/>
  <c r="AV365" i="3"/>
  <c r="AX364" i="3"/>
  <c r="AW364" i="3"/>
  <c r="AV364" i="3"/>
  <c r="BL363" i="3"/>
  <c r="AX363" i="3"/>
  <c r="AW363" i="3"/>
  <c r="AV363" i="3"/>
  <c r="AX362" i="3"/>
  <c r="AW362" i="3"/>
  <c r="AV362" i="3"/>
  <c r="AX361" i="3"/>
  <c r="AW361" i="3"/>
  <c r="AV361" i="3"/>
  <c r="AX360" i="3"/>
  <c r="AW360" i="3"/>
  <c r="AV360" i="3"/>
  <c r="BL359" i="3"/>
  <c r="AX359" i="3"/>
  <c r="AW359" i="3"/>
  <c r="AV359" i="3"/>
  <c r="AX358" i="3"/>
  <c r="AW358" i="3"/>
  <c r="AV358" i="3"/>
  <c r="AX357" i="3"/>
  <c r="AW357" i="3"/>
  <c r="AV357" i="3"/>
  <c r="AX356" i="3"/>
  <c r="AW356" i="3"/>
  <c r="AV356" i="3"/>
  <c r="AX355" i="3"/>
  <c r="AW355" i="3"/>
  <c r="AV355" i="3"/>
  <c r="BL354" i="3"/>
  <c r="AX354" i="3"/>
  <c r="AW354" i="3"/>
  <c r="AV354" i="3"/>
  <c r="BL353" i="3"/>
  <c r="AX353" i="3"/>
  <c r="AW353" i="3"/>
  <c r="AV353" i="3"/>
  <c r="AX352" i="3"/>
  <c r="AW352" i="3"/>
  <c r="AV352" i="3"/>
  <c r="AX351" i="3"/>
  <c r="AW351" i="3"/>
  <c r="AV351" i="3"/>
  <c r="BL350" i="3"/>
  <c r="AX350" i="3"/>
  <c r="AW350" i="3"/>
  <c r="AV350" i="3"/>
  <c r="AX349" i="3"/>
  <c r="AW349" i="3"/>
  <c r="AV349" i="3"/>
  <c r="BL348" i="3"/>
  <c r="AX348" i="3"/>
  <c r="AW348" i="3"/>
  <c r="AV348" i="3"/>
  <c r="AX347" i="3"/>
  <c r="AW347" i="3"/>
  <c r="AV347" i="3"/>
  <c r="BL346" i="3"/>
  <c r="AX346" i="3"/>
  <c r="AW346" i="3"/>
  <c r="AV346" i="3"/>
  <c r="AX345" i="3"/>
  <c r="AW345" i="3"/>
  <c r="AV345" i="3"/>
  <c r="AX344" i="3"/>
  <c r="AW344" i="3"/>
  <c r="AV344" i="3"/>
  <c r="AX343" i="3"/>
  <c r="AW343" i="3"/>
  <c r="AV343" i="3"/>
  <c r="AX342" i="3"/>
  <c r="AW342" i="3"/>
  <c r="AV342" i="3"/>
  <c r="AX341" i="3"/>
  <c r="AW341" i="3"/>
  <c r="AV341" i="3"/>
  <c r="BL340" i="3"/>
  <c r="AX340" i="3"/>
  <c r="AW340" i="3"/>
  <c r="AV340" i="3"/>
  <c r="AX339" i="3"/>
  <c r="AW339" i="3"/>
  <c r="AV339" i="3"/>
  <c r="AX338" i="3"/>
  <c r="AW338" i="3"/>
  <c r="AV338" i="3"/>
  <c r="AX337" i="3"/>
  <c r="AW337" i="3"/>
  <c r="AV337" i="3"/>
  <c r="AX336" i="3"/>
  <c r="AW336" i="3"/>
  <c r="AV336" i="3"/>
  <c r="AX335" i="3"/>
  <c r="AW335" i="3"/>
  <c r="AV335" i="3"/>
  <c r="AX334" i="3"/>
  <c r="AW334" i="3"/>
  <c r="AV334" i="3"/>
  <c r="BL333" i="3"/>
  <c r="AX333" i="3"/>
  <c r="AW333" i="3"/>
  <c r="AV333" i="3"/>
  <c r="BL332" i="3"/>
  <c r="AZ332" i="3"/>
  <c r="AX332" i="3"/>
  <c r="AW332" i="3"/>
  <c r="AV332" i="3"/>
  <c r="AX331" i="3"/>
  <c r="AW331" i="3"/>
  <c r="AV331" i="3"/>
  <c r="BL330" i="3"/>
  <c r="AX330" i="3"/>
  <c r="AW330" i="3"/>
  <c r="AV330" i="3"/>
  <c r="AX329" i="3"/>
  <c r="AW329" i="3"/>
  <c r="AV329" i="3"/>
  <c r="BL328" i="3"/>
  <c r="AX328" i="3"/>
  <c r="AW328" i="3"/>
  <c r="AV328" i="3"/>
  <c r="AX327" i="3"/>
  <c r="AW327" i="3"/>
  <c r="AV327" i="3"/>
  <c r="AX326" i="3"/>
  <c r="AW326" i="3"/>
  <c r="AV326" i="3"/>
  <c r="AX325" i="3"/>
  <c r="AW325" i="3"/>
  <c r="AV325" i="3"/>
  <c r="BL324" i="3"/>
  <c r="AX324" i="3"/>
  <c r="AW324" i="3"/>
  <c r="AV324" i="3"/>
  <c r="AX323" i="3"/>
  <c r="AW323" i="3"/>
  <c r="AV323" i="3"/>
  <c r="AX322" i="3"/>
  <c r="AW322" i="3"/>
  <c r="AV322" i="3"/>
  <c r="AX321" i="3"/>
  <c r="AW321" i="3"/>
  <c r="AV321" i="3"/>
  <c r="AX320" i="3"/>
  <c r="AW320" i="3"/>
  <c r="AV320" i="3"/>
  <c r="AX319" i="3"/>
  <c r="AW319" i="3"/>
  <c r="AV319" i="3"/>
  <c r="AX318" i="3"/>
  <c r="AW318" i="3"/>
  <c r="AV318" i="3"/>
  <c r="BL317" i="3"/>
  <c r="AX317" i="3"/>
  <c r="AW317" i="3"/>
  <c r="AV317" i="3"/>
  <c r="BL316" i="3"/>
  <c r="AZ316" i="3"/>
  <c r="AX316" i="3"/>
  <c r="AW316" i="3"/>
  <c r="AV316" i="3"/>
  <c r="AX315" i="3"/>
  <c r="AW315" i="3"/>
  <c r="AV315" i="3"/>
  <c r="BL314" i="3"/>
  <c r="AX314" i="3"/>
  <c r="AW314" i="3"/>
  <c r="AV314" i="3"/>
  <c r="AX313" i="3"/>
  <c r="AW313" i="3"/>
  <c r="AV313" i="3"/>
  <c r="BL312" i="3"/>
  <c r="AX312" i="3"/>
  <c r="AW312" i="3"/>
  <c r="AV312" i="3"/>
  <c r="AX311" i="3"/>
  <c r="AW311" i="3"/>
  <c r="AV311" i="3"/>
  <c r="AX310" i="3"/>
  <c r="AW310" i="3"/>
  <c r="AV310" i="3"/>
  <c r="AX309" i="3"/>
  <c r="AW309" i="3"/>
  <c r="AV309" i="3"/>
  <c r="BL308" i="3"/>
  <c r="AX308" i="3"/>
  <c r="AW308" i="3"/>
  <c r="AV308" i="3"/>
  <c r="AX307" i="3"/>
  <c r="AW307" i="3"/>
  <c r="AV307" i="3"/>
  <c r="AX306" i="3"/>
  <c r="AW306" i="3"/>
  <c r="AV306" i="3"/>
  <c r="AX305" i="3"/>
  <c r="AW305" i="3"/>
  <c r="AV305" i="3"/>
  <c r="AX304" i="3"/>
  <c r="AW304" i="3"/>
  <c r="AV304" i="3"/>
  <c r="AX303" i="3"/>
  <c r="AW303" i="3"/>
  <c r="AV303" i="3"/>
  <c r="BL492" i="3"/>
  <c r="AZ492" i="3"/>
  <c r="AX492" i="3"/>
  <c r="AW492" i="3"/>
  <c r="AV492" i="3"/>
  <c r="BL491" i="3"/>
  <c r="AX491" i="3"/>
  <c r="AW491" i="3"/>
  <c r="AV491" i="3"/>
  <c r="BL490" i="3"/>
  <c r="AX490" i="3"/>
  <c r="AW490" i="3"/>
  <c r="AV490" i="3"/>
  <c r="BL489" i="3"/>
  <c r="AX489" i="3"/>
  <c r="AW489" i="3"/>
  <c r="AV489" i="3"/>
  <c r="BL488" i="3"/>
  <c r="AZ488" i="3"/>
  <c r="AX488" i="3"/>
  <c r="AW488" i="3"/>
  <c r="AV488" i="3"/>
  <c r="BL487" i="3"/>
  <c r="AZ487" i="3"/>
  <c r="AX487" i="3"/>
  <c r="AW487" i="3"/>
  <c r="AV487" i="3"/>
  <c r="BL486" i="3"/>
  <c r="AZ486" i="3"/>
  <c r="AX486" i="3"/>
  <c r="AW486" i="3"/>
  <c r="AV486" i="3"/>
  <c r="BL485" i="3"/>
  <c r="AX485" i="3"/>
  <c r="AW485" i="3"/>
  <c r="AV485" i="3"/>
  <c r="BL484" i="3"/>
  <c r="AZ484" i="3"/>
  <c r="AX484" i="3"/>
  <c r="AW484" i="3"/>
  <c r="AV484" i="3"/>
  <c r="BL483" i="3"/>
  <c r="AZ483" i="3"/>
  <c r="AX483" i="3"/>
  <c r="AW483" i="3"/>
  <c r="AV483" i="3"/>
  <c r="BL482" i="3"/>
  <c r="AZ482" i="3"/>
  <c r="AX482" i="3"/>
  <c r="AW482" i="3"/>
  <c r="AV482" i="3"/>
  <c r="BL481" i="3"/>
  <c r="AZ481" i="3"/>
  <c r="AX481" i="3"/>
  <c r="AW481" i="3"/>
  <c r="AV481" i="3"/>
  <c r="BL480" i="3"/>
  <c r="AZ480" i="3"/>
  <c r="AX480" i="3"/>
  <c r="AW480" i="3"/>
  <c r="AV480" i="3"/>
  <c r="BL479" i="3"/>
  <c r="AX479" i="3"/>
  <c r="AW479" i="3"/>
  <c r="AV479" i="3"/>
  <c r="BL478" i="3"/>
  <c r="AZ478" i="3"/>
  <c r="AX478" i="3"/>
  <c r="AW478" i="3"/>
  <c r="AV478" i="3"/>
  <c r="BL477" i="3"/>
  <c r="AZ477" i="3"/>
  <c r="AX477" i="3"/>
  <c r="AW477" i="3"/>
  <c r="AV477" i="3"/>
  <c r="BL476" i="3"/>
  <c r="AZ476" i="3"/>
  <c r="AX476" i="3"/>
  <c r="AW476" i="3"/>
  <c r="AV476" i="3"/>
  <c r="BL475" i="3"/>
  <c r="AZ475" i="3"/>
  <c r="AX475" i="3"/>
  <c r="AW475" i="3"/>
  <c r="AV475" i="3"/>
  <c r="BL474" i="3"/>
  <c r="AZ474" i="3"/>
  <c r="AX474" i="3"/>
  <c r="AW474" i="3"/>
  <c r="AV474" i="3"/>
  <c r="BL473" i="3"/>
  <c r="AX473" i="3"/>
  <c r="AW473" i="3"/>
  <c r="AV473" i="3"/>
  <c r="BL472" i="3"/>
  <c r="AZ472" i="3"/>
  <c r="AX472" i="3"/>
  <c r="AW472" i="3"/>
  <c r="AV472" i="3"/>
  <c r="BL471" i="3"/>
  <c r="AZ471" i="3"/>
  <c r="AX471" i="3"/>
  <c r="AW471" i="3"/>
  <c r="AV471" i="3"/>
  <c r="BL470" i="3"/>
  <c r="AX470" i="3"/>
  <c r="AW470" i="3"/>
  <c r="AV470" i="3"/>
  <c r="BL469" i="3"/>
  <c r="AZ469" i="3"/>
  <c r="AX469" i="3"/>
  <c r="AW469" i="3"/>
  <c r="AV469" i="3"/>
  <c r="BL468" i="3"/>
  <c r="AX468" i="3"/>
  <c r="AW468" i="3"/>
  <c r="AV468" i="3"/>
  <c r="BL467" i="3"/>
  <c r="AZ467" i="3"/>
  <c r="AX467" i="3"/>
  <c r="AW467" i="3"/>
  <c r="AV467" i="3"/>
  <c r="BL466" i="3"/>
  <c r="AZ466" i="3"/>
  <c r="AX466" i="3"/>
  <c r="AW466" i="3"/>
  <c r="AV466" i="3"/>
  <c r="BL465" i="3"/>
  <c r="AX465" i="3"/>
  <c r="AW465" i="3"/>
  <c r="AV465" i="3"/>
  <c r="BL464" i="3"/>
  <c r="AZ464" i="3"/>
  <c r="AX464" i="3"/>
  <c r="AW464" i="3"/>
  <c r="AV464" i="3"/>
  <c r="BL463" i="3"/>
  <c r="AX463" i="3"/>
  <c r="AW463" i="3"/>
  <c r="AV463" i="3"/>
  <c r="BL462" i="3"/>
  <c r="AZ462" i="3"/>
  <c r="AX462" i="3"/>
  <c r="AW462" i="3"/>
  <c r="AV462" i="3"/>
  <c r="BL461" i="3"/>
  <c r="AX461" i="3"/>
  <c r="AW461" i="3"/>
  <c r="AV461" i="3"/>
  <c r="BL460" i="3"/>
  <c r="AZ460" i="3"/>
  <c r="AX460" i="3"/>
  <c r="AW460" i="3"/>
  <c r="AV460" i="3"/>
  <c r="BL459" i="3"/>
  <c r="AZ459" i="3"/>
  <c r="AX459" i="3"/>
  <c r="AW459" i="3"/>
  <c r="AV459" i="3"/>
  <c r="BL458" i="3"/>
  <c r="AZ458" i="3"/>
  <c r="AX458" i="3"/>
  <c r="AW458" i="3"/>
  <c r="AV458" i="3"/>
  <c r="BL457" i="3"/>
  <c r="AX457" i="3"/>
  <c r="AW457" i="3"/>
  <c r="AV457" i="3"/>
  <c r="BL456" i="3"/>
  <c r="AZ456" i="3"/>
  <c r="AX456" i="3"/>
  <c r="AW456" i="3"/>
  <c r="AV456" i="3"/>
  <c r="BL455" i="3"/>
  <c r="AZ455" i="3"/>
  <c r="AX455" i="3"/>
  <c r="AW455" i="3"/>
  <c r="AV455" i="3"/>
  <c r="BL454" i="3"/>
  <c r="AZ454" i="3"/>
  <c r="AX454" i="3"/>
  <c r="AW454" i="3"/>
  <c r="AV454" i="3"/>
  <c r="BL453" i="3"/>
  <c r="AZ453" i="3"/>
  <c r="AX453" i="3"/>
  <c r="AW453" i="3"/>
  <c r="AV453" i="3"/>
  <c r="BL452" i="3"/>
  <c r="AX452" i="3"/>
  <c r="AW452" i="3"/>
  <c r="AV452" i="3"/>
  <c r="BL451" i="3"/>
  <c r="AZ451" i="3"/>
  <c r="AX451" i="3"/>
  <c r="AW451" i="3"/>
  <c r="AV451" i="3"/>
  <c r="BL450" i="3"/>
  <c r="AZ450" i="3"/>
  <c r="AX450" i="3"/>
  <c r="AW450" i="3"/>
  <c r="AV450" i="3"/>
  <c r="BL449" i="3"/>
  <c r="AZ449" i="3"/>
  <c r="AX449" i="3"/>
  <c r="AW449" i="3"/>
  <c r="AV449" i="3"/>
  <c r="BL448" i="3"/>
  <c r="AX448" i="3"/>
  <c r="AW448" i="3"/>
  <c r="AV448" i="3"/>
  <c r="BL447" i="3"/>
  <c r="AZ447" i="3"/>
  <c r="AX447" i="3"/>
  <c r="AW447" i="3"/>
  <c r="AV447" i="3"/>
  <c r="BL446" i="3"/>
  <c r="AZ446" i="3"/>
  <c r="AX446" i="3"/>
  <c r="AW446" i="3"/>
  <c r="AV446" i="3"/>
  <c r="BL445" i="3"/>
  <c r="AZ445" i="3"/>
  <c r="AX445" i="3"/>
  <c r="AW445" i="3"/>
  <c r="AV445" i="3"/>
  <c r="BL444" i="3"/>
  <c r="AZ444" i="3"/>
  <c r="AX444" i="3"/>
  <c r="AW444" i="3"/>
  <c r="AV444" i="3"/>
  <c r="BL443" i="3"/>
  <c r="AZ443" i="3"/>
  <c r="AX443" i="3"/>
  <c r="AW443" i="3"/>
  <c r="AV443" i="3"/>
  <c r="BL442" i="3"/>
  <c r="AZ442" i="3"/>
  <c r="AX442" i="3"/>
  <c r="AW442" i="3"/>
  <c r="AV442" i="3"/>
  <c r="BL441" i="3"/>
  <c r="AX441" i="3"/>
  <c r="AW441" i="3"/>
  <c r="AV441" i="3"/>
  <c r="BL440" i="3"/>
  <c r="AZ440" i="3"/>
  <c r="AX440" i="3"/>
  <c r="AW440" i="3"/>
  <c r="AV440" i="3"/>
  <c r="BL439" i="3"/>
  <c r="AZ439" i="3"/>
  <c r="AX439" i="3"/>
  <c r="AW439" i="3"/>
  <c r="AV439" i="3"/>
  <c r="BL438" i="3"/>
  <c r="AZ438" i="3"/>
  <c r="AX438" i="3"/>
  <c r="AW438" i="3"/>
  <c r="AV438" i="3"/>
  <c r="BL437" i="3"/>
  <c r="AX437" i="3"/>
  <c r="AW437" i="3"/>
  <c r="AV437" i="3"/>
  <c r="BL436" i="3"/>
  <c r="AX436" i="3"/>
  <c r="AW436" i="3"/>
  <c r="AV436" i="3"/>
  <c r="BL435" i="3"/>
  <c r="AZ435" i="3"/>
  <c r="AX435" i="3"/>
  <c r="AW435" i="3"/>
  <c r="AV435" i="3"/>
  <c r="BL434" i="3"/>
  <c r="AZ434" i="3"/>
  <c r="AX434" i="3"/>
  <c r="AW434" i="3"/>
  <c r="AV434" i="3"/>
  <c r="BL433" i="3"/>
  <c r="AX433" i="3"/>
  <c r="AW433" i="3"/>
  <c r="AV433" i="3"/>
  <c r="BL432" i="3"/>
  <c r="AZ432" i="3"/>
  <c r="AX432" i="3"/>
  <c r="AW432" i="3"/>
  <c r="AV432" i="3"/>
  <c r="BL431" i="3"/>
  <c r="AX431" i="3"/>
  <c r="AW431" i="3"/>
  <c r="AV431" i="3"/>
  <c r="BL430" i="3"/>
  <c r="AZ430" i="3"/>
  <c r="AX430" i="3"/>
  <c r="AW430" i="3"/>
  <c r="AV430" i="3"/>
  <c r="BL429" i="3"/>
  <c r="AZ429" i="3"/>
  <c r="AX429" i="3"/>
  <c r="AW429" i="3"/>
  <c r="AV429" i="3"/>
  <c r="BL428" i="3"/>
  <c r="AX428" i="3"/>
  <c r="AW428" i="3"/>
  <c r="AV428" i="3"/>
  <c r="BL427" i="3"/>
  <c r="AZ427" i="3"/>
  <c r="AX427" i="3"/>
  <c r="AW427" i="3"/>
  <c r="AV427" i="3"/>
  <c r="BL426" i="3"/>
  <c r="AX426" i="3"/>
  <c r="AW426" i="3"/>
  <c r="AV426" i="3"/>
  <c r="BL425" i="3"/>
  <c r="AZ425" i="3"/>
  <c r="AX425" i="3"/>
  <c r="AW425" i="3"/>
  <c r="AV425" i="3"/>
  <c r="BL424" i="3"/>
  <c r="AZ424" i="3"/>
  <c r="AX424" i="3"/>
  <c r="AW424" i="3"/>
  <c r="AV424" i="3"/>
  <c r="BL423" i="3"/>
  <c r="AZ423" i="3"/>
  <c r="AX423" i="3"/>
  <c r="AW423" i="3"/>
  <c r="AV423" i="3"/>
  <c r="BL422" i="3"/>
  <c r="AZ422" i="3"/>
  <c r="AX422" i="3"/>
  <c r="AW422" i="3"/>
  <c r="AV422" i="3"/>
  <c r="BL421" i="3"/>
  <c r="AZ421" i="3"/>
  <c r="AX421" i="3"/>
  <c r="AW421" i="3"/>
  <c r="AV421" i="3"/>
  <c r="BL420" i="3"/>
  <c r="AX420" i="3"/>
  <c r="AW420" i="3"/>
  <c r="AV420" i="3"/>
  <c r="BL419" i="3"/>
  <c r="AZ419" i="3"/>
  <c r="AX419" i="3"/>
  <c r="AW419" i="3"/>
  <c r="AV419" i="3"/>
  <c r="BL418" i="3"/>
  <c r="AZ418" i="3"/>
  <c r="AX418" i="3"/>
  <c r="AW418" i="3"/>
  <c r="AV418" i="3"/>
  <c r="BL417" i="3"/>
  <c r="AX417" i="3"/>
  <c r="AW417" i="3"/>
  <c r="AV417" i="3"/>
  <c r="BL416" i="3"/>
  <c r="AZ416" i="3"/>
  <c r="AX416" i="3"/>
  <c r="AW416" i="3"/>
  <c r="AV416" i="3"/>
  <c r="BL415" i="3"/>
  <c r="AX415" i="3"/>
  <c r="AW415" i="3"/>
  <c r="AV415" i="3"/>
  <c r="BL414" i="3"/>
  <c r="AZ414" i="3"/>
  <c r="AX414" i="3"/>
  <c r="AW414" i="3"/>
  <c r="AV414" i="3"/>
  <c r="BL413" i="3"/>
  <c r="AZ413" i="3"/>
  <c r="AX413" i="3"/>
  <c r="AW413" i="3"/>
  <c r="AV413" i="3"/>
  <c r="BL412" i="3"/>
  <c r="AX412" i="3"/>
  <c r="AW412" i="3"/>
  <c r="AV412" i="3"/>
  <c r="BL411" i="3"/>
  <c r="AZ411" i="3"/>
  <c r="AX411" i="3"/>
  <c r="AW411" i="3"/>
  <c r="AV411" i="3"/>
  <c r="BL410" i="3"/>
  <c r="AX410" i="3"/>
  <c r="AW410" i="3"/>
  <c r="AV410" i="3"/>
  <c r="BL409" i="3"/>
  <c r="AZ409" i="3"/>
  <c r="AX409" i="3"/>
  <c r="AW409" i="3"/>
  <c r="AV409" i="3"/>
  <c r="BL408" i="3"/>
  <c r="AX408" i="3"/>
  <c r="AW408" i="3"/>
  <c r="AV408" i="3"/>
  <c r="BL407" i="3"/>
  <c r="AX407" i="3"/>
  <c r="AW407" i="3"/>
  <c r="AV407" i="3"/>
  <c r="BL406" i="3"/>
  <c r="AZ406" i="3"/>
  <c r="AX406" i="3"/>
  <c r="AW406" i="3"/>
  <c r="AV406" i="3"/>
  <c r="BL405" i="3"/>
  <c r="AX405" i="3"/>
  <c r="AW405" i="3"/>
  <c r="AV405" i="3"/>
  <c r="BL404" i="3"/>
  <c r="AZ404" i="3"/>
  <c r="AX404" i="3"/>
  <c r="AW404" i="3"/>
  <c r="AV404" i="3"/>
  <c r="BL403" i="3"/>
  <c r="AZ403" i="3"/>
  <c r="AX403" i="3"/>
  <c r="AW403" i="3"/>
  <c r="AV403" i="3"/>
  <c r="BL402" i="3"/>
  <c r="AZ402" i="3"/>
  <c r="AX402" i="3"/>
  <c r="AW402" i="3"/>
  <c r="AV402" i="3"/>
  <c r="BL401" i="3"/>
  <c r="AX401" i="3"/>
  <c r="AW401" i="3"/>
  <c r="AV401" i="3"/>
  <c r="BL400" i="3"/>
  <c r="AZ400" i="3"/>
  <c r="AX400" i="3"/>
  <c r="AW400" i="3"/>
  <c r="AV400" i="3"/>
  <c r="BL399" i="3"/>
  <c r="AZ399" i="3"/>
  <c r="AX399" i="3"/>
  <c r="AW399" i="3"/>
  <c r="AV399" i="3"/>
  <c r="BL398"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E15" i="4"/>
  <c r="D15" i="4"/>
  <c r="F9" i="1"/>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D78" i="9"/>
  <c r="K8" i="1"/>
  <c r="F23" i="15"/>
  <c r="D24" i="15"/>
  <c r="M13" i="1"/>
  <c r="O13" i="1"/>
  <c r="P13" i="1"/>
  <c r="BC10" i="3"/>
  <c r="BD10" i="3"/>
  <c r="BB10" i="3"/>
  <c r="BL16"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L548" i="3"/>
  <c r="BL550"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AC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E81" i="21"/>
  <c r="F81" i="21"/>
  <c r="G81" i="21"/>
  <c r="E77" i="21"/>
  <c r="F77" i="21"/>
  <c r="G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D7" i="12"/>
  <c r="BE10" i="3"/>
  <c r="BL585" i="3"/>
  <c r="BL586" i="3"/>
  <c r="AZ586"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1" i="39"/>
  <c r="H1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U42" i="21"/>
  <c r="J44" i="34"/>
  <c r="F44" i="34"/>
  <c r="AA44" i="34"/>
  <c r="J10" i="35"/>
  <c r="W10" i="35"/>
  <c r="BL587" i="3"/>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AZ585" i="3"/>
  <c r="S15" i="21"/>
  <c r="J41" i="39"/>
  <c r="W41" i="39"/>
  <c r="AC45" i="39"/>
  <c r="W44" i="39"/>
  <c r="W36" i="39"/>
  <c r="W35" i="39"/>
  <c r="U36" i="39"/>
  <c r="S35" i="39"/>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8" i="3"/>
  <c r="AZ544" i="3"/>
  <c r="AZ542" i="3"/>
  <c r="AZ540" i="3"/>
  <c r="AZ538" i="3"/>
  <c r="AZ536" i="3"/>
  <c r="AZ534" i="3"/>
  <c r="AZ532" i="3"/>
  <c r="AZ528" i="3"/>
  <c r="AZ526" i="3"/>
  <c r="AZ524" i="3"/>
  <c r="AZ518" i="3"/>
  <c r="AZ516" i="3"/>
  <c r="AZ512" i="3"/>
  <c r="AZ510" i="3"/>
  <c r="AZ504" i="3"/>
  <c r="AZ498" i="3"/>
  <c r="AZ587" i="3"/>
  <c r="BL581" i="3"/>
  <c r="AZ581" i="3"/>
  <c r="BL579" i="3"/>
  <c r="AZ579" i="3"/>
  <c r="BL575" i="3"/>
  <c r="AZ575" i="3"/>
  <c r="BL571" i="3"/>
  <c r="AZ571" i="3"/>
  <c r="BL567" i="3"/>
  <c r="AZ567" i="3"/>
  <c r="BL517" i="3"/>
  <c r="AZ517" i="3"/>
  <c r="BL513" i="3"/>
  <c r="AZ513" i="3"/>
  <c r="BL495" i="3"/>
  <c r="AZ495" i="3"/>
  <c r="AZ560" i="3"/>
  <c r="BL557" i="3"/>
  <c r="BL583" i="3"/>
  <c r="AZ583" i="3"/>
  <c r="BL577" i="3"/>
  <c r="AZ577" i="3"/>
  <c r="BL573" i="3"/>
  <c r="AZ573" i="3"/>
  <c r="BL569" i="3"/>
  <c r="AZ569"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5" i="3"/>
  <c r="AZ515" i="3"/>
  <c r="BL511" i="3"/>
  <c r="AZ511" i="3"/>
  <c r="BL509" i="3"/>
  <c r="BL508" i="3"/>
  <c r="AZ508" i="3"/>
  <c r="BL507" i="3"/>
  <c r="AZ507" i="3"/>
  <c r="BL505" i="3"/>
  <c r="AZ505" i="3"/>
  <c r="BL503" i="3"/>
  <c r="AZ503" i="3"/>
  <c r="BL501" i="3"/>
  <c r="BL499" i="3"/>
  <c r="BL497"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497" i="3"/>
  <c r="BL549" i="3"/>
  <c r="AZ549" i="3"/>
  <c r="AZ494" i="3"/>
  <c r="AZ502" i="3"/>
  <c r="AZ514" i="3"/>
  <c r="AZ522" i="3"/>
  <c r="AZ530" i="3"/>
  <c r="AZ546" i="3"/>
  <c r="BL304" i="3"/>
  <c r="BL306" i="3"/>
  <c r="AZ308" i="3"/>
  <c r="BL309" i="3"/>
  <c r="BL311" i="3"/>
  <c r="AZ311" i="3"/>
  <c r="BL320" i="3"/>
  <c r="BL322" i="3"/>
  <c r="AZ324" i="3"/>
  <c r="BL325" i="3"/>
  <c r="BL336" i="3"/>
  <c r="BL338" i="3"/>
  <c r="AZ340" i="3"/>
  <c r="BL341" i="3"/>
  <c r="BL345" i="3"/>
  <c r="AZ345" i="3"/>
  <c r="BL355" i="3"/>
  <c r="BL357" i="3"/>
  <c r="AZ359" i="3"/>
  <c r="BL360" i="3"/>
  <c r="AZ360" i="3"/>
  <c r="BL362" i="3"/>
  <c r="AZ362" i="3"/>
  <c r="BL371" i="3"/>
  <c r="BL373" i="3"/>
  <c r="AZ375" i="3"/>
  <c r="BL376" i="3"/>
  <c r="BL378" i="3"/>
  <c r="AZ378" i="3"/>
  <c r="BL380" i="3"/>
  <c r="AZ380"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AZ314" i="3"/>
  <c r="BL315" i="3"/>
  <c r="AZ315" i="3"/>
  <c r="AZ318" i="3"/>
  <c r="BL319" i="3"/>
  <c r="AZ319" i="3"/>
  <c r="AZ322" i="3"/>
  <c r="BL323" i="3"/>
  <c r="AZ323" i="3"/>
  <c r="AZ326" i="3"/>
  <c r="BL327" i="3"/>
  <c r="AZ327" i="3"/>
  <c r="AZ330" i="3"/>
  <c r="BL331" i="3"/>
  <c r="AZ331" i="3"/>
  <c r="AZ334" i="3"/>
  <c r="BL335" i="3"/>
  <c r="AZ338" i="3"/>
  <c r="BL339" i="3"/>
  <c r="AZ339" i="3"/>
  <c r="BL343" i="3"/>
  <c r="AZ343" i="3"/>
  <c r="AZ209" i="3"/>
  <c r="AZ214" i="3"/>
  <c r="AZ218" i="3"/>
  <c r="AZ222" i="3"/>
  <c r="AZ303" i="3"/>
  <c r="AZ335" i="3"/>
  <c r="AZ348" i="3"/>
  <c r="BL349" i="3"/>
  <c r="AZ349" i="3"/>
  <c r="BL352" i="3"/>
  <c r="AZ352" i="3"/>
  <c r="AZ357" i="3"/>
  <c r="BL358" i="3"/>
  <c r="AZ358" i="3"/>
  <c r="AZ361" i="3"/>
  <c r="AZ365" i="3"/>
  <c r="BL366" i="3"/>
  <c r="AZ366" i="3"/>
  <c r="AZ369" i="3"/>
  <c r="BL370" i="3"/>
  <c r="AZ370" i="3"/>
  <c r="AZ373" i="3"/>
  <c r="BL374" i="3"/>
  <c r="AZ374" i="3"/>
  <c r="AZ377" i="3"/>
  <c r="AZ229" i="3"/>
  <c r="AZ233" i="3"/>
  <c r="AZ237" i="3"/>
  <c r="AZ241" i="3"/>
  <c r="AZ245" i="3"/>
  <c r="AZ249" i="3"/>
  <c r="AZ253" i="3"/>
  <c r="AZ257" i="3"/>
  <c r="AZ261" i="3"/>
  <c r="AZ265" i="3"/>
  <c r="AZ269" i="3"/>
  <c r="AZ273" i="3"/>
  <c r="AZ379" i="3"/>
  <c r="AZ383" i="3"/>
  <c r="BL384" i="3"/>
  <c r="AZ387" i="3"/>
  <c r="BL388" i="3"/>
  <c r="AZ388" i="3"/>
  <c r="AZ391" i="3"/>
  <c r="BL392" i="3"/>
  <c r="AZ263" i="3"/>
  <c r="AZ275" i="3"/>
  <c r="AZ279" i="3"/>
  <c r="AZ283" i="3"/>
  <c r="AZ287" i="3"/>
  <c r="AZ291" i="3"/>
  <c r="AZ295" i="3"/>
  <c r="AZ299" i="3"/>
  <c r="BJ5" i="3"/>
  <c r="BH5" i="3"/>
  <c r="BF5" i="3"/>
  <c r="BD5" i="3"/>
  <c r="AZ309" i="3"/>
  <c r="AZ317" i="3"/>
  <c r="AZ325" i="3"/>
  <c r="AZ333" i="3"/>
  <c r="AZ341" i="3"/>
  <c r="AZ506" i="3"/>
  <c r="AZ496" i="3"/>
  <c r="BK5" i="3"/>
  <c r="BI5" i="3"/>
  <c r="BG5" i="3"/>
  <c r="AZ350" i="3"/>
  <c r="AZ356" i="3"/>
  <c r="AZ364" i="3"/>
  <c r="AZ368" i="3"/>
  <c r="AZ384" i="3"/>
  <c r="AZ392" i="3"/>
  <c r="AZ396" i="3"/>
  <c r="AZ394" i="3"/>
  <c r="AZ499" i="3"/>
  <c r="AZ509" i="3"/>
  <c r="BL493" i="3"/>
  <c r="AZ493" i="3"/>
  <c r="AZ491" i="3"/>
  <c r="AZ376" i="3"/>
  <c r="AZ382" i="3"/>
  <c r="U36" i="40"/>
  <c r="F36" i="43"/>
  <c r="F81" i="43"/>
  <c r="H83" i="43"/>
  <c r="H113" i="43"/>
  <c r="F48" i="43"/>
  <c r="H52" i="43"/>
  <c r="F70" i="43"/>
  <c r="H73" i="43"/>
  <c r="M11" i="43"/>
  <c r="D17" i="43"/>
  <c r="F39" i="43"/>
  <c r="I17" i="43"/>
  <c r="F35" i="43"/>
  <c r="J17" i="43"/>
  <c r="F6" i="1"/>
  <c r="U17" i="39"/>
  <c r="S14" i="35"/>
  <c r="U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AQ12" i="1"/>
  <c r="R12" i="1"/>
  <c r="B12" i="1"/>
  <c r="E12" i="1"/>
  <c r="S10" i="1"/>
  <c r="AQ10" i="1"/>
  <c r="R10" i="1"/>
  <c r="B10" i="1"/>
  <c r="E10" i="1"/>
  <c r="D1" i="66"/>
  <c r="E10" i="66"/>
  <c r="AZ80" i="3"/>
  <c r="AZ84" i="3"/>
  <c r="AZ88" i="3"/>
  <c r="AZ107" i="3"/>
  <c r="AZ111" i="3"/>
  <c r="K12" i="1"/>
  <c r="M12" i="1"/>
  <c r="S13" i="1"/>
  <c r="AR13" i="1"/>
  <c r="R13" i="1"/>
  <c r="S11" i="1"/>
  <c r="AQ11" i="1"/>
  <c r="R11" i="1"/>
  <c r="J51" i="67"/>
  <c r="H100" i="43"/>
  <c r="C30" i="66"/>
  <c r="E26" i="66"/>
  <c r="AC34" i="33"/>
  <c r="AA34" i="33"/>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S23" i="21"/>
  <c r="E85" i="21"/>
  <c r="S8" i="21"/>
  <c r="M3" i="43"/>
  <c r="M1" i="43"/>
  <c r="N8" i="43"/>
  <c r="D120" i="9"/>
  <c r="C18" i="9"/>
  <c r="D18" i="9"/>
  <c r="M20" i="67"/>
  <c r="E10" i="6"/>
  <c r="E11" i="6"/>
  <c r="E61" i="39"/>
  <c r="BL17" i="3"/>
  <c r="AZ17" i="3"/>
  <c r="BL13" i="3"/>
  <c r="J56" i="9"/>
  <c r="J57" i="9"/>
  <c r="A24" i="51"/>
  <c r="B18" i="72"/>
  <c r="U29" i="34"/>
  <c r="E14" i="6"/>
  <c r="E64" i="39"/>
  <c r="E5" i="6"/>
  <c r="D9" i="69"/>
  <c r="C9" i="69" s="1"/>
  <c r="G1" i="68"/>
  <c r="K1" i="12"/>
  <c r="E56" i="40"/>
  <c r="AR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40"/>
  <c r="C63" i="40"/>
  <c r="M47" i="9"/>
  <c r="G19" i="43"/>
  <c r="O19" i="43"/>
  <c r="C19" i="43"/>
  <c r="T35" i="4"/>
  <c r="A19" i="51"/>
  <c r="B14" i="72"/>
  <c r="C46" i="36"/>
  <c r="D46" i="36"/>
  <c r="C59" i="34"/>
  <c r="D59" i="34"/>
  <c r="E59" i="34"/>
  <c r="F59" i="34"/>
  <c r="G59" i="34"/>
  <c r="C52" i="37"/>
  <c r="D52" i="37"/>
  <c r="A4" i="51"/>
  <c r="B6" i="72"/>
  <c r="C48" i="35"/>
  <c r="D48" i="35"/>
  <c r="H66" i="43"/>
  <c r="H65" i="43"/>
  <c r="H64" i="43"/>
  <c r="H63" i="43"/>
  <c r="H55" i="43"/>
  <c r="H56" i="43"/>
  <c r="H72"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13" i="21"/>
  <c r="W8" i="21"/>
  <c r="S35" i="21"/>
  <c r="W37" i="21"/>
  <c r="U15" i="21"/>
  <c r="W39" i="21"/>
  <c r="W30" i="21"/>
  <c r="S46" i="21"/>
  <c r="U45" i="21"/>
  <c r="S29" i="21"/>
  <c r="U9" i="21"/>
  <c r="U17" i="21"/>
  <c r="S19" i="21"/>
  <c r="S9" i="21"/>
  <c r="K141" i="21"/>
  <c r="K144" i="21"/>
  <c r="K143" i="21"/>
  <c r="U27" i="21"/>
  <c r="W13" i="21"/>
  <c r="W42" i="21"/>
  <c r="S10" i="21"/>
  <c r="K145"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B5" i="62"/>
  <c r="B73" i="72"/>
  <c r="B13" i="49"/>
  <c r="C4" i="4" s="1"/>
  <c r="AZ13" i="3"/>
  <c r="F30" i="11"/>
  <c r="C48" i="11"/>
  <c r="F52" i="9"/>
  <c r="F30" i="69"/>
  <c r="T13" i="1"/>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U19" i="33"/>
  <c r="G81" i="33"/>
  <c r="G79" i="33"/>
  <c r="H17" i="33"/>
  <c r="F17" i="33"/>
  <c r="S17" i="33"/>
  <c r="W17" i="33"/>
  <c r="AC17" i="33"/>
  <c r="U10" i="33"/>
  <c r="AB10" i="33"/>
  <c r="AC10" i="33"/>
  <c r="W10" i="33"/>
  <c r="U33" i="21"/>
  <c r="S37" i="21"/>
  <c r="W23" i="21"/>
  <c r="F85" i="21"/>
  <c r="G85" i="21"/>
  <c r="U23" i="21"/>
  <c r="S13" i="21"/>
  <c r="D6" i="52"/>
  <c r="D121" i="9"/>
  <c r="D7" i="52"/>
  <c r="K120" i="9"/>
  <c r="J59" i="9"/>
  <c r="J61" i="9"/>
  <c r="R22" i="31"/>
  <c r="B21" i="31"/>
  <c r="AP7" i="1"/>
  <c r="W33" i="21"/>
  <c r="S33" i="21"/>
  <c r="S32" i="21"/>
  <c r="W9" i="21"/>
  <c r="U32" i="21"/>
  <c r="C30" i="11"/>
  <c r="E6" i="70"/>
  <c r="A18" i="62"/>
  <c r="B64" i="72"/>
  <c r="U32" i="39"/>
  <c r="AB32" i="39"/>
  <c r="AC32" i="39"/>
  <c r="W32" i="39"/>
  <c r="W19" i="37"/>
  <c r="AC19" i="37"/>
  <c r="W23" i="37"/>
  <c r="AC23" i="37"/>
  <c r="AB11" i="37"/>
  <c r="U11" i="37"/>
  <c r="H63" i="37"/>
  <c r="I63" i="37"/>
  <c r="J63" i="37"/>
  <c r="K63" i="37"/>
  <c r="L63" i="37"/>
  <c r="M63" i="37"/>
  <c r="J11" i="37"/>
  <c r="W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AA17" i="33"/>
  <c r="U17" i="33"/>
  <c r="AB17" i="33"/>
  <c r="AC11" i="37"/>
  <c r="W11" i="34"/>
  <c r="AC11" i="34"/>
  <c r="AE6" i="1"/>
  <c r="AG6" i="1"/>
  <c r="H109" i="9"/>
  <c r="M49" i="9"/>
  <c r="H110" i="9"/>
  <c r="D18" i="53"/>
  <c r="B35" i="72"/>
  <c r="D16" i="53"/>
  <c r="B34" i="72"/>
  <c r="H112" i="9"/>
  <c r="D21" i="53"/>
  <c r="B39" i="72"/>
  <c r="H111" i="9"/>
  <c r="D126" i="9"/>
  <c r="D19" i="53"/>
  <c r="B38" i="72"/>
  <c r="D59" i="9"/>
  <c r="M55" i="9"/>
  <c r="D20" i="53"/>
  <c r="B40" i="72"/>
  <c r="AD3" i="71"/>
  <c r="J1" i="73"/>
  <c r="C30" i="69"/>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J46" i="36"/>
  <c r="K46" i="36"/>
  <c r="L46" i="36"/>
  <c r="M46" i="36"/>
  <c r="N46" i="36"/>
  <c r="O46" i="36"/>
  <c r="C24" i="12"/>
  <c r="AB9" i="71"/>
  <c r="X7" i="71"/>
  <c r="X6" i="71"/>
  <c r="AA7" i="71"/>
  <c r="AA6" i="71"/>
  <c r="X10" i="71"/>
  <c r="Y6" i="71"/>
  <c r="Z6" i="71"/>
  <c r="AB7" i="71"/>
  <c r="AB6" i="71"/>
  <c r="F8" i="71"/>
  <c r="F7" i="71"/>
  <c r="F6" i="71"/>
  <c r="F5" i="71"/>
  <c r="Y7" i="71"/>
  <c r="Z7" i="71"/>
  <c r="AB3" i="71"/>
  <c r="X3" i="71"/>
  <c r="E8" i="71"/>
  <c r="E7" i="71"/>
  <c r="AF3" i="71"/>
  <c r="P24" i="43"/>
  <c r="B66" i="40"/>
  <c r="P21" i="43"/>
  <c r="P22" i="43"/>
  <c r="G20" i="43"/>
  <c r="H59" i="34"/>
  <c r="I59" i="34"/>
  <c r="J59" i="34"/>
  <c r="K59" i="34"/>
  <c r="P23" i="43"/>
  <c r="B71" i="39"/>
  <c r="P25" i="43"/>
  <c r="E41" i="43"/>
  <c r="C41" i="43"/>
  <c r="C20" i="43"/>
  <c r="F31" i="15"/>
  <c r="F31" i="67"/>
  <c r="G17" i="43"/>
  <c r="C16" i="43"/>
  <c r="U43" i="21"/>
  <c r="E14" i="49"/>
  <c r="B7" i="49"/>
  <c r="W32" i="21"/>
  <c r="S21" i="21"/>
  <c r="C27" i="39"/>
  <c r="W29" i="21"/>
  <c r="AQ13" i="1"/>
  <c r="G13" i="1"/>
  <c r="C70" i="39"/>
  <c r="D68" i="39"/>
  <c r="I14" i="74"/>
  <c r="B8" i="74"/>
  <c r="D127" i="9"/>
  <c r="D13" i="52"/>
  <c r="D12" i="52"/>
  <c r="E6" i="71"/>
  <c r="E5" i="71"/>
  <c r="V7" i="71"/>
  <c r="L68" i="9"/>
  <c r="M68" i="9"/>
  <c r="L65" i="9"/>
  <c r="M65" i="9"/>
  <c r="L66" i="9"/>
  <c r="M66" i="9"/>
  <c r="L64" i="9"/>
  <c r="M64" i="9"/>
  <c r="L63" i="9"/>
  <c r="M63" i="9"/>
  <c r="M69" i="9"/>
  <c r="N69" i="9"/>
  <c r="L67" i="9"/>
  <c r="M67" i="9"/>
  <c r="D9" i="53"/>
  <c r="B25" i="72"/>
  <c r="B24" i="72"/>
  <c r="U31" i="21"/>
  <c r="W45" i="21"/>
  <c r="AZ557" i="3"/>
  <c r="D17" i="53"/>
  <c r="B36" i="72"/>
  <c r="D124" i="9"/>
  <c r="W17" i="21"/>
  <c r="F53" i="9"/>
  <c r="F30" i="6"/>
  <c r="AA13" i="35"/>
  <c r="H9" i="34"/>
  <c r="F34" i="35"/>
  <c r="H34" i="35"/>
  <c r="J36" i="35"/>
  <c r="M20" i="15"/>
  <c r="AZ398" i="3"/>
  <c r="AZ405" i="3"/>
  <c r="AZ407" i="3"/>
  <c r="AZ410" i="3"/>
  <c r="AZ415" i="3"/>
  <c r="AZ420" i="3"/>
  <c r="AZ426" i="3"/>
  <c r="AZ431" i="3"/>
  <c r="AZ436" i="3"/>
  <c r="AZ448" i="3"/>
  <c r="AZ452" i="3"/>
  <c r="AZ461" i="3"/>
  <c r="AZ463" i="3"/>
  <c r="AZ468" i="3"/>
  <c r="AZ470" i="3"/>
  <c r="AZ479" i="3"/>
  <c r="AZ485" i="3"/>
  <c r="AZ385" i="3"/>
  <c r="AZ210" i="3"/>
  <c r="AZ225" i="3"/>
  <c r="H38" i="40"/>
  <c r="J38" i="40"/>
  <c r="H39" i="40"/>
  <c r="AZ489" i="3"/>
  <c r="AZ126" i="3"/>
  <c r="AZ129" i="3"/>
  <c r="AZ141" i="3"/>
  <c r="AZ236" i="3"/>
  <c r="AZ252" i="3"/>
  <c r="AZ298" i="3"/>
  <c r="AZ301" i="3"/>
  <c r="AZ19" i="3"/>
  <c r="AZ20" i="3"/>
  <c r="AZ21" i="3"/>
  <c r="BL22" i="3"/>
  <c r="AZ23" i="3"/>
  <c r="BL25" i="3"/>
  <c r="BL28" i="3"/>
  <c r="AZ29" i="3"/>
  <c r="BL30" i="3"/>
  <c r="BL32" i="3"/>
  <c r="BL34" i="3"/>
  <c r="AZ34" i="3"/>
  <c r="AZ56" i="3"/>
  <c r="AZ73" i="3"/>
  <c r="AZ78" i="3"/>
  <c r="AZ91" i="3"/>
  <c r="AZ98" i="3"/>
  <c r="AZ104" i="3"/>
  <c r="AZ108" i="3"/>
  <c r="BL35" i="3"/>
  <c r="AZ35" i="3"/>
  <c r="F3" i="35"/>
  <c r="J51" i="15"/>
  <c r="AC21" i="33"/>
  <c r="T31" i="71"/>
  <c r="D31" i="71"/>
  <c r="D24" i="67"/>
  <c r="D22" i="67"/>
  <c r="T27" i="71"/>
  <c r="D27" i="71"/>
  <c r="D14" i="71"/>
  <c r="AB14" i="71"/>
  <c r="S15" i="71"/>
  <c r="AA16" i="71"/>
  <c r="S55" i="71"/>
  <c r="B54" i="71"/>
  <c r="Y11" i="71"/>
  <c r="Z11" i="71"/>
  <c r="AA10" i="71"/>
  <c r="X9" i="71"/>
  <c r="AA9" i="71"/>
  <c r="X8" i="71"/>
  <c r="Y8" i="71"/>
  <c r="Z8" i="71"/>
  <c r="Y5" i="71"/>
  <c r="Z5" i="71"/>
  <c r="AB5" i="71"/>
  <c r="X11" i="71"/>
  <c r="Y9" i="71"/>
  <c r="Z9" i="71"/>
  <c r="AB10" i="71"/>
  <c r="AA5" i="71"/>
  <c r="AB8" i="71"/>
  <c r="AA11" i="71"/>
  <c r="AB11" i="71"/>
  <c r="B11" i="71"/>
  <c r="C11" i="71"/>
  <c r="Y10" i="71"/>
  <c r="Z10" i="71"/>
  <c r="AA8" i="71"/>
  <c r="X5" i="71"/>
  <c r="T12" i="1"/>
  <c r="E12" i="6"/>
  <c r="E57" i="40"/>
  <c r="M6" i="1"/>
  <c r="O6" i="1"/>
  <c r="P6" i="1"/>
  <c r="C8" i="68"/>
  <c r="B14" i="49"/>
  <c r="E6" i="49"/>
  <c r="M8" i="1"/>
  <c r="AP9" i="1"/>
  <c r="C36" i="69"/>
  <c r="G3" i="43"/>
  <c r="K101" i="43"/>
  <c r="C13" i="78"/>
  <c r="F70" i="78"/>
  <c r="E72" i="78"/>
  <c r="E9" i="49"/>
  <c r="B5" i="49"/>
  <c r="E22" i="49"/>
  <c r="E13" i="49"/>
  <c r="E4" i="49"/>
  <c r="E5" i="49"/>
  <c r="E11" i="49"/>
  <c r="B4" i="49"/>
  <c r="E10" i="49"/>
  <c r="B15" i="49"/>
  <c r="C5" i="43"/>
  <c r="T13" i="43"/>
  <c r="V13" i="43"/>
  <c r="D5" i="43"/>
  <c r="C34" i="43"/>
  <c r="F34" i="15"/>
  <c r="F62" i="15"/>
  <c r="F34" i="67"/>
  <c r="F62" i="67"/>
  <c r="C92" i="9"/>
  <c r="C94" i="9"/>
  <c r="D68" i="9"/>
  <c r="F28" i="15"/>
  <c r="F32" i="67"/>
  <c r="F60" i="67"/>
  <c r="F28" i="67"/>
  <c r="C28" i="67"/>
  <c r="F54" i="9"/>
  <c r="M18" i="15"/>
  <c r="F32" i="15"/>
  <c r="F60" i="15"/>
  <c r="M18" i="67"/>
  <c r="F31" i="12"/>
  <c r="F30" i="68"/>
  <c r="D23" i="67"/>
  <c r="B22" i="49"/>
  <c r="E15" i="49"/>
  <c r="B16" i="49"/>
  <c r="B11" i="49"/>
  <c r="E21" i="49"/>
  <c r="B8" i="49"/>
  <c r="E8" i="49"/>
  <c r="B10" i="49"/>
  <c r="E16" i="49"/>
  <c r="B9" i="49"/>
  <c r="B6" i="49"/>
  <c r="E7" i="49"/>
  <c r="AR10" i="1"/>
  <c r="E62" i="39"/>
  <c r="F31" i="6"/>
  <c r="E59" i="40"/>
  <c r="E13" i="6"/>
  <c r="E15" i="6"/>
  <c r="AR11" i="1"/>
  <c r="T11" i="1"/>
  <c r="BL33" i="3"/>
  <c r="AZ33" i="3"/>
  <c r="BL36" i="3"/>
  <c r="AZ36" i="3"/>
  <c r="AZ14" i="3"/>
  <c r="BL15" i="3"/>
  <c r="AZ15" i="3"/>
  <c r="BL27" i="3"/>
  <c r="G30" i="6"/>
  <c r="G31" i="6"/>
  <c r="K14" i="1"/>
  <c r="AZ25" i="3"/>
  <c r="BL26" i="3"/>
  <c r="AZ26" i="3"/>
  <c r="AZ27" i="3"/>
  <c r="BL31" i="3"/>
  <c r="D9" i="68"/>
  <c r="C9" i="68" s="1"/>
  <c r="AZ24" i="3"/>
  <c r="AZ28" i="3"/>
  <c r="AZ31" i="3"/>
  <c r="AZ32" i="3"/>
  <c r="O12" i="1"/>
  <c r="P12" i="1"/>
  <c r="O9" i="1"/>
  <c r="P9" i="1"/>
  <c r="C13" i="12"/>
  <c r="AZ18" i="3"/>
  <c r="AZ22" i="3"/>
  <c r="M7" i="1"/>
  <c r="Q16" i="1"/>
  <c r="H16" i="1"/>
  <c r="P11" i="1"/>
  <c r="D9" i="11"/>
  <c r="C9" i="11"/>
  <c r="D19" i="12"/>
  <c r="C19" i="12" s="1"/>
  <c r="F22" i="43"/>
  <c r="M101" i="43"/>
  <c r="T10" i="43"/>
  <c r="V10" i="43"/>
  <c r="C33" i="43"/>
  <c r="T8" i="43"/>
  <c r="V8" i="43"/>
  <c r="T12" i="43"/>
  <c r="V12" i="43"/>
  <c r="T15" i="43"/>
  <c r="V15" i="43"/>
  <c r="C37" i="43"/>
  <c r="E37" i="43"/>
  <c r="C36" i="43"/>
  <c r="E36" i="43"/>
  <c r="G16" i="1"/>
  <c r="J10" i="40"/>
  <c r="L59" i="34"/>
  <c r="M59" i="34"/>
  <c r="N59" i="34"/>
  <c r="O59" i="34"/>
  <c r="J7" i="34"/>
  <c r="H7" i="34"/>
  <c r="F7" i="34"/>
  <c r="E48" i="35"/>
  <c r="D63" i="40"/>
  <c r="C65" i="40"/>
  <c r="D58" i="33"/>
  <c r="E58" i="33"/>
  <c r="F58" i="33"/>
  <c r="G58" i="33"/>
  <c r="H58" i="33"/>
  <c r="I58" i="33"/>
  <c r="J58" i="33"/>
  <c r="K58" i="33"/>
  <c r="L58" i="33"/>
  <c r="M58" i="33"/>
  <c r="N58" i="33"/>
  <c r="O58" i="33"/>
  <c r="H7" i="36"/>
  <c r="E52" i="37"/>
  <c r="F52" i="37"/>
  <c r="G52" i="37"/>
  <c r="H52" i="37"/>
  <c r="I52" i="37"/>
  <c r="J52" i="37"/>
  <c r="K52" i="37"/>
  <c r="L52" i="37"/>
  <c r="M52" i="37"/>
  <c r="N52" i="37"/>
  <c r="O52" i="37"/>
  <c r="J7" i="37"/>
  <c r="F7" i="37"/>
  <c r="H7" i="37"/>
  <c r="J7" i="36"/>
  <c r="F7" i="36"/>
  <c r="C28" i="15"/>
  <c r="C48" i="69"/>
  <c r="K1" i="73"/>
  <c r="M17" i="15"/>
  <c r="M17" i="67"/>
  <c r="F59" i="15"/>
  <c r="F59" i="67"/>
  <c r="E68" i="39"/>
  <c r="D70" i="39"/>
  <c r="B10" i="71"/>
  <c r="B9" i="71"/>
  <c r="B8" i="71"/>
  <c r="B7" i="71"/>
  <c r="S11" i="71"/>
  <c r="B53" i="71"/>
  <c r="N54" i="71"/>
  <c r="AC38" i="40"/>
  <c r="W38" i="40"/>
  <c r="AB34" i="35"/>
  <c r="U34" i="35"/>
  <c r="U9" i="34"/>
  <c r="AB9" i="34"/>
  <c r="H14" i="74"/>
  <c r="B7" i="74"/>
  <c r="D10" i="52"/>
  <c r="D125" i="9"/>
  <c r="D11" i="52"/>
  <c r="C10" i="71"/>
  <c r="D11" i="71"/>
  <c r="U11" i="71"/>
  <c r="T11" i="71"/>
  <c r="AZ30" i="3"/>
  <c r="U39" i="40"/>
  <c r="AB39" i="40"/>
  <c r="AB38" i="40"/>
  <c r="U38" i="40"/>
  <c r="AC36" i="35"/>
  <c r="W36" i="35"/>
  <c r="AA34" i="35"/>
  <c r="S34" i="35"/>
  <c r="T14" i="43"/>
  <c r="V14" i="43"/>
  <c r="T9" i="43"/>
  <c r="V9" i="43"/>
  <c r="T11" i="43"/>
  <c r="V11" i="43"/>
  <c r="T16" i="43"/>
  <c r="V16" i="43"/>
  <c r="Z11" i="43"/>
  <c r="Z13" i="43"/>
  <c r="J22" i="43"/>
  <c r="AE11" i="43"/>
  <c r="AE13" i="43"/>
  <c r="AH11" i="43"/>
  <c r="AH13" i="43"/>
  <c r="J101" i="43"/>
  <c r="E22" i="43"/>
  <c r="AA11" i="43"/>
  <c r="AA13" i="43"/>
  <c r="AI11" i="43"/>
  <c r="AI13" i="43"/>
  <c r="AD11" i="43"/>
  <c r="AD13" i="43"/>
  <c r="E101" i="43"/>
  <c r="H22" i="43"/>
  <c r="G101" i="43"/>
  <c r="H101" i="43"/>
  <c r="F101" i="43"/>
  <c r="Y11" i="43"/>
  <c r="Y13" i="43"/>
  <c r="AC11" i="43"/>
  <c r="AC13" i="43"/>
  <c r="AG11" i="43"/>
  <c r="AG13" i="43"/>
  <c r="Z7" i="43"/>
  <c r="AB11" i="43"/>
  <c r="AB13" i="43"/>
  <c r="AF11" i="43"/>
  <c r="AF13" i="43"/>
  <c r="AJ11" i="43"/>
  <c r="AJ13" i="43"/>
  <c r="I101" i="43"/>
  <c r="D101" i="43"/>
  <c r="N104" i="46"/>
  <c r="C101" i="43"/>
  <c r="B113" i="43"/>
  <c r="D117" i="43"/>
  <c r="E117" i="43"/>
  <c r="F117" i="43"/>
  <c r="G117" i="43"/>
  <c r="H117" i="43"/>
  <c r="G22" i="43"/>
  <c r="L101" i="43"/>
  <c r="L109" i="43"/>
  <c r="N101" i="43"/>
  <c r="O8" i="1"/>
  <c r="P8" i="1"/>
  <c r="H13" i="78"/>
  <c r="J13" i="78"/>
  <c r="F13" i="78"/>
  <c r="C35" i="43"/>
  <c r="E35" i="43"/>
  <c r="F72" i="78"/>
  <c r="G70" i="78"/>
  <c r="C39" i="43"/>
  <c r="C38" i="43"/>
  <c r="G36" i="43"/>
  <c r="I36" i="43"/>
  <c r="G37" i="43"/>
  <c r="I37" i="43"/>
  <c r="C48" i="68"/>
  <c r="C30" i="68"/>
  <c r="E56" i="39"/>
  <c r="K19" i="6"/>
  <c r="S6" i="1"/>
  <c r="AQ6" i="1"/>
  <c r="E16" i="6"/>
  <c r="E51" i="40"/>
  <c r="E60" i="40"/>
  <c r="E65" i="39"/>
  <c r="E58" i="40"/>
  <c r="E63" i="39"/>
  <c r="E66" i="39"/>
  <c r="BL5" i="3"/>
  <c r="E20" i="3"/>
  <c r="O7" i="1"/>
  <c r="P7" i="1"/>
  <c r="H10" i="40"/>
  <c r="U10" i="40"/>
  <c r="F27" i="69"/>
  <c r="C47" i="69" s="1"/>
  <c r="D45" i="69" s="1"/>
  <c r="F27" i="68"/>
  <c r="C28" i="68" s="1"/>
  <c r="C27" i="68" s="1"/>
  <c r="F28" i="12"/>
  <c r="C29" i="12" s="1"/>
  <c r="D28" i="12" s="1"/>
  <c r="F27" i="11"/>
  <c r="AZ5" i="3"/>
  <c r="M14" i="1"/>
  <c r="C34" i="69"/>
  <c r="C38" i="69" s="1"/>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H107" i="43"/>
  <c r="H106" i="43"/>
  <c r="H105" i="43"/>
  <c r="H102" i="43"/>
  <c r="H104" i="43"/>
  <c r="H109" i="43"/>
  <c r="H103" i="43"/>
  <c r="D22" i="43"/>
  <c r="F102" i="43"/>
  <c r="F105" i="43"/>
  <c r="F109" i="43"/>
  <c r="F104" i="43"/>
  <c r="F107" i="43"/>
  <c r="F106" i="43"/>
  <c r="F103" i="43"/>
  <c r="I109" i="43"/>
  <c r="I102" i="43"/>
  <c r="I106" i="43"/>
  <c r="I103" i="43"/>
  <c r="I104" i="43"/>
  <c r="I107" i="43"/>
  <c r="I105" i="43"/>
  <c r="D109" i="43"/>
  <c r="D103" i="43"/>
  <c r="D104" i="43"/>
  <c r="D107" i="43"/>
  <c r="D105" i="43"/>
  <c r="D106" i="43"/>
  <c r="D102" i="43"/>
  <c r="C104" i="43"/>
  <c r="C107" i="43"/>
  <c r="C103" i="43"/>
  <c r="C106" i="43"/>
  <c r="C105" i="43"/>
  <c r="C102" i="43"/>
  <c r="C109" i="43"/>
  <c r="N105" i="43"/>
  <c r="N104" i="43"/>
  <c r="N109" i="43"/>
  <c r="N102" i="43"/>
  <c r="N103" i="43"/>
  <c r="N106" i="43"/>
  <c r="N107" i="43"/>
  <c r="K102" i="43"/>
  <c r="K105" i="43"/>
  <c r="K109" i="43"/>
  <c r="K103" i="43"/>
  <c r="K107" i="43"/>
  <c r="K104" i="43"/>
  <c r="K106" i="43"/>
  <c r="J10" i="39"/>
  <c r="W10" i="39"/>
  <c r="F10" i="39"/>
  <c r="S10" i="39"/>
  <c r="E33" i="43"/>
  <c r="G33" i="43"/>
  <c r="I33" i="43"/>
  <c r="E34" i="43"/>
  <c r="G34" i="43"/>
  <c r="I34" i="43"/>
  <c r="F10" i="40"/>
  <c r="S10" i="40"/>
  <c r="H10" i="39"/>
  <c r="AB10" i="39"/>
  <c r="AA7" i="36"/>
  <c r="R36" i="36"/>
  <c r="S7" i="36"/>
  <c r="U7" i="37"/>
  <c r="AB7" i="37"/>
  <c r="T42" i="37"/>
  <c r="G42" i="37"/>
  <c r="U7" i="36"/>
  <c r="AB7" i="36"/>
  <c r="T36" i="36"/>
  <c r="G36" i="36"/>
  <c r="AC10" i="40"/>
  <c r="W10" i="40"/>
  <c r="H7" i="33"/>
  <c r="J7" i="33"/>
  <c r="E63" i="40"/>
  <c r="D65" i="40"/>
  <c r="F48" i="35"/>
  <c r="S7" i="34"/>
  <c r="AA7" i="34"/>
  <c r="R49" i="34"/>
  <c r="W7" i="34"/>
  <c r="AC7" i="34"/>
  <c r="V49" i="34"/>
  <c r="I49" i="34"/>
  <c r="W7" i="36"/>
  <c r="AC7" i="36"/>
  <c r="V36" i="36"/>
  <c r="I36" i="36"/>
  <c r="S7" i="37"/>
  <c r="AA7" i="37"/>
  <c r="R42" i="37"/>
  <c r="W7" i="37"/>
  <c r="AC7" i="37"/>
  <c r="V42" i="37"/>
  <c r="I42" i="37"/>
  <c r="F7" i="33"/>
  <c r="U7" i="34"/>
  <c r="AB7" i="34"/>
  <c r="T49" i="34"/>
  <c r="G49" i="34"/>
  <c r="L102" i="43"/>
  <c r="B118" i="43"/>
  <c r="C118" i="43"/>
  <c r="K22" i="6"/>
  <c r="L107" i="43"/>
  <c r="I118" i="43"/>
  <c r="J118" i="43"/>
  <c r="K118" i="43"/>
  <c r="L118" i="43"/>
  <c r="M118" i="43"/>
  <c r="I115" i="43"/>
  <c r="J115" i="43"/>
  <c r="K115" i="43"/>
  <c r="L115" i="43"/>
  <c r="M115" i="43"/>
  <c r="E24" i="3"/>
  <c r="G35" i="43"/>
  <c r="I35" i="43"/>
  <c r="F68" i="39"/>
  <c r="E70" i="39"/>
  <c r="L104" i="43"/>
  <c r="D115" i="43"/>
  <c r="E115" i="43"/>
  <c r="F115" i="43"/>
  <c r="G115" i="43"/>
  <c r="H115" i="43"/>
  <c r="B117" i="43"/>
  <c r="C117" i="43"/>
  <c r="G118" i="43"/>
  <c r="H118" i="43"/>
  <c r="B115" i="43"/>
  <c r="K15" i="1"/>
  <c r="K16" i="1"/>
  <c r="L19" i="6"/>
  <c r="L27" i="6"/>
  <c r="E19" i="3"/>
  <c r="E32" i="3"/>
  <c r="C9" i="71"/>
  <c r="D10" i="71"/>
  <c r="N52" i="71"/>
  <c r="N53" i="71"/>
  <c r="B6" i="71"/>
  <c r="B5" i="71"/>
  <c r="S7" i="71"/>
  <c r="L103" i="43"/>
  <c r="L106" i="43"/>
  <c r="L105" i="43"/>
  <c r="D118" i="43"/>
  <c r="E118" i="43"/>
  <c r="F118" i="43"/>
  <c r="I116" i="43"/>
  <c r="J116" i="43"/>
  <c r="K116" i="43"/>
  <c r="L116" i="43"/>
  <c r="M116" i="43"/>
  <c r="I117" i="43"/>
  <c r="J117" i="43"/>
  <c r="K117" i="43"/>
  <c r="L117" i="43"/>
  <c r="M117" i="43"/>
  <c r="B116" i="43"/>
  <c r="C116" i="43"/>
  <c r="D116" i="43"/>
  <c r="E116" i="43"/>
  <c r="F116" i="43"/>
  <c r="G116" i="43"/>
  <c r="H116" i="43"/>
  <c r="K26" i="6"/>
  <c r="M26" i="6"/>
  <c r="I26" i="6"/>
  <c r="S26" i="6"/>
  <c r="AC13" i="78"/>
  <c r="W13" i="78"/>
  <c r="AA13" i="78"/>
  <c r="S13" i="78"/>
  <c r="U13" i="78"/>
  <c r="AB13" i="78"/>
  <c r="H70" i="78"/>
  <c r="G72" i="78"/>
  <c r="E39" i="43"/>
  <c r="G39" i="43"/>
  <c r="I39" i="43"/>
  <c r="G38" i="43"/>
  <c r="I38" i="43"/>
  <c r="E38" i="43"/>
  <c r="AB10" i="40"/>
  <c r="K20" i="6"/>
  <c r="S7" i="1"/>
  <c r="M19" i="6"/>
  <c r="I19" i="6"/>
  <c r="K25" i="6"/>
  <c r="M25" i="6"/>
  <c r="I25" i="6"/>
  <c r="S25" i="6"/>
  <c r="T6" i="1"/>
  <c r="K24" i="6"/>
  <c r="M24" i="6"/>
  <c r="I24" i="6"/>
  <c r="S24" i="6"/>
  <c r="K23" i="6"/>
  <c r="M23" i="6"/>
  <c r="I23" i="6"/>
  <c r="S23" i="6"/>
  <c r="K21" i="6"/>
  <c r="M21" i="6"/>
  <c r="I21" i="6"/>
  <c r="S21" i="6"/>
  <c r="AR6" i="1"/>
  <c r="AC10" i="39"/>
  <c r="AA10" i="39"/>
  <c r="M22" i="6"/>
  <c r="I22" i="6"/>
  <c r="S22" i="6"/>
  <c r="S9" i="1"/>
  <c r="E21" i="3"/>
  <c r="E30" i="3"/>
  <c r="E18" i="3"/>
  <c r="E336" i="3"/>
  <c r="E280" i="3"/>
  <c r="E246" i="3"/>
  <c r="E124" i="3"/>
  <c r="E293" i="3"/>
  <c r="E397" i="3"/>
  <c r="E314" i="3"/>
  <c r="E568" i="3"/>
  <c r="E511" i="3"/>
  <c r="I6" i="3"/>
  <c r="E16" i="3"/>
  <c r="E536" i="3"/>
  <c r="AK6" i="3"/>
  <c r="E549" i="3"/>
  <c r="E434" i="3"/>
  <c r="E453" i="3"/>
  <c r="E306" i="3"/>
  <c r="E368" i="3"/>
  <c r="E296" i="3"/>
  <c r="E244" i="3"/>
  <c r="E262" i="3"/>
  <c r="E196"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461" i="3"/>
  <c r="E227" i="3"/>
  <c r="E165" i="3"/>
  <c r="E353" i="3"/>
  <c r="E495" i="3"/>
  <c r="AN6" i="3"/>
  <c r="E586" i="3"/>
  <c r="E402" i="3"/>
  <c r="E350" i="3"/>
  <c r="E303" i="3"/>
  <c r="E301" i="3"/>
  <c r="E159" i="3"/>
  <c r="E191" i="3"/>
  <c r="E99" i="3"/>
  <c r="E188" i="3"/>
  <c r="E228" i="3"/>
  <c r="E181" i="3"/>
  <c r="E157" i="3"/>
  <c r="E120" i="3"/>
  <c r="E45" i="3"/>
  <c r="E277" i="3"/>
  <c r="E224" i="3"/>
  <c r="E177" i="3"/>
  <c r="E193" i="3"/>
  <c r="E133" i="3"/>
  <c r="E313" i="3"/>
  <c r="E330" i="3"/>
  <c r="E519" i="3"/>
  <c r="K6" i="3"/>
  <c r="E532" i="3"/>
  <c r="Q6" i="3"/>
  <c r="E573" i="3"/>
  <c r="E560"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352" i="3"/>
  <c r="E205" i="3"/>
  <c r="E128" i="3"/>
  <c r="E385" i="3"/>
  <c r="E518" i="3"/>
  <c r="AI6" i="3"/>
  <c r="E578" i="3"/>
  <c r="E423" i="3"/>
  <c r="E382" i="3"/>
  <c r="E263" i="3"/>
  <c r="E245" i="3"/>
  <c r="E136" i="3"/>
  <c r="E156" i="3"/>
  <c r="E236" i="3"/>
  <c r="E148" i="3"/>
  <c r="E269" i="3"/>
  <c r="E122" i="3"/>
  <c r="E89" i="3"/>
  <c r="E140" i="3"/>
  <c r="E85" i="3"/>
  <c r="E223" i="3"/>
  <c r="E238" i="3"/>
  <c r="E197" i="3"/>
  <c r="E116" i="3"/>
  <c r="E173" i="3"/>
  <c r="E105" i="3"/>
  <c r="E369" i="3"/>
  <c r="E393" i="3"/>
  <c r="E525" i="3"/>
  <c r="E493" i="3"/>
  <c r="E534" i="3"/>
  <c r="E564" i="3"/>
  <c r="T6"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3" i="3"/>
  <c r="E75" i="3"/>
  <c r="E488" i="3"/>
  <c r="E409" i="3"/>
  <c r="E428" i="3"/>
  <c r="E473" i="3"/>
  <c r="E482" i="3"/>
  <c r="E15" i="3"/>
  <c r="E412" i="3"/>
  <c r="E455" i="3"/>
  <c r="E79" i="3"/>
  <c r="E96" i="3"/>
  <c r="E38" i="3"/>
  <c r="E78" i="3"/>
  <c r="E100" i="3"/>
  <c r="E129" i="3"/>
  <c r="E170" i="3"/>
  <c r="E190" i="3"/>
  <c r="E137" i="3"/>
  <c r="E174"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67" i="3"/>
  <c r="E48" i="3"/>
  <c r="E33" i="3"/>
  <c r="E87" i="3"/>
  <c r="E144" i="3"/>
  <c r="E127" i="3"/>
  <c r="E184" i="3"/>
  <c r="E250" i="3"/>
  <c r="E233" i="3"/>
  <c r="E284" i="3"/>
  <c r="E355" i="3"/>
  <c r="E341" i="3"/>
  <c r="E381" i="3"/>
  <c r="Y6" i="3"/>
  <c r="E68" i="3"/>
  <c r="E51" i="3"/>
  <c r="E63" i="3"/>
  <c r="E81" i="3"/>
  <c r="E154" i="3"/>
  <c r="E118" i="3"/>
  <c r="E179" i="3"/>
  <c r="E264"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44" i="3"/>
  <c r="E109" i="3"/>
  <c r="E29" i="3"/>
  <c r="E480" i="3"/>
  <c r="E441" i="3"/>
  <c r="E484" i="3"/>
  <c r="E425" i="3"/>
  <c r="E467" i="3"/>
  <c r="E64" i="3"/>
  <c r="E46" i="3"/>
  <c r="E103" i="3"/>
  <c r="E160" i="3"/>
  <c r="E142"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113" i="3"/>
  <c r="E158" i="3"/>
  <c r="E287" i="3"/>
  <c r="E265" i="3"/>
  <c r="E308" i="3"/>
  <c r="E365" i="3"/>
  <c r="E326" i="3"/>
  <c r="E524" i="3"/>
  <c r="E101" i="3"/>
  <c r="E83" i="3"/>
  <c r="E62" i="3"/>
  <c r="E176" i="3"/>
  <c r="E218" i="3"/>
  <c r="E222" i="3"/>
  <c r="E283" i="3"/>
  <c r="E323" i="3"/>
  <c r="E309" i="3"/>
  <c r="E373" i="3"/>
  <c r="E513" i="3"/>
  <c r="E82"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53" i="3"/>
  <c r="E175" i="3"/>
  <c r="E319" i="3"/>
  <c r="E530" i="3"/>
  <c r="E501" i="3"/>
  <c r="E343" i="3"/>
  <c r="E153" i="3"/>
  <c r="E305" i="3"/>
  <c r="E426" i="3"/>
  <c r="E508" i="3"/>
  <c r="E328" i="3"/>
  <c r="E347" i="3"/>
  <c r="E583" i="3"/>
  <c r="AA6" i="3"/>
  <c r="X6" i="3"/>
  <c r="E399"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25" i="3"/>
  <c r="E217" i="3"/>
  <c r="E366" i="3"/>
  <c r="E526" i="3"/>
  <c r="E553" i="3"/>
  <c r="E268" i="3"/>
  <c r="E282" i="3"/>
  <c r="E322" i="3"/>
  <c r="N6" i="3"/>
  <c r="AJ6" i="3"/>
  <c r="E329" i="3"/>
  <c r="E539" i="3"/>
  <c r="E545" i="3"/>
  <c r="E567" i="3"/>
  <c r="E510" i="3"/>
  <c r="E22" i="3"/>
  <c r="U10" i="39"/>
  <c r="AY6" i="3"/>
  <c r="E3" i="6"/>
  <c r="O14" i="1"/>
  <c r="P14" i="1"/>
  <c r="P16" i="1"/>
  <c r="C11" i="12"/>
  <c r="C12" i="12" s="1"/>
  <c r="C47" i="11"/>
  <c r="D45" i="11"/>
  <c r="C47" i="68"/>
  <c r="D45" i="68" s="1"/>
  <c r="M16" i="1"/>
  <c r="C115" i="43"/>
  <c r="D113" i="43"/>
  <c r="S5" i="43"/>
  <c r="T5" i="43"/>
  <c r="V5" i="43"/>
  <c r="S3" i="43"/>
  <c r="T3" i="43"/>
  <c r="V3" i="43"/>
  <c r="S4" i="43"/>
  <c r="T4" i="43"/>
  <c r="V4" i="43"/>
  <c r="S2" i="43"/>
  <c r="T2" i="43"/>
  <c r="V2" i="43"/>
  <c r="S6" i="43"/>
  <c r="T6" i="43"/>
  <c r="V6" i="43"/>
  <c r="C23" i="43"/>
  <c r="C21" i="43"/>
  <c r="S7" i="43"/>
  <c r="T7" i="43"/>
  <c r="V7" i="43"/>
  <c r="AA10" i="40"/>
  <c r="G53" i="34"/>
  <c r="H53" i="34"/>
  <c r="G54" i="34"/>
  <c r="H54" i="34"/>
  <c r="I46" i="37"/>
  <c r="J46" i="37"/>
  <c r="R43" i="37"/>
  <c r="E42" i="37"/>
  <c r="I40" i="36"/>
  <c r="J40" i="36"/>
  <c r="G48" i="21"/>
  <c r="U7" i="21"/>
  <c r="W7" i="21"/>
  <c r="I48" i="21"/>
  <c r="I53" i="34"/>
  <c r="J53" i="34"/>
  <c r="R50" i="34"/>
  <c r="E49" i="34"/>
  <c r="AC7" i="33"/>
  <c r="V48" i="33"/>
  <c r="I48" i="33"/>
  <c r="W7" i="33"/>
  <c r="G40" i="36"/>
  <c r="H40" i="36"/>
  <c r="G41" i="36"/>
  <c r="H41" i="36"/>
  <c r="G46" i="37"/>
  <c r="H46" i="37"/>
  <c r="G47" i="37"/>
  <c r="H47" i="37"/>
  <c r="S7" i="33"/>
  <c r="AA7" i="33"/>
  <c r="R48" i="33"/>
  <c r="G48" i="35"/>
  <c r="E65" i="40"/>
  <c r="F63" i="40"/>
  <c r="AB7" i="33"/>
  <c r="T48" i="33"/>
  <c r="G48" i="33"/>
  <c r="U7" i="33"/>
  <c r="R37" i="36"/>
  <c r="E36" i="36"/>
  <c r="AC6" i="3"/>
  <c r="H6" i="3"/>
  <c r="E6" i="3"/>
  <c r="G68" i="39"/>
  <c r="F70" i="39"/>
  <c r="D9" i="71"/>
  <c r="C8" i="71"/>
  <c r="S8" i="1"/>
  <c r="M20" i="6"/>
  <c r="E7" i="70"/>
  <c r="H72" i="78"/>
  <c r="I70" i="78"/>
  <c r="K27" i="6"/>
  <c r="T7" i="1"/>
  <c r="AR7" i="1"/>
  <c r="AQ7" i="1"/>
  <c r="AR9" i="1"/>
  <c r="AQ9" i="1"/>
  <c r="T9" i="1"/>
  <c r="O16" i="1"/>
  <c r="C15" i="12"/>
  <c r="N16" i="1"/>
  <c r="L16" i="1"/>
  <c r="AY103" i="3"/>
  <c r="AY98" i="3"/>
  <c r="AY67" i="3"/>
  <c r="AY82" i="3"/>
  <c r="AY50" i="3"/>
  <c r="AY18" i="3"/>
  <c r="AY196" i="3"/>
  <c r="AY191" i="3"/>
  <c r="AY160" i="3"/>
  <c r="AY171" i="3"/>
  <c r="AY139" i="3"/>
  <c r="AY132" i="3"/>
  <c r="AY289" i="3"/>
  <c r="AY90" i="3"/>
  <c r="AY74" i="3"/>
  <c r="AY31" i="3"/>
  <c r="AY183" i="3"/>
  <c r="AY163" i="3"/>
  <c r="AY83" i="3"/>
  <c r="AY66" i="3"/>
  <c r="AY23" i="3"/>
  <c r="AY176" i="3"/>
  <c r="AY155" i="3"/>
  <c r="AY115" i="3"/>
  <c r="AY59" i="3"/>
  <c r="AY188"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87" i="3"/>
  <c r="AY34" i="3"/>
  <c r="AY144" i="3"/>
  <c r="AY95" i="3"/>
  <c r="AY152"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51" i="3"/>
  <c r="AY207" i="3"/>
  <c r="AY124" i="3"/>
  <c r="AY42"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29" i="3"/>
  <c r="AY282" i="3"/>
  <c r="AY266" i="3"/>
  <c r="AY223" i="3"/>
  <c r="AY369" i="3"/>
  <c r="AY345" i="3"/>
  <c r="AY313" i="3"/>
  <c r="AY328" i="3"/>
  <c r="AY487" i="3"/>
  <c r="AY484" i="3"/>
  <c r="AY453" i="3"/>
  <c r="AY442"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7" i="3"/>
  <c r="AY287" i="3"/>
  <c r="AY251" i="3"/>
  <c r="AY234" i="3"/>
  <c r="AY380" i="3"/>
  <c r="AY364" i="3"/>
  <c r="AY329" i="3"/>
  <c r="AY344" i="3"/>
  <c r="AY312" i="3"/>
  <c r="AY471" i="3"/>
  <c r="AY468" i="3"/>
  <c r="AY458"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19" i="6"/>
  <c r="D3" i="34"/>
  <c r="D3" i="33"/>
  <c r="E6" i="6"/>
  <c r="D37" i="11"/>
  <c r="D14" i="12"/>
  <c r="M18" i="9"/>
  <c r="B118" i="9"/>
  <c r="B14" i="74"/>
  <c r="C17" i="4"/>
  <c r="B4" i="52"/>
  <c r="B43" i="72"/>
  <c r="L18" i="9"/>
  <c r="D19" i="11"/>
  <c r="C19" i="11"/>
  <c r="D3" i="37"/>
  <c r="C29" i="43"/>
  <c r="E40" i="36"/>
  <c r="F40" i="36"/>
  <c r="E41" i="36"/>
  <c r="F41" i="36"/>
  <c r="G63" i="40"/>
  <c r="F65" i="40"/>
  <c r="H48" i="35"/>
  <c r="E54" i="34"/>
  <c r="F54" i="34"/>
  <c r="E53" i="34"/>
  <c r="F53" i="34"/>
  <c r="I54" i="34"/>
  <c r="J54" i="34"/>
  <c r="I52" i="21"/>
  <c r="J52" i="21"/>
  <c r="I41" i="36"/>
  <c r="J41" i="36"/>
  <c r="E47" i="37"/>
  <c r="F47" i="37"/>
  <c r="E46" i="37"/>
  <c r="F46" i="37"/>
  <c r="C37" i="36"/>
  <c r="C36" i="36"/>
  <c r="G52" i="33"/>
  <c r="H52" i="33"/>
  <c r="G53" i="33"/>
  <c r="H53" i="33"/>
  <c r="E48" i="33"/>
  <c r="R49" i="33"/>
  <c r="S7" i="21"/>
  <c r="I53" i="33"/>
  <c r="J53" i="33"/>
  <c r="I52" i="33"/>
  <c r="J52" i="33"/>
  <c r="C49" i="34"/>
  <c r="C50" i="34"/>
  <c r="G52" i="21"/>
  <c r="H52" i="21"/>
  <c r="G53" i="21"/>
  <c r="H53" i="21"/>
  <c r="C43" i="37"/>
  <c r="C42" i="37"/>
  <c r="I47" i="37"/>
  <c r="J47" i="37"/>
  <c r="E8" i="70"/>
  <c r="E2" i="70"/>
  <c r="AR8" i="1"/>
  <c r="S16" i="1"/>
  <c r="H68" i="39"/>
  <c r="G70" i="39"/>
  <c r="C7" i="71"/>
  <c r="D8" i="71"/>
  <c r="I20" i="6"/>
  <c r="M27" i="6"/>
  <c r="T8" i="1"/>
  <c r="AQ8" i="1"/>
  <c r="F34" i="11"/>
  <c r="C37" i="11"/>
  <c r="B23" i="1"/>
  <c r="C29" i="11"/>
  <c r="D27" i="11"/>
  <c r="C29" i="68"/>
  <c r="D27" i="68" s="1"/>
  <c r="J70" i="78"/>
  <c r="I72" i="78"/>
  <c r="D17" i="12"/>
  <c r="C17" i="12" s="1"/>
  <c r="D10" i="68"/>
  <c r="D19" i="68" s="1"/>
  <c r="D37" i="68" s="1"/>
  <c r="D10" i="11"/>
  <c r="C10" i="11"/>
  <c r="D20" i="12"/>
  <c r="C20" i="12" s="1"/>
  <c r="D10" i="69"/>
  <c r="C10" i="69" s="1"/>
  <c r="C8" i="69" s="1"/>
  <c r="C5" i="69" s="1"/>
  <c r="C20" i="11"/>
  <c r="H20" i="6"/>
  <c r="M19" i="9"/>
  <c r="C118" i="9"/>
  <c r="C14" i="74"/>
  <c r="D25" i="6"/>
  <c r="D15" i="6"/>
  <c r="D22" i="6"/>
  <c r="D21" i="6"/>
  <c r="D24" i="6"/>
  <c r="D20" i="6"/>
  <c r="D6" i="6"/>
  <c r="D9" i="6"/>
  <c r="D10" i="6"/>
  <c r="L19" i="9"/>
  <c r="D29" i="6"/>
  <c r="H25" i="6"/>
  <c r="H23" i="6"/>
  <c r="H26" i="6"/>
  <c r="H19" i="6"/>
  <c r="D19" i="6"/>
  <c r="D26" i="6"/>
  <c r="C18" i="4"/>
  <c r="D8" i="6"/>
  <c r="D23" i="6"/>
  <c r="D14" i="6"/>
  <c r="D5" i="6"/>
  <c r="D12" i="6"/>
  <c r="D11" i="6"/>
  <c r="D13" i="6"/>
  <c r="D28" i="6"/>
  <c r="E61" i="40"/>
  <c r="H22" i="6"/>
  <c r="H21" i="6"/>
  <c r="H24" i="6"/>
  <c r="E29" i="43"/>
  <c r="C26" i="43"/>
  <c r="C30" i="43"/>
  <c r="E30" i="43"/>
  <c r="C27" i="43"/>
  <c r="E48" i="21"/>
  <c r="C49" i="33"/>
  <c r="C48" i="33"/>
  <c r="E53" i="33"/>
  <c r="F53" i="33"/>
  <c r="E52" i="33"/>
  <c r="F52" i="33"/>
  <c r="I48" i="35"/>
  <c r="G65" i="40"/>
  <c r="H63" i="40"/>
  <c r="T16" i="1"/>
  <c r="H70" i="39"/>
  <c r="I68" i="39"/>
  <c r="C6" i="71"/>
  <c r="T7" i="71"/>
  <c r="D7" i="71"/>
  <c r="U7" i="71"/>
  <c r="S20" i="6"/>
  <c r="S27" i="6"/>
  <c r="I27" i="6"/>
  <c r="F50" i="11"/>
  <c r="F50" i="69"/>
  <c r="F34" i="68"/>
  <c r="C36" i="68" s="1"/>
  <c r="F50" i="68"/>
  <c r="F11" i="12"/>
  <c r="J72" i="78"/>
  <c r="K70" i="78"/>
  <c r="C36" i="11"/>
  <c r="C34" i="11"/>
  <c r="D30" i="6"/>
  <c r="R25" i="6"/>
  <c r="R22" i="6"/>
  <c r="R9" i="1"/>
  <c r="R21" i="6"/>
  <c r="R8" i="1"/>
  <c r="H27" i="6"/>
  <c r="R23" i="6"/>
  <c r="R20" i="6"/>
  <c r="R7" i="1"/>
  <c r="D16" i="6"/>
  <c r="R26" i="6"/>
  <c r="C28" i="11"/>
  <c r="C27" i="11"/>
  <c r="R24" i="6"/>
  <c r="A7" i="51"/>
  <c r="B7" i="72"/>
  <c r="C4" i="52"/>
  <c r="B45" i="72"/>
  <c r="A10" i="51"/>
  <c r="B9" i="72"/>
  <c r="D27" i="6"/>
  <c r="R19" i="6"/>
  <c r="B2" i="43"/>
  <c r="I63" i="40"/>
  <c r="H65" i="40"/>
  <c r="C48" i="21"/>
  <c r="J48" i="35"/>
  <c r="E52" i="21"/>
  <c r="F52" i="21"/>
  <c r="E53" i="21"/>
  <c r="F53" i="21"/>
  <c r="I53" i="21"/>
  <c r="J53" i="21"/>
  <c r="J68" i="39"/>
  <c r="I70" i="39"/>
  <c r="D6" i="71"/>
  <c r="C5" i="71"/>
  <c r="D31" i="6"/>
  <c r="I5" i="6"/>
  <c r="L70" i="78"/>
  <c r="K72" i="78"/>
  <c r="C38" i="11"/>
  <c r="C35" i="11"/>
  <c r="R27" i="6"/>
  <c r="R6" i="1"/>
  <c r="C19" i="68"/>
  <c r="B3" i="43"/>
  <c r="K48" i="35"/>
  <c r="I65" i="40"/>
  <c r="J63" i="40"/>
  <c r="J70" i="39"/>
  <c r="K68" i="39"/>
  <c r="D5" i="71"/>
  <c r="M20" i="43"/>
  <c r="I6" i="6"/>
  <c r="L72" i="78"/>
  <c r="M70" i="78"/>
  <c r="C33" i="11"/>
  <c r="J65" i="40"/>
  <c r="K63" i="40"/>
  <c r="L48" i="35"/>
  <c r="K70" i="39"/>
  <c r="L68" i="39"/>
  <c r="N70" i="78"/>
  <c r="N72" i="78"/>
  <c r="M72" i="78"/>
  <c r="C39" i="11"/>
  <c r="K65" i="40"/>
  <c r="L63" i="40"/>
  <c r="M48" i="35"/>
  <c r="L70" i="39"/>
  <c r="M68" i="39"/>
  <c r="H9" i="78"/>
  <c r="F9" i="78"/>
  <c r="J9" i="78"/>
  <c r="C46" i="11"/>
  <c r="C45" i="11"/>
  <c r="L65" i="40"/>
  <c r="M63" i="40"/>
  <c r="N48" i="35"/>
  <c r="O48" i="35"/>
  <c r="M70" i="39"/>
  <c r="N68" i="39"/>
  <c r="F7" i="35"/>
  <c r="S7" i="35"/>
  <c r="AC9" i="78"/>
  <c r="V49" i="78"/>
  <c r="I49" i="78"/>
  <c r="W9" i="78"/>
  <c r="U9" i="78"/>
  <c r="AB9" i="78"/>
  <c r="T49" i="78"/>
  <c r="G49" i="78"/>
  <c r="AA9" i="78"/>
  <c r="R49" i="78"/>
  <c r="S9" i="78"/>
  <c r="AA7" i="35"/>
  <c r="R38" i="35"/>
  <c r="M65" i="40"/>
  <c r="N63" i="40"/>
  <c r="H7" i="35"/>
  <c r="J7" i="35"/>
  <c r="N70" i="39"/>
  <c r="O68" i="39"/>
  <c r="O70" i="39"/>
  <c r="J7" i="39"/>
  <c r="R50" i="78"/>
  <c r="E49" i="78"/>
  <c r="I54" i="78"/>
  <c r="J54" i="78"/>
  <c r="G54" i="78"/>
  <c r="H54" i="78"/>
  <c r="G53" i="78"/>
  <c r="H53" i="78"/>
  <c r="I53" i="78"/>
  <c r="J53" i="78"/>
  <c r="AC7" i="35"/>
  <c r="V38" i="35"/>
  <c r="I38" i="35"/>
  <c r="W7" i="35"/>
  <c r="N65" i="40"/>
  <c r="O63" i="40"/>
  <c r="O65" i="40"/>
  <c r="AB7" i="35"/>
  <c r="T38" i="35"/>
  <c r="G38" i="35"/>
  <c r="U7" i="35"/>
  <c r="E38" i="35"/>
  <c r="R39" i="35"/>
  <c r="AC7" i="39"/>
  <c r="V47" i="39"/>
  <c r="I47" i="39"/>
  <c r="I51" i="39"/>
  <c r="J51" i="39"/>
  <c r="W7" i="39"/>
  <c r="H7" i="39"/>
  <c r="F7" i="39"/>
  <c r="E54" i="78"/>
  <c r="F54" i="78"/>
  <c r="E53" i="78"/>
  <c r="F53" i="78"/>
  <c r="C50" i="78"/>
  <c r="C49" i="78"/>
  <c r="C38" i="35"/>
  <c r="C39" i="35"/>
  <c r="F7" i="40"/>
  <c r="J7" i="40"/>
  <c r="H7" i="40"/>
  <c r="E43" i="35"/>
  <c r="F43" i="35"/>
  <c r="E42" i="35"/>
  <c r="F42" i="35"/>
  <c r="G42" i="35"/>
  <c r="H42" i="35"/>
  <c r="G43" i="35"/>
  <c r="H43" i="35"/>
  <c r="I42" i="35"/>
  <c r="J42" i="35"/>
  <c r="I43" i="35"/>
  <c r="J43" i="35"/>
  <c r="AA7" i="39"/>
  <c r="R47" i="39"/>
  <c r="S7" i="39"/>
  <c r="U7" i="39"/>
  <c r="AB7" i="39"/>
  <c r="T47" i="39"/>
  <c r="G47" i="39"/>
  <c r="B62" i="78"/>
  <c r="F62" i="78"/>
  <c r="B66" i="78"/>
  <c r="F66" i="78"/>
  <c r="B64" i="78"/>
  <c r="F64" i="78"/>
  <c r="B60" i="78"/>
  <c r="F60" i="78"/>
  <c r="B58" i="78"/>
  <c r="F58" i="78"/>
  <c r="B67" i="78"/>
  <c r="F67" i="78"/>
  <c r="B65" i="78"/>
  <c r="F65" i="78"/>
  <c r="B63" i="78"/>
  <c r="F63" i="78"/>
  <c r="B61" i="78"/>
  <c r="F61" i="78"/>
  <c r="B59" i="78"/>
  <c r="F59" i="78"/>
  <c r="AC7" i="40"/>
  <c r="V42" i="40"/>
  <c r="I42" i="40"/>
  <c r="W7" i="40"/>
  <c r="U7" i="40"/>
  <c r="AB7" i="40"/>
  <c r="T42" i="40"/>
  <c r="G42" i="40"/>
  <c r="AA7" i="40"/>
  <c r="R42" i="40"/>
  <c r="S7" i="40"/>
  <c r="G52" i="39"/>
  <c r="H52" i="39"/>
  <c r="G51" i="39"/>
  <c r="H51" i="39"/>
  <c r="R48" i="39"/>
  <c r="E47" i="39"/>
  <c r="F68" i="78"/>
  <c r="B2" i="78"/>
  <c r="C6" i="68"/>
  <c r="C7" i="68"/>
  <c r="C5" i="68"/>
  <c r="G47" i="40"/>
  <c r="H47" i="40"/>
  <c r="G46" i="40"/>
  <c r="H46" i="40"/>
  <c r="E42" i="40"/>
  <c r="I47" i="40"/>
  <c r="J47" i="40"/>
  <c r="R43" i="40"/>
  <c r="I46" i="40"/>
  <c r="J46" i="40"/>
  <c r="I52" i="39"/>
  <c r="J52" i="39"/>
  <c r="E51" i="39"/>
  <c r="F51" i="39"/>
  <c r="E52" i="39"/>
  <c r="F52" i="39"/>
  <c r="C48" i="39"/>
  <c r="C47" i="39"/>
  <c r="C20" i="68"/>
  <c r="B5" i="78"/>
  <c r="B3" i="78"/>
  <c r="B4" i="78"/>
  <c r="C42" i="40"/>
  <c r="C43" i="40"/>
  <c r="E47" i="40"/>
  <c r="F47" i="40"/>
  <c r="E46" i="40"/>
  <c r="F46" i="40"/>
  <c r="B56" i="39"/>
  <c r="F56" i="39"/>
  <c r="F66" i="39"/>
  <c r="B2" i="39"/>
  <c r="B3" i="39"/>
  <c r="B63" i="39"/>
  <c r="F63" i="39"/>
  <c r="B64" i="39"/>
  <c r="F64" i="39"/>
  <c r="B65" i="39"/>
  <c r="F65" i="39"/>
  <c r="B57" i="39"/>
  <c r="F57" i="39"/>
  <c r="B61" i="39"/>
  <c r="F61" i="39"/>
  <c r="B59" i="39"/>
  <c r="F59" i="39"/>
  <c r="B60" i="39"/>
  <c r="F60" i="39"/>
  <c r="B62" i="39"/>
  <c r="F62" i="39"/>
  <c r="B58" i="39"/>
  <c r="F58" i="39"/>
  <c r="B52" i="40"/>
  <c r="F52" i="40"/>
  <c r="B55" i="40"/>
  <c r="F55" i="40"/>
  <c r="B56" i="40"/>
  <c r="F56" i="40"/>
  <c r="B58" i="40"/>
  <c r="F58" i="40"/>
  <c r="B60" i="40"/>
  <c r="F60" i="40"/>
  <c r="B59" i="40"/>
  <c r="F59" i="40"/>
  <c r="F61" i="40"/>
  <c r="B2" i="40"/>
  <c r="B3" i="40"/>
  <c r="B57" i="40"/>
  <c r="F57" i="40"/>
  <c r="B53" i="40"/>
  <c r="F53" i="40"/>
  <c r="B51" i="40"/>
  <c r="F51" i="40"/>
  <c r="B54" i="40"/>
  <c r="F54" i="40"/>
  <c r="B15" i="74"/>
  <c r="B1" i="74"/>
  <c r="C7" i="74" s="1"/>
  <c r="C15" i="74"/>
  <c r="B2" i="74"/>
  <c r="D7" i="74" s="1"/>
  <c r="M6" i="82"/>
  <c r="M22" i="82"/>
  <c r="M26" i="82"/>
  <c r="M9" i="82"/>
  <c r="L48" i="82"/>
  <c r="F7" i="82"/>
  <c r="AO13" i="1"/>
  <c r="M8" i="67"/>
  <c r="F37" i="15"/>
  <c r="M22" i="15"/>
  <c r="F42" i="67"/>
  <c r="E7" i="76"/>
  <c r="D2" i="33"/>
  <c r="L47" i="15"/>
  <c r="L48" i="67"/>
  <c r="D7" i="73"/>
  <c r="M24" i="15"/>
  <c r="F36" i="15"/>
  <c r="M9" i="15"/>
  <c r="L48" i="15"/>
  <c r="B11" i="76"/>
  <c r="M28" i="15"/>
  <c r="E11" i="76"/>
  <c r="F6" i="73"/>
  <c r="D2" i="34"/>
  <c r="AO9" i="1"/>
  <c r="M29" i="15"/>
  <c r="F26" i="15"/>
  <c r="F6" i="15"/>
  <c r="D2" i="36"/>
  <c r="C76" i="82"/>
  <c r="F37" i="82"/>
  <c r="F13" i="82"/>
  <c r="F42" i="82"/>
  <c r="M23" i="82"/>
  <c r="M24" i="82"/>
  <c r="F36" i="82"/>
  <c r="B9" i="76"/>
  <c r="F36" i="67"/>
  <c r="F6" i="67"/>
  <c r="E2" i="68"/>
  <c r="M27" i="15"/>
  <c r="F7" i="73"/>
  <c r="F8" i="67"/>
  <c r="F43" i="67"/>
  <c r="M23" i="67"/>
  <c r="D5" i="73"/>
  <c r="F38" i="67"/>
  <c r="F7" i="15"/>
  <c r="M29" i="82"/>
  <c r="F7" i="67"/>
  <c r="M21" i="67"/>
  <c r="B7" i="76"/>
  <c r="D2" i="37"/>
  <c r="F5" i="73"/>
  <c r="M26" i="15"/>
  <c r="F9" i="67"/>
  <c r="M6" i="15"/>
  <c r="F41" i="67"/>
  <c r="F13" i="15"/>
  <c r="M28" i="67"/>
  <c r="F35" i="67"/>
  <c r="E6" i="76"/>
  <c r="C14" i="82"/>
  <c r="F35" i="82"/>
  <c r="F35" i="15"/>
  <c r="D2" i="84"/>
  <c r="F26" i="82"/>
  <c r="F6" i="82"/>
  <c r="F9" i="82"/>
  <c r="F8" i="82"/>
  <c r="J15" i="82"/>
  <c r="F43" i="82"/>
  <c r="M24" i="67"/>
  <c r="AO6" i="1"/>
  <c r="F43" i="15"/>
  <c r="AO12" i="1"/>
  <c r="F20" i="31"/>
  <c r="F16" i="15"/>
  <c r="M22" i="67"/>
  <c r="D4" i="73"/>
  <c r="AO10" i="1"/>
  <c r="F42" i="15"/>
  <c r="F3" i="73"/>
  <c r="J15" i="15"/>
  <c r="D2" i="35"/>
  <c r="F40" i="67"/>
  <c r="F8" i="15"/>
  <c r="F13" i="67"/>
  <c r="B8" i="76"/>
  <c r="M9" i="67"/>
  <c r="J15" i="67"/>
  <c r="AO11" i="1"/>
  <c r="F4" i="73"/>
  <c r="D3" i="73"/>
  <c r="M8" i="15"/>
  <c r="F9" i="15"/>
  <c r="F16" i="82"/>
  <c r="F40" i="82"/>
  <c r="F38" i="82"/>
  <c r="L47" i="82"/>
  <c r="M27" i="82"/>
  <c r="M8" i="82"/>
  <c r="M28" i="82"/>
  <c r="C76" i="67"/>
  <c r="M29" i="67"/>
  <c r="B10" i="76"/>
  <c r="D2" i="21"/>
  <c r="F16" i="67"/>
  <c r="M27" i="67"/>
  <c r="E12" i="76"/>
  <c r="L47" i="67"/>
  <c r="F37" i="67"/>
  <c r="E10" i="76"/>
  <c r="B12" i="76"/>
  <c r="C76" i="15"/>
  <c r="F38" i="15"/>
  <c r="M23" i="15"/>
  <c r="F26" i="67"/>
  <c r="M6" i="67"/>
  <c r="E9" i="76"/>
  <c r="F40" i="15"/>
  <c r="E2" i="69"/>
  <c r="B13" i="76"/>
  <c r="D6" i="73"/>
  <c r="M26" i="67"/>
  <c r="E8" i="76"/>
  <c r="E13" i="76"/>
  <c r="G1" i="73"/>
  <c r="B6" i="76"/>
  <c r="M21" i="15"/>
  <c r="C14" i="15"/>
  <c r="M21" i="82"/>
  <c r="D19" i="69" l="1"/>
  <c r="D37" i="69" s="1"/>
  <c r="C37" i="69" s="1"/>
  <c r="K4" i="4"/>
  <c r="B46" i="48" s="1"/>
  <c r="B4" i="72" s="1"/>
  <c r="B4" i="62"/>
  <c r="B71" i="72" s="1"/>
  <c r="C10" i="68"/>
  <c r="C18" i="12"/>
  <c r="C35" i="69"/>
  <c r="C19" i="69"/>
  <c r="R16" i="1"/>
  <c r="C29" i="69"/>
  <c r="D27" i="69" s="1"/>
  <c r="C14" i="12"/>
  <c r="C16" i="12" s="1"/>
  <c r="C37" i="68"/>
  <c r="C34" i="68"/>
  <c r="J20" i="15"/>
  <c r="C34" i="15"/>
  <c r="F63" i="15"/>
  <c r="C62" i="15" s="1"/>
  <c r="J20" i="82"/>
  <c r="F63" i="82"/>
  <c r="C62" i="82" s="1"/>
  <c r="C34" i="82"/>
  <c r="B2" i="76"/>
  <c r="C15" i="82"/>
  <c r="C18" i="82"/>
  <c r="C15" i="15"/>
  <c r="C18" i="15"/>
  <c r="E2" i="76"/>
  <c r="B40" i="1"/>
  <c r="F63" i="67"/>
  <c r="C62" i="67" s="1"/>
  <c r="C34" i="67"/>
  <c r="F69" i="67"/>
  <c r="F68" i="15"/>
  <c r="B2" i="37"/>
  <c r="B3" i="37" s="1"/>
  <c r="C27" i="67"/>
  <c r="J20" i="67"/>
  <c r="M7" i="67"/>
  <c r="J6" i="67" s="1"/>
  <c r="F50" i="67"/>
  <c r="F66" i="15"/>
  <c r="Q71" i="15"/>
  <c r="M7" i="15"/>
  <c r="J6" i="15" s="1"/>
  <c r="F50" i="15"/>
  <c r="F66" i="67"/>
  <c r="F65" i="67"/>
  <c r="L58" i="67"/>
  <c r="L59" i="67"/>
  <c r="N59" i="67"/>
  <c r="M59" i="67"/>
  <c r="F71" i="67"/>
  <c r="F51" i="67"/>
  <c r="C49" i="67" s="1"/>
  <c r="C6" i="67"/>
  <c r="F64" i="67"/>
  <c r="Q71" i="67"/>
  <c r="F64" i="82"/>
  <c r="N59" i="82"/>
  <c r="L58" i="82"/>
  <c r="M59" i="82"/>
  <c r="L59" i="82" s="1"/>
  <c r="F66" i="82"/>
  <c r="F68" i="82"/>
  <c r="F65" i="82"/>
  <c r="Q71" i="82"/>
  <c r="B2" i="36"/>
  <c r="B3" i="36" s="1"/>
  <c r="C6" i="15"/>
  <c r="C27" i="15"/>
  <c r="I1" i="73"/>
  <c r="B39" i="1" s="1"/>
  <c r="B11" i="70"/>
  <c r="B9" i="70"/>
  <c r="B2" i="34"/>
  <c r="B3" i="34" s="1"/>
  <c r="F51" i="15"/>
  <c r="F68" i="67"/>
  <c r="J57" i="15"/>
  <c r="J55" i="15" s="1"/>
  <c r="J58" i="15" s="1"/>
  <c r="Q50" i="15" s="1"/>
  <c r="J60" i="15"/>
  <c r="Q48" i="15" s="1"/>
  <c r="I54" i="15"/>
  <c r="J59" i="15"/>
  <c r="J53" i="15"/>
  <c r="L56" i="15"/>
  <c r="L57" i="15"/>
  <c r="L46" i="15"/>
  <c r="L60" i="15"/>
  <c r="B2" i="35"/>
  <c r="B3" i="35" s="1"/>
  <c r="F64" i="15"/>
  <c r="B10" i="70"/>
  <c r="J57" i="67"/>
  <c r="J55" i="67" s="1"/>
  <c r="J58" i="67" s="1"/>
  <c r="Q50" i="67" s="1"/>
  <c r="L56" i="67"/>
  <c r="I54" i="67"/>
  <c r="J53" i="67"/>
  <c r="E20" i="43"/>
  <c r="L58" i="15"/>
  <c r="M59" i="15"/>
  <c r="L59" i="15" s="1"/>
  <c r="N59" i="15"/>
  <c r="B2" i="33"/>
  <c r="B3" i="33" s="1"/>
  <c r="B20" i="31"/>
  <c r="F70" i="67"/>
  <c r="B12" i="70"/>
  <c r="F71" i="15"/>
  <c r="F65" i="15"/>
  <c r="B6" i="70"/>
  <c r="B13" i="70"/>
  <c r="F71" i="82"/>
  <c r="M7" i="82"/>
  <c r="J6" i="82" s="1"/>
  <c r="F50" i="82"/>
  <c r="L57" i="82"/>
  <c r="J60" i="82"/>
  <c r="Q48" i="82" s="1"/>
  <c r="J53" i="82"/>
  <c r="L60" i="82"/>
  <c r="L56" i="82"/>
  <c r="J57" i="82"/>
  <c r="J55" i="82" s="1"/>
  <c r="J58" i="82" s="1"/>
  <c r="Q50" i="82" s="1"/>
  <c r="I54" i="82"/>
  <c r="J59" i="82"/>
  <c r="F51" i="82"/>
  <c r="C6" i="82"/>
  <c r="C27" i="82"/>
  <c r="D8" i="74"/>
  <c r="C8" i="74"/>
  <c r="C20" i="69"/>
  <c r="C28" i="69" s="1"/>
  <c r="C27" i="69" s="1"/>
  <c r="C17" i="67"/>
  <c r="C17" i="82"/>
  <c r="C14" i="67"/>
  <c r="C17" i="15"/>
  <c r="C16" i="15"/>
  <c r="C16" i="67"/>
  <c r="C16" i="82"/>
  <c r="C49" i="15" l="1"/>
  <c r="C33" i="69"/>
  <c r="C39" i="69" s="1"/>
  <c r="C21" i="12"/>
  <c r="C22" i="12" s="1"/>
  <c r="C49" i="82"/>
  <c r="C38" i="68"/>
  <c r="C35" i="68"/>
  <c r="C19" i="82"/>
  <c r="C15" i="67"/>
  <c r="C18" i="67"/>
  <c r="C19" i="15"/>
  <c r="J18" i="15"/>
  <c r="J18" i="67"/>
  <c r="C46" i="69"/>
  <c r="C45" i="69" s="1"/>
  <c r="L46" i="82"/>
  <c r="F1" i="82"/>
  <c r="Q52" i="82"/>
  <c r="Q61" i="15"/>
  <c r="Q74" i="15"/>
  <c r="M28" i="43"/>
  <c r="P28" i="43"/>
  <c r="O28" i="43"/>
  <c r="N28" i="43"/>
  <c r="Q52" i="67"/>
  <c r="F1" i="67"/>
  <c r="Q57" i="15"/>
  <c r="Q66" i="15"/>
  <c r="Q61" i="82"/>
  <c r="Q74" i="82"/>
  <c r="C32" i="67"/>
  <c r="Q74" i="67"/>
  <c r="Q61" i="67"/>
  <c r="J18" i="82"/>
  <c r="C32" i="82"/>
  <c r="C33" i="82"/>
  <c r="Q66" i="82"/>
  <c r="Q57" i="82"/>
  <c r="Q73" i="15"/>
  <c r="Q60" i="15"/>
  <c r="F1" i="15"/>
  <c r="Q52" i="15"/>
  <c r="F11" i="82"/>
  <c r="M11" i="67"/>
  <c r="J10" i="67" s="1"/>
  <c r="J5" i="67" s="1"/>
  <c r="F11" i="15"/>
  <c r="C53" i="15" s="1"/>
  <c r="C48" i="15" s="1"/>
  <c r="M11" i="82"/>
  <c r="J10" i="82" s="1"/>
  <c r="J5" i="82" s="1"/>
  <c r="F11" i="67"/>
  <c r="M11" i="15"/>
  <c r="J10" i="15" s="1"/>
  <c r="J5" i="15" s="1"/>
  <c r="C32" i="15"/>
  <c r="C33" i="15"/>
  <c r="Q73" i="82"/>
  <c r="Q60" i="82"/>
  <c r="Q73" i="67"/>
  <c r="Q60" i="67"/>
  <c r="F22" i="68"/>
  <c r="F24" i="15"/>
  <c r="C24" i="15" s="1"/>
  <c r="F22" i="69"/>
  <c r="F24" i="82"/>
  <c r="C24" i="82" s="1"/>
  <c r="F24" i="67"/>
  <c r="C24" i="67" s="1"/>
  <c r="F25" i="12"/>
  <c r="C26" i="12" s="1"/>
  <c r="D25" i="12" s="1"/>
  <c r="F22" i="11"/>
  <c r="B3" i="76"/>
  <c r="AE8" i="1"/>
  <c r="AE7" i="1"/>
  <c r="C33" i="68" l="1"/>
  <c r="C42" i="68" s="1"/>
  <c r="C31" i="82"/>
  <c r="C19" i="67"/>
  <c r="C20" i="67" s="1"/>
  <c r="C23" i="67" s="1"/>
  <c r="J24" i="15"/>
  <c r="J26" i="15"/>
  <c r="J26" i="67"/>
  <c r="J29" i="67" s="1"/>
  <c r="J24" i="67"/>
  <c r="J24" i="82"/>
  <c r="J26" i="82"/>
  <c r="C66" i="15"/>
  <c r="C60" i="15"/>
  <c r="C26" i="11"/>
  <c r="D22" i="11" s="1"/>
  <c r="C23" i="11"/>
  <c r="C44" i="11"/>
  <c r="D41" i="11" s="1"/>
  <c r="C24" i="11"/>
  <c r="C25" i="11"/>
  <c r="C42" i="11"/>
  <c r="C43" i="11"/>
  <c r="C44" i="69"/>
  <c r="D41" i="69" s="1"/>
  <c r="C26" i="69"/>
  <c r="D22" i="69" s="1"/>
  <c r="C23" i="69"/>
  <c r="C24" i="69"/>
  <c r="C42" i="69"/>
  <c r="C26" i="68"/>
  <c r="D22" i="68" s="1"/>
  <c r="C44" i="68"/>
  <c r="D41" i="68" s="1"/>
  <c r="C24" i="68"/>
  <c r="C23" i="68"/>
  <c r="C25" i="68"/>
  <c r="C10" i="15"/>
  <c r="C5" i="15" s="1"/>
  <c r="C25" i="69"/>
  <c r="C31" i="15"/>
  <c r="C53" i="67"/>
  <c r="C48" i="67" s="1"/>
  <c r="C10" i="67"/>
  <c r="C5" i="67" s="1"/>
  <c r="C53" i="82"/>
  <c r="C48" i="82" s="1"/>
  <c r="C10" i="82"/>
  <c r="C5" i="82" s="1"/>
  <c r="C43" i="69"/>
  <c r="C20" i="15"/>
  <c r="C26" i="15" s="1"/>
  <c r="C20" i="82"/>
  <c r="C23" i="82" s="1"/>
  <c r="F41" i="15"/>
  <c r="F41" i="82"/>
  <c r="F69" i="82" l="1"/>
  <c r="F69" i="15"/>
  <c r="J29" i="82"/>
  <c r="J29" i="15"/>
  <c r="C39" i="68"/>
  <c r="C43" i="68" s="1"/>
  <c r="C41" i="68" s="1"/>
  <c r="C26" i="82"/>
  <c r="C29" i="82" s="1"/>
  <c r="C26" i="67"/>
  <c r="C23" i="15"/>
  <c r="C29" i="15" s="1"/>
  <c r="C60" i="82"/>
  <c r="C66" i="82"/>
  <c r="C60" i="67"/>
  <c r="C66" i="67"/>
  <c r="C38" i="15"/>
  <c r="C22" i="68"/>
  <c r="C31" i="68" s="1"/>
  <c r="C41" i="69"/>
  <c r="C49" i="69" s="1"/>
  <c r="C51" i="69" s="1"/>
  <c r="C22" i="69"/>
  <c r="C31" i="69" s="1"/>
  <c r="C41" i="11"/>
  <c r="C49" i="11" s="1"/>
  <c r="C51" i="11" s="1"/>
  <c r="C22" i="11"/>
  <c r="C31" i="11" s="1"/>
  <c r="C29" i="67"/>
  <c r="C38" i="82"/>
  <c r="C38" i="67"/>
  <c r="C52" i="11" l="1"/>
  <c r="B2" i="11" s="1"/>
  <c r="B3" i="11" s="1"/>
  <c r="C52" i="69"/>
  <c r="B2" i="69" s="1"/>
  <c r="B3" i="69" s="1"/>
  <c r="C46" i="68"/>
  <c r="C45" i="68" s="1"/>
  <c r="C49" i="68" s="1"/>
  <c r="C51" i="68" s="1"/>
  <c r="C52" i="68" s="1"/>
  <c r="B2" i="68" s="1"/>
  <c r="C36" i="82"/>
  <c r="J14" i="82"/>
  <c r="J13" i="82" s="1"/>
  <c r="J23" i="82" s="1"/>
  <c r="Q49" i="82"/>
  <c r="C13" i="82"/>
  <c r="Q70" i="82" s="1"/>
  <c r="J19" i="82"/>
  <c r="J17" i="82" s="1"/>
  <c r="C57" i="82"/>
  <c r="C64" i="82" s="1"/>
  <c r="C36" i="67"/>
  <c r="Q49" i="67"/>
  <c r="C57" i="67"/>
  <c r="J14" i="67"/>
  <c r="J19" i="67"/>
  <c r="J17" i="67" s="1"/>
  <c r="C33" i="67"/>
  <c r="C31" i="67" s="1"/>
  <c r="C13" i="67"/>
  <c r="J59" i="67"/>
  <c r="J60" i="67" s="1"/>
  <c r="C57" i="69"/>
  <c r="C56" i="69" s="1"/>
  <c r="J22" i="82"/>
  <c r="Q49" i="15"/>
  <c r="C57" i="15"/>
  <c r="J19" i="15"/>
  <c r="J17" i="15" s="1"/>
  <c r="J14" i="15"/>
  <c r="C13" i="15"/>
  <c r="C36" i="15"/>
  <c r="C19" i="9"/>
  <c r="C56" i="82" l="1"/>
  <c r="C65" i="82" s="1"/>
  <c r="C37" i="82"/>
  <c r="C61" i="82"/>
  <c r="C59" i="82" s="1"/>
  <c r="C75" i="82"/>
  <c r="C56" i="11"/>
  <c r="C57" i="11" s="1"/>
  <c r="C21" i="9"/>
  <c r="C102" i="9"/>
  <c r="B3" i="68"/>
  <c r="C58" i="82"/>
  <c r="C67" i="82" s="1"/>
  <c r="C68" i="82" s="1"/>
  <c r="C71" i="82" s="1"/>
  <c r="J16" i="82"/>
  <c r="J25" i="82" s="1"/>
  <c r="C57" i="68"/>
  <c r="C56" i="68" s="1"/>
  <c r="C30" i="82"/>
  <c r="C39" i="82" s="1"/>
  <c r="Q69" i="82" s="1"/>
  <c r="Q68" i="82" s="1"/>
  <c r="J13" i="15"/>
  <c r="J23" i="15" s="1"/>
  <c r="J22" i="15"/>
  <c r="C61" i="15"/>
  <c r="C59" i="15" s="1"/>
  <c r="C64" i="15"/>
  <c r="Q48" i="67"/>
  <c r="L46" i="67"/>
  <c r="J22" i="67"/>
  <c r="J13" i="67"/>
  <c r="J23" i="67" s="1"/>
  <c r="Q70" i="15"/>
  <c r="C37" i="15"/>
  <c r="C30" i="15" s="1"/>
  <c r="C39" i="15" s="1"/>
  <c r="C56" i="15"/>
  <c r="C65" i="15" s="1"/>
  <c r="C75" i="15"/>
  <c r="C75" i="67"/>
  <c r="C56" i="67"/>
  <c r="C65" i="67" s="1"/>
  <c r="C37" i="67"/>
  <c r="C30" i="67" s="1"/>
  <c r="C39" i="67" s="1"/>
  <c r="Q70" i="67"/>
  <c r="C61" i="67"/>
  <c r="C59" i="67" s="1"/>
  <c r="C64" i="67"/>
  <c r="L51" i="82"/>
  <c r="C20" i="9"/>
  <c r="D34" i="9"/>
  <c r="D35" i="9"/>
  <c r="C40" i="82" l="1"/>
  <c r="C43" i="82" s="1"/>
  <c r="J16" i="67"/>
  <c r="J25" i="67" s="1"/>
  <c r="J16" i="15"/>
  <c r="J25" i="15" s="1"/>
  <c r="C80" i="82"/>
  <c r="C79" i="82" s="1"/>
  <c r="C103" i="9"/>
  <c r="C58" i="67"/>
  <c r="C67" i="67" s="1"/>
  <c r="C68" i="67" s="1"/>
  <c r="C71" i="67" s="1"/>
  <c r="Q67" i="82"/>
  <c r="Q69" i="67"/>
  <c r="Q68" i="67" s="1"/>
  <c r="C40" i="67"/>
  <c r="C40" i="15"/>
  <c r="Q69" i="15"/>
  <c r="Q68" i="15" s="1"/>
  <c r="C80" i="15"/>
  <c r="C79" i="15" s="1"/>
  <c r="Q47" i="82"/>
  <c r="Q53" i="82" s="1"/>
  <c r="B2" i="82"/>
  <c r="Q56" i="82"/>
  <c r="Q62" i="82" s="1"/>
  <c r="C80" i="67"/>
  <c r="C79" i="67" s="1"/>
  <c r="C58" i="15"/>
  <c r="C67" i="15" s="1"/>
  <c r="C68" i="15" s="1"/>
  <c r="C46" i="82"/>
  <c r="L51" i="15"/>
  <c r="L51" i="67"/>
  <c r="AO8" i="1"/>
  <c r="C83" i="82" l="1"/>
  <c r="C82" i="82" s="1"/>
  <c r="Q65" i="82"/>
  <c r="Q75" i="82" s="1"/>
  <c r="C45" i="67"/>
  <c r="C46" i="67" s="1"/>
  <c r="Q67" i="67"/>
  <c r="L57" i="67"/>
  <c r="L60" i="67" s="1"/>
  <c r="B8" i="70"/>
  <c r="Q67" i="15"/>
  <c r="C71" i="15"/>
  <c r="C46" i="15"/>
  <c r="E8" i="12"/>
  <c r="B3" i="82"/>
  <c r="E6" i="12" s="1"/>
  <c r="Q65" i="15"/>
  <c r="Q75" i="15" s="1"/>
  <c r="B2" i="15"/>
  <c r="Q47" i="15"/>
  <c r="Q53" i="15" s="1"/>
  <c r="Q56" i="15"/>
  <c r="Q62" i="15" s="1"/>
  <c r="C43" i="15"/>
  <c r="C83" i="15"/>
  <c r="C82" i="15" s="1"/>
  <c r="Q56" i="67"/>
  <c r="Q47" i="67"/>
  <c r="Q53" i="67" s="1"/>
  <c r="D2" i="67"/>
  <c r="C43" i="67"/>
  <c r="Q65" i="67"/>
  <c r="C83" i="67"/>
  <c r="C82" i="67" s="1"/>
  <c r="AO7" i="1"/>
  <c r="B7" i="70" l="1"/>
  <c r="B2" i="70" s="1"/>
  <c r="B3" i="70" s="1"/>
  <c r="B3" i="15"/>
  <c r="D6" i="12" s="1"/>
  <c r="J39" i="79" s="1"/>
  <c r="J36" i="79" s="1"/>
  <c r="D8" i="12"/>
  <c r="C4" i="12" s="1"/>
  <c r="Q66" i="67"/>
  <c r="Q57" i="67"/>
  <c r="Q75" i="67"/>
  <c r="B2" i="67"/>
  <c r="B3" i="67"/>
  <c r="Q62" i="67"/>
  <c r="J37" i="79" l="1"/>
  <c r="J38" i="79"/>
  <c r="C31" i="12"/>
  <c r="C23" i="12"/>
  <c r="C27" i="12" l="1"/>
  <c r="C25" i="12" s="1"/>
  <c r="C30" i="12"/>
  <c r="C28" i="12" s="1"/>
  <c r="C32" i="12" l="1"/>
  <c r="B2" i="12" s="1"/>
  <c r="B3" i="12" s="1"/>
  <c r="D19" i="9"/>
  <c r="D20" i="9"/>
  <c r="D21" i="9" l="1"/>
  <c r="D22" i="9"/>
  <c r="D102" i="9"/>
  <c r="G19" i="9"/>
  <c r="C32" i="9" s="1"/>
  <c r="D103" i="9"/>
  <c r="G20" i="9"/>
  <c r="G21" i="9" l="1"/>
  <c r="C35" i="9"/>
  <c r="F118" i="9" s="1"/>
  <c r="H118" i="9"/>
  <c r="C34" i="9" l="1"/>
  <c r="D118" i="9" s="1"/>
  <c r="D119" i="9" s="1"/>
  <c r="D5" i="52" s="1"/>
  <c r="B49" i="72" s="1"/>
  <c r="I118" i="9"/>
  <c r="C104" i="9"/>
  <c r="H119" i="9"/>
  <c r="H5" i="52" s="1"/>
  <c r="H101" i="9"/>
  <c r="H4" i="52"/>
  <c r="D14" i="74"/>
  <c r="F119" i="9"/>
  <c r="F5" i="52" s="1"/>
  <c r="B53" i="72" s="1"/>
  <c r="G118" i="9"/>
  <c r="G4" i="52" s="1"/>
  <c r="B52" i="72" s="1"/>
  <c r="F4" i="52"/>
  <c r="B51" i="72" s="1"/>
  <c r="J118" i="9" l="1"/>
  <c r="D4" i="52"/>
  <c r="B47" i="72" s="1"/>
  <c r="F14" i="74"/>
  <c r="E14" i="74"/>
  <c r="H107" i="9"/>
  <c r="D45" i="9"/>
  <c r="M48" i="9"/>
  <c r="D5" i="53"/>
  <c r="I4" i="52"/>
  <c r="H102" i="9"/>
  <c r="D7" i="53" s="1"/>
  <c r="B21" i="72" s="1"/>
  <c r="C105" i="9"/>
  <c r="E118" i="9"/>
  <c r="E4" i="52" s="1"/>
  <c r="B48" i="72" s="1"/>
  <c r="D15" i="74"/>
  <c r="G15" i="74" l="1"/>
  <c r="E15" i="74"/>
  <c r="F15" i="74"/>
  <c r="D13" i="53"/>
  <c r="H108" i="9"/>
  <c r="D15" i="53" s="1"/>
  <c r="B31" i="72" s="1"/>
  <c r="D122" i="9"/>
  <c r="D6" i="53"/>
  <c r="B22" i="72" s="1"/>
  <c r="B20" i="72"/>
  <c r="C72" i="9"/>
  <c r="D53" i="9"/>
  <c r="C78" i="9"/>
  <c r="C73" i="9" s="1"/>
  <c r="C85" i="9"/>
  <c r="C93" i="9"/>
  <c r="C86" i="9" s="1"/>
  <c r="D55" i="9"/>
  <c r="M53" i="9" s="1"/>
  <c r="D52" i="9"/>
  <c r="C64" i="9"/>
  <c r="C63" i="9" s="1"/>
  <c r="C67" i="9" s="1"/>
  <c r="C68" i="9" s="1"/>
  <c r="D54" i="9" s="1"/>
  <c r="B5" i="74"/>
  <c r="C5" i="74" l="1"/>
  <c r="D5" i="74"/>
  <c r="C79" i="9"/>
  <c r="C95" i="9"/>
  <c r="D123" i="9"/>
  <c r="D9" i="52" s="1"/>
  <c r="G14" i="74"/>
  <c r="B6" i="74" s="1"/>
  <c r="D8" i="52"/>
  <c r="D14" i="53"/>
  <c r="B32" i="72" s="1"/>
  <c r="B30" i="72"/>
  <c r="C6" i="74" l="1"/>
  <c r="D6" i="74"/>
  <c r="C96" i="9"/>
  <c r="E96" i="9" s="1"/>
  <c r="E97" i="9" s="1"/>
  <c r="C80" i="9"/>
  <c r="E80" i="9" s="1"/>
  <c r="E81" i="9" s="1"/>
  <c r="C81" i="9" l="1"/>
  <c r="C97" i="9"/>
  <c r="D58" i="9" s="1"/>
  <c r="D56" i="9" s="1"/>
  <c r="M54" i="9" s="1"/>
  <c r="N57" i="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B7" authorId="0">
      <text>
        <r>
          <rPr>
            <sz val="11"/>
            <color indexed="81"/>
            <rFont val="宋体"/>
            <family val="3"/>
            <charset val="134"/>
          </rPr>
          <t>土石方、地基处理、桩基</t>
        </r>
        <r>
          <rPr>
            <sz val="9"/>
            <color indexed="81"/>
            <rFont val="宋体"/>
            <family val="3"/>
            <charset val="134"/>
          </rPr>
          <t xml:space="preserve">
</t>
        </r>
      </text>
    </comment>
    <comment ref="B8" authorId="0">
      <text>
        <r>
          <rPr>
            <sz val="11"/>
            <color indexed="81"/>
            <rFont val="宋体"/>
            <family val="3"/>
            <charset val="134"/>
          </rPr>
          <t>包含地下结构</t>
        </r>
        <r>
          <rPr>
            <sz val="9"/>
            <color indexed="81"/>
            <rFont val="宋体"/>
            <family val="3"/>
            <charset val="134"/>
          </rPr>
          <t xml:space="preserve">
</t>
        </r>
      </text>
    </comment>
    <comment ref="B9" authorId="0">
      <text>
        <r>
          <rPr>
            <sz val="10"/>
            <color indexed="81"/>
            <rFont val="宋体"/>
            <family val="3"/>
            <charset val="134"/>
          </rPr>
          <t>装饰工程内涵为外装、公共部分装修以及室内毛胚</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<sst xmlns="http://schemas.openxmlformats.org/spreadsheetml/2006/main" count="8957" uniqueCount="3425">
  <si>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</si>
  <si>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</si>
  <si>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</si>
  <si>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</si>
  <si>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</si>
  <si>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</si>
  <si>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</si>
  <si>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</si>
  <si>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</si>
  <si>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</si>
  <si>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</si>
  <si>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</si>
  <si>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</si>
  <si>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</si>
  <si>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</si>
  <si>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</si>
  <si>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</si>
  <si>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</si>
  <si>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</si>
  <si>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</si>
  <si>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</si>
  <si>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</si>
  <si>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</si>
  <si>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</si>
  <si>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</si>
  <si>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</si>
  <si>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</si>
  <si>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</si>
  <si>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</si>
  <si>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</si>
  <si>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</si>
  <si>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</si>
  <si>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</si>
  <si>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</si>
  <si>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</si>
  <si>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</si>
  <si>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</si>
  <si>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</si>
  <si>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</si>
  <si>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</si>
  <si>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</si>
  <si>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</si>
  <si>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</si>
  <si>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</si>
  <si>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</si>
  <si>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</si>
  <si>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</si>
  <si>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</si>
  <si>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</si>
  <si>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</si>
  <si>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</si>
  <si>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</si>
  <si>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</si>
  <si>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</si>
  <si>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</si>
  <si>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</si>
  <si>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</si>
  <si>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</si>
  <si>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</si>
  <si>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</si>
  <si>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</si>
  <si>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</si>
  <si>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</si>
  <si>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</si>
  <si>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</si>
  <si>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</si>
  <si>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</si>
  <si>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</si>
  <si>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</si>
  <si>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</si>
  <si>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</si>
  <si>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</si>
  <si>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</si>
  <si>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</si>
  <si>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</si>
  <si>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</si>
  <si>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</si>
  <si>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</si>
  <si>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</si>
  <si>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</si>
  <si>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</si>
  <si>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</si>
  <si>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</si>
  <si>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</si>
  <si>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</si>
  <si>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</si>
  <si>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</si>
  <si>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</si>
  <si>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</si>
  <si>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</si>
  <si>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</si>
  <si>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</si>
  <si>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</si>
  <si>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</si>
  <si>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</si>
  <si>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</si>
  <si>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</si>
  <si>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</si>
  <si>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</si>
  <si>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</si>
  <si>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</si>
  <si>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</si>
  <si>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</si>
  <si>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</si>
  <si>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</si>
  <si>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</si>
  <si>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</si>
  <si>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</si>
  <si>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</si>
  <si>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</si>
  <si>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</si>
  <si>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</si>
  <si>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</si>
  <si>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</si>
  <si>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</si>
  <si>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</si>
  <si>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</si>
  <si>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</si>
  <si>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</si>
  <si>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</si>
  <si>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</si>
  <si>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</si>
  <si>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</si>
  <si>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</si>
  <si>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</si>
  <si>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</si>
  <si>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</si>
  <si>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</si>
  <si>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</si>
  <si>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</si>
  <si>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</si>
  <si>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</si>
  <si>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</si>
  <si>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</si>
  <si>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</si>
  <si>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</si>
  <si>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</si>
  <si>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</si>
  <si>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</si>
  <si>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</si>
  <si>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</si>
  <si>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</si>
  <si>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</si>
  <si>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</si>
  <si>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</si>
  <si>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</si>
  <si>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</si>
  <si>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</si>
  <si>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</si>
  <si>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</si>
  <si>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</si>
  <si>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</si>
  <si>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</si>
  <si>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</si>
  <si>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</si>
  <si>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</si>
  <si>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</si>
  <si>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</si>
  <si>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</si>
  <si>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</si>
  <si>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</si>
  <si>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</si>
  <si>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</si>
  <si>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</si>
  <si>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</si>
  <si>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</si>
  <si>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</si>
  <si>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</si>
  <si>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</si>
  <si>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</si>
  <si>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</si>
  <si>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</si>
  <si>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</si>
  <si>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</si>
  <si>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</si>
  <si>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</si>
  <si>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</si>
  <si>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</si>
  <si>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</si>
  <si>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</si>
  <si>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</si>
  <si>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</si>
  <si>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</si>
  <si>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</si>
  <si>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</si>
  <si>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</si>
  <si>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</si>
  <si>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</si>
  <si>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</si>
  <si>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</si>
  <si>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</si>
  <si>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</si>
  <si>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</si>
  <si>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</si>
  <si>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</si>
  <si>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</si>
  <si>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</si>
  <si>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</si>
  <si>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</si>
  <si>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</si>
  <si>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</si>
  <si>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</si>
  <si>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</si>
  <si>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</si>
  <si>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</si>
  <si>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</si>
  <si>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</si>
  <si>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</si>
  <si>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</si>
  <si>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</si>
  <si>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</si>
  <si>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</si>
  <si>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</si>
  <si>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</si>
  <si>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</si>
  <si>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</si>
  <si>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</si>
  <si>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</si>
  <si>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</si>
  <si>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</si>
  <si>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</si>
  <si>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</si>
  <si>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</si>
  <si>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</si>
  <si>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</si>
  <si>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</si>
  <si>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</si>
  <si>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</si>
  <si>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</si>
  <si>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</si>
  <si>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</si>
  <si>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</si>
  <si>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</si>
  <si>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</si>
  <si>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</si>
  <si>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</si>
  <si>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</si>
  <si>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</si>
  <si>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</si>
  <si>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</si>
  <si>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</si>
  <si>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</si>
  <si>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</si>
  <si>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</si>
  <si>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</si>
  <si>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</si>
  <si>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</si>
  <si>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</si>
  <si>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</si>
  <si>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</si>
  <si>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</si>
  <si>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</si>
  <si>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</si>
  <si>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</si>
  <si>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</si>
  <si>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</si>
  <si>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</si>
  <si>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</si>
  <si>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</si>
  <si>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</si>
  <si>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</si>
  <si>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</si>
  <si>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</si>
  <si>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</si>
  <si>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</si>
  <si>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</si>
  <si>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</si>
  <si>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</si>
  <si>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</si>
  <si>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</si>
  <si>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</si>
  <si>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</si>
  <si>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</si>
  <si>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</si>
  <si>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</si>
  <si>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</si>
  <si>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</si>
  <si>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</si>
  <si>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</si>
  <si>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</si>
  <si>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</si>
  <si>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</si>
  <si>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</si>
  <si>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</si>
  <si>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</si>
  <si>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</si>
  <si>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</si>
  <si>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</si>
  <si>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</si>
  <si>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</si>
  <si>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</si>
  <si>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</si>
  <si>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</si>
  <si>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</si>
  <si>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</si>
  <si>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</si>
  <si>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</si>
  <si>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</si>
  <si>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</si>
  <si>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</si>
  <si>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</si>
  <si>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</si>
  <si>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</si>
  <si>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</si>
  <si>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</si>
  <si>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</si>
  <si>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</si>
  <si>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</si>
  <si>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</si>
  <si>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</si>
  <si>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</si>
  <si>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</si>
  <si>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</si>
  <si>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</si>
  <si>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</si>
  <si>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</si>
  <si>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</si>
  <si>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</si>
  <si>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</si>
  <si>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</si>
  <si>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</si>
  <si>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</si>
  <si>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</si>
  <si>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</si>
  <si>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</si>
  <si>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</si>
  <si>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</si>
  <si>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</si>
  <si>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</si>
  <si>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</si>
  <si>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</si>
  <si>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</si>
  <si>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</si>
  <si>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</si>
  <si>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</si>
  <si>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</si>
  <si>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</si>
  <si>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</si>
  <si>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</si>
  <si>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</si>
  <si>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</si>
  <si>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</si>
  <si>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</si>
  <si>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</si>
  <si>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</si>
  <si>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</si>
  <si>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</si>
  <si>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</si>
  <si>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</si>
  <si>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</si>
  <si>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</si>
  <si>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</si>
  <si>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</si>
  <si>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</si>
  <si>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</si>
  <si>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</si>
  <si>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</si>
  <si>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</si>
  <si>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</si>
  <si>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</si>
  <si>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</si>
  <si>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</si>
  <si>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</si>
  <si>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</si>
  <si>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</si>
  <si>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</si>
  <si>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</si>
  <si>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</si>
  <si>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</si>
  <si>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</si>
  <si>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</si>
  <si>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</si>
  <si>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</si>
  <si>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</si>
  <si>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</si>
  <si>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</si>
  <si>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</si>
  <si>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</si>
  <si>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</si>
  <si>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</si>
  <si>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</si>
  <si>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</si>
  <si>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</si>
  <si>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</si>
  <si>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</si>
  <si>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</si>
  <si>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</si>
  <si>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</si>
  <si>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</si>
  <si>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</si>
  <si>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</si>
  <si>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</si>
  <si>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</si>
  <si>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</si>
  <si>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</si>
  <si>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</si>
  <si>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</si>
  <si>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</si>
  <si>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</si>
  <si>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</si>
  <si>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</si>
  <si>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</si>
  <si>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</si>
  <si>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</si>
  <si>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</si>
  <si>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</si>
  <si>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</si>
  <si>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</si>
  <si>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</si>
  <si>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</si>
  <si>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</si>
  <si>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</si>
  <si>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</si>
  <si>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</si>
  <si>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</si>
  <si>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</si>
  <si>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</si>
  <si>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</si>
  <si>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</si>
  <si>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</si>
  <si>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</si>
  <si>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</si>
  <si>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</si>
  <si>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</si>
  <si>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</si>
  <si>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</si>
  <si>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</si>
  <si>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</si>
  <si>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</si>
  <si>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</si>
  <si>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</si>
  <si>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</si>
  <si>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</si>
  <si>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</si>
  <si>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</si>
  <si>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</si>
  <si>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</si>
  <si>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</si>
  <si>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</si>
  <si>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</si>
  <si>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</si>
  <si>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</si>
  <si>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</si>
  <si>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</si>
  <si>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</si>
  <si>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</si>
  <si>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</si>
  <si>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</si>
  <si>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</si>
  <si>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</si>
  <si>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</si>
  <si>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</si>
  <si>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</si>
  <si>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</si>
  <si>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</si>
  <si>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</si>
  <si>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</si>
  <si>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</si>
  <si>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</si>
  <si>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</si>
  <si>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</si>
  <si>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</si>
  <si>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</si>
  <si>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</si>
  <si>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</si>
  <si>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</si>
  <si>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</si>
  <si>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</si>
  <si>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</si>
  <si>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</si>
  <si>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</si>
  <si>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</si>
  <si>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</si>
  <si>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</si>
  <si>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</si>
  <si>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</si>
  <si>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</si>
  <si>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</si>
  <si>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</si>
  <si>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</si>
  <si>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</si>
  <si>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</si>
  <si>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</si>
  <si>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</si>
  <si>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</si>
  <si>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</si>
  <si>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</si>
  <si>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</si>
  <si>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</si>
  <si>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</si>
  <si>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</si>
  <si>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</si>
  <si>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</si>
  <si>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</si>
  <si>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</si>
  <si>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</si>
  <si>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</si>
  <si>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</si>
  <si>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</si>
  <si>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</si>
  <si>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</si>
  <si>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</si>
  <si>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</si>
  <si>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</si>
  <si>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</si>
  <si>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</si>
  <si>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</si>
  <si>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</si>
  <si>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</si>
  <si>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</si>
  <si>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</si>
  <si>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</si>
  <si>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</si>
  <si>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</si>
  <si>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</si>
  <si>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</si>
  <si>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</si>
  <si>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</si>
  <si>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</si>
  <si>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</si>
  <si>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</si>
  <si>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</si>
  <si>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</si>
  <si>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</si>
  <si>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</si>
  <si>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</si>
  <si>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</si>
  <si>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</si>
  <si>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</si>
  <si>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</si>
  <si>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</si>
  <si>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</si>
  <si>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</si>
  <si>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</si>
  <si>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</si>
  <si>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</si>
  <si>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</si>
  <si>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</si>
  <si>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</si>
  <si>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</si>
  <si>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</si>
  <si>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</si>
  <si>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</si>
  <si>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</si>
  <si>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</si>
  <si>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</si>
  <si>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</si>
  <si>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</si>
  <si>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</si>
  <si>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</si>
  <si>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</si>
  <si>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</si>
  <si>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</si>
  <si>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</si>
  <si>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</si>
  <si>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</si>
  <si>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</si>
  <si>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</si>
  <si>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</si>
  <si>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</si>
  <si>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</si>
  <si>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</si>
  <si>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</si>
  <si>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</si>
  <si>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</si>
  <si>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</si>
  <si>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</si>
  <si>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</si>
  <si>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</si>
  <si>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</si>
  <si>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</si>
  <si>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</si>
  <si>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</si>
  <si>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</si>
  <si>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</si>
  <si>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</si>
  <si>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</si>
  <si>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</si>
  <si>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</si>
  <si>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</si>
  <si>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</si>
  <si>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</si>
  <si>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</si>
  <si>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</si>
  <si>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</si>
  <si>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</si>
  <si>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</si>
  <si>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</si>
  <si>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</si>
  <si>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</si>
  <si>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</si>
  <si>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</si>
  <si>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</si>
  <si>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</si>
  <si>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</si>
  <si>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</si>
  <si>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</si>
  <si>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</si>
  <si>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</si>
  <si>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</si>
  <si>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</si>
  <si>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</si>
  <si>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</si>
  <si>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</si>
  <si>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</si>
  <si>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</si>
  <si>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</si>
  <si>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</si>
  <si>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</si>
  <si>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</si>
  <si>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</si>
  <si>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</si>
  <si>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</si>
  <si>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</si>
  <si>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</si>
  <si>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</si>
  <si>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</si>
  <si>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</si>
  <si>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</si>
  <si>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</si>
  <si>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</si>
  <si>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</si>
  <si>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</si>
  <si>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</si>
  <si>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</si>
  <si>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</si>
  <si>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</si>
  <si>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</si>
  <si>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</si>
  <si>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</si>
  <si>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</si>
  <si>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</si>
  <si>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</si>
  <si>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</si>
  <si>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</si>
  <si>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</si>
  <si>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</si>
  <si>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</si>
  <si>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</si>
  <si>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</si>
  <si>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</si>
  <si>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</si>
  <si>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</si>
  <si>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</si>
  <si>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</si>
  <si>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</si>
  <si>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</si>
  <si>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</si>
  <si>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</si>
  <si>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</si>
  <si>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</si>
  <si>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</si>
  <si>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</si>
  <si>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</si>
  <si>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</si>
  <si>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</si>
  <si>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</si>
  <si>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</si>
  <si>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</si>
  <si>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</si>
  <si>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</si>
  <si>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</si>
  <si>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</si>
  <si>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</si>
  <si>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</si>
  <si>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</si>
  <si>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</si>
  <si>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</si>
  <si>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</si>
  <si>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</si>
  <si>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</si>
  <si>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</si>
  <si>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</si>
  <si>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</si>
  <si>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</si>
  <si>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</si>
  <si>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</si>
  <si>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</si>
  <si>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</si>
  <si>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</si>
  <si>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</si>
  <si>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</si>
  <si>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</si>
  <si>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</si>
  <si>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</si>
  <si>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</si>
  <si>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</si>
  <si>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</si>
  <si>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</si>
  <si>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</si>
  <si>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</si>
  <si>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</si>
  <si>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</si>
  <si>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</si>
  <si>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</si>
  <si>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</si>
  <si>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</si>
  <si>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</si>
  <si>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</si>
  <si>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</si>
  <si>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</si>
  <si>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</si>
  <si>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</si>
  <si>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</si>
  <si>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</si>
  <si>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</si>
  <si>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</si>
  <si>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</si>
  <si>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</si>
  <si>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</si>
  <si>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</si>
  <si>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</si>
  <si>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</si>
  <si>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</si>
  <si>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</si>
  <si>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</si>
  <si>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</si>
  <si>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</si>
  <si>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</si>
  <si>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</si>
  <si>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</si>
  <si>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</si>
  <si>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</si>
  <si>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</si>
  <si>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</si>
  <si>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</si>
  <si>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</si>
  <si>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</si>
  <si>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</si>
  <si>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</si>
  <si>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</si>
  <si>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</si>
  <si>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</si>
  <si>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</si>
  <si>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</si>
  <si>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</si>
  <si>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</si>
  <si>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</si>
  <si>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</si>
  <si>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</si>
  <si>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</si>
  <si>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</si>
  <si>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</si>
  <si>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</si>
  <si>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</si>
  <si>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</si>
  <si>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</si>
  <si>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</si>
  <si>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</si>
  <si>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</si>
  <si>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</si>
  <si>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</si>
  <si>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</si>
  <si>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</si>
  <si>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</si>
  <si>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</si>
  <si>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</si>
  <si>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</si>
  <si>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</si>
  <si>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</si>
  <si>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</si>
  <si>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</si>
  <si>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</si>
  <si>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</si>
  <si>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</si>
  <si>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</si>
  <si>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</si>
  <si>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</si>
  <si>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</si>
  <si>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</si>
  <si>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</si>
  <si>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</si>
  <si>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</si>
  <si>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</si>
  <si>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</si>
  <si>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</si>
  <si>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</si>
  <si>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</si>
  <si>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</si>
  <si>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</si>
  <si>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</si>
  <si>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</si>
  <si>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</si>
  <si>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</si>
  <si>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</si>
  <si>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</si>
  <si>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</si>
  <si>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</si>
  <si>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</si>
  <si>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</si>
  <si>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</si>
  <si>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</si>
  <si>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</si>
  <si>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</si>
  <si>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</si>
  <si>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</si>
  <si>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</si>
  <si>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</si>
  <si>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</si>
  <si>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</si>
  <si>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</si>
  <si>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</si>
  <si>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</si>
  <si>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</si>
  <si>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</si>
  <si>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</si>
  <si>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</si>
  <si>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</si>
  <si>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</si>
  <si>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</si>
  <si>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</si>
  <si>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</si>
  <si>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</si>
  <si>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</si>
  <si>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</si>
  <si>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</si>
  <si>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</si>
  <si>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</si>
  <si>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</si>
  <si>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</si>
  <si>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</si>
  <si>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</si>
  <si>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</si>
  <si>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</si>
  <si>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</si>
  <si>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</si>
  <si>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</si>
  <si>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</si>
  <si>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</si>
  <si>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</si>
  <si>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</si>
  <si>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</si>
  <si>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</si>
  <si>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</si>
  <si>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</si>
  <si>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</si>
  <si>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</si>
  <si>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</si>
  <si>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</si>
  <si>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</si>
  <si>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</si>
  <si>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</si>
  <si>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</si>
  <si>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</si>
  <si>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</si>
  <si>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</si>
  <si>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</si>
  <si>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</si>
  <si>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</si>
  <si>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</si>
  <si>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</si>
  <si>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</si>
  <si>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</si>
  <si>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</si>
  <si>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</si>
  <si>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</si>
  <si>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</si>
  <si>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</si>
  <si>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</si>
  <si>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</si>
  <si>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</si>
  <si>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</si>
  <si>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</si>
  <si>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</si>
  <si>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</si>
  <si>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</si>
  <si>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</si>
  <si>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</si>
  <si>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</si>
  <si>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</si>
  <si>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</si>
  <si>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</si>
  <si>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</si>
  <si>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</si>
  <si>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</si>
  <si>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</si>
  <si>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</si>
  <si>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</si>
  <si>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</si>
  <si>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</si>
  <si>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</si>
  <si>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</si>
  <si>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</si>
  <si>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</si>
  <si>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</si>
  <si>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</si>
  <si>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</si>
  <si>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</si>
  <si>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</si>
  <si>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</si>
  <si>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</si>
  <si>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</si>
  <si>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</si>
  <si>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</si>
  <si>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</si>
  <si>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</si>
  <si>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</si>
  <si>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</si>
  <si>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</si>
  <si>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</si>
  <si>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</si>
  <si>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</si>
  <si>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</si>
  <si>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</si>
  <si>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</si>
  <si>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</si>
  <si>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</si>
  <si>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</si>
  <si>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</si>
  <si>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</si>
  <si>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</si>
  <si>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</si>
  <si>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</si>
  <si>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</si>
  <si>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</si>
  <si>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</si>
  <si>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</si>
  <si>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</si>
  <si>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</si>
  <si>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</si>
  <si>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</si>
  <si>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</si>
  <si>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</si>
  <si>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</si>
  <si>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</si>
  <si>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</si>
  <si>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</si>
  <si>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</si>
  <si>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</si>
  <si>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</si>
  <si>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</si>
  <si>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</si>
  <si>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</si>
  <si>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</si>
  <si>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</si>
  <si>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</si>
  <si>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</si>
  <si>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</si>
  <si>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</si>
  <si>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</si>
  <si>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</si>
  <si>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</si>
  <si>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</si>
  <si>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</si>
  <si>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</si>
  <si>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</si>
  <si>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</si>
  <si>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</si>
  <si>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</si>
  <si>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</si>
  <si>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</si>
  <si>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</si>
  <si>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</si>
  <si>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</si>
  <si>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</si>
  <si>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</si>
  <si>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</si>
  <si>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</si>
  <si>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</si>
  <si>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</si>
  <si>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</si>
  <si>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</si>
  <si>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</si>
  <si>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</si>
  <si>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</si>
  <si>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</si>
  <si>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</si>
  <si>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</si>
  <si>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</si>
  <si>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</si>
  <si>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</si>
  <si>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</si>
  <si>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</si>
  <si>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</si>
  <si>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</si>
  <si>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</si>
  <si>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</si>
  <si>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</si>
  <si>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</si>
  <si>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</si>
  <si>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</si>
  <si>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</si>
  <si>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</si>
  <si>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</si>
  <si>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</si>
  <si>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</si>
  <si>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</si>
  <si>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</si>
  <si>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</si>
  <si>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</si>
  <si>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</si>
  <si>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</si>
  <si>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</si>
  <si>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</si>
  <si>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</si>
  <si>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</si>
  <si>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</si>
  <si>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</si>
  <si>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</si>
  <si>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</si>
  <si>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</si>
  <si>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</si>
  <si>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</si>
  <si>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</si>
  <si>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</si>
  <si>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</si>
  <si>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</si>
  <si>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</si>
  <si>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</si>
  <si>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</si>
  <si>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</si>
  <si>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</si>
  <si>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</si>
  <si>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</si>
  <si>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</si>
  <si>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</si>
  <si>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</si>
  <si>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</si>
  <si>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</si>
  <si>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</si>
  <si>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</si>
  <si>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</si>
  <si>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</si>
  <si>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</si>
  <si>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</si>
  <si>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</si>
  <si>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</si>
  <si>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</si>
  <si>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</si>
  <si>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</si>
  <si>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</si>
  <si>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</si>
  <si>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</si>
  <si>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</si>
  <si>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</si>
  <si>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</si>
  <si>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</si>
  <si>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</si>
  <si>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</si>
  <si>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</si>
  <si>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</si>
  <si>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</si>
  <si>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</si>
  <si>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</si>
  <si>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</si>
  <si>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</si>
  <si>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</si>
  <si>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</si>
  <si>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</si>
  <si>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</si>
  <si>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</si>
  <si>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</si>
  <si>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</si>
  <si>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</si>
  <si>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</si>
  <si>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</si>
  <si>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</si>
  <si>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</si>
  <si>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</si>
  <si>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</si>
  <si>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</si>
  <si>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</si>
  <si>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</si>
  <si>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</si>
  <si>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</si>
  <si>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</si>
  <si>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</si>
  <si>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</si>
  <si>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</si>
  <si>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</si>
  <si>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</si>
  <si>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</si>
  <si>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</si>
  <si>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</si>
  <si>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</si>
  <si>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</si>
  <si>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</si>
  <si>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</si>
  <si>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</si>
  <si>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</si>
  <si>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</si>
  <si>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</si>
  <si>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</si>
  <si>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</si>
  <si>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</si>
  <si>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</si>
  <si>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</si>
  <si>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</si>
  <si>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</si>
  <si>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</si>
  <si>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</si>
  <si>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</si>
  <si>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</si>
  <si>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</si>
  <si>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</si>
  <si>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</si>
  <si>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</si>
  <si>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</si>
  <si>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</si>
  <si>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</si>
  <si>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</si>
  <si>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</si>
  <si>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</si>
  <si>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</si>
  <si>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</si>
  <si>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</si>
  <si>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</si>
  <si>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</si>
  <si>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</si>
  <si>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</si>
  <si>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</si>
  <si>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</si>
  <si>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</si>
  <si>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</si>
  <si>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</si>
  <si>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</si>
  <si>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</si>
  <si>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</si>
  <si>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</si>
  <si>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</si>
  <si>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</si>
  <si>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</si>
  <si>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</si>
  <si>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</si>
  <si>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</si>
  <si>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</si>
  <si>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</si>
  <si>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</si>
  <si>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</si>
  <si>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</si>
  <si>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</si>
  <si>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</si>
  <si>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</si>
  <si>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</si>
  <si>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</si>
  <si>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</si>
  <si>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</si>
  <si>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</si>
  <si>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</si>
  <si>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</si>
  <si>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</si>
  <si>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</si>
  <si>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</si>
  <si>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</si>
  <si>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</si>
  <si>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</si>
  <si>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</si>
  <si>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</si>
  <si>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</si>
  <si>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</si>
  <si>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</si>
  <si>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</si>
  <si>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</si>
  <si>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</si>
  <si>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</si>
  <si>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</si>
  <si>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</si>
  <si>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</si>
  <si>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</si>
  <si>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</si>
  <si>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</si>
  <si>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</si>
  <si>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</si>
  <si>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</si>
  <si>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</si>
  <si>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</si>
  <si>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</si>
  <si>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</si>
  <si>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</si>
  <si>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</si>
  <si>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</si>
  <si>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</si>
  <si>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</si>
  <si>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</si>
  <si>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</si>
  <si>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</si>
  <si>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</si>
  <si>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</si>
  <si>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</si>
  <si>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</si>
  <si>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</si>
  <si>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</si>
  <si>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</si>
  <si>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</si>
  <si>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</si>
  <si>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</si>
  <si>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</si>
  <si>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</si>
  <si>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</si>
  <si>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</si>
  <si>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</si>
  <si>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</si>
  <si>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</si>
  <si>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</si>
  <si>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</si>
  <si>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</si>
  <si>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</si>
  <si>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</si>
  <si>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</si>
  <si>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</si>
  <si>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</si>
  <si>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</si>
  <si>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</si>
  <si>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</si>
  <si>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</si>
  <si>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</si>
  <si>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</si>
  <si>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</si>
  <si>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</si>
  <si>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</si>
  <si>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</si>
  <si>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</si>
  <si>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</si>
  <si>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</si>
  <si>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</si>
  <si>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</si>
  <si>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</si>
  <si>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</si>
  <si>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</si>
  <si>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</si>
  <si>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</si>
  <si>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</si>
  <si>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</si>
  <si>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</si>
  <si>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</si>
  <si>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</si>
  <si>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</si>
  <si>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</si>
  <si>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</si>
  <si>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</si>
  <si>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</si>
  <si>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</si>
  <si>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</si>
  <si>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</si>
  <si>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</si>
  <si>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</si>
  <si>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</si>
  <si>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</si>
  <si>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</si>
  <si>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</si>
  <si>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</si>
  <si>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</si>
  <si>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</si>
  <si>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</si>
  <si>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</si>
  <si>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</si>
  <si>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</si>
  <si>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</si>
  <si>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</si>
  <si>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</si>
  <si>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</si>
  <si>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</si>
  <si>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</si>
  <si>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</si>
  <si>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</si>
  <si>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</si>
  <si>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</si>
  <si>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</si>
  <si>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</si>
  <si>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</si>
  <si>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</si>
  <si>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</si>
  <si>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</si>
  <si>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</si>
  <si>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</si>
  <si>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</si>
  <si>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</si>
  <si>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</si>
  <si>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</si>
  <si>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</si>
  <si>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</si>
  <si>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</si>
  <si>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</si>
  <si>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</si>
  <si>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</si>
  <si>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</si>
  <si>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</si>
  <si>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</si>
  <si>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</si>
  <si>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</si>
  <si>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</si>
  <si>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</si>
  <si>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</si>
  <si>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</si>
  <si>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</si>
  <si>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</si>
  <si>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</si>
  <si>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</si>
  <si>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</si>
  <si>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</si>
  <si>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</si>
  <si>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</si>
  <si>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</si>
  <si>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</si>
  <si>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</si>
  <si>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</si>
  <si>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</si>
  <si>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</si>
  <si>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</si>
  <si>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</si>
  <si>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</si>
  <si>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</si>
  <si>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</si>
  <si>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</si>
  <si>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</si>
  <si>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</si>
  <si>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</si>
  <si>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</si>
  <si>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</si>
  <si>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</si>
  <si>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</si>
  <si>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</si>
  <si>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</si>
  <si>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</si>
  <si>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</si>
  <si>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</si>
  <si>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</si>
  <si>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</si>
  <si>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</si>
  <si>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</si>
  <si>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</si>
  <si>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</si>
  <si>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</si>
  <si>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</si>
  <si>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</si>
  <si>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</si>
  <si>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</si>
  <si>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</si>
  <si>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</si>
  <si>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</si>
  <si>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</si>
  <si>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</si>
  <si>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</si>
  <si>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</si>
  <si>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</si>
  <si>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</si>
  <si>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</si>
  <si>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</si>
  <si>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</si>
  <si>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</si>
  <si>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</si>
  <si>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</si>
  <si>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</si>
  <si>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</si>
  <si>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</si>
  <si>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</si>
  <si>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</si>
  <si>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</si>
  <si>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</si>
  <si>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</si>
  <si>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</si>
  <si>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</si>
  <si>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</si>
  <si>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</si>
  <si>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</si>
  <si>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</si>
  <si>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</si>
  <si>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</si>
  <si>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</si>
  <si>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</si>
  <si>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</si>
  <si>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</si>
  <si>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</si>
  <si>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</si>
  <si>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</si>
  <si>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</si>
  <si>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</si>
  <si>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</si>
  <si>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</si>
  <si>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</si>
  <si>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</si>
  <si>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</si>
  <si>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</si>
  <si>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</si>
  <si>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</si>
  <si>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</si>
  <si>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</si>
  <si>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</si>
  <si>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</si>
  <si>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</si>
  <si>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</si>
  <si>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</si>
  <si>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</si>
  <si>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</si>
  <si>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</si>
  <si>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</si>
  <si>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</si>
  <si>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</si>
  <si>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</si>
  <si>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</si>
  <si>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</si>
  <si>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</si>
  <si>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</si>
  <si>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</si>
  <si>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</si>
  <si>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</si>
  <si>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</si>
  <si>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</si>
  <si>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</si>
  <si>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</si>
  <si>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</si>
  <si>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</si>
  <si>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</si>
  <si>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</si>
  <si>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</si>
  <si>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</si>
  <si>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</si>
  <si>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</si>
  <si>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</si>
  <si>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</si>
  <si>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</si>
  <si>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</si>
  <si>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</si>
  <si>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</si>
  <si>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</si>
  <si>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</si>
  <si>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</si>
  <si>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</si>
  <si>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</si>
  <si>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</si>
  <si>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</si>
  <si>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</si>
  <si>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</si>
  <si>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</si>
  <si>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</si>
  <si>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</si>
  <si>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</si>
  <si>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</si>
  <si>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</si>
  <si>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</si>
  <si>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</si>
  <si>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</si>
  <si>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</si>
  <si>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</si>
  <si>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</si>
  <si>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</si>
  <si>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</si>
  <si>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</si>
  <si>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</si>
  <si>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</si>
  <si>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</si>
  <si>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</si>
  <si>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</si>
  <si>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</si>
  <si>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</si>
  <si>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</si>
  <si>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</si>
  <si>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</si>
  <si>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</si>
  <si>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</si>
  <si>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</si>
  <si>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</si>
  <si>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</si>
  <si>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</si>
  <si>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</si>
  <si>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</si>
  <si>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</si>
  <si>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</si>
  <si>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</si>
  <si>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</si>
  <si>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</si>
  <si>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</si>
  <si>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</si>
  <si>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</si>
  <si>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</si>
  <si>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</si>
  <si>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</si>
  <si>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</si>
  <si>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</si>
  <si>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</si>
  <si>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</si>
  <si>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</si>
  <si>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</si>
  <si>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</si>
  <si>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</si>
  <si>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</si>
  <si>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</si>
  <si>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</si>
  <si>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</si>
  <si>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</si>
  <si>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</si>
  <si>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</si>
  <si>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</si>
  <si>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</si>
  <si>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</si>
  <si>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</si>
  <si>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</si>
  <si>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</si>
  <si>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</si>
  <si>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</si>
  <si>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</si>
  <si>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</si>
  <si>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</si>
  <si>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</si>
  <si>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</si>
  <si>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</si>
  <si>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</si>
  <si>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</si>
  <si>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</si>
  <si>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</si>
  <si>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</si>
  <si>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</si>
  <si>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</si>
  <si>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</si>
  <si>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</si>
  <si>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</si>
  <si>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</si>
  <si>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</si>
  <si>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</si>
  <si>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</si>
  <si>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</si>
  <si>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</si>
  <si>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</si>
  <si>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</si>
  <si>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</si>
  <si>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</si>
  <si>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</si>
  <si>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</si>
  <si>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</si>
  <si>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</si>
  <si>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</si>
  <si>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</si>
  <si>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</si>
  <si>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</si>
  <si>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</si>
  <si>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</si>
  <si>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</si>
  <si>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</si>
  <si>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</si>
  <si>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</si>
  <si>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</si>
  <si>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</si>
  <si>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</si>
  <si>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</si>
  <si>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</si>
  <si>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</si>
  <si>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</si>
  <si>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</si>
  <si>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</si>
  <si>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</si>
  <si>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</si>
  <si>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</si>
  <si>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</si>
  <si>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</si>
  <si>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</si>
  <si>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</si>
  <si>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</si>
  <si>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</si>
  <si>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</si>
  <si>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</si>
  <si>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</si>
  <si>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</si>
  <si>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</si>
  <si>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</si>
  <si>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</si>
  <si>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</si>
  <si>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</si>
  <si>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</si>
  <si>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</si>
  <si>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</si>
  <si>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</si>
  <si>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</si>
  <si>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</si>
  <si>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</si>
  <si>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</si>
  <si>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</si>
  <si>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</si>
  <si>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</si>
  <si>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</si>
  <si>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</si>
  <si>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</si>
  <si>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</si>
  <si>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</si>
  <si>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</si>
  <si>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</si>
  <si>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</si>
  <si>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</si>
  <si>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</si>
  <si>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</si>
  <si>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</si>
  <si>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</si>
  <si>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</si>
  <si>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</si>
  <si>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</si>
  <si>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</si>
  <si>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</si>
  <si>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</si>
  <si>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</si>
  <si>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</si>
  <si>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</si>
  <si>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</si>
  <si>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</si>
  <si>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</si>
  <si>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</si>
  <si>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</si>
  <si>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</si>
  <si>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</si>
  <si>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</si>
  <si>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</si>
  <si>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</si>
  <si>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</si>
  <si>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</si>
  <si>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</si>
  <si>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</si>
  <si>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</si>
  <si>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</si>
  <si>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</si>
  <si>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</si>
  <si>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</si>
  <si>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</si>
  <si>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</si>
  <si>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</si>
  <si>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</si>
  <si>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</si>
  <si>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</si>
  <si>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</si>
  <si>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</si>
  <si>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</si>
  <si>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</si>
  <si>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</si>
  <si>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</si>
  <si>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</si>
  <si>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</si>
  <si>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</si>
  <si>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</si>
  <si>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</si>
  <si>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</si>
  <si>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</si>
  <si>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</si>
  <si>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</si>
  <si>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</si>
  <si>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</si>
  <si>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</si>
  <si>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</si>
  <si>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</si>
  <si>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</si>
  <si>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</si>
  <si>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</si>
  <si>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</si>
  <si>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</si>
  <si>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</si>
  <si>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</si>
  <si>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</si>
  <si>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</si>
  <si>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</si>
  <si>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</si>
  <si>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</si>
  <si>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</si>
  <si>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</si>
  <si>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</si>
  <si>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</si>
  <si>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</si>
  <si>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</si>
  <si>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</si>
  <si>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</si>
  <si>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</si>
  <si>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</si>
  <si>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</si>
  <si>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</si>
  <si>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</si>
  <si>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</si>
  <si>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</si>
  <si>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</si>
  <si>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</si>
  <si>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</si>
  <si>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</si>
  <si>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</si>
  <si>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</si>
  <si>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</si>
  <si>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</si>
  <si>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</si>
  <si>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</si>
  <si>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</si>
  <si>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</si>
  <si>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</si>
  <si>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</si>
  <si>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</si>
  <si>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</si>
  <si>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</si>
  <si>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</si>
  <si>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</si>
  <si>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</si>
  <si>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</si>
  <si>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</si>
  <si>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</si>
  <si>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</si>
  <si>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</si>
  <si>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</si>
  <si>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</si>
  <si>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</si>
  <si>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</si>
  <si>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</si>
  <si>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</si>
  <si>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</si>
  <si>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</si>
  <si>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</si>
  <si>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</si>
  <si>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</si>
  <si>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</si>
  <si>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</si>
  <si>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</si>
  <si>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</si>
  <si>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</si>
  <si>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</si>
  <si>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</si>
  <si>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</si>
  <si>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</si>
  <si>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</si>
  <si>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</si>
  <si>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</si>
  <si>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</si>
  <si>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</si>
  <si>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</si>
  <si>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</si>
  <si>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</si>
  <si>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</si>
  <si>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</si>
  <si>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</si>
  <si>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</si>
  <si>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</si>
  <si>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</si>
  <si>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</si>
  <si>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</si>
  <si>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</si>
  <si>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</si>
  <si>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</si>
  <si>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</si>
  <si>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</si>
  <si>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</si>
  <si>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</si>
  <si>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</si>
  <si>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</si>
  <si>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</si>
  <si>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</si>
  <si>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</si>
  <si>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</si>
  <si>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</si>
  <si>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</si>
  <si>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</si>
  <si>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</si>
  <si>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</si>
  <si>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</si>
  <si>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</si>
  <si>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</si>
  <si>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</si>
  <si>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</si>
  <si>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</si>
  <si>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</si>
  <si>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</si>
  <si>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</si>
  <si>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</si>
  <si>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</si>
  <si>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</si>
  <si>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</si>
  <si>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</si>
  <si>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</si>
  <si>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</si>
  <si>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</si>
  <si>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</si>
  <si>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</si>
  <si>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</si>
  <si>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</si>
  <si>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</si>
  <si>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</si>
  <si>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</si>
  <si>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</si>
  <si>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</si>
  <si>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</si>
  <si>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</si>
  <si>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</si>
  <si>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</si>
  <si>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</si>
  <si>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</si>
  <si>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</si>
  <si>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</si>
  <si>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</si>
  <si>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</si>
  <si>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</si>
  <si>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</si>
  <si>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</si>
  <si>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</si>
  <si>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</si>
  <si>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</si>
  <si>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</si>
  <si>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</si>
  <si>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</si>
  <si>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</si>
  <si>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</si>
  <si>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</si>
  <si>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</si>
  <si>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</si>
  <si>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</si>
  <si>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</si>
  <si>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</si>
  <si>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</si>
  <si>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</si>
  <si>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</si>
  <si>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</si>
  <si>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</si>
  <si>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</si>
  <si>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</si>
  <si>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</si>
  <si>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</si>
  <si>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</si>
  <si>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</si>
  <si>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</si>
  <si>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</si>
  <si>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</si>
  <si>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</si>
  <si>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</si>
  <si>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</si>
  <si>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</si>
  <si>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</si>
  <si>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</si>
  <si>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</si>
  <si>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</si>
  <si>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</si>
  <si>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</si>
  <si>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</si>
  <si>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</si>
  <si>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</si>
  <si>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</si>
  <si>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</si>
  <si>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</si>
  <si>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</si>
  <si>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</si>
  <si>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</si>
  <si>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</si>
  <si>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</si>
  <si>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</si>
  <si>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</si>
  <si>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</si>
  <si>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</si>
  <si>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</si>
  <si>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</si>
  <si>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</si>
  <si>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</si>
  <si>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</si>
  <si>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</si>
  <si>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</si>
  <si>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</si>
  <si>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</si>
  <si>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</si>
  <si>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</si>
  <si>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</si>
  <si>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</si>
  <si>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</si>
  <si>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</si>
  <si>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</si>
  <si>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</si>
  <si>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</si>
  <si>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</si>
  <si>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</si>
  <si>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</si>
  <si>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</si>
  <si>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</si>
  <si>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</si>
  <si>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</si>
  <si>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</si>
  <si>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</si>
  <si>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</si>
  <si>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</si>
  <si>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</si>
  <si>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</si>
  <si>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</si>
  <si>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</si>
  <si>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</si>
  <si>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</si>
  <si>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</si>
  <si>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</si>
  <si>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</si>
  <si>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</si>
  <si>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</si>
  <si>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</si>
  <si>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</si>
  <si>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</si>
  <si>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</si>
  <si>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</si>
  <si>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</si>
  <si>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</si>
  <si>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</si>
  <si>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</si>
  <si>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</si>
  <si>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</si>
  <si>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</si>
  <si>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</si>
  <si>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</si>
  <si>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</si>
  <si>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</si>
  <si>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</si>
  <si>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</si>
  <si>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</si>
  <si>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</si>
  <si>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</si>
  <si>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</si>
  <si>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</si>
  <si>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</si>
  <si>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</si>
  <si>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</si>
  <si>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</si>
  <si>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</si>
  <si>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</si>
  <si>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</si>
  <si>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</si>
  <si>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</si>
  <si>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</si>
  <si>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</si>
  <si>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</si>
  <si>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</si>
  <si>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</si>
  <si>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</si>
  <si>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</si>
  <si>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</si>
  <si>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</si>
  <si>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</si>
  <si>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</si>
  <si>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</si>
  <si>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</si>
  <si>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</si>
  <si>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</si>
  <si>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</si>
  <si>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</si>
  <si>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</si>
  <si>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</si>
  <si>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</si>
  <si>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</si>
  <si>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</si>
  <si>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</si>
  <si>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</si>
  <si>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</si>
  <si>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</si>
  <si>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</si>
  <si>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</si>
  <si>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</si>
  <si>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</si>
  <si>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</si>
  <si>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</si>
  <si>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</si>
  <si>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</si>
  <si>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</si>
  <si>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</si>
  <si>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</si>
  <si>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</si>
  <si>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</si>
  <si>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</si>
  <si>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</si>
  <si>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</si>
  <si>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</si>
  <si>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</si>
  <si>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</si>
  <si>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</si>
  <si>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</si>
  <si>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</si>
  <si>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</si>
  <si>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</si>
  <si>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</si>
  <si>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</si>
  <si>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</si>
  <si>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</si>
  <si>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</si>
  <si>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</si>
  <si>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</si>
  <si>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</si>
  <si>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</si>
  <si>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</si>
  <si>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</si>
  <si>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</si>
  <si>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</si>
  <si>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</si>
  <si>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</si>
  <si>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</si>
  <si>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</si>
  <si>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</si>
  <si>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</si>
  <si>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</si>
  <si>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</si>
  <si>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</si>
  <si>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</si>
  <si>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</si>
  <si>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</si>
  <si>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</si>
  <si>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</si>
  <si>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</si>
  <si>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</si>
  <si>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</si>
  <si>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</si>
  <si>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</si>
  <si>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</si>
  <si>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</si>
  <si>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</si>
  <si>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</si>
  <si>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</si>
  <si>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</si>
  <si>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</si>
  <si>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</si>
  <si>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</si>
  <si>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</si>
  <si>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</si>
  <si>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</si>
  <si>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</si>
  <si>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</si>
  <si>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</si>
  <si>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</si>
  <si>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</si>
  <si>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</si>
  <si>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</si>
  <si>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</si>
  <si>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</si>
  <si>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</si>
  <si>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</si>
  <si>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</si>
  <si>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</si>
  <si>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</si>
  <si>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</si>
  <si>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</si>
  <si>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</si>
  <si>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</si>
  <si>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</si>
  <si>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</si>
  <si>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</si>
  <si>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</si>
  <si>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</si>
  <si>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</si>
  <si>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</si>
  <si>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</si>
  <si>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</si>
  <si>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</si>
  <si>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</si>
  <si>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</si>
  <si>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</si>
  <si>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</si>
  <si>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</si>
  <si>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</si>
  <si>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</si>
  <si>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</si>
  <si>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</si>
  <si>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</si>
  <si>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</si>
  <si>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</si>
  <si>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</si>
  <si>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</si>
  <si>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</si>
  <si>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</si>
  <si>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</si>
  <si>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</si>
  <si>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</si>
  <si>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</si>
  <si>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</si>
  <si>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</si>
  <si>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</si>
  <si>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</si>
  <si>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</si>
  <si>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</si>
  <si>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</si>
  <si>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</si>
  <si>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</si>
  <si>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</si>
  <si>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</si>
  <si>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</si>
  <si>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</si>
  <si>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</si>
  <si>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</si>
  <si>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</si>
  <si>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</si>
  <si>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</si>
  <si>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</si>
  <si>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</si>
  <si>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</si>
  <si>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</si>
  <si>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</si>
  <si>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</si>
  <si>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</si>
  <si>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</si>
  <si>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</si>
  <si>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</si>
  <si>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</si>
  <si>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</si>
  <si>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</si>
  <si>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</si>
  <si>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</si>
  <si>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</si>
  <si>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</si>
  <si>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</si>
  <si>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</si>
  <si>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</si>
  <si>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</si>
  <si>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</si>
  <si>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</si>
  <si>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</si>
  <si>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</si>
  <si>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</si>
  <si>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</si>
  <si>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</si>
  <si>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</si>
  <si>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</si>
  <si>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</si>
  <si>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</si>
  <si>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</si>
  <si>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</si>
  <si>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</si>
  <si>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</si>
  <si>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</si>
  <si>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</si>
  <si>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</si>
  <si>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</si>
  <si>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</si>
  <si>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</si>
  <si>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</si>
  <si>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</si>
  <si>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</si>
  <si>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</si>
  <si>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</si>
  <si>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</si>
  <si>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</si>
  <si>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</si>
  <si>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</si>
  <si>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</si>
  <si>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</si>
  <si>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</si>
  <si>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</si>
  <si>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</si>
  <si>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</si>
  <si>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</si>
  <si>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</si>
  <si>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</si>
  <si>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</si>
  <si>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</si>
  <si>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</si>
  <si>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</si>
  <si>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</si>
  <si>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</si>
  <si>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</si>
  <si>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</si>
  <si>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</si>
  <si>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</si>
  <si>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</si>
  <si>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</si>
  <si>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</si>
  <si>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</si>
  <si>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</si>
  <si>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</si>
  <si>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</si>
  <si>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</si>
  <si>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</si>
  <si>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</si>
  <si>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</si>
  <si>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</si>
  <si>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</si>
  <si>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</si>
  <si>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</si>
  <si>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</si>
  <si>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</si>
  <si>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</si>
  <si>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</si>
  <si>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</si>
  <si>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</si>
  <si>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</si>
  <si>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</si>
  <si>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</si>
  <si>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</si>
  <si>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</si>
  <si>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</si>
  <si>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</si>
  <si>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</si>
  <si>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</si>
  <si>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</si>
  <si>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</si>
  <si>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</si>
  <si>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</si>
  <si>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</si>
  <si>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</si>
  <si>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</si>
  <si>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</si>
  <si>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</si>
  <si>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</si>
  <si>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</si>
  <si>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</si>
  <si>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</si>
  <si>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</si>
  <si>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</si>
  <si>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</si>
  <si>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</si>
  <si>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</si>
  <si>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</si>
  <si>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</si>
  <si>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</si>
  <si>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</si>
  <si>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</si>
  <si>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</si>
  <si>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</si>
  <si>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</si>
  <si>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</si>
  <si>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</si>
  <si>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</si>
  <si>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</si>
  <si>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</si>
  <si>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</si>
  <si>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</si>
  <si>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</si>
  <si>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</si>
  <si>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</si>
  <si>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</si>
  <si>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</si>
  <si>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</si>
  <si>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</si>
  <si>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</si>
  <si>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</si>
  <si>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</si>
  <si>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</si>
  <si>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</si>
  <si>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</si>
  <si>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</si>
  <si>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</si>
  <si>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</si>
  <si>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</si>
  <si>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</si>
  <si>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</si>
  <si>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</si>
  <si>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</si>
  <si>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</si>
  <si>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</si>
  <si>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</si>
  <si>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</si>
  <si>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</si>
  <si>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</si>
  <si>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</si>
  <si>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</si>
  <si>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</si>
  <si>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</si>
  <si>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</si>
  <si>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</si>
  <si>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</si>
  <si>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</si>
  <si>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</si>
  <si>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</si>
  <si>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</si>
  <si>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</si>
  <si>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</si>
  <si>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</si>
  <si>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</si>
  <si>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</si>
  <si>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</si>
  <si>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</si>
  <si>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</si>
  <si>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</si>
  <si>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</si>
  <si>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</si>
  <si>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</si>
  <si>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</si>
  <si>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</si>
  <si>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</si>
  <si>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</si>
  <si>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</si>
  <si>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</si>
  <si>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</si>
  <si>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</si>
  <si>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</si>
  <si>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</si>
  <si>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</si>
  <si>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</si>
  <si>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</si>
  <si>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</si>
  <si>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</si>
  <si>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</si>
  <si>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</si>
  <si>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</si>
  <si>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</si>
  <si>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</si>
  <si>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</si>
  <si>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</si>
  <si>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</si>
  <si>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</si>
  <si>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</si>
  <si>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</si>
  <si>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</si>
  <si>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</si>
  <si>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</si>
  <si>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</si>
  <si>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</si>
  <si>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</si>
  <si>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</si>
  <si>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</si>
  <si>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</si>
  <si>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</si>
  <si>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</si>
  <si>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</si>
  <si>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</si>
  <si>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</si>
  <si>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</si>
  <si>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</si>
  <si>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</si>
  <si>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</si>
  <si>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</si>
  <si>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</si>
  <si>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</si>
  <si>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</si>
  <si>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</si>
  <si>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</si>
  <si>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</si>
  <si>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</si>
  <si>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</si>
  <si>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</si>
  <si>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</si>
  <si>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</si>
  <si>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</si>
  <si>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</si>
  <si>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</si>
  <si>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</si>
  <si>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</si>
  <si>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</si>
  <si>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</si>
  <si>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</si>
  <si>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</si>
  <si>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</si>
  <si>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</si>
  <si>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</si>
  <si>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</si>
  <si>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</si>
  <si>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</si>
  <si>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</si>
  <si>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</si>
  <si>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</si>
  <si>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</si>
  <si>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</si>
  <si>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</si>
  <si>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</si>
  <si>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</si>
  <si>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</si>
  <si>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</si>
  <si>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</si>
  <si>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</si>
  <si>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</si>
  <si>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</si>
  <si>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</si>
  <si>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</si>
  <si>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</si>
  <si>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</si>
  <si>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</si>
  <si>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</si>
  <si>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</si>
  <si>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</si>
  <si>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</si>
  <si>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</si>
  <si>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</si>
  <si>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</si>
  <si>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</si>
  <si>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</si>
  <si>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</si>
  <si>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</si>
  <si>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</si>
  <si>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</si>
  <si>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</si>
  <si>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</si>
  <si>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</si>
  <si>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</si>
  <si>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</si>
  <si>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</si>
  <si>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</si>
  <si>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</si>
  <si>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</si>
  <si>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</si>
  <si>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</si>
  <si>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</si>
  <si>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</si>
  <si>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</si>
  <si>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</si>
  <si>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</si>
  <si>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</si>
  <si>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</si>
  <si>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</si>
  <si>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</si>
  <si>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</si>
  <si>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</si>
  <si>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</si>
  <si>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</si>
  <si>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</si>
  <si>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</si>
  <si>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</si>
  <si>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</si>
  <si>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</si>
  <si>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</si>
  <si>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</si>
  <si>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</si>
  <si>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</si>
  <si>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</si>
  <si>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</si>
  <si>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</si>
  <si>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</si>
  <si>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</si>
  <si>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</si>
  <si>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</si>
  <si>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</si>
  <si>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</si>
  <si>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</si>
  <si>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</si>
  <si>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</si>
  <si>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</si>
  <si>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</si>
  <si>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</si>
  <si>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</si>
  <si>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</si>
  <si>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</si>
  <si>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</si>
  <si>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</si>
  <si>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</si>
  <si>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</si>
  <si>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</si>
  <si>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</si>
  <si>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</si>
  <si>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</si>
  <si>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</si>
  <si>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</si>
  <si>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</si>
  <si>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</si>
  <si>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</si>
  <si>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</si>
  <si>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</si>
  <si>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</si>
  <si>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</si>
  <si>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</si>
  <si>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</si>
  <si>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</si>
  <si>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</si>
  <si>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</si>
  <si>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</si>
  <si>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</si>
  <si>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</si>
  <si>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</si>
  <si>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</si>
  <si>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</si>
  <si>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</si>
  <si>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</si>
  <si>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</si>
  <si>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</si>
  <si>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</si>
  <si>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</si>
  <si>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</si>
  <si>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</si>
  <si>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</si>
  <si>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</si>
  <si>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</si>
  <si>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</si>
  <si>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</si>
  <si>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</si>
  <si>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</si>
  <si>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</si>
  <si>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</si>
  <si>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</si>
  <si>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</si>
  <si>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</si>
  <si>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</si>
  <si>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</si>
  <si>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</si>
  <si>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</si>
  <si>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</si>
  <si>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</si>
  <si>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</si>
  <si>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</si>
  <si>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</si>
  <si>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</si>
  <si>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</si>
  <si>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</si>
  <si>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</si>
  <si>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</si>
  <si>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</si>
  <si>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</si>
  <si>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</si>
  <si>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</si>
  <si>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</si>
  <si>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</si>
  <si>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</si>
  <si>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</si>
  <si>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</si>
  <si>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</si>
  <si>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</si>
  <si>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</si>
  <si>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</si>
  <si>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</si>
  <si>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</si>
  <si>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</si>
  <si>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</si>
  <si>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</si>
  <si>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</si>
  <si>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</si>
  <si>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</si>
  <si>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</si>
  <si>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</si>
  <si>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</si>
  <si>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</si>
  <si>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</si>
  <si>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</si>
  <si>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</si>
  <si>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</si>
  <si>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</si>
  <si>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</si>
  <si>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</si>
  <si>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</si>
  <si>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</si>
  <si>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</si>
  <si>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</si>
  <si>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</si>
  <si>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</si>
  <si>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</si>
  <si>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</si>
  <si>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</si>
  <si>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</si>
  <si>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</si>
  <si>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</si>
  <si>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</si>
  <si>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</si>
  <si>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</si>
  <si>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</si>
  <si>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</si>
  <si>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</si>
  <si>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</si>
  <si>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</si>
  <si>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</si>
  <si>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</si>
  <si>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</si>
  <si>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</si>
  <si>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</si>
  <si>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</si>
  <si>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</si>
  <si>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</si>
  <si>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</si>
  <si>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</si>
  <si>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</si>
  <si>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</si>
  <si>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</si>
  <si>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</si>
  <si>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</si>
  <si>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</si>
  <si>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</si>
  <si>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</si>
  <si>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</si>
  <si>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</si>
  <si>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</si>
  <si>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</si>
  <si>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</si>
  <si>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</si>
  <si>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</si>
  <si>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</si>
  <si>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</si>
  <si>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</si>
  <si>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</si>
  <si>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</si>
  <si>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</si>
  <si>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</si>
  <si>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</si>
  <si>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</si>
  <si>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</si>
  <si>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</si>
  <si>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</si>
  <si>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</si>
  <si>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</si>
  <si>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</si>
  <si>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</si>
  <si>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</si>
  <si>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</si>
  <si>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</si>
  <si>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</si>
  <si>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</si>
  <si>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</si>
  <si>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</si>
  <si>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</si>
  <si>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</si>
  <si>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</si>
  <si>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</si>
  <si>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</si>
  <si>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</si>
  <si>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</si>
  <si>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</si>
  <si>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</si>
  <si>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</si>
  <si>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</si>
  <si>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</si>
  <si>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</si>
  <si>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</si>
  <si>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</si>
  <si>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</si>
  <si>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</si>
  <si>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</si>
  <si>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</si>
  <si>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</si>
  <si>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</si>
  <si>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</si>
  <si>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</si>
  <si>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</si>
  <si>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</si>
  <si>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</si>
  <si>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</si>
  <si>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</si>
  <si>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</si>
  <si>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</si>
  <si>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</si>
  <si>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</si>
  <si>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</si>
  <si>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</si>
  <si>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</si>
  <si>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</si>
  <si>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</si>
  <si>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</si>
  <si>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</si>
  <si>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</si>
  <si>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</si>
  <si>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</si>
  <si>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</si>
  <si>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</si>
  <si>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</si>
  <si>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</si>
  <si>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</si>
  <si>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</si>
  <si>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</si>
  <si>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</si>
  <si>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</si>
  <si>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</si>
  <si>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</si>
  <si>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</si>
  <si>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</si>
  <si>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</si>
  <si>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</si>
  <si>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</si>
  <si>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</si>
  <si>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</si>
  <si>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</si>
  <si>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</si>
  <si>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</si>
  <si>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</si>
  <si>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</si>
  <si>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</si>
  <si>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</si>
  <si>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</si>
  <si>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</si>
  <si>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</si>
  <si>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</si>
  <si>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</si>
  <si>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</si>
  <si>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</si>
  <si>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</si>
  <si>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</si>
  <si>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</si>
  <si>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</si>
  <si>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</si>
  <si>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</si>
  <si>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</si>
  <si>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</si>
  <si>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</si>
  <si>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</si>
  <si>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</si>
  <si>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</si>
  <si>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</si>
  <si>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</si>
  <si>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</si>
  <si>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</si>
  <si>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</si>
  <si>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</si>
  <si>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</si>
  <si>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</si>
  <si>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</si>
  <si>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</si>
  <si>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</si>
  <si>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</si>
  <si>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</si>
  <si>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</si>
  <si>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</si>
  <si>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</si>
  <si>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</si>
  <si>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</si>
  <si>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</si>
  <si>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</si>
  <si>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</si>
  <si>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</si>
  <si>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</si>
  <si>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</si>
  <si>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</si>
  <si>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</si>
  <si>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</si>
  <si>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</si>
  <si>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</si>
  <si>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</si>
  <si>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</si>
  <si>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</si>
  <si>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</si>
  <si>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</si>
  <si>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</si>
  <si>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</si>
  <si>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</si>
  <si>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</si>
  <si>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</si>
  <si>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</si>
  <si>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</si>
  <si>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</si>
  <si>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</si>
  <si>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</si>
  <si>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</si>
  <si>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</si>
  <si>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</si>
  <si>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</si>
  <si>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</si>
  <si>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</si>
  <si>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</si>
  <si>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</si>
  <si>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</si>
  <si>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</si>
  <si>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</si>
  <si>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</si>
  <si>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</si>
  <si>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</si>
  <si>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</si>
  <si>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</si>
  <si>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</si>
  <si>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</si>
  <si>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</si>
  <si>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</si>
  <si>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</si>
  <si>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</si>
  <si>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</si>
  <si>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</si>
  <si>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</si>
  <si>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</si>
  <si>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</si>
  <si>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</si>
  <si>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</si>
  <si>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</si>
  <si>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</si>
  <si>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</si>
  <si>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</si>
  <si>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</si>
  <si>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</si>
  <si>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</si>
  <si>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</si>
  <si>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</si>
  <si>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</si>
  <si>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</si>
  <si>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</si>
  <si>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</si>
  <si>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</si>
  <si>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</si>
  <si>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</si>
  <si>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</si>
  <si>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</si>
  <si>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</si>
  <si>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</si>
  <si>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</si>
  <si>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</si>
  <si>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</si>
  <si>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</si>
  <si>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</si>
  <si>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</si>
  <si>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</si>
  <si>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</si>
  <si>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</si>
  <si>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</si>
  <si>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</si>
  <si>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</si>
  <si>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</si>
  <si>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</si>
  <si>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</si>
  <si>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</si>
  <si>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</si>
  <si>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</si>
  <si>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</si>
  <si>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</si>
  <si>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</si>
  <si>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</si>
  <si>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</si>
  <si>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</si>
  <si>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</si>
  <si>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</si>
  <si>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</si>
  <si>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</si>
  <si>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</si>
  <si>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</si>
  <si>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</si>
  <si>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</si>
  <si>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</si>
  <si>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</si>
  <si>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</si>
  <si>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</si>
  <si>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</si>
  <si>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</si>
  <si>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</si>
  <si>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</si>
  <si>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</si>
  <si>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</si>
  <si>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</si>
  <si>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</si>
  <si>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</si>
  <si>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</si>
  <si>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</si>
  <si>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</si>
  <si>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</si>
  <si>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</si>
  <si>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</si>
  <si>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</si>
  <si>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</si>
  <si>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</si>
  <si>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</si>
  <si>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</si>
  <si>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</si>
  <si>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</si>
  <si>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</si>
  <si>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</si>
  <si>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</si>
  <si>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</si>
  <si>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</si>
  <si>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</si>
  <si>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</si>
  <si>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</si>
  <si>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</si>
  <si>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</si>
  <si>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</si>
  <si>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</si>
  <si>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</si>
  <si>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</si>
  <si>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</si>
  <si>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</si>
  <si>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</si>
  <si>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</si>
  <si>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</si>
  <si>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</si>
  <si>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</si>
  <si>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</si>
  <si>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</si>
  <si>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</si>
  <si>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</si>
  <si>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</si>
  <si>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</si>
  <si>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</si>
  <si>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</si>
  <si>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</si>
  <si>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</si>
  <si>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</si>
  <si>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</si>
  <si>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</si>
  <si>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</si>
  <si>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</si>
  <si>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</si>
  <si>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</si>
  <si>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</si>
  <si>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</si>
  <si>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</si>
  <si>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</si>
  <si>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</si>
  <si>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</si>
  <si>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</si>
  <si>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</si>
  <si>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</si>
  <si>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</si>
  <si>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</si>
  <si>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</si>
  <si>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</si>
  <si>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</si>
  <si>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</si>
  <si>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</si>
  <si>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</si>
  <si>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</si>
  <si>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</si>
  <si>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</si>
  <si>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</si>
  <si>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</si>
  <si>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</si>
  <si>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</si>
  <si>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</si>
  <si>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</si>
  <si>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</si>
  <si>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</si>
  <si>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</si>
  <si>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</si>
  <si>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</si>
  <si>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</si>
  <si>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</si>
  <si>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</si>
  <si>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</si>
  <si>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</si>
  <si>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</si>
  <si>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</si>
  <si>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</si>
  <si>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</si>
  <si>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</si>
  <si>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</si>
  <si>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</si>
  <si>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</si>
  <si>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</si>
  <si>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</si>
  <si>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</si>
  <si>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</si>
  <si>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</si>
  <si>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</si>
  <si>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</si>
  <si>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</si>
  <si>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</si>
  <si>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</si>
  <si>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</si>
  <si>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</si>
  <si>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</si>
  <si>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</si>
  <si>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</si>
  <si>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</si>
  <si>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</si>
  <si>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</si>
  <si>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</si>
  <si>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</si>
  <si>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</si>
  <si>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</si>
  <si>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</si>
  <si>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</si>
  <si>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</si>
  <si>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</si>
  <si>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</si>
  <si>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</si>
  <si>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</si>
  <si>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</si>
  <si>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</si>
  <si>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</si>
  <si>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</si>
  <si>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</si>
  <si>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</si>
  <si>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</si>
  <si>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</si>
  <si>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</si>
  <si>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</si>
  <si>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</si>
  <si>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</si>
  <si>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</si>
  <si>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</si>
  <si>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</si>
  <si>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</si>
  <si>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</si>
  <si>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</si>
  <si>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</si>
  <si>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</si>
  <si>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</si>
  <si>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</si>
  <si>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</si>
  <si>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</si>
  <si>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</si>
  <si>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</si>
  <si>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</si>
  <si>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</si>
  <si>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</si>
  <si>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</si>
  <si>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</si>
  <si>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</si>
  <si>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</si>
  <si>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</si>
  <si>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</si>
  <si>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</si>
  <si>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</si>
  <si>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</si>
  <si>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</si>
  <si>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</si>
  <si>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</si>
  <si>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</si>
  <si>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</si>
  <si>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</si>
  <si>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</si>
  <si>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</si>
  <si>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</si>
  <si>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</si>
  <si>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</si>
  <si>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</si>
  <si>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</si>
  <si>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</si>
  <si>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</si>
  <si>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</si>
  <si>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</si>
  <si>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</si>
  <si>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</si>
  <si>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</si>
  <si>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</si>
  <si>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</si>
  <si>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</si>
  <si>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</si>
  <si>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</si>
  <si>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</si>
  <si>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</si>
  <si>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</si>
  <si>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</si>
  <si>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</si>
  <si>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</si>
  <si>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</si>
  <si>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</si>
  <si>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</si>
  <si>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</si>
  <si>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</si>
  <si>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</si>
  <si>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</si>
  <si>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</si>
  <si>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</si>
  <si>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</si>
  <si>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</si>
  <si>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</si>
  <si>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</si>
  <si>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</si>
  <si>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</si>
  <si>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</si>
  <si>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</si>
  <si>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</si>
  <si>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</si>
  <si>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</si>
  <si>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</si>
  <si>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</si>
  <si>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</si>
  <si>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</si>
  <si>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</si>
  <si>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5" type="noConversion"/>
  </si>
  <si>
    <t>2019-2</t>
    <phoneticPr fontId="3" type="noConversion"/>
  </si>
  <si>
    <t>2019-3</t>
    <phoneticPr fontId="142" type="noConversion"/>
  </si>
  <si>
    <t>2018-4</t>
    <phoneticPr fontId="3" type="noConversion"/>
  </si>
  <si>
    <t>出让</t>
  </si>
  <si>
    <t>企业</t>
  </si>
  <si>
    <t>其他：</t>
  </si>
  <si>
    <t>1#</t>
  </si>
  <si>
    <t>是</t>
  </si>
  <si>
    <t>2#</t>
  </si>
  <si>
    <t>否</t>
  </si>
  <si>
    <t>3#</t>
  </si>
  <si>
    <t>4#</t>
  </si>
  <si>
    <t>5#</t>
  </si>
  <si>
    <t>6#</t>
  </si>
  <si>
    <t>7#</t>
  </si>
  <si>
    <t>8#</t>
  </si>
  <si>
    <t>9#</t>
  </si>
  <si>
    <t>10#</t>
  </si>
  <si>
    <t>11#</t>
  </si>
  <si>
    <t>12#</t>
  </si>
  <si>
    <t>13#</t>
  </si>
  <si>
    <t>14#</t>
  </si>
  <si>
    <t>15#</t>
  </si>
  <si>
    <t>幼儿园</t>
  </si>
  <si>
    <t>16#</t>
  </si>
  <si>
    <t>17#</t>
  </si>
  <si>
    <t>18#</t>
  </si>
  <si>
    <t>19#</t>
  </si>
  <si>
    <t>车库</t>
  </si>
  <si>
    <t>20#</t>
  </si>
  <si>
    <t>大门</t>
  </si>
  <si>
    <t>21#</t>
  </si>
  <si>
    <t>地上</t>
  </si>
  <si>
    <t>住宅</t>
  </si>
  <si>
    <t>平层住宅</t>
  </si>
  <si>
    <t>底商</t>
  </si>
  <si>
    <t>地下</t>
  </si>
  <si>
    <t>保障房</t>
  </si>
  <si>
    <t>在建（套用方法）</t>
  </si>
  <si>
    <t>押一</t>
  </si>
  <si>
    <t>按租金收入计税</t>
  </si>
  <si>
    <t>钢混</t>
  </si>
  <si>
    <t>非生产用房</t>
  </si>
  <si>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</si>
  <si>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</si>
  <si>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</si>
  <si>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</si>
  <si>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</si>
  <si>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</si>
  <si>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</si>
  <si>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</si>
  <si>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</si>
  <si>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</si>
  <si>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</si>
  <si>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</si>
  <si>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</si>
  <si>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</si>
  <si>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</si>
  <si>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</si>
  <si>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</si>
  <si>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</si>
  <si>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</si>
  <si>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</si>
  <si>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</si>
  <si>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</si>
  <si>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</si>
  <si>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</si>
  <si>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</si>
  <si>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</si>
  <si>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</si>
  <si>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</si>
  <si>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</si>
  <si>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</si>
  <si>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</si>
  <si>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</si>
  <si>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</si>
  <si>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</si>
  <si>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</si>
  <si>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</si>
  <si>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</si>
  <si>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</si>
  <si>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</si>
  <si>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</si>
  <si>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</si>
  <si>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</si>
  <si>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</si>
  <si>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</si>
  <si>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</si>
  <si>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</si>
  <si>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</si>
  <si>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</si>
  <si>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</si>
  <si>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</si>
  <si>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</si>
  <si>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</si>
  <si>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</si>
  <si>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楼面地价</t>
  </si>
  <si>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</si>
  <si>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</si>
  <si>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</si>
  <si>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</si>
  <si>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</si>
  <si>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</si>
  <si>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</si>
  <si>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</si>
  <si>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</si>
  <si>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</si>
  <si>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</si>
  <si>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</si>
  <si>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</si>
  <si>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</si>
  <si>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</si>
  <si>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</si>
  <si>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</si>
  <si>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</si>
  <si>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</si>
  <si>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</si>
  <si>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</si>
  <si>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</si>
  <si>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</si>
  <si>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</si>
  <si>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</si>
  <si>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</si>
  <si>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</si>
  <si>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</si>
  <si>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</si>
  <si>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</si>
  <si>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</si>
  <si>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</si>
  <si>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</si>
  <si>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</si>
  <si>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</si>
  <si>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</si>
  <si>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</si>
  <si>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</si>
  <si>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</si>
  <si>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</si>
  <si>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</si>
  <si>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</si>
  <si>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</si>
  <si>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</si>
  <si>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</si>
  <si>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</si>
  <si>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</si>
  <si>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</si>
  <si>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</si>
  <si>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</si>
  <si>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</si>
  <si>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</si>
  <si>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</si>
  <si>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</si>
  <si>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</si>
  <si>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</si>
  <si>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</si>
  <si>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</si>
  <si>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</si>
  <si>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</si>
  <si>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</si>
  <si>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未包含在土地购买价格中</t>
  </si>
  <si>
    <t>全部缴纳</t>
  </si>
  <si>
    <t>已包含在土地取得成本中</t>
  </si>
  <si>
    <t>楼栋号</t>
  </si>
  <si>
    <t>截止日期</t>
  </si>
  <si>
    <t>施工进度</t>
  </si>
  <si>
    <t>备注</t>
  </si>
  <si>
    <t>成本法</t>
  </si>
  <si>
    <t>假设开发法</t>
  </si>
  <si>
    <t>成本比率</t>
  </si>
  <si>
    <t>地块名称</t>
  </si>
  <si>
    <t>城市</t>
  </si>
  <si>
    <t>用地性质</t>
  </si>
  <si>
    <t>建设用地面积(㎡)</t>
  </si>
  <si>
    <t>规划建筑面积(㎡)</t>
  </si>
  <si>
    <t>容积率</t>
  </si>
  <si>
    <t>出让方式</t>
  </si>
  <si>
    <t>起始价(万元)</t>
  </si>
  <si>
    <t>成交价(万元)</t>
  </si>
  <si>
    <t>成交楼面价(元/㎡)</t>
  </si>
  <si>
    <t>溢价率</t>
  </si>
  <si>
    <t>受让单位</t>
  </si>
  <si>
    <t>土地星级</t>
  </si>
  <si>
    <t>兴安大街以东、南二环东延以南、规划六路以西、乐乡二路以北</t>
  </si>
  <si>
    <t>石家庄市</t>
  </si>
  <si>
    <t>住宅用地</t>
  </si>
  <si>
    <t>大于1并且小于或等于2.463</t>
  </si>
  <si>
    <t>挂牌</t>
  </si>
  <si>
    <t>2019-04-23</t>
  </si>
  <si>
    <t>河北计发房地产开发有限公司</t>
  </si>
  <si>
    <t>0星</t>
  </si>
  <si>
    <t>兴安大街以东、南二环东延以南、规划六路以西、乐乡一路以北</t>
  </si>
  <si>
    <t>大于1并且小于或等于2.456</t>
  </si>
  <si>
    <t>规划路以东、丰产路以南、黄山大街以西、南二环以北</t>
  </si>
  <si>
    <t>大于或等于1并且小于或等于2.7</t>
  </si>
  <si>
    <t>2018-08-01</t>
  </si>
  <si>
    <t>石家庄德盛房地产开发有限公司</t>
  </si>
  <si>
    <t>规划路以西、丰产路以南、兴安大街以东、南二环以北</t>
  </si>
  <si>
    <t>石家庄全业房地产开发有限公司</t>
  </si>
  <si>
    <t>石家庄万科润德琅翠房地产开发有限公司</t>
  </si>
  <si>
    <t>藁城区工业路北侧,河北城杰房地产开发有限公司西侧</t>
  </si>
  <si>
    <t>大于1并且小于或等于1.87</t>
  </si>
  <si>
    <t>2018-07-18</t>
  </si>
  <si>
    <t>石家庄万德同创房地产开发有限公司</t>
  </si>
  <si>
    <t>石家庄经济技术开发区海南路以北,西安街以东,扬子路以南</t>
  </si>
  <si>
    <t>大于1并且小于或等于1.785</t>
  </si>
  <si>
    <t>河北保利联创房地产开发有限公司</t>
  </si>
  <si>
    <t>清源西街东侧、外环路南侧、清源大街西侧、纬二路北侧</t>
  </si>
  <si>
    <t>2018-04-12</t>
  </si>
  <si>
    <t>石家庄东创房地产开发有限公司</t>
  </si>
  <si>
    <t>昌盛街东侧、石德铁路南侧</t>
  </si>
  <si>
    <t>大于1并且小于或等于2.5</t>
  </si>
  <si>
    <t>2017-12-28</t>
  </si>
  <si>
    <t>河北尚佑房地产开发有限公司</t>
  </si>
  <si>
    <t>工业路北侧,藁城信誉楼东侧。</t>
  </si>
  <si>
    <t>同期商业地块南侧,站南街西侧,同期居住地块北侧,规划路东侧。</t>
  </si>
  <si>
    <t>大于1并且小于或等于2</t>
  </si>
  <si>
    <t>河北创达房地产开发有限公司</t>
  </si>
  <si>
    <t>藁城区工业路南侧,站南街东侧,世纪街西侧</t>
  </si>
  <si>
    <t>大于1并且小于或等于1.5</t>
  </si>
  <si>
    <t>河北荣威房地产开发有限公司</t>
  </si>
  <si>
    <t>北临双井东路,西临藁城区通安街,东临石井村,南临世纪大道</t>
  </si>
  <si>
    <t>河北润瀚房地产开发有限公司</t>
  </si>
  <si>
    <t>同期居住地块南侧,站南街西侧,双井西路北侧,规划路东侧。</t>
  </si>
  <si>
    <t>北临南街村地,西临廉法胡同,东临南街村地,南临南街村地。</t>
  </si>
  <si>
    <t>大于1并且小于或等于1.66</t>
  </si>
  <si>
    <t>2017-06-28</t>
  </si>
  <si>
    <t>石家庄市承浩房地产开发有限公司</t>
  </si>
  <si>
    <t>北临化肥厂,西临站南街,东临化肥厂、河北联泰房地产开发有限公司,南临汇源经贸有限公司居民楼。</t>
  </si>
  <si>
    <t>大于1并且小于或等于1.95</t>
  </si>
  <si>
    <t>河北乐康房地产开发有限公司</t>
  </si>
  <si>
    <t>北临扬子路,西临河北华信投资集团有限公司、石家庄藁城钢结构分公司、北席村集体土地,东临藁城市2007年第一批次城镇建设用地2-2号地块</t>
  </si>
  <si>
    <t>大于1并且小于或等于1.776</t>
  </si>
  <si>
    <t>北临瑞星化工地,西临石家庄天人化工设备集团有限公司,东临瑞星化工地,南临石家庄市藁城区天鹤幼儿园。</t>
  </si>
  <si>
    <t>2017-03-30</t>
  </si>
  <si>
    <t>石家庄市静和睿安房地产开发有限公司</t>
  </si>
  <si>
    <t>北临道路,西临四明街,东临东刘村地,南临农发行家属宿舍</t>
  </si>
  <si>
    <t>大于1并且小于或等于1.79</t>
  </si>
  <si>
    <t>石家庄市夏阳房地产开发有限公司</t>
  </si>
  <si>
    <t>北临育才路,西临南街村地,东临南街村地,南临石家庄市藁城区建业房地产开发有限公司</t>
  </si>
  <si>
    <t>大于1并且小于或等于1.7</t>
  </si>
  <si>
    <t>北临市府路,南临道路,西临北尚庄住宅楼,东临东街地</t>
  </si>
  <si>
    <t>河北中嘉伟业房地产开发有限公司</t>
  </si>
  <si>
    <t>东临西刘村地,西临南街村地,南临石井村地,北临西刘村地。</t>
  </si>
  <si>
    <t>大于1并且小于或等于2.4</t>
  </si>
  <si>
    <t>2016-12-28</t>
  </si>
  <si>
    <t>河北润泯房地产开发有限公司</t>
  </si>
  <si>
    <t>东临国税局税苑小区,西临河北联泰房地产开发有限公司,南临河北联泰房地产开发有限公司,北临工业路</t>
  </si>
  <si>
    <t>大于1并且小于或等于1.6</t>
  </si>
  <si>
    <t>2016-12-21</t>
  </si>
  <si>
    <t>河北联泰房地产开发有限公司</t>
  </si>
  <si>
    <t>东临公安局交通警察大队,西临南街村地,南临城子村地、交警队家属院,北临育才路</t>
  </si>
  <si>
    <t>大于1并且小于或等于1.88</t>
  </si>
  <si>
    <t>河北硕辉房地产开发有限公司</t>
  </si>
  <si>
    <t>东临道路,西临兴安镇政府用地,南临道路,北临道路</t>
  </si>
  <si>
    <t>石家庄开祥房地产开发有限公司</t>
  </si>
  <si>
    <t>东临河北高工工具有限公司,西临廉州镇北街村,南临河北高工工具有限公司,北临廉州镇北街村</t>
  </si>
  <si>
    <t>大于1并且小于或等于1.4</t>
  </si>
  <si>
    <t>石家庄工大万德房地产开发有限公司</t>
  </si>
  <si>
    <t>东临廉法胡同,西临廉农家园、中收藁城农机总公司,南临居民楼,北临廉州路</t>
  </si>
  <si>
    <t>大于1并且小于或等于2.2</t>
  </si>
  <si>
    <t>刘志强</t>
  </si>
  <si>
    <t>东临河北大有房地产开发有限公司,西临道路,南临城子村地、兽医站,北临育才路</t>
  </si>
  <si>
    <t>胡文增</t>
  </si>
  <si>
    <t>东临石家庄承浩房地产开发有限公司,西临北马村地,南临北马村地,北临工业路。</t>
  </si>
  <si>
    <t>石家庄循环化工园区清源大街东侧、北炼路北侧、纬二路南侧、经一路西侧</t>
  </si>
  <si>
    <t>大于1并且小于或等于2.75</t>
  </si>
  <si>
    <t>拍卖</t>
  </si>
  <si>
    <t>2016-10-13</t>
  </si>
  <si>
    <t>河北荣臻房地产开发有限公司</t>
  </si>
  <si>
    <t>藁城区胜利路北侧,昌盛街以东</t>
  </si>
  <si>
    <t>大于1并且小于或等于2.35</t>
  </si>
  <si>
    <t>2016-09-30</t>
  </si>
  <si>
    <t>河北旺佳房地产开发有限公司</t>
  </si>
  <si>
    <t>大于1并且小于或等于2.81</t>
  </si>
  <si>
    <t>18#</t>
    <phoneticPr fontId="142" type="noConversion"/>
  </si>
  <si>
    <t>19#</t>
    <phoneticPr fontId="142" type="noConversion"/>
  </si>
  <si>
    <t>建筑结构</t>
    <phoneticPr fontId="150" type="noConversion"/>
  </si>
  <si>
    <t>总建筑面积</t>
    <phoneticPr fontId="150" type="noConversion"/>
  </si>
  <si>
    <t>位置</t>
    <phoneticPr fontId="150" type="noConversion"/>
  </si>
  <si>
    <r>
      <t>建安单价</t>
    </r>
    <r>
      <rPr>
        <b/>
        <sz val="8"/>
        <color theme="1"/>
        <rFont val="宋体"/>
        <family val="3"/>
        <charset val="134"/>
        <scheme val="minor"/>
      </rPr>
      <t>（对应各自建面）</t>
    </r>
    <phoneticPr fontId="150" type="noConversion"/>
  </si>
  <si>
    <t>总额</t>
    <phoneticPr fontId="150" type="noConversion"/>
  </si>
  <si>
    <t>建筑面积</t>
    <phoneticPr fontId="150" type="noConversion"/>
  </si>
  <si>
    <t>层数</t>
    <phoneticPr fontId="150" type="noConversion"/>
  </si>
  <si>
    <t>综合单价</t>
    <phoneticPr fontId="150" type="noConversion"/>
  </si>
  <si>
    <t>（除了装修全部均摊）</t>
    <phoneticPr fontId="150" type="noConversion"/>
  </si>
  <si>
    <t>地上</t>
    <phoneticPr fontId="150" type="noConversion"/>
  </si>
  <si>
    <t>地下</t>
    <phoneticPr fontId="150" type="noConversion"/>
  </si>
  <si>
    <t>序号</t>
    <phoneticPr fontId="150" type="noConversion"/>
  </si>
  <si>
    <t>项目</t>
    <phoneticPr fontId="150" type="noConversion"/>
  </si>
  <si>
    <t>单价</t>
    <phoneticPr fontId="150" type="noConversion"/>
  </si>
  <si>
    <t>设定占比</t>
    <phoneticPr fontId="150" type="noConversion"/>
  </si>
  <si>
    <t>在建总额</t>
    <phoneticPr fontId="150" type="noConversion"/>
  </si>
  <si>
    <t>目前进度状况</t>
    <phoneticPr fontId="150" type="noConversion"/>
  </si>
  <si>
    <t>工程形象进度</t>
    <phoneticPr fontId="150" type="noConversion"/>
  </si>
  <si>
    <t>说明</t>
    <phoneticPr fontId="150" type="noConversion"/>
  </si>
  <si>
    <t>1</t>
    <phoneticPr fontId="150" type="noConversion"/>
  </si>
  <si>
    <t>建筑工程</t>
    <phoneticPr fontId="150" type="noConversion"/>
  </si>
  <si>
    <t>（1）</t>
    <phoneticPr fontId="150" type="noConversion"/>
  </si>
  <si>
    <t>基础工程</t>
    <phoneticPr fontId="150" type="noConversion"/>
  </si>
  <si>
    <t>85%进度</t>
    <phoneticPr fontId="150" type="noConversion"/>
  </si>
  <si>
    <t>（2）</t>
    <phoneticPr fontId="150" type="noConversion"/>
  </si>
  <si>
    <t>结构工程</t>
    <phoneticPr fontId="150" type="noConversion"/>
  </si>
  <si>
    <t>达正负零</t>
    <phoneticPr fontId="150" type="noConversion"/>
  </si>
  <si>
    <t>除按建筑比例计算外，还应考虑地下造价总额的占比</t>
    <phoneticPr fontId="150" type="noConversion"/>
  </si>
  <si>
    <t>2</t>
    <phoneticPr fontId="150" type="noConversion"/>
  </si>
  <si>
    <t>设备安装</t>
    <phoneticPr fontId="150" type="noConversion"/>
  </si>
  <si>
    <t>3</t>
    <phoneticPr fontId="150" type="noConversion"/>
  </si>
  <si>
    <t>装修</t>
    <phoneticPr fontId="150" type="noConversion"/>
  </si>
  <si>
    <t>单方造价</t>
    <phoneticPr fontId="150" type="noConversion"/>
  </si>
  <si>
    <t>地下部分装修标准</t>
    <phoneticPr fontId="150" type="noConversion"/>
  </si>
  <si>
    <t>建安费用</t>
    <phoneticPr fontId="150" type="noConversion"/>
  </si>
  <si>
    <t>录入基本信息：建筑面积、层数</t>
    <phoneticPr fontId="150" type="noConversion"/>
  </si>
  <si>
    <t>通过案例对比确定综合单方造价</t>
    <phoneticPr fontId="150" type="noConversion"/>
  </si>
  <si>
    <t>设定各单项工程占比</t>
    <phoneticPr fontId="150" type="noConversion"/>
  </si>
  <si>
    <t>设定地下部分装修标准</t>
    <phoneticPr fontId="150" type="noConversion"/>
  </si>
  <si>
    <t>得到地上、地下各自单方造价以及均摊后符合评估计算标准的综合单价</t>
    <phoneticPr fontId="150" type="noConversion"/>
  </si>
  <si>
    <t>描述各部分施工进度状况</t>
    <phoneticPr fontId="150" type="noConversion"/>
  </si>
  <si>
    <t>判断各自工程进度</t>
    <phoneticPr fontId="150" type="noConversion"/>
  </si>
  <si>
    <t>得到综合工程进度</t>
    <phoneticPr fontId="150" type="noConversion"/>
  </si>
  <si>
    <t>住宅用房</t>
  </si>
  <si>
    <t>住宅用房</t>
    <phoneticPr fontId="16" type="noConversion"/>
  </si>
  <si>
    <t>其他省市系数</t>
  </si>
  <si>
    <t>保障房</t>
    <phoneticPr fontId="16" type="noConversion"/>
  </si>
  <si>
    <t>商业用房</t>
  </si>
  <si>
    <t>商业用房</t>
    <phoneticPr fontId="16" type="noConversion"/>
  </si>
  <si>
    <t>地下车库用房</t>
  </si>
  <si>
    <t>地下车库用房</t>
    <phoneticPr fontId="16" type="noConversion"/>
  </si>
  <si>
    <t>通路</t>
  </si>
  <si>
    <t>通电</t>
  </si>
  <si>
    <t>通讯</t>
  </si>
  <si>
    <t>通上水</t>
  </si>
  <si>
    <t>通下水</t>
  </si>
  <si>
    <t>通热</t>
  </si>
  <si>
    <t>燃气</t>
  </si>
  <si>
    <t>住宅</t>
    <phoneticPr fontId="3"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</si>
  <si>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</si>
  <si>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0.5"/>
        <rFont val="宋体"/>
        <family val="3"/>
        <charset val="134"/>
      </rPr>
      <t>车库</t>
    </r>
    <phoneticPr fontId="142" type="noConversion"/>
  </si>
  <si>
    <t>16#</t>
    <phoneticPr fontId="142" type="noConversion"/>
  </si>
  <si>
    <t>17#</t>
    <phoneticPr fontId="142" type="noConversion"/>
  </si>
  <si>
    <t>土方工程</t>
    <phoneticPr fontId="142" type="noConversion"/>
  </si>
  <si>
    <t>未动工</t>
    <phoneticPr fontId="142" type="noConversion"/>
  </si>
  <si>
    <t>大门</t>
    <phoneticPr fontId="142" type="noConversion"/>
  </si>
  <si>
    <r>
      <rPr>
        <sz val="10.5"/>
        <rFont val="宋体"/>
        <family val="3"/>
        <charset val="134"/>
      </rPr>
      <t>大门</t>
    </r>
    <phoneticPr fontId="142" type="noConversion"/>
  </si>
  <si>
    <t>收益法-商业</t>
  </si>
  <si>
    <t>收益法-商业</t>
    <phoneticPr fontId="16" type="noConversion"/>
  </si>
  <si>
    <t>收益法-地下车库</t>
  </si>
  <si>
    <t>收益法-地下车库</t>
    <phoneticPr fontId="16" type="noConversion"/>
  </si>
  <si>
    <t>自定义</t>
  </si>
  <si>
    <t>估价对象周边居住用地比例较好、居住小区规模和社区发展完善程度较好，综合评价居住社区成熟度较好</t>
  </si>
  <si>
    <t>估价对象位于世纪大道南侧，周边商业氛围成熟一般，人流量一般，商业繁华度一般</t>
  </si>
  <si>
    <t>估价对象周边道路状况较好、公共交通通达情况较好、停车便捷程度较好，综合评价交通便捷度较好</t>
  </si>
  <si>
    <t>估价对象所在区域公共配套设施齐备情况较好</t>
  </si>
  <si>
    <t>估价对象所在区域基础设施水平较好</t>
  </si>
  <si>
    <t>区域自然环境：较好；人文环境：较好；综合评价环境状况较好</t>
  </si>
  <si>
    <t>城市次干道-世纪大道</t>
  </si>
  <si>
    <t>较一致</t>
    <phoneticPr fontId="25" type="noConversion"/>
  </si>
  <si>
    <t>单面临街</t>
  </si>
  <si>
    <t>藁城东城国际</t>
    <phoneticPr fontId="3" type="noConversion"/>
  </si>
  <si>
    <t>远洋福美瑾园</t>
    <phoneticPr fontId="3" type="noConversion"/>
  </si>
  <si>
    <t>仕嘉华府</t>
    <phoneticPr fontId="3" type="noConversion"/>
  </si>
  <si>
    <t>较好</t>
  </si>
  <si>
    <t>七通</t>
  </si>
  <si>
    <t>——</t>
    <phoneticPr fontId="25" type="noConversion"/>
  </si>
  <si>
    <t>住宅</t>
    <phoneticPr fontId="25" type="noConversion"/>
  </si>
  <si>
    <t>60-70（含）</t>
  </si>
  <si>
    <t>正常</t>
  </si>
  <si>
    <t>——</t>
    <phoneticPr fontId="25" type="noConversion"/>
  </si>
  <si>
    <t>高层板楼</t>
  </si>
  <si>
    <t>高层板楼</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</si>
  <si>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</si>
  <si>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</si>
  <si>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</si>
  <si>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</si>
  <si>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</si>
  <si>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</si>
  <si>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</si>
  <si>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t>七通</t>
    <phoneticPr fontId="25" type="noConversion"/>
  </si>
  <si>
    <t>毛坯</t>
  </si>
  <si>
    <t>毛坯</t>
    <phoneticPr fontId="25" type="noConversion"/>
  </si>
  <si>
    <t>低档</t>
  </si>
  <si>
    <t>低档</t>
    <phoneticPr fontId="25" type="noConversion"/>
  </si>
  <si>
    <t>中档</t>
    <phoneticPr fontId="25" type="noConversion"/>
  </si>
  <si>
    <t>城市次干道</t>
    <phoneticPr fontId="142" type="noConversion"/>
  </si>
  <si>
    <t>——</t>
    <phoneticPr fontId="142" type="noConversion"/>
  </si>
  <si>
    <t>较好</t>
    <phoneticPr fontId="142" type="noConversion"/>
  </si>
  <si>
    <t>六通</t>
  </si>
  <si>
    <t>五通</t>
  </si>
  <si>
    <t>四通</t>
  </si>
  <si>
    <t>三通</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</si>
  <si>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</si>
  <si>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</si>
  <si>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</si>
  <si>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</si>
  <si>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</si>
  <si>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</si>
  <si>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</si>
  <si>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序号</t>
  </si>
  <si>
    <t>建设内容</t>
  </si>
  <si>
    <t>住宅建筑面积</t>
  </si>
  <si>
    <t>商业建筑面积</t>
  </si>
  <si>
    <t>保障房建筑面积</t>
  </si>
  <si>
    <t>地下车库建筑面积</t>
  </si>
  <si>
    <t>设备及其他用房</t>
  </si>
  <si>
    <t>公共配套及物业用房</t>
  </si>
  <si>
    <t>规划用途</t>
  </si>
  <si>
    <r>
      <t>1</t>
    </r>
    <r>
      <rPr>
        <sz val="9"/>
        <color rgb="FF000000"/>
        <rFont val="华文细黑"/>
        <family val="3"/>
        <charset val="134"/>
      </rPr>
      <t>号楼</t>
    </r>
  </si>
  <si>
    <r>
      <t>5</t>
    </r>
    <r>
      <rPr>
        <sz val="9"/>
        <color rgb="FF000000"/>
        <rFont val="华文细黑"/>
        <family val="3"/>
        <charset val="134"/>
      </rPr>
      <t>号楼</t>
    </r>
  </si>
  <si>
    <r>
      <t>6</t>
    </r>
    <r>
      <rPr>
        <sz val="9"/>
        <color rgb="FF000000"/>
        <rFont val="华文细黑"/>
        <family val="3"/>
        <charset val="134"/>
      </rPr>
      <t>号楼</t>
    </r>
  </si>
  <si>
    <r>
      <t>8</t>
    </r>
    <r>
      <rPr>
        <sz val="9"/>
        <color rgb="FF000000"/>
        <rFont val="华文细黑"/>
        <family val="3"/>
        <charset val="134"/>
      </rPr>
      <t>号楼</t>
    </r>
  </si>
  <si>
    <r>
      <t>9</t>
    </r>
    <r>
      <rPr>
        <sz val="9"/>
        <color rgb="FF000000"/>
        <rFont val="华文细黑"/>
        <family val="3"/>
        <charset val="134"/>
      </rPr>
      <t>号楼</t>
    </r>
  </si>
  <si>
    <r>
      <t>10</t>
    </r>
    <r>
      <rPr>
        <sz val="9"/>
        <color rgb="FF000000"/>
        <rFont val="华文细黑"/>
        <family val="3"/>
        <charset val="134"/>
      </rPr>
      <t>号楼</t>
    </r>
  </si>
  <si>
    <r>
      <t>12</t>
    </r>
    <r>
      <rPr>
        <sz val="9"/>
        <color rgb="FF000000"/>
        <rFont val="华文细黑"/>
        <family val="3"/>
        <charset val="134"/>
      </rPr>
      <t>号楼</t>
    </r>
  </si>
  <si>
    <r>
      <t>16</t>
    </r>
    <r>
      <rPr>
        <sz val="9"/>
        <color rgb="FF000000"/>
        <rFont val="华文细黑"/>
        <family val="3"/>
        <charset val="134"/>
      </rPr>
      <t>号楼</t>
    </r>
  </si>
  <si>
    <r>
      <t>17</t>
    </r>
    <r>
      <rPr>
        <sz val="9"/>
        <color rgb="FF000000"/>
        <rFont val="华文细黑"/>
        <family val="3"/>
        <charset val="134"/>
      </rPr>
      <t>号楼</t>
    </r>
  </si>
  <si>
    <r>
      <t>18</t>
    </r>
    <r>
      <rPr>
        <sz val="9"/>
        <color rgb="FF000000"/>
        <rFont val="华文细黑"/>
        <family val="3"/>
        <charset val="134"/>
      </rPr>
      <t>号楼</t>
    </r>
  </si>
  <si>
    <r>
      <t>19</t>
    </r>
    <r>
      <rPr>
        <sz val="9"/>
        <color rgb="FF000000"/>
        <rFont val="华文细黑"/>
        <family val="3"/>
        <charset val="134"/>
      </rPr>
      <t>号楼</t>
    </r>
  </si>
  <si>
    <t>郑燚</t>
  </si>
  <si>
    <t>底商</t>
    <phoneticPr fontId="142" type="noConversion"/>
  </si>
  <si>
    <t>独立</t>
    <phoneticPr fontId="14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</si>
</sst>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6"/>
      <color indexed="10"/>
      <name val="仿宋_GB2312"/>
      <family val="3"/>
      <charset val="134"/>
    </font>
    <font>
      <b/>
      <sz val="16"/>
      <name val="仿宋_GB2312"/>
      <family val="3"/>
      <charset val="134"/>
    </font>
    <font>
      <b/>
      <sz val="14"/>
      <color indexed="10"/>
      <name val="仿宋_GB2312"/>
      <family val="3"/>
      <charset val="134"/>
    </font>
    <font>
      <b/>
      <sz val="11"/>
      <name val="仿宋_GB2312"/>
      <family val="3"/>
      <charset val="134"/>
    </font>
    <font>
      <sz val="11"/>
      <name val="仿宋_GB2312"/>
      <family val="3"/>
      <charset val="134"/>
    </font>
    <font>
      <b/>
      <sz val="12"/>
      <color indexed="8"/>
      <name val="仿宋_GB2312"/>
      <family val="3"/>
      <charset val="134"/>
    </font>
    <font>
      <sz val="11"/>
      <color indexed="8"/>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b/>
      <sz val="10"/>
      <name val="仿宋_GB2312"/>
      <family val="3"/>
      <charset val="134"/>
    </font>
    <font>
      <b/>
      <sz val="16"/>
      <color indexed="8"/>
      <name val="仿宋_GB2312"/>
      <family val="3"/>
      <charset val="134"/>
    </font>
    <font>
      <sz val="12"/>
      <name val="仿宋_GB2312"/>
      <family val="3"/>
      <charset val="134"/>
    </font>
    <font>
      <sz val="10.5"/>
      <color theme="1"/>
      <name val="Calibri"/>
      <family val="2"/>
    </font>
    <font>
      <sz val="10.5"/>
      <color theme="1"/>
      <name val="宋体"/>
      <family val="3"/>
      <charset val="134"/>
    </font>
    <font>
      <sz val="10.5"/>
      <color rgb="FFFF0000"/>
      <name val="Calibri"/>
      <family val="2"/>
    </font>
    <font>
      <b/>
      <sz val="8"/>
      <color theme="1"/>
      <name val="宋体"/>
      <family val="3"/>
      <charset val="134"/>
      <scheme val="minor"/>
    </font>
    <font>
      <b/>
      <sz val="10"/>
      <color rgb="FFFFFF00"/>
      <name val="宋体"/>
      <family val="3"/>
      <charset val="134"/>
      <scheme val="minor"/>
    </font>
    <font>
      <b/>
      <u/>
      <sz val="10"/>
      <color rgb="FFFF0000"/>
      <name val="宋体"/>
      <family val="3"/>
      <charset val="134"/>
      <scheme val="minor"/>
    </font>
    <font>
      <sz val="9"/>
      <color theme="1"/>
      <name val="宋体"/>
      <family val="3"/>
      <charset val="134"/>
      <scheme val="minor"/>
    </font>
    <font>
      <sz val="9"/>
      <color rgb="FFFF0000"/>
      <name val="宋体"/>
      <family val="3"/>
      <charset val="134"/>
      <scheme val="minor"/>
    </font>
    <font>
      <b/>
      <sz val="10"/>
      <color rgb="FFFF0000"/>
      <name val="宋体"/>
      <family val="3"/>
      <charset val="134"/>
      <scheme val="minor"/>
    </font>
    <font>
      <sz val="11"/>
      <color theme="1"/>
      <name val="宋体"/>
      <family val="3"/>
      <charset val="134"/>
      <scheme val="minor"/>
    </font>
    <font>
      <sz val="10.5"/>
      <name val="Calibri"/>
      <family val="2"/>
    </font>
    <font>
      <sz val="10.5"/>
      <name val="宋体"/>
      <family val="3"/>
      <charset val="134"/>
    </font>
    <font>
      <sz val="11"/>
      <name val="宋体"/>
      <family val="3"/>
      <charset val="134"/>
      <scheme val="minor"/>
    </font>
    <font>
      <sz val="9"/>
      <color theme="1"/>
      <name val="Arial"/>
      <family val="2"/>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 fillId="0" borderId="0">
      <protection locked="0"/>
    </xf>
    <xf numFmtId="0" fontId="98" fillId="0" borderId="0">
      <alignment vertical="center"/>
    </xf>
    <xf numFmtId="9" fontId="277" fillId="0" borderId="0" applyFont="0" applyFill="0" applyBorder="0" applyAlignment="0" applyProtection="0">
      <alignment vertical="center"/>
    </xf>
  </cellStyleXfs>
  <cellXfs count="38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49" fontId="229"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177" fillId="0" borderId="10" xfId="0" applyNumberFormat="1" applyFont="1" applyFill="1" applyBorder="1" applyAlignment="1" applyProtection="1">
      <alignment horizontal="center" vertical="center" wrapText="1"/>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186" fontId="107" fillId="12" borderId="124" xfId="9" applyNumberFormat="1" applyFont="1" applyFill="1" applyBorder="1" applyAlignment="1" applyProtection="1">
      <alignment horizontal="center" vertical="center" wrapText="1"/>
    </xf>
    <xf numFmtId="186" fontId="107" fillId="12" borderId="130" xfId="9" applyNumberFormat="1"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51" fillId="17" borderId="124" xfId="16" applyFont="1" applyFill="1" applyBorder="1" applyAlignment="1" applyProtection="1">
      <alignment horizontal="center" vertical="center" wrapText="1"/>
    </xf>
    <xf numFmtId="0" fontId="151" fillId="17" borderId="125" xfId="16" applyFont="1" applyFill="1" applyBorder="1" applyAlignment="1" applyProtection="1">
      <alignment horizontal="center" vertical="center" wrapText="1"/>
    </xf>
    <xf numFmtId="184" fontId="253" fillId="0" borderId="1" xfId="0" applyNumberFormat="1" applyFont="1" applyFill="1" applyBorder="1" applyAlignment="1" applyProtection="1">
      <alignment horizontal="center" vertical="center" shrinkToFit="1"/>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177" fontId="136" fillId="0" borderId="1" xfId="1" applyNumberFormat="1" applyFont="1" applyFill="1" applyBorder="1" applyAlignment="1" applyProtection="1">
      <alignment vertical="center"/>
      <protection locked="0"/>
    </xf>
    <xf numFmtId="0" fontId="106" fillId="6" borderId="46" xfId="10" applyFont="1" applyFill="1" applyBorder="1" applyAlignment="1" applyProtection="1">
      <alignment vertical="center"/>
    </xf>
    <xf numFmtId="0" fontId="64" fillId="6" borderId="36" xfId="10" applyFont="1" applyFill="1" applyBorder="1" applyAlignment="1" applyProtection="1">
      <alignment horizontal="right" vertical="center"/>
    </xf>
    <xf numFmtId="0" fontId="64" fillId="6" borderId="0" xfId="10" applyFont="1" applyFill="1" applyAlignment="1" applyProtection="1">
      <alignment horizontal="center" vertical="center"/>
    </xf>
    <xf numFmtId="0" fontId="45" fillId="6" borderId="36" xfId="10" applyFont="1" applyFill="1" applyBorder="1" applyAlignment="1" applyProtection="1">
      <alignment vertical="center"/>
    </xf>
    <xf numFmtId="0" fontId="64" fillId="6" borderId="36" xfId="10" applyFont="1" applyFill="1" applyBorder="1" applyAlignment="1" applyProtection="1">
      <alignment vertical="center"/>
    </xf>
    <xf numFmtId="0" fontId="65" fillId="6" borderId="0" xfId="10" applyFont="1" applyFill="1" applyAlignment="1" applyProtection="1">
      <alignment horizontal="center" vertical="center"/>
    </xf>
    <xf numFmtId="189" fontId="64" fillId="6" borderId="36" xfId="10" applyNumberFormat="1" applyFont="1" applyFill="1" applyBorder="1" applyAlignment="1" applyProtection="1">
      <alignment horizontal="center" vertical="center"/>
    </xf>
    <xf numFmtId="181" fontId="64" fillId="6" borderId="36" xfId="10" applyNumberFormat="1" applyFont="1" applyFill="1" applyBorder="1" applyAlignment="1" applyProtection="1">
      <alignment vertical="center"/>
    </xf>
    <xf numFmtId="0" fontId="64" fillId="6" borderId="36" xfId="10" applyFont="1" applyFill="1" applyBorder="1" applyAlignment="1" applyProtection="1">
      <alignment horizontal="center" vertical="center"/>
    </xf>
    <xf numFmtId="0" fontId="64" fillId="6" borderId="0"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5" fillId="0" borderId="0" xfId="10" applyFont="1" applyFill="1" applyBorder="1" applyAlignment="1" applyProtection="1">
      <alignment horizontal="center" vertical="center"/>
    </xf>
    <xf numFmtId="0" fontId="65" fillId="0" borderId="0" xfId="10" applyFont="1" applyFill="1" applyAlignment="1" applyProtection="1">
      <alignment horizontal="center" vertical="center"/>
    </xf>
    <xf numFmtId="177" fontId="59" fillId="6" borderId="1" xfId="10" applyNumberFormat="1" applyFont="1" applyFill="1" applyBorder="1" applyAlignment="1" applyProtection="1">
      <alignment horizontal="right" vertical="center"/>
    </xf>
    <xf numFmtId="0" fontId="59" fillId="6" borderId="0" xfId="10" applyFont="1" applyFill="1" applyBorder="1" applyAlignment="1" applyProtection="1">
      <alignment vertical="center"/>
      <protection locked="0"/>
    </xf>
    <xf numFmtId="0" fontId="64" fillId="6" borderId="0" xfId="10" applyFont="1" applyFill="1" applyBorder="1" applyAlignment="1" applyProtection="1">
      <alignment vertical="center"/>
      <protection locked="0"/>
    </xf>
    <xf numFmtId="0" fontId="67" fillId="6" borderId="0" xfId="10" applyFont="1" applyFill="1" applyBorder="1" applyAlignment="1" applyProtection="1">
      <alignment vertical="center"/>
      <protection locked="0"/>
    </xf>
    <xf numFmtId="189" fontId="64" fillId="6" borderId="0" xfId="10" applyNumberFormat="1" applyFont="1" applyFill="1" applyBorder="1" applyAlignment="1" applyProtection="1">
      <alignment horizontal="center" vertical="center"/>
      <protection locked="0"/>
    </xf>
    <xf numFmtId="181" fontId="64" fillId="6" borderId="0" xfId="10" applyNumberFormat="1" applyFont="1" applyFill="1" applyBorder="1" applyAlignment="1" applyProtection="1">
      <alignment vertical="center"/>
      <protection locked="0"/>
    </xf>
    <xf numFmtId="0" fontId="64" fillId="6" borderId="0" xfId="10" applyFont="1" applyFill="1" applyBorder="1" applyAlignment="1" applyProtection="1">
      <alignment horizontal="center" vertical="center"/>
      <protection locked="0"/>
    </xf>
    <xf numFmtId="0" fontId="257" fillId="6" borderId="13" xfId="1" applyFont="1" applyFill="1" applyBorder="1" applyAlignment="1" applyProtection="1">
      <alignment vertical="center"/>
    </xf>
    <xf numFmtId="186" fontId="59" fillId="6" borderId="13" xfId="10" applyNumberFormat="1" applyFont="1" applyFill="1" applyBorder="1" applyAlignment="1" applyProtection="1">
      <alignment horizontal="right" vertical="center"/>
    </xf>
    <xf numFmtId="0" fontId="65" fillId="6" borderId="0" xfId="10" applyFont="1" applyFill="1" applyAlignment="1" applyProtection="1">
      <alignment horizontal="center" vertical="center"/>
      <protection locked="0"/>
    </xf>
    <xf numFmtId="0" fontId="258" fillId="6" borderId="0" xfId="10" applyFont="1" applyFill="1" applyAlignment="1" applyProtection="1">
      <alignment horizontal="center" vertical="center"/>
      <protection locked="0"/>
    </xf>
    <xf numFmtId="0" fontId="64" fillId="6" borderId="60" xfId="10" applyFont="1" applyFill="1" applyBorder="1" applyAlignment="1" applyProtection="1">
      <alignment horizontal="center" vertical="center"/>
    </xf>
    <xf numFmtId="0" fontId="59" fillId="6" borderId="13" xfId="10" applyFont="1" applyFill="1" applyBorder="1" applyAlignment="1" applyProtection="1">
      <alignment vertical="center"/>
    </xf>
    <xf numFmtId="0" fontId="59" fillId="6" borderId="1" xfId="10" applyFont="1" applyFill="1" applyBorder="1" applyAlignment="1" applyProtection="1">
      <alignment vertical="center"/>
    </xf>
    <xf numFmtId="0" fontId="59" fillId="6" borderId="46" xfId="10" applyFont="1" applyFill="1" applyBorder="1" applyAlignment="1" applyProtection="1">
      <alignment vertical="center"/>
    </xf>
    <xf numFmtId="0" fontId="131" fillId="6" borderId="22" xfId="10" applyFont="1" applyFill="1" applyBorder="1" applyAlignment="1" applyProtection="1">
      <alignment horizontal="left" vertical="center"/>
    </xf>
    <xf numFmtId="0" fontId="52" fillId="6" borderId="16" xfId="10" applyFont="1" applyFill="1" applyBorder="1" applyAlignment="1" applyProtection="1">
      <alignment vertical="center" wrapText="1"/>
    </xf>
    <xf numFmtId="0" fontId="52" fillId="6" borderId="19" xfId="10" applyFont="1" applyFill="1" applyBorder="1" applyAlignment="1" applyProtection="1">
      <alignment vertical="center" wrapText="1"/>
    </xf>
    <xf numFmtId="189"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vertical="center" wrapText="1"/>
      <protection locked="0"/>
    </xf>
    <xf numFmtId="0" fontId="53" fillId="6" borderId="0" xfId="10" applyFont="1" applyFill="1" applyBorder="1" applyAlignment="1" applyProtection="1">
      <alignment horizontal="center" vertical="center"/>
      <protection locked="0"/>
    </xf>
    <xf numFmtId="0" fontId="53" fillId="6" borderId="15" xfId="10" applyFont="1" applyFill="1" applyBorder="1" applyAlignment="1" applyProtection="1">
      <alignment horizontal="center" vertical="center"/>
    </xf>
    <xf numFmtId="0" fontId="53" fillId="0" borderId="0" xfId="10" applyFont="1" applyFill="1" applyAlignment="1" applyProtection="1">
      <alignment horizontal="center" vertical="center"/>
    </xf>
    <xf numFmtId="0" fontId="52" fillId="6" borderId="18" xfId="10" applyFont="1" applyFill="1" applyBorder="1" applyAlignment="1" applyProtection="1">
      <alignment vertical="center" wrapText="1"/>
    </xf>
    <xf numFmtId="0" fontId="52" fillId="6" borderId="0" xfId="10" applyFont="1" applyFill="1" applyBorder="1" applyAlignment="1" applyProtection="1">
      <alignment vertical="center" wrapText="1"/>
    </xf>
    <xf numFmtId="0" fontId="48" fillId="6" borderId="51" xfId="10" applyFont="1" applyFill="1" applyBorder="1" applyAlignment="1" applyProtection="1">
      <alignment vertical="center" wrapText="1"/>
    </xf>
    <xf numFmtId="0" fontId="48" fillId="6" borderId="21" xfId="10" applyFont="1" applyFill="1" applyBorder="1" applyAlignment="1" applyProtection="1">
      <alignment horizontal="left" vertical="center" wrapText="1"/>
    </xf>
    <xf numFmtId="184" fontId="46" fillId="6" borderId="70" xfId="10" applyNumberFormat="1" applyFont="1" applyFill="1" applyBorder="1" applyAlignment="1" applyProtection="1">
      <alignment horizontal="center" vertical="center" wrapText="1"/>
    </xf>
    <xf numFmtId="0" fontId="46" fillId="6" borderId="67" xfId="10" applyNumberFormat="1" applyFont="1" applyFill="1" applyBorder="1" applyAlignment="1" applyProtection="1">
      <alignment horizontal="center" vertical="center" wrapText="1"/>
    </xf>
    <xf numFmtId="184" fontId="46" fillId="0" borderId="70" xfId="10" applyNumberFormat="1" applyFont="1" applyFill="1" applyBorder="1" applyAlignment="1" applyProtection="1">
      <alignment horizontal="center" vertical="center" wrapText="1"/>
      <protection locked="0"/>
    </xf>
    <xf numFmtId="0" fontId="46" fillId="6" borderId="34" xfId="10" applyNumberFormat="1" applyFont="1" applyFill="1" applyBorder="1" applyAlignment="1" applyProtection="1">
      <alignment horizontal="center" vertical="center" wrapText="1"/>
    </xf>
    <xf numFmtId="184" fontId="46" fillId="0" borderId="26" xfId="10" applyNumberFormat="1" applyFont="1" applyFill="1" applyBorder="1" applyAlignment="1" applyProtection="1">
      <alignment horizontal="center" vertical="center" wrapText="1"/>
      <protection locked="0"/>
    </xf>
    <xf numFmtId="0" fontId="46" fillId="6" borderId="3" xfId="10" applyNumberFormat="1" applyFont="1" applyFill="1" applyBorder="1" applyAlignment="1" applyProtection="1">
      <alignment horizontal="center" vertical="center" wrapText="1"/>
    </xf>
    <xf numFmtId="181" fontId="46"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protection locked="0"/>
    </xf>
    <xf numFmtId="188" fontId="46" fillId="6" borderId="5" xfId="10" applyNumberFormat="1" applyFont="1" applyFill="1" applyBorder="1" applyAlignment="1" applyProtection="1">
      <alignment horizontal="center" vertical="center"/>
    </xf>
    <xf numFmtId="49" fontId="46" fillId="6" borderId="3" xfId="10" applyNumberFormat="1" applyFont="1" applyFill="1" applyBorder="1" applyAlignment="1" applyProtection="1">
      <alignment horizontal="center" vertical="center"/>
    </xf>
    <xf numFmtId="0" fontId="46" fillId="6" borderId="15" xfId="10" applyFont="1" applyFill="1" applyBorder="1" applyAlignment="1" applyProtection="1">
      <alignment horizontal="center" vertical="center"/>
    </xf>
    <xf numFmtId="0" fontId="46" fillId="6" borderId="1" xfId="10" applyNumberFormat="1" applyFont="1" applyFill="1" applyBorder="1" applyAlignment="1" applyProtection="1">
      <alignment horizontal="center" vertical="center"/>
    </xf>
    <xf numFmtId="0" fontId="46" fillId="0" borderId="0" xfId="10" applyFont="1" applyFill="1" applyAlignment="1" applyProtection="1">
      <alignment horizontal="center" vertical="center"/>
    </xf>
    <xf numFmtId="0" fontId="48" fillId="6" borderId="37" xfId="10" applyFont="1" applyFill="1" applyBorder="1" applyAlignment="1" applyProtection="1">
      <alignment vertical="center" wrapText="1"/>
    </xf>
    <xf numFmtId="0" fontId="48" fillId="6" borderId="48" xfId="10" applyFont="1" applyFill="1" applyBorder="1" applyAlignment="1" applyProtection="1">
      <alignment horizontal="left" vertical="center" wrapText="1"/>
    </xf>
    <xf numFmtId="49" fontId="46" fillId="2" borderId="70" xfId="10" applyNumberFormat="1" applyFont="1" applyFill="1" applyBorder="1" applyAlignment="1" applyProtection="1">
      <alignment horizontal="center" vertical="center" wrapText="1"/>
      <protection locked="0"/>
    </xf>
    <xf numFmtId="0" fontId="48" fillId="6" borderId="69" xfId="10" applyFont="1" applyFill="1" applyBorder="1" applyAlignment="1" applyProtection="1">
      <alignment vertical="center" wrapText="1"/>
    </xf>
    <xf numFmtId="0" fontId="48" fillId="6" borderId="71" xfId="10" applyFont="1" applyFill="1" applyBorder="1" applyAlignment="1" applyProtection="1">
      <alignment horizontal="left" vertical="center" wrapText="1"/>
    </xf>
    <xf numFmtId="0" fontId="46" fillId="2" borderId="20" xfId="10" applyNumberFormat="1" applyFont="1" applyFill="1" applyBorder="1" applyAlignment="1" applyProtection="1">
      <alignment horizontal="center" vertical="center" wrapText="1"/>
      <protection locked="0"/>
    </xf>
    <xf numFmtId="0" fontId="46" fillId="6" borderId="10" xfId="10" applyNumberFormat="1" applyFont="1" applyFill="1" applyBorder="1" applyAlignment="1" applyProtection="1">
      <alignment horizontal="center" vertical="center" wrapText="1"/>
    </xf>
    <xf numFmtId="0" fontId="46" fillId="2" borderId="51" xfId="10" applyNumberFormat="1" applyFont="1" applyFill="1" applyBorder="1" applyAlignment="1" applyProtection="1">
      <alignment horizontal="center" vertical="center" wrapText="1"/>
      <protection locked="0"/>
    </xf>
    <xf numFmtId="0" fontId="46" fillId="6" borderId="35" xfId="10" applyFont="1" applyFill="1" applyBorder="1" applyAlignment="1" applyProtection="1">
      <alignment horizontal="center" vertical="center"/>
      <protection locked="0"/>
    </xf>
    <xf numFmtId="0" fontId="46"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xf>
    <xf numFmtId="0" fontId="68" fillId="6" borderId="37" xfId="10" applyFont="1" applyFill="1" applyBorder="1" applyAlignment="1" applyProtection="1">
      <alignment vertical="center" wrapText="1"/>
    </xf>
    <xf numFmtId="0" fontId="46" fillId="0" borderId="7" xfId="10" applyNumberFormat="1" applyFont="1" applyFill="1" applyBorder="1" applyAlignment="1" applyProtection="1">
      <alignment horizontal="center" vertical="center" wrapText="1"/>
      <protection locked="0"/>
    </xf>
    <xf numFmtId="0" fontId="46" fillId="6" borderId="24" xfId="10" applyNumberFormat="1" applyFont="1" applyFill="1" applyBorder="1" applyAlignment="1" applyProtection="1">
      <alignment horizontal="center" vertical="center" wrapText="1"/>
    </xf>
    <xf numFmtId="49" fontId="46" fillId="0" borderId="41" xfId="10" applyNumberFormat="1" applyFont="1" applyFill="1" applyBorder="1" applyAlignment="1" applyProtection="1">
      <alignment horizontal="center" vertical="center" wrapText="1"/>
      <protection locked="0"/>
    </xf>
    <xf numFmtId="49" fontId="46" fillId="0" borderId="7" xfId="10" applyNumberFormat="1" applyFont="1" applyFill="1" applyBorder="1" applyAlignment="1" applyProtection="1">
      <alignment horizontal="center" vertical="center" wrapText="1"/>
      <protection locked="0"/>
    </xf>
    <xf numFmtId="0" fontId="63" fillId="6" borderId="3" xfId="10" applyNumberFormat="1" applyFont="1" applyFill="1" applyBorder="1" applyAlignment="1" applyProtection="1">
      <alignment horizontal="center" vertical="center" wrapText="1"/>
    </xf>
    <xf numFmtId="181" fontId="69" fillId="6" borderId="0" xfId="10" applyNumberFormat="1" applyFont="1" applyFill="1" applyBorder="1" applyAlignment="1" applyProtection="1">
      <alignment horizontal="center" vertical="center" wrapText="1"/>
      <protection locked="0"/>
    </xf>
    <xf numFmtId="0" fontId="69" fillId="6" borderId="35" xfId="10" applyFont="1" applyFill="1" applyBorder="1" applyAlignment="1" applyProtection="1">
      <alignment horizontal="center" vertical="center"/>
      <protection locked="0"/>
    </xf>
    <xf numFmtId="0" fontId="69" fillId="0" borderId="0" xfId="10" applyFont="1" applyFill="1" applyAlignment="1" applyProtection="1">
      <alignment horizontal="center" vertical="center"/>
    </xf>
    <xf numFmtId="0" fontId="52" fillId="6" borderId="37" xfId="10" applyFont="1" applyFill="1" applyBorder="1" applyAlignment="1" applyProtection="1">
      <alignment vertical="center" wrapText="1"/>
    </xf>
    <xf numFmtId="0" fontId="46" fillId="0" borderId="3" xfId="10" applyNumberFormat="1" applyFont="1" applyFill="1" applyBorder="1" applyAlignment="1" applyProtection="1">
      <alignment horizontal="center" vertical="center" wrapText="1"/>
      <protection locked="0"/>
    </xf>
    <xf numFmtId="0" fontId="46" fillId="0" borderId="23" xfId="10" applyNumberFormat="1" applyFont="1" applyFill="1" applyBorder="1" applyAlignment="1" applyProtection="1">
      <alignment horizontal="center" vertical="center" wrapText="1"/>
      <protection locked="0"/>
    </xf>
    <xf numFmtId="0" fontId="63" fillId="0" borderId="3" xfId="10" applyNumberFormat="1" applyFont="1" applyFill="1" applyBorder="1" applyAlignment="1" applyProtection="1">
      <alignment horizontal="center" vertical="center" wrapText="1"/>
      <protection locked="0"/>
    </xf>
    <xf numFmtId="181" fontId="51" fillId="6" borderId="0" xfId="10" applyNumberFormat="1" applyFont="1" applyFill="1" applyBorder="1" applyAlignment="1" applyProtection="1">
      <alignment horizontal="center" vertical="center" wrapText="1"/>
      <protection locked="0"/>
    </xf>
    <xf numFmtId="0" fontId="53" fillId="6" borderId="35" xfId="10" applyFont="1" applyFill="1" applyBorder="1" applyAlignment="1" applyProtection="1">
      <alignment horizontal="center" vertical="center"/>
      <protection locked="0"/>
    </xf>
    <xf numFmtId="0" fontId="48" fillId="6" borderId="48" xfId="10" applyFont="1" applyFill="1" applyBorder="1" applyAlignment="1" applyProtection="1">
      <alignment horizontal="left" vertical="center" wrapText="1"/>
      <protection locked="0"/>
    </xf>
    <xf numFmtId="0" fontId="260" fillId="0" borderId="7" xfId="10" applyNumberFormat="1" applyFont="1" applyFill="1" applyBorder="1" applyAlignment="1" applyProtection="1">
      <alignment horizontal="center" vertical="center" wrapText="1"/>
      <protection locked="0"/>
    </xf>
    <xf numFmtId="0" fontId="46" fillId="6" borderId="71" xfId="10" applyNumberFormat="1" applyFont="1" applyFill="1" applyBorder="1" applyAlignment="1" applyProtection="1">
      <alignment horizontal="center" vertical="center" wrapText="1"/>
    </xf>
    <xf numFmtId="49" fontId="260" fillId="0" borderId="41" xfId="10" applyNumberFormat="1" applyFont="1" applyFill="1" applyBorder="1" applyAlignment="1" applyProtection="1">
      <alignment horizontal="center" vertical="center" wrapText="1"/>
      <protection locked="0"/>
    </xf>
    <xf numFmtId="0" fontId="52" fillId="7" borderId="69" xfId="10" applyFont="1" applyFill="1" applyBorder="1" applyAlignment="1" applyProtection="1">
      <alignment vertical="center" wrapText="1"/>
    </xf>
    <xf numFmtId="0" fontId="48" fillId="7" borderId="71" xfId="10" applyFont="1" applyFill="1" applyBorder="1" applyAlignment="1" applyProtection="1">
      <alignment horizontal="left" vertical="center" wrapText="1"/>
      <protection locked="0"/>
    </xf>
    <xf numFmtId="0" fontId="53" fillId="0" borderId="54" xfId="10" applyNumberFormat="1" applyFont="1" applyFill="1" applyBorder="1" applyAlignment="1" applyProtection="1">
      <alignment horizontal="center" vertical="center" wrapText="1"/>
      <protection locked="0"/>
    </xf>
    <xf numFmtId="0" fontId="53" fillId="6" borderId="24" xfId="10" applyNumberFormat="1" applyFont="1" applyFill="1" applyBorder="1" applyAlignment="1" applyProtection="1">
      <alignment horizontal="center" vertical="center" wrapText="1"/>
    </xf>
    <xf numFmtId="0" fontId="53" fillId="0" borderId="1" xfId="10" applyNumberFormat="1" applyFont="1" applyFill="1" applyBorder="1" applyAlignment="1" applyProtection="1">
      <alignment horizontal="center" vertical="center" wrapText="1"/>
      <protection locked="0"/>
    </xf>
    <xf numFmtId="0" fontId="53" fillId="0" borderId="2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52" fillId="7" borderId="42" xfId="10" applyFont="1" applyFill="1" applyBorder="1" applyAlignment="1" applyProtection="1">
      <alignment vertical="center" wrapText="1"/>
    </xf>
    <xf numFmtId="0" fontId="48" fillId="7" borderId="43" xfId="10" applyFont="1" applyFill="1" applyBorder="1" applyAlignment="1" applyProtection="1">
      <alignment horizontal="left" vertical="center" wrapText="1"/>
      <protection locked="0"/>
    </xf>
    <xf numFmtId="0" fontId="53" fillId="0" borderId="52" xfId="10" applyNumberFormat="1" applyFont="1" applyFill="1" applyBorder="1" applyAlignment="1" applyProtection="1">
      <alignment horizontal="center" vertical="center" wrapText="1"/>
      <protection locked="0"/>
    </xf>
    <xf numFmtId="0" fontId="53" fillId="6" borderId="49" xfId="10" applyNumberFormat="1" applyFont="1" applyFill="1" applyBorder="1" applyAlignment="1" applyProtection="1">
      <alignment horizontal="center" vertical="center" wrapText="1"/>
    </xf>
    <xf numFmtId="0" fontId="201" fillId="6" borderId="14" xfId="10" applyFont="1" applyFill="1" applyBorder="1" applyAlignment="1" applyProtection="1">
      <alignment vertical="center" wrapText="1"/>
    </xf>
    <xf numFmtId="0" fontId="46" fillId="6" borderId="53" xfId="10" applyFont="1" applyFill="1" applyBorder="1" applyAlignment="1" applyProtection="1">
      <alignment horizontal="center" vertical="center" wrapText="1"/>
    </xf>
    <xf numFmtId="49" fontId="53" fillId="6" borderId="39" xfId="10" applyNumberFormat="1" applyFont="1" applyFill="1" applyBorder="1" applyAlignment="1" applyProtection="1">
      <alignment horizontal="center" vertical="center" wrapText="1"/>
    </xf>
    <xf numFmtId="0" fontId="53" fillId="6" borderId="29" xfId="10" applyNumberFormat="1" applyFont="1" applyFill="1" applyBorder="1" applyAlignment="1" applyProtection="1">
      <alignment horizontal="center" vertical="center" wrapText="1"/>
    </xf>
    <xf numFmtId="49" fontId="53" fillId="0" borderId="40" xfId="10" applyNumberFormat="1" applyFont="1" applyFill="1" applyBorder="1" applyAlignment="1" applyProtection="1">
      <alignment horizontal="center" vertical="center" wrapText="1"/>
      <protection locked="0"/>
    </xf>
    <xf numFmtId="0" fontId="53" fillId="6" borderId="62" xfId="10" applyNumberFormat="1" applyFont="1" applyFill="1" applyBorder="1" applyAlignment="1" applyProtection="1">
      <alignment horizontal="center" vertical="center" wrapText="1"/>
    </xf>
    <xf numFmtId="0" fontId="53" fillId="6" borderId="1" xfId="10" applyFont="1" applyFill="1" applyBorder="1" applyAlignment="1" applyProtection="1">
      <alignment horizontal="center" vertical="center" wrapText="1"/>
    </xf>
    <xf numFmtId="188" fontId="53" fillId="6" borderId="5" xfId="10" applyNumberFormat="1" applyFont="1" applyFill="1" applyBorder="1" applyAlignment="1" applyProtection="1">
      <alignment horizontal="center" vertical="center"/>
    </xf>
    <xf numFmtId="49" fontId="53" fillId="6" borderId="3" xfId="10" applyNumberFormat="1"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53" fillId="6" borderId="1" xfId="10" applyNumberFormat="1" applyFont="1" applyFill="1" applyBorder="1" applyAlignment="1" applyProtection="1">
      <alignment horizontal="center" vertical="center"/>
    </xf>
    <xf numFmtId="0" fontId="52" fillId="6" borderId="14" xfId="10" applyFont="1" applyFill="1" applyBorder="1" applyAlignment="1" applyProtection="1">
      <alignment vertical="center" wrapText="1"/>
    </xf>
    <xf numFmtId="0" fontId="53" fillId="6" borderId="56" xfId="10" applyFont="1" applyFill="1" applyBorder="1" applyAlignment="1" applyProtection="1">
      <alignment horizontal="center" vertical="center"/>
    </xf>
    <xf numFmtId="0" fontId="53" fillId="2" borderId="7" xfId="10" applyNumberFormat="1" applyFont="1" applyFill="1" applyBorder="1" applyAlignment="1" applyProtection="1">
      <alignment horizontal="center" vertical="center" wrapText="1"/>
      <protection locked="0"/>
    </xf>
    <xf numFmtId="0" fontId="53" fillId="6" borderId="4" xfId="10" applyNumberFormat="1" applyFont="1" applyFill="1" applyBorder="1" applyAlignment="1" applyProtection="1">
      <alignment horizontal="center" vertical="center" wrapText="1"/>
    </xf>
    <xf numFmtId="49" fontId="53" fillId="2" borderId="41" xfId="10" applyNumberFormat="1" applyFont="1" applyFill="1" applyBorder="1" applyAlignment="1" applyProtection="1">
      <alignment horizontal="center" vertical="center" wrapText="1"/>
      <protection locked="0"/>
    </xf>
    <xf numFmtId="0" fontId="53" fillId="6" borderId="8" xfId="10" applyNumberFormat="1" applyFont="1" applyFill="1" applyBorder="1" applyAlignment="1" applyProtection="1">
      <alignment horizontal="center" vertical="center" wrapText="1"/>
    </xf>
    <xf numFmtId="0" fontId="53" fillId="6" borderId="53" xfId="10" applyNumberFormat="1" applyFont="1" applyFill="1" applyBorder="1" applyAlignment="1" applyProtection="1">
      <alignment horizontal="center" vertical="center" wrapText="1"/>
    </xf>
    <xf numFmtId="0" fontId="46" fillId="6" borderId="61" xfId="10" applyFont="1" applyFill="1" applyBorder="1" applyAlignment="1" applyProtection="1">
      <alignment horizontal="center" vertical="center" wrapText="1"/>
    </xf>
    <xf numFmtId="49" fontId="53" fillId="6" borderId="22" xfId="10" applyNumberFormat="1" applyFont="1" applyFill="1" applyBorder="1" applyAlignment="1" applyProtection="1">
      <alignment horizontal="center" vertical="center" wrapText="1"/>
    </xf>
    <xf numFmtId="0" fontId="53" fillId="6" borderId="58" xfId="10" applyNumberFormat="1" applyFont="1" applyFill="1" applyBorder="1" applyAlignment="1" applyProtection="1">
      <alignment horizontal="center" vertical="center" wrapText="1"/>
    </xf>
    <xf numFmtId="49" fontId="53" fillId="0" borderId="14" xfId="10" applyNumberFormat="1" applyFont="1" applyFill="1" applyBorder="1" applyAlignment="1" applyProtection="1">
      <alignment horizontal="center" vertical="center" wrapText="1"/>
      <protection locked="0"/>
    </xf>
    <xf numFmtId="49" fontId="53" fillId="0" borderId="35" xfId="10" applyNumberFormat="1" applyFont="1" applyFill="1" applyBorder="1" applyAlignment="1" applyProtection="1">
      <alignment horizontal="center" vertical="center" wrapText="1"/>
      <protection locked="0"/>
    </xf>
    <xf numFmtId="0" fontId="53" fillId="6" borderId="61" xfId="10" applyNumberFormat="1" applyFont="1" applyFill="1" applyBorder="1" applyAlignment="1" applyProtection="1">
      <alignment horizontal="center" vertical="center" wrapText="1"/>
    </xf>
    <xf numFmtId="0" fontId="46" fillId="6" borderId="8" xfId="10" applyFont="1" applyFill="1" applyBorder="1" applyAlignment="1" applyProtection="1">
      <alignment horizontal="center" vertical="center" wrapText="1"/>
    </xf>
    <xf numFmtId="0" fontId="53" fillId="2" borderId="35" xfId="10" applyNumberFormat="1" applyFont="1" applyFill="1" applyBorder="1" applyAlignment="1" applyProtection="1">
      <alignment horizontal="center" vertical="center" wrapText="1"/>
      <protection locked="0"/>
    </xf>
    <xf numFmtId="49" fontId="53" fillId="2" borderId="14" xfId="10" applyNumberFormat="1" applyFont="1" applyFill="1" applyBorder="1" applyAlignment="1" applyProtection="1">
      <alignment horizontal="center" vertical="center" wrapText="1"/>
      <protection locked="0"/>
    </xf>
    <xf numFmtId="0" fontId="53" fillId="6" borderId="46" xfId="10" applyNumberFormat="1" applyFont="1" applyFill="1" applyBorder="1" applyAlignment="1" applyProtection="1">
      <alignment horizontal="center" vertical="center" wrapText="1"/>
    </xf>
    <xf numFmtId="49" fontId="53" fillId="0" borderId="11" xfId="10" applyNumberFormat="1" applyFont="1" applyFill="1" applyBorder="1" applyAlignment="1" applyProtection="1">
      <alignment horizontal="center" vertical="center" wrapText="1"/>
      <protection locked="0"/>
    </xf>
    <xf numFmtId="0" fontId="53" fillId="6" borderId="22" xfId="10" applyNumberFormat="1" applyFont="1" applyFill="1" applyBorder="1" applyAlignment="1" applyProtection="1">
      <alignment horizontal="center" vertical="center" wrapText="1"/>
    </xf>
    <xf numFmtId="0" fontId="46" fillId="6" borderId="13" xfId="10" applyFont="1" applyFill="1" applyBorder="1" applyAlignment="1" applyProtection="1">
      <alignment horizontal="center" vertical="center" wrapText="1"/>
    </xf>
    <xf numFmtId="0" fontId="46" fillId="6" borderId="2" xfId="10" applyFont="1" applyFill="1" applyBorder="1" applyAlignment="1" applyProtection="1">
      <alignment horizontal="center" vertical="center" wrapText="1"/>
    </xf>
    <xf numFmtId="0" fontId="53" fillId="2" borderId="41" xfId="10" applyNumberFormat="1" applyFont="1" applyFill="1" applyBorder="1" applyAlignment="1" applyProtection="1">
      <alignment horizontal="center" vertical="center" wrapText="1"/>
      <protection locked="0"/>
    </xf>
    <xf numFmtId="0" fontId="48" fillId="6" borderId="18" xfId="10" applyFont="1" applyFill="1" applyBorder="1" applyAlignment="1" applyProtection="1">
      <alignment vertical="center" wrapText="1"/>
    </xf>
    <xf numFmtId="0" fontId="260" fillId="6" borderId="53" xfId="10" applyFont="1" applyFill="1" applyBorder="1" applyAlignment="1" applyProtection="1">
      <alignment horizontal="center" vertical="center" wrapText="1"/>
    </xf>
    <xf numFmtId="0" fontId="46" fillId="2" borderId="60" xfId="10" applyNumberFormat="1" applyFont="1" applyFill="1" applyBorder="1" applyAlignment="1" applyProtection="1">
      <alignment horizontal="center" vertical="center" wrapText="1"/>
      <protection locked="0"/>
    </xf>
    <xf numFmtId="0" fontId="46" fillId="2" borderId="69" xfId="10" applyNumberFormat="1" applyFont="1" applyFill="1" applyBorder="1" applyAlignment="1" applyProtection="1">
      <alignment horizontal="center" vertical="center" wrapText="1"/>
      <protection locked="0"/>
    </xf>
    <xf numFmtId="0" fontId="53" fillId="2" borderId="54" xfId="10" applyNumberFormat="1" applyFont="1" applyFill="1" applyBorder="1" applyAlignment="1" applyProtection="1">
      <alignment horizontal="center" vertical="center" wrapText="1"/>
      <protection locked="0"/>
    </xf>
    <xf numFmtId="0" fontId="53" fillId="6" borderId="5" xfId="10" applyNumberFormat="1" applyFont="1" applyFill="1" applyBorder="1" applyAlignment="1" applyProtection="1">
      <alignment horizontal="center" vertical="center" wrapText="1"/>
    </xf>
    <xf numFmtId="0" fontId="53" fillId="2" borderId="37" xfId="10" applyNumberFormat="1" applyFont="1" applyFill="1" applyBorder="1" applyAlignment="1" applyProtection="1">
      <alignment horizontal="center" vertical="center" wrapText="1"/>
      <protection locked="0"/>
    </xf>
    <xf numFmtId="0" fontId="60" fillId="6" borderId="3" xfId="10" applyNumberFormat="1" applyFont="1" applyFill="1" applyBorder="1" applyAlignment="1" applyProtection="1">
      <alignment horizontal="center" vertical="center" wrapText="1"/>
    </xf>
    <xf numFmtId="0" fontId="46" fillId="6" borderId="24" xfId="10" applyFont="1" applyFill="1" applyBorder="1" applyAlignment="1" applyProtection="1">
      <alignment horizontal="center" vertical="center" wrapText="1"/>
    </xf>
    <xf numFmtId="0" fontId="60" fillId="0" borderId="3" xfId="10" applyNumberFormat="1" applyFont="1" applyFill="1" applyBorder="1" applyAlignment="1" applyProtection="1">
      <alignment horizontal="center" vertical="center" wrapText="1"/>
      <protection locked="0"/>
    </xf>
    <xf numFmtId="0" fontId="46" fillId="0" borderId="24" xfId="10" applyFont="1" applyFill="1" applyBorder="1" applyAlignment="1" applyProtection="1">
      <alignment horizontal="center" vertical="center" wrapText="1"/>
      <protection locked="0"/>
    </xf>
    <xf numFmtId="0" fontId="53" fillId="0" borderId="3" xfId="10" applyNumberFormat="1" applyFont="1" applyFill="1" applyBorder="1" applyAlignment="1" applyProtection="1">
      <alignment horizontal="center" vertical="center" wrapText="1"/>
      <protection locked="0"/>
    </xf>
    <xf numFmtId="0" fontId="53" fillId="6" borderId="18" xfId="10" applyFont="1" applyFill="1" applyBorder="1" applyAlignment="1" applyProtection="1">
      <alignment horizontal="center" vertical="center"/>
    </xf>
    <xf numFmtId="0" fontId="53" fillId="0" borderId="24" xfId="10" applyFont="1" applyFill="1" applyBorder="1" applyAlignment="1" applyProtection="1">
      <alignment horizontal="center" vertical="center"/>
      <protection locked="0"/>
    </xf>
    <xf numFmtId="0" fontId="71" fillId="6" borderId="42" xfId="10" applyFont="1" applyFill="1" applyBorder="1" applyAlignment="1" applyProtection="1">
      <alignment vertical="center" textRotation="255" wrapText="1"/>
    </xf>
    <xf numFmtId="0" fontId="51" fillId="0" borderId="49" xfId="10" applyFont="1" applyFill="1" applyBorder="1" applyAlignment="1" applyProtection="1">
      <alignment horizontal="center" vertical="center"/>
      <protection locked="0"/>
    </xf>
    <xf numFmtId="0" fontId="53" fillId="0" borderId="22" xfId="10" applyNumberFormat="1" applyFont="1" applyFill="1" applyBorder="1" applyAlignment="1" applyProtection="1">
      <alignment horizontal="center" vertical="center" wrapText="1"/>
      <protection locked="0"/>
    </xf>
    <xf numFmtId="0" fontId="46" fillId="6" borderId="46" xfId="10" applyNumberFormat="1" applyFont="1" applyFill="1" applyBorder="1" applyAlignment="1" applyProtection="1">
      <alignment horizontal="center" vertical="center" wrapText="1"/>
    </xf>
    <xf numFmtId="0" fontId="53" fillId="0" borderId="25" xfId="10" applyNumberFormat="1" applyFont="1" applyFill="1" applyBorder="1" applyAlignment="1" applyProtection="1">
      <alignment horizontal="center" vertical="center" wrapText="1"/>
      <protection locked="0"/>
    </xf>
    <xf numFmtId="0" fontId="53" fillId="0" borderId="66" xfId="10" applyNumberFormat="1" applyFont="1" applyFill="1" applyBorder="1" applyAlignment="1" applyProtection="1">
      <alignment horizontal="center" vertical="center" wrapText="1"/>
      <protection locked="0"/>
    </xf>
    <xf numFmtId="0" fontId="51" fillId="6" borderId="35" xfId="10" applyFont="1" applyFill="1" applyBorder="1" applyAlignment="1" applyProtection="1">
      <alignment horizontal="center" vertical="center"/>
      <protection locked="0"/>
    </xf>
    <xf numFmtId="188" fontId="51" fillId="6" borderId="5" xfId="10" applyNumberFormat="1" applyFont="1" applyFill="1" applyBorder="1" applyAlignment="1" applyProtection="1">
      <alignment horizontal="center" vertical="center"/>
    </xf>
    <xf numFmtId="49" fontId="51" fillId="6" borderId="3" xfId="10" applyNumberFormat="1" applyFont="1" applyFill="1" applyBorder="1" applyAlignment="1" applyProtection="1">
      <alignment horizontal="center" vertical="center"/>
    </xf>
    <xf numFmtId="0" fontId="51" fillId="6" borderId="15" xfId="10" applyFont="1" applyFill="1" applyBorder="1" applyAlignment="1" applyProtection="1">
      <alignment horizontal="center" vertical="center"/>
    </xf>
    <xf numFmtId="0" fontId="51" fillId="6" borderId="1" xfId="10" applyFont="1" applyFill="1" applyBorder="1" applyAlignment="1" applyProtection="1">
      <alignment horizontal="center" vertical="center"/>
    </xf>
    <xf numFmtId="0" fontId="51" fillId="0" borderId="0" xfId="10" applyFont="1" applyFill="1" applyAlignment="1" applyProtection="1">
      <alignment horizontal="center" vertical="center"/>
    </xf>
    <xf numFmtId="0" fontId="201" fillId="6" borderId="40" xfId="10" applyFont="1" applyFill="1" applyBorder="1" applyAlignment="1" applyProtection="1">
      <alignment vertical="center" wrapText="1"/>
    </xf>
    <xf numFmtId="0" fontId="46" fillId="6" borderId="4" xfId="10" applyFont="1" applyFill="1" applyBorder="1" applyAlignment="1" applyProtection="1">
      <alignment horizontal="center" vertical="center" wrapText="1"/>
    </xf>
    <xf numFmtId="0" fontId="53" fillId="0" borderId="6" xfId="10" applyNumberFormat="1" applyFont="1" applyFill="1" applyBorder="1" applyAlignment="1" applyProtection="1">
      <alignment horizontal="center" vertical="center" wrapText="1"/>
      <protection locked="0"/>
    </xf>
    <xf numFmtId="0" fontId="53" fillId="6" borderId="10" xfId="10" applyNumberFormat="1" applyFont="1" applyFill="1" applyBorder="1" applyAlignment="1" applyProtection="1">
      <alignment horizontal="center" vertical="center" wrapText="1"/>
    </xf>
    <xf numFmtId="0" fontId="53" fillId="0" borderId="9" xfId="10" applyNumberFormat="1" applyFont="1" applyFill="1" applyBorder="1" applyAlignment="1" applyProtection="1">
      <alignment horizontal="center" vertical="center" wrapText="1"/>
      <protection locked="0"/>
    </xf>
    <xf numFmtId="0" fontId="52" fillId="6" borderId="14" xfId="10" applyFont="1" applyFill="1" applyBorder="1" applyAlignment="1" applyProtection="1">
      <alignment vertical="center" textRotation="255" wrapText="1"/>
    </xf>
    <xf numFmtId="0" fontId="46" fillId="6" borderId="5" xfId="10" applyFont="1" applyFill="1" applyBorder="1" applyAlignment="1" applyProtection="1">
      <alignment horizontal="center" vertical="center" wrapText="1"/>
    </xf>
    <xf numFmtId="49" fontId="53" fillId="2" borderId="23" xfId="10" applyNumberFormat="1" applyFont="1" applyFill="1" applyBorder="1" applyAlignment="1" applyProtection="1">
      <alignment horizontal="center" vertical="center" wrapText="1"/>
      <protection locked="0"/>
    </xf>
    <xf numFmtId="0" fontId="48" fillId="6" borderId="14" xfId="10" applyFont="1" applyFill="1" applyBorder="1" applyAlignment="1" applyProtection="1">
      <alignment vertical="center" textRotation="255" wrapText="1"/>
    </xf>
    <xf numFmtId="0" fontId="260" fillId="6" borderId="5" xfId="10" applyFont="1" applyFill="1" applyBorder="1" applyAlignment="1" applyProtection="1">
      <alignment horizontal="center" vertical="center" wrapText="1"/>
    </xf>
    <xf numFmtId="9" fontId="46" fillId="2" borderId="37" xfId="10" applyNumberFormat="1" applyFont="1" applyFill="1" applyBorder="1" applyAlignment="1" applyProtection="1">
      <alignment horizontal="center" vertical="center" wrapText="1"/>
      <protection locked="0"/>
    </xf>
    <xf numFmtId="0" fontId="53" fillId="0" borderId="5" xfId="10" applyFont="1" applyFill="1" applyBorder="1" applyAlignment="1" applyProtection="1">
      <alignment horizontal="center" vertical="center"/>
      <protection locked="0"/>
    </xf>
    <xf numFmtId="0" fontId="71" fillId="6" borderId="14" xfId="10" applyFont="1" applyFill="1" applyBorder="1" applyAlignment="1" applyProtection="1">
      <alignment vertical="center" textRotation="255" wrapText="1"/>
    </xf>
    <xf numFmtId="0" fontId="51" fillId="0" borderId="38" xfId="10" applyNumberFormat="1" applyFont="1" applyFill="1" applyBorder="1" applyAlignment="1" applyProtection="1">
      <alignment horizontal="center" vertical="center" wrapText="1"/>
      <protection locked="0"/>
    </xf>
    <xf numFmtId="0" fontId="51" fillId="6" borderId="49" xfId="10" applyNumberFormat="1" applyFont="1" applyFill="1" applyBorder="1" applyAlignment="1" applyProtection="1">
      <alignment horizontal="center" vertical="center" wrapText="1"/>
    </xf>
    <xf numFmtId="0" fontId="73" fillId="6" borderId="3" xfId="10" applyNumberFormat="1" applyFont="1" applyFill="1" applyBorder="1" applyAlignment="1" applyProtection="1">
      <alignment horizontal="center" vertical="center" wrapText="1"/>
    </xf>
    <xf numFmtId="49" fontId="52" fillId="6" borderId="51" xfId="10" applyNumberFormat="1" applyFont="1" applyFill="1" applyBorder="1" applyAlignment="1" applyProtection="1">
      <alignment vertical="center"/>
    </xf>
    <xf numFmtId="49" fontId="52" fillId="2" borderId="10" xfId="10" applyNumberFormat="1" applyFont="1" applyFill="1" applyBorder="1" applyAlignment="1" applyProtection="1">
      <alignment vertical="center"/>
      <protection locked="0"/>
    </xf>
    <xf numFmtId="0" fontId="52" fillId="6" borderId="20" xfId="10" applyFont="1" applyFill="1" applyBorder="1" applyAlignment="1" applyProtection="1">
      <alignment horizontal="right" vertical="center" wrapText="1"/>
    </xf>
    <xf numFmtId="0" fontId="52" fillId="6" borderId="21" xfId="10" applyFont="1" applyFill="1" applyBorder="1" applyAlignment="1" applyProtection="1">
      <alignment vertical="center" wrapText="1"/>
    </xf>
    <xf numFmtId="0" fontId="72" fillId="3" borderId="20" xfId="10" applyFont="1" applyFill="1" applyBorder="1" applyAlignment="1" applyProtection="1">
      <alignment vertical="center" wrapText="1"/>
      <protection locked="0"/>
    </xf>
    <xf numFmtId="0" fontId="72" fillId="6" borderId="20" xfId="10" applyFont="1" applyFill="1" applyBorder="1" applyAlignment="1" applyProtection="1">
      <alignment vertical="center" wrapText="1"/>
    </xf>
    <xf numFmtId="0" fontId="72" fillId="3" borderId="51" xfId="10" applyFont="1" applyFill="1" applyBorder="1" applyAlignment="1" applyProtection="1">
      <alignment vertical="center" wrapText="1"/>
      <protection locked="0"/>
    </xf>
    <xf numFmtId="0" fontId="72" fillId="6" borderId="21" xfId="10"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xf>
    <xf numFmtId="181" fontId="53" fillId="6" borderId="0" xfId="10" applyNumberFormat="1" applyFont="1" applyFill="1" applyBorder="1" applyAlignment="1" applyProtection="1">
      <alignment vertical="center" wrapText="1"/>
      <protection locked="0"/>
    </xf>
    <xf numFmtId="0" fontId="53" fillId="6" borderId="0" xfId="10" applyFont="1" applyFill="1" applyAlignment="1" applyProtection="1">
      <alignment horizontal="center" vertical="center"/>
      <protection locked="0"/>
    </xf>
    <xf numFmtId="0" fontId="53" fillId="6" borderId="0" xfId="10" applyFont="1" applyFill="1" applyAlignment="1" applyProtection="1">
      <alignment horizontal="center" vertical="center"/>
    </xf>
    <xf numFmtId="0" fontId="53" fillId="6" borderId="2" xfId="10" applyFont="1" applyFill="1" applyBorder="1" applyAlignment="1" applyProtection="1">
      <alignment vertical="center" textRotation="255" wrapText="1"/>
    </xf>
    <xf numFmtId="49" fontId="52" fillId="6" borderId="38" xfId="10" applyNumberFormat="1" applyFont="1" applyFill="1" applyBorder="1" applyAlignment="1" applyProtection="1">
      <alignment vertical="center"/>
    </xf>
    <xf numFmtId="49" fontId="52" fillId="6" borderId="68" xfId="10" applyNumberFormat="1" applyFont="1" applyFill="1" applyBorder="1" applyAlignment="1" applyProtection="1">
      <alignment vertical="center"/>
    </xf>
    <xf numFmtId="186" fontId="52" fillId="6" borderId="52" xfId="10" applyNumberFormat="1" applyFont="1" applyFill="1" applyBorder="1" applyAlignment="1" applyProtection="1">
      <alignment vertical="center" wrapText="1"/>
    </xf>
    <xf numFmtId="0" fontId="52" fillId="6" borderId="68" xfId="10" applyFont="1" applyFill="1" applyBorder="1" applyAlignment="1" applyProtection="1">
      <alignment vertical="center" wrapText="1"/>
    </xf>
    <xf numFmtId="0" fontId="52" fillId="6" borderId="52" xfId="10" applyFont="1" applyFill="1" applyBorder="1" applyAlignment="1" applyProtection="1">
      <alignment vertical="center" wrapText="1"/>
    </xf>
    <xf numFmtId="186" fontId="52" fillId="6" borderId="38" xfId="10" applyNumberFormat="1" applyFont="1" applyFill="1" applyBorder="1" applyAlignment="1" applyProtection="1">
      <alignment vertical="center" wrapText="1"/>
    </xf>
    <xf numFmtId="189" fontId="53" fillId="3" borderId="3" xfId="10" applyNumberFormat="1" applyFont="1" applyFill="1" applyBorder="1" applyAlignment="1" applyProtection="1">
      <alignment horizontal="center" vertical="center" wrapText="1"/>
    </xf>
    <xf numFmtId="49" fontId="52" fillId="0" borderId="42" xfId="10" applyNumberFormat="1" applyFont="1" applyFill="1" applyBorder="1" applyAlignment="1" applyProtection="1">
      <alignment vertical="center"/>
      <protection locked="0"/>
    </xf>
    <xf numFmtId="49" fontId="52" fillId="0" borderId="43" xfId="10" applyNumberFormat="1" applyFont="1" applyFill="1" applyBorder="1" applyAlignment="1" applyProtection="1">
      <alignment vertical="center"/>
      <protection locked="0"/>
    </xf>
    <xf numFmtId="186" fontId="52" fillId="6" borderId="47" xfId="10" applyNumberFormat="1" applyFont="1" applyFill="1" applyBorder="1" applyAlignment="1" applyProtection="1">
      <alignment vertical="center" wrapText="1"/>
    </xf>
    <xf numFmtId="189" fontId="53" fillId="3" borderId="1" xfId="10" applyNumberFormat="1" applyFont="1" applyFill="1" applyBorder="1" applyAlignment="1" applyProtection="1">
      <alignment horizontal="center" vertical="center" wrapText="1"/>
    </xf>
    <xf numFmtId="9" fontId="53" fillId="6" borderId="0" xfId="10" applyNumberFormat="1" applyFont="1" applyFill="1" applyAlignment="1" applyProtection="1">
      <alignment horizontal="center" vertical="center"/>
      <protection locked="0"/>
    </xf>
    <xf numFmtId="189" fontId="53" fillId="6" borderId="0" xfId="10" applyNumberFormat="1" applyFont="1" applyFill="1" applyAlignment="1" applyProtection="1">
      <alignment horizontal="center" vertical="center"/>
      <protection locked="0"/>
    </xf>
    <xf numFmtId="181" fontId="53" fillId="6" borderId="0" xfId="10" applyNumberFormat="1" applyFont="1" applyFill="1" applyAlignment="1" applyProtection="1">
      <alignment horizontal="center" vertical="center"/>
      <protection locked="0"/>
    </xf>
    <xf numFmtId="0" fontId="52" fillId="6" borderId="1" xfId="10" applyFont="1" applyFill="1" applyBorder="1" applyAlignment="1" applyProtection="1">
      <alignment horizontal="left" vertical="center"/>
    </xf>
    <xf numFmtId="0" fontId="52" fillId="6" borderId="1" xfId="10" applyFont="1" applyFill="1" applyBorder="1" applyAlignment="1" applyProtection="1">
      <alignment horizontal="center" vertical="center" wrapText="1"/>
    </xf>
    <xf numFmtId="181" fontId="53" fillId="6" borderId="5" xfId="10" applyNumberFormat="1" applyFont="1" applyFill="1" applyBorder="1" applyAlignment="1" applyProtection="1">
      <alignment horizontal="center" vertical="center"/>
    </xf>
    <xf numFmtId="181" fontId="53" fillId="6" borderId="3" xfId="10" applyNumberFormat="1" applyFont="1" applyFill="1" applyBorder="1" applyAlignment="1" applyProtection="1">
      <alignment vertical="center"/>
    </xf>
    <xf numFmtId="0" fontId="52" fillId="6" borderId="3" xfId="10" applyFont="1" applyFill="1" applyBorder="1" applyAlignment="1" applyProtection="1">
      <alignment horizontal="center" vertical="center" wrapText="1"/>
    </xf>
    <xf numFmtId="0" fontId="70" fillId="6" borderId="0" xfId="10" applyFont="1" applyFill="1" applyAlignment="1" applyProtection="1">
      <alignment horizontal="center" vertical="center"/>
      <protection locked="0"/>
    </xf>
    <xf numFmtId="189" fontId="70" fillId="6" borderId="0" xfId="10" applyNumberFormat="1" applyFont="1" applyFill="1" applyAlignment="1" applyProtection="1">
      <alignment horizontal="center" vertical="center"/>
      <protection locked="0"/>
    </xf>
    <xf numFmtId="181" fontId="70" fillId="6" borderId="0" xfId="10" applyNumberFormat="1" applyFont="1" applyFill="1" applyAlignment="1" applyProtection="1">
      <alignment horizontal="center" vertical="center"/>
      <protection locked="0"/>
    </xf>
    <xf numFmtId="0" fontId="70" fillId="6" borderId="0" xfId="10" applyFont="1" applyFill="1" applyAlignment="1" applyProtection="1">
      <alignment horizontal="center" vertical="center"/>
    </xf>
    <xf numFmtId="0" fontId="70" fillId="0" borderId="0" xfId="10" applyFont="1" applyFill="1" applyAlignment="1" applyProtection="1">
      <alignment horizontal="center" vertical="center"/>
    </xf>
    <xf numFmtId="14" fontId="53" fillId="6" borderId="0" xfId="10" applyNumberFormat="1" applyFont="1" applyFill="1" applyAlignment="1" applyProtection="1">
      <alignment horizontal="center" vertical="center"/>
      <protection locked="0"/>
    </xf>
    <xf numFmtId="176" fontId="53" fillId="6" borderId="0" xfId="10" applyNumberFormat="1" applyFont="1" applyFill="1" applyAlignment="1" applyProtection="1">
      <alignment horizontal="center" vertical="center"/>
      <protection locked="0"/>
    </xf>
    <xf numFmtId="14" fontId="53" fillId="6" borderId="6" xfId="10" applyNumberFormat="1" applyFont="1" applyFill="1" applyBorder="1" applyAlignment="1" applyProtection="1">
      <alignment horizontal="left" vertical="center"/>
    </xf>
    <xf numFmtId="176" fontId="53" fillId="6" borderId="9" xfId="10" applyNumberFormat="1" applyFont="1" applyFill="1" applyBorder="1" applyAlignment="1" applyProtection="1">
      <alignment horizontal="center" vertical="center"/>
    </xf>
    <xf numFmtId="0" fontId="264" fillId="5" borderId="9" xfId="10" applyFont="1" applyFill="1" applyBorder="1" applyAlignment="1" applyProtection="1">
      <alignment horizontal="center" vertical="center"/>
      <protection locked="0"/>
    </xf>
    <xf numFmtId="0" fontId="97" fillId="6" borderId="19" xfId="10" applyFont="1" applyFill="1" applyBorder="1" applyAlignment="1" applyProtection="1">
      <alignment horizontal="center" vertical="center" wrapText="1"/>
      <protection locked="0"/>
    </xf>
    <xf numFmtId="0" fontId="53" fillId="6" borderId="9" xfId="10" applyFont="1" applyFill="1" applyBorder="1" applyAlignment="1" applyProtection="1">
      <alignment horizontal="center" vertical="center"/>
    </xf>
    <xf numFmtId="0" fontId="53" fillId="6" borderId="10" xfId="10" applyFont="1" applyFill="1" applyBorder="1" applyAlignment="1" applyProtection="1">
      <alignment horizontal="center" vertical="center"/>
    </xf>
    <xf numFmtId="0" fontId="101" fillId="6" borderId="1" xfId="10" applyFont="1" applyFill="1" applyBorder="1" applyAlignment="1" applyProtection="1">
      <alignment horizontal="center" vertical="center"/>
    </xf>
    <xf numFmtId="0" fontId="130" fillId="6" borderId="0" xfId="10" applyFont="1" applyFill="1" applyAlignment="1" applyProtection="1">
      <alignment horizontal="left" vertical="center"/>
      <protection locked="0"/>
    </xf>
    <xf numFmtId="0" fontId="55" fillId="6" borderId="23" xfId="10" applyFont="1" applyFill="1" applyBorder="1" applyAlignment="1" applyProtection="1"/>
    <xf numFmtId="0" fontId="55" fillId="6" borderId="1" xfId="10" applyFont="1" applyFill="1" applyBorder="1" applyAlignment="1" applyProtection="1">
      <alignment horizontal="center"/>
    </xf>
    <xf numFmtId="0" fontId="74" fillId="6" borderId="1" xfId="10" applyFont="1" applyFill="1" applyBorder="1" applyAlignment="1" applyProtection="1">
      <alignment horizontal="center" vertical="center"/>
      <protection locked="0"/>
    </xf>
    <xf numFmtId="0" fontId="104" fillId="6" borderId="1" xfId="10" applyFont="1" applyFill="1" applyBorder="1" applyAlignment="1" applyProtection="1">
      <alignment horizontal="center" vertical="center"/>
    </xf>
    <xf numFmtId="0" fontId="74" fillId="6" borderId="0" xfId="10" applyFont="1" applyFill="1" applyAlignment="1" applyProtection="1">
      <alignment horizontal="center" vertical="center"/>
      <protection locked="0"/>
    </xf>
    <xf numFmtId="0" fontId="74" fillId="0" borderId="0" xfId="10" applyFont="1" applyFill="1" applyAlignment="1" applyProtection="1">
      <alignment horizontal="center" vertical="center"/>
    </xf>
    <xf numFmtId="0" fontId="55" fillId="6" borderId="1" xfId="10" applyFont="1" applyFill="1" applyBorder="1" applyAlignment="1" applyProtection="1">
      <alignment horizontal="center" vertical="center" wrapText="1"/>
    </xf>
    <xf numFmtId="9" fontId="74" fillId="5" borderId="1" xfId="10" applyNumberFormat="1" applyFont="1" applyFill="1" applyBorder="1" applyAlignment="1" applyProtection="1">
      <alignment horizontal="center" vertical="center"/>
      <protection locked="0"/>
    </xf>
    <xf numFmtId="49" fontId="74" fillId="6" borderId="1" xfId="10" applyNumberFormat="1" applyFont="1" applyFill="1" applyBorder="1" applyAlignment="1" applyProtection="1">
      <alignment horizontal="center" vertical="center"/>
    </xf>
    <xf numFmtId="0" fontId="104" fillId="0" borderId="1" xfId="10" applyFont="1" applyFill="1" applyBorder="1" applyAlignment="1" applyProtection="1">
      <alignment horizontal="center" vertical="center"/>
      <protection locked="0"/>
    </xf>
    <xf numFmtId="0" fontId="81" fillId="6" borderId="23" xfId="1" applyFont="1" applyFill="1" applyBorder="1" applyAlignment="1" applyProtection="1"/>
    <xf numFmtId="0" fontId="129" fillId="6" borderId="23" xfId="10" applyFont="1" applyFill="1" applyBorder="1" applyAlignment="1" applyProtection="1">
      <alignment horizontal="center" vertical="center"/>
    </xf>
    <xf numFmtId="0" fontId="74" fillId="5" borderId="23" xfId="10" applyFont="1" applyFill="1" applyBorder="1" applyAlignment="1" applyProtection="1">
      <alignment horizontal="center" vertical="center"/>
      <protection locked="0"/>
    </xf>
    <xf numFmtId="0" fontId="74" fillId="6" borderId="1" xfId="10" applyFont="1" applyFill="1" applyBorder="1" applyAlignment="1" applyProtection="1">
      <alignment horizontal="center" vertical="center"/>
    </xf>
    <xf numFmtId="0" fontId="129" fillId="6" borderId="25" xfId="10" applyFont="1" applyFill="1" applyBorder="1" applyAlignment="1" applyProtection="1">
      <alignment horizontal="center" vertical="center"/>
    </xf>
    <xf numFmtId="49" fontId="74" fillId="6" borderId="32" xfId="10" applyNumberFormat="1" applyFont="1" applyFill="1" applyBorder="1" applyAlignment="1" applyProtection="1">
      <alignment horizontal="center" vertical="center"/>
    </xf>
    <xf numFmtId="0" fontId="55" fillId="6" borderId="32" xfId="10" applyFont="1" applyFill="1" applyBorder="1" applyAlignment="1" applyProtection="1">
      <alignment horizontal="center"/>
    </xf>
    <xf numFmtId="177" fontId="56" fillId="6" borderId="49" xfId="10" applyNumberFormat="1" applyFont="1" applyFill="1" applyBorder="1" applyAlignment="1" applyProtection="1">
      <alignment horizontal="center"/>
    </xf>
    <xf numFmtId="0" fontId="55" fillId="6" borderId="0" xfId="10" applyFont="1" applyFill="1" applyAlignment="1" applyProtection="1">
      <protection locked="0"/>
    </xf>
    <xf numFmtId="14" fontId="53" fillId="6" borderId="0" xfId="10" applyNumberFormat="1" applyFont="1" applyFill="1" applyAlignment="1" applyProtection="1">
      <alignment horizontal="center" vertical="center"/>
    </xf>
    <xf numFmtId="0" fontId="58" fillId="6" borderId="0" xfId="10" applyFont="1" applyFill="1" applyBorder="1" applyAlignment="1" applyProtection="1"/>
    <xf numFmtId="0" fontId="53" fillId="6" borderId="0" xfId="10" applyFont="1" applyFill="1" applyBorder="1" applyAlignment="1" applyProtection="1"/>
    <xf numFmtId="0" fontId="53" fillId="6" borderId="0" xfId="10" applyFont="1" applyFill="1" applyBorder="1" applyAlignment="1" applyProtection="1">
      <alignment horizontal="center"/>
    </xf>
    <xf numFmtId="189" fontId="53" fillId="6" borderId="0" xfId="10" applyNumberFormat="1" applyFont="1" applyFill="1" applyBorder="1" applyAlignment="1" applyProtection="1">
      <alignment horizontal="center"/>
    </xf>
    <xf numFmtId="181" fontId="53" fillId="6" borderId="0" xfId="10" applyNumberFormat="1" applyFont="1" applyFill="1" applyBorder="1" applyAlignment="1" applyProtection="1"/>
    <xf numFmtId="0" fontId="53" fillId="6" borderId="0" xfId="10" applyFont="1" applyFill="1" applyBorder="1" applyAlignment="1" applyProtection="1">
      <protection locked="0"/>
    </xf>
    <xf numFmtId="9" fontId="46" fillId="6" borderId="0" xfId="10" applyNumberFormat="1" applyFont="1" applyFill="1" applyBorder="1" applyAlignment="1" applyProtection="1">
      <alignment horizontal="center" vertical="center" wrapText="1"/>
      <protection locked="0"/>
    </xf>
    <xf numFmtId="0" fontId="262" fillId="6" borderId="16" xfId="10" applyNumberFormat="1" applyFont="1" applyFill="1" applyBorder="1" applyAlignment="1" applyProtection="1">
      <alignment vertical="center"/>
    </xf>
    <xf numFmtId="0" fontId="48" fillId="6" borderId="39" xfId="10" applyNumberFormat="1" applyFont="1" applyFill="1" applyBorder="1" applyAlignment="1" applyProtection="1">
      <alignment vertical="center"/>
    </xf>
    <xf numFmtId="0" fontId="46" fillId="6" borderId="30" xfId="10" applyNumberFormat="1" applyFont="1" applyFill="1" applyBorder="1" applyAlignment="1" applyProtection="1">
      <alignment horizontal="center" vertical="center" wrapText="1"/>
    </xf>
    <xf numFmtId="49" fontId="46" fillId="6" borderId="0" xfId="10" applyNumberFormat="1" applyFont="1" applyFill="1" applyBorder="1" applyAlignment="1" applyProtection="1">
      <alignment horizontal="center" vertical="center" wrapText="1"/>
      <protection locked="0"/>
    </xf>
    <xf numFmtId="49" fontId="46" fillId="6" borderId="0" xfId="10" applyNumberFormat="1" applyFont="1" applyFill="1" applyBorder="1" applyAlignment="1" applyProtection="1">
      <alignment horizontal="center" vertical="center"/>
      <protection locked="0"/>
    </xf>
    <xf numFmtId="49" fontId="46" fillId="6" borderId="0" xfId="10" applyNumberFormat="1" applyFont="1" applyFill="1" applyAlignment="1" applyProtection="1">
      <alignment horizontal="center" vertical="center"/>
      <protection locked="0"/>
    </xf>
    <xf numFmtId="49" fontId="46" fillId="0" borderId="0" xfId="10" applyNumberFormat="1" applyFont="1" applyFill="1" applyAlignment="1" applyProtection="1">
      <alignment horizontal="center" vertical="center"/>
    </xf>
    <xf numFmtId="0" fontId="48" fillId="5" borderId="1" xfId="10" applyNumberFormat="1" applyFont="1" applyFill="1" applyBorder="1" applyAlignment="1" applyProtection="1">
      <alignment horizontal="center" vertical="center" wrapText="1"/>
      <protection locked="0"/>
    </xf>
    <xf numFmtId="10" fontId="48" fillId="6" borderId="1" xfId="10" applyNumberFormat="1" applyFont="1" applyFill="1" applyBorder="1" applyAlignment="1" applyProtection="1">
      <alignment horizontal="center" vertical="center" wrapText="1"/>
    </xf>
    <xf numFmtId="0" fontId="46" fillId="6" borderId="1" xfId="10" applyNumberFormat="1" applyFont="1" applyFill="1" applyBorder="1" applyAlignment="1" applyProtection="1">
      <alignment horizontal="center" vertical="center" wrapText="1"/>
    </xf>
    <xf numFmtId="0" fontId="46" fillId="0" borderId="1" xfId="10" applyNumberFormat="1" applyFont="1" applyFill="1" applyBorder="1" applyAlignment="1" applyProtection="1">
      <alignment horizontal="center" vertical="center" wrapText="1"/>
      <protection locked="0"/>
    </xf>
    <xf numFmtId="0" fontId="46" fillId="6" borderId="0" xfId="10" applyNumberFormat="1" applyFont="1" applyFill="1" applyBorder="1" applyAlignment="1" applyProtection="1">
      <alignment horizontal="center" vertical="center" wrapText="1"/>
      <protection locked="0"/>
    </xf>
    <xf numFmtId="0" fontId="46" fillId="6" borderId="0" xfId="10" applyFont="1" applyFill="1" applyAlignment="1" applyProtection="1">
      <alignment horizontal="center" vertical="center"/>
      <protection locked="0"/>
    </xf>
    <xf numFmtId="0" fontId="48" fillId="6" borderId="12" xfId="10" applyNumberFormat="1" applyFont="1" applyFill="1" applyBorder="1" applyAlignment="1" applyProtection="1">
      <alignment vertical="center"/>
    </xf>
    <xf numFmtId="0" fontId="267" fillId="6" borderId="2" xfId="8" applyNumberFormat="1" applyFont="1" applyFill="1" applyBorder="1" applyAlignment="1" applyProtection="1">
      <alignment horizontal="center" vertical="center" wrapText="1"/>
      <protection locked="0"/>
    </xf>
    <xf numFmtId="177" fontId="46" fillId="0" borderId="73" xfId="10" applyNumberFormat="1" applyFont="1" applyFill="1" applyBorder="1" applyAlignment="1" applyProtection="1">
      <alignment horizontal="center" vertical="center" wrapText="1"/>
      <protection locked="0"/>
    </xf>
    <xf numFmtId="178" fontId="46" fillId="0" borderId="74" xfId="10" applyNumberFormat="1" applyFont="1" applyFill="1" applyBorder="1" applyAlignment="1" applyProtection="1">
      <alignment horizontal="center" vertical="center" wrapText="1"/>
      <protection locked="0"/>
    </xf>
    <xf numFmtId="0" fontId="48" fillId="6" borderId="58" xfId="10" applyNumberFormat="1" applyFont="1" applyFill="1" applyBorder="1" applyAlignment="1" applyProtection="1">
      <alignment vertical="center" wrapText="1"/>
    </xf>
    <xf numFmtId="0" fontId="48" fillId="6" borderId="35" xfId="10" applyNumberFormat="1" applyFont="1" applyFill="1" applyBorder="1" applyAlignment="1" applyProtection="1">
      <alignment vertical="center" wrapText="1"/>
    </xf>
    <xf numFmtId="0" fontId="46" fillId="6" borderId="7" xfId="10" applyNumberFormat="1" applyFont="1" applyFill="1" applyBorder="1" applyAlignment="1" applyProtection="1">
      <alignment horizontal="center" vertical="center" wrapText="1"/>
    </xf>
    <xf numFmtId="0" fontId="46" fillId="0" borderId="2" xfId="10" applyNumberFormat="1" applyFont="1" applyFill="1" applyBorder="1" applyAlignment="1" applyProtection="1">
      <alignment horizontal="center" vertical="center" wrapText="1"/>
      <protection locked="0"/>
    </xf>
    <xf numFmtId="0" fontId="46" fillId="0" borderId="2" xfId="10" applyNumberFormat="1" applyFont="1" applyFill="1" applyBorder="1" applyAlignment="1" applyProtection="1">
      <alignment horizontal="left" vertical="center" wrapText="1"/>
      <protection locked="0"/>
    </xf>
    <xf numFmtId="0" fontId="46" fillId="0" borderId="8" xfId="10" applyNumberFormat="1" applyFont="1" applyFill="1" applyBorder="1" applyAlignment="1" applyProtection="1">
      <alignment horizontal="center" vertical="center" wrapText="1"/>
      <protection locked="0"/>
    </xf>
    <xf numFmtId="0" fontId="103" fillId="6" borderId="0" xfId="10" applyFont="1" applyFill="1" applyBorder="1" applyAlignment="1" applyProtection="1">
      <alignment vertical="center"/>
      <protection locked="0"/>
    </xf>
    <xf numFmtId="0" fontId="46" fillId="6" borderId="22" xfId="10" applyNumberFormat="1" applyFont="1" applyFill="1" applyBorder="1" applyAlignment="1" applyProtection="1">
      <alignment horizontal="center" vertical="center" wrapText="1"/>
    </xf>
    <xf numFmtId="0" fontId="46" fillId="0" borderId="13" xfId="10" applyNumberFormat="1" applyFont="1" applyFill="1" applyBorder="1" applyAlignment="1" applyProtection="1">
      <alignment horizontal="center" vertical="center" wrapText="1"/>
      <protection locked="0"/>
    </xf>
    <xf numFmtId="0" fontId="46" fillId="0" borderId="61" xfId="10" applyNumberFormat="1" applyFont="1" applyFill="1" applyBorder="1" applyAlignment="1" applyProtection="1">
      <alignment horizontal="center" vertical="center" wrapText="1"/>
      <protection locked="0"/>
    </xf>
    <xf numFmtId="0" fontId="52" fillId="6" borderId="40" xfId="10" applyNumberFormat="1" applyFont="1" applyFill="1" applyBorder="1" applyAlignment="1" applyProtection="1">
      <alignment vertical="center" wrapText="1"/>
    </xf>
    <xf numFmtId="0" fontId="46" fillId="6" borderId="17" xfId="10" applyNumberFormat="1" applyFont="1" applyFill="1" applyBorder="1" applyAlignment="1" applyProtection="1">
      <alignment horizontal="center" vertical="center" wrapText="1"/>
    </xf>
    <xf numFmtId="0" fontId="70" fillId="0" borderId="9" xfId="10" applyNumberFormat="1" applyFont="1" applyFill="1" applyBorder="1" applyAlignment="1" applyProtection="1">
      <alignment horizontal="center" vertical="center" wrapText="1"/>
      <protection locked="0"/>
    </xf>
    <xf numFmtId="0" fontId="70" fillId="0" borderId="9" xfId="10" applyNumberFormat="1" applyFont="1" applyFill="1" applyBorder="1" applyAlignment="1" applyProtection="1">
      <alignment horizontal="left" vertical="center" wrapText="1"/>
      <protection locked="0"/>
    </xf>
    <xf numFmtId="0" fontId="70" fillId="0" borderId="10" xfId="10" applyNumberFormat="1" applyFont="1" applyFill="1" applyBorder="1" applyAlignment="1" applyProtection="1">
      <alignment horizontal="center" vertical="center" wrapText="1"/>
      <protection locked="0"/>
    </xf>
    <xf numFmtId="0" fontId="70" fillId="6" borderId="0" xfId="10" applyNumberFormat="1" applyFont="1" applyFill="1" applyBorder="1" applyAlignment="1" applyProtection="1">
      <alignment horizontal="center" vertical="center" wrapText="1"/>
      <protection locked="0"/>
    </xf>
    <xf numFmtId="0" fontId="46" fillId="6" borderId="0" xfId="10"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wrapText="1"/>
    </xf>
    <xf numFmtId="0" fontId="51" fillId="6" borderId="77" xfId="10" applyNumberFormat="1" applyFont="1" applyFill="1" applyBorder="1" applyAlignment="1" applyProtection="1">
      <alignment horizontal="center" vertical="center" wrapText="1"/>
    </xf>
    <xf numFmtId="0" fontId="53" fillId="0" borderId="78" xfId="10" applyNumberFormat="1" applyFont="1" applyFill="1" applyBorder="1" applyAlignment="1" applyProtection="1">
      <alignment horizontal="center" vertical="center" wrapText="1"/>
      <protection locked="0"/>
    </xf>
    <xf numFmtId="0" fontId="53" fillId="0" borderId="79" xfId="10" applyNumberFormat="1" applyFont="1" applyFill="1" applyBorder="1" applyAlignment="1" applyProtection="1">
      <alignment horizontal="center" vertical="center" wrapText="1"/>
      <protection locked="0"/>
    </xf>
    <xf numFmtId="0" fontId="53" fillId="6" borderId="0" xfId="10" applyNumberFormat="1" applyFont="1" applyFill="1" applyBorder="1" applyAlignment="1" applyProtection="1">
      <alignment horizontal="center" vertical="center" wrapText="1"/>
      <protection locked="0"/>
    </xf>
    <xf numFmtId="0" fontId="46" fillId="6" borderId="57" xfId="10" applyNumberFormat="1" applyFont="1" applyFill="1" applyBorder="1" applyAlignment="1" applyProtection="1">
      <alignment horizontal="center" vertical="center" wrapText="1"/>
    </xf>
    <xf numFmtId="0" fontId="53"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center" vertical="center" wrapText="1"/>
    </xf>
    <xf numFmtId="0" fontId="70" fillId="6" borderId="44" xfId="10" applyNumberFormat="1" applyFont="1" applyFill="1" applyBorder="1" applyAlignment="1" applyProtection="1">
      <alignment horizontal="left" vertical="center" wrapText="1"/>
    </xf>
    <xf numFmtId="0" fontId="70" fillId="6" borderId="45" xfId="10" applyNumberFormat="1" applyFont="1" applyFill="1" applyBorder="1" applyAlignment="1" applyProtection="1">
      <alignment horizontal="center" vertical="center" wrapText="1"/>
    </xf>
    <xf numFmtId="0" fontId="46" fillId="6" borderId="77" xfId="10" applyNumberFormat="1" applyFont="1" applyFill="1" applyBorder="1" applyAlignment="1" applyProtection="1">
      <alignment horizontal="center" vertical="center" wrapText="1"/>
    </xf>
    <xf numFmtId="0" fontId="53" fillId="6" borderId="78" xfId="10" applyNumberFormat="1" applyFont="1" applyFill="1" applyBorder="1" applyAlignment="1" applyProtection="1">
      <alignment horizontal="center" vertical="center" wrapText="1"/>
    </xf>
    <xf numFmtId="0" fontId="53" fillId="6" borderId="79" xfId="10" applyNumberFormat="1" applyFont="1" applyFill="1" applyBorder="1" applyAlignment="1" applyProtection="1">
      <alignment horizontal="center" vertical="center" wrapText="1"/>
    </xf>
    <xf numFmtId="0" fontId="46" fillId="6" borderId="15" xfId="10" applyNumberFormat="1" applyFont="1" applyFill="1" applyBorder="1" applyAlignment="1" applyProtection="1">
      <alignment horizontal="center" vertical="center" wrapText="1"/>
    </xf>
    <xf numFmtId="0" fontId="53" fillId="6" borderId="2" xfId="10" applyNumberFormat="1" applyFont="1" applyFill="1" applyBorder="1" applyAlignment="1" applyProtection="1">
      <alignment horizontal="center" vertical="center" wrapText="1"/>
    </xf>
    <xf numFmtId="0" fontId="51" fillId="6" borderId="15" xfId="10" applyNumberFormat="1" applyFont="1" applyFill="1" applyBorder="1" applyAlignment="1" applyProtection="1">
      <alignment horizontal="center" vertical="center" wrapText="1"/>
    </xf>
    <xf numFmtId="0" fontId="70" fillId="0" borderId="1" xfId="10" applyNumberFormat="1" applyFont="1" applyFill="1" applyBorder="1" applyAlignment="1" applyProtection="1">
      <alignment horizontal="center" vertical="center" wrapText="1"/>
      <protection locked="0"/>
    </xf>
    <xf numFmtId="0" fontId="70" fillId="0" borderId="1" xfId="10" applyNumberFormat="1" applyFont="1" applyFill="1" applyBorder="1" applyAlignment="1" applyProtection="1">
      <alignment horizontal="left" vertical="center" wrapText="1"/>
      <protection locked="0"/>
    </xf>
    <xf numFmtId="0" fontId="70" fillId="0" borderId="24"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wrapText="1"/>
    </xf>
    <xf numFmtId="0" fontId="46"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xf numFmtId="0" fontId="136"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left" vertical="center" wrapText="1"/>
      <protection locked="0"/>
    </xf>
    <xf numFmtId="0" fontId="51" fillId="0" borderId="45" xfId="10" applyNumberFormat="1" applyFont="1" applyFill="1" applyBorder="1" applyAlignment="1" applyProtection="1">
      <alignment horizontal="center" vertical="center" wrapText="1"/>
      <protection locked="0"/>
    </xf>
    <xf numFmtId="0" fontId="51" fillId="6" borderId="0"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wrapText="1"/>
      <protection locked="0"/>
    </xf>
    <xf numFmtId="9" fontId="51" fillId="6" borderId="0" xfId="10" applyNumberFormat="1" applyFont="1" applyFill="1" applyBorder="1" applyAlignment="1" applyProtection="1">
      <alignment horizontal="center" vertical="center" wrapText="1"/>
      <protection locked="0"/>
    </xf>
    <xf numFmtId="0" fontId="51" fillId="6" borderId="0" xfId="10" applyFont="1" applyFill="1" applyAlignment="1" applyProtection="1">
      <alignment horizontal="center" vertical="center"/>
      <protection locked="0"/>
    </xf>
    <xf numFmtId="0" fontId="46" fillId="0" borderId="7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horizontal="center" vertical="center"/>
      <protection locked="0"/>
    </xf>
    <xf numFmtId="9" fontId="51" fillId="6" borderId="0" xfId="10" applyNumberFormat="1" applyFont="1" applyFill="1" applyBorder="1" applyAlignment="1" applyProtection="1">
      <alignment horizontal="center" vertical="center"/>
      <protection locked="0"/>
    </xf>
    <xf numFmtId="0" fontId="51" fillId="0" borderId="78" xfId="10" applyNumberFormat="1" applyFont="1" applyFill="1" applyBorder="1" applyAlignment="1" applyProtection="1">
      <alignment horizontal="center" vertical="center" wrapText="1"/>
      <protection locked="0"/>
    </xf>
    <xf numFmtId="0" fontId="51" fillId="0" borderId="79"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center" vertical="center" wrapText="1"/>
      <protection locked="0"/>
    </xf>
    <xf numFmtId="0" fontId="51" fillId="0" borderId="2" xfId="10" applyNumberFormat="1" applyFont="1" applyFill="1" applyBorder="1" applyAlignment="1" applyProtection="1">
      <alignment horizontal="left" vertical="center" wrapText="1"/>
      <protection locked="0"/>
    </xf>
    <xf numFmtId="0" fontId="51" fillId="0" borderId="8" xfId="10" applyNumberFormat="1" applyFont="1" applyFill="1" applyBorder="1" applyAlignment="1" applyProtection="1">
      <alignment horizontal="center" vertical="center" wrapText="1"/>
      <protection locked="0"/>
    </xf>
    <xf numFmtId="0" fontId="51" fillId="6" borderId="0" xfId="10" applyFont="1" applyFill="1" applyBorder="1" applyAlignment="1" applyProtection="1">
      <alignment vertical="center" wrapText="1"/>
      <protection locked="0"/>
    </xf>
    <xf numFmtId="0" fontId="71" fillId="6" borderId="12" xfId="10" applyNumberFormat="1" applyFont="1" applyFill="1" applyBorder="1" applyAlignment="1" applyProtection="1">
      <alignment vertical="center" wrapText="1"/>
    </xf>
    <xf numFmtId="0" fontId="46" fillId="6" borderId="74" xfId="10" applyNumberFormat="1" applyFont="1" applyFill="1" applyBorder="1" applyAlignment="1" applyProtection="1">
      <alignment horizontal="center" vertical="center" wrapText="1"/>
    </xf>
    <xf numFmtId="0" fontId="46" fillId="0" borderId="32" xfId="10" applyNumberFormat="1" applyFont="1" applyFill="1" applyBorder="1" applyAlignment="1" applyProtection="1">
      <alignment horizontal="center" vertical="center" wrapText="1"/>
      <protection locked="0"/>
    </xf>
    <xf numFmtId="0" fontId="51" fillId="0" borderId="32" xfId="10" applyNumberFormat="1" applyFont="1" applyFill="1" applyBorder="1" applyAlignment="1" applyProtection="1">
      <alignment horizontal="center" vertical="center" wrapText="1"/>
      <protection locked="0"/>
    </xf>
    <xf numFmtId="0" fontId="51" fillId="0" borderId="49" xfId="10" applyNumberFormat="1" applyFont="1" applyFill="1" applyBorder="1" applyAlignment="1" applyProtection="1">
      <alignment horizontal="center" vertical="center" wrapText="1"/>
      <protection locked="0"/>
    </xf>
    <xf numFmtId="0" fontId="46" fillId="6" borderId="9" xfId="10" applyNumberFormat="1" applyFont="1" applyFill="1" applyBorder="1" applyAlignment="1" applyProtection="1">
      <alignment horizontal="center" vertical="center" wrapText="1"/>
    </xf>
    <xf numFmtId="0" fontId="53"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center" vertical="center" wrapText="1"/>
    </xf>
    <xf numFmtId="0" fontId="70" fillId="6" borderId="9" xfId="10" applyNumberFormat="1" applyFont="1" applyFill="1" applyBorder="1" applyAlignment="1" applyProtection="1">
      <alignment horizontal="left" vertical="center" wrapText="1"/>
    </xf>
    <xf numFmtId="0" fontId="70" fillId="6" borderId="10" xfId="10" applyNumberFormat="1" applyFont="1" applyFill="1" applyBorder="1" applyAlignment="1" applyProtection="1">
      <alignment horizontal="center" vertical="center" wrapText="1"/>
    </xf>
    <xf numFmtId="0" fontId="46" fillId="6" borderId="0" xfId="10" applyFont="1" applyFill="1" applyBorder="1" applyAlignment="1" applyProtection="1">
      <alignment vertical="center" wrapText="1"/>
      <protection locked="0"/>
    </xf>
    <xf numFmtId="0" fontId="46" fillId="6" borderId="44" xfId="10" applyNumberFormat="1" applyFont="1" applyFill="1" applyBorder="1" applyAlignment="1" applyProtection="1">
      <alignment horizontal="center" vertical="center" wrapText="1"/>
    </xf>
    <xf numFmtId="0" fontId="48" fillId="6" borderId="14" xfId="10" applyNumberFormat="1" applyFont="1" applyFill="1" applyBorder="1" applyAlignment="1" applyProtection="1">
      <alignment vertical="center" wrapText="1"/>
    </xf>
    <xf numFmtId="0" fontId="46" fillId="6" borderId="44" xfId="10" applyNumberFormat="1" applyFont="1" applyFill="1" applyBorder="1" applyAlignment="1" applyProtection="1">
      <alignment horizontal="left" vertical="center" wrapText="1"/>
    </xf>
    <xf numFmtId="0" fontId="46" fillId="6" borderId="45" xfId="10" applyNumberFormat="1" applyFont="1" applyFill="1" applyBorder="1" applyAlignment="1" applyProtection="1">
      <alignment horizontal="center" vertical="center" wrapText="1"/>
    </xf>
    <xf numFmtId="0" fontId="46" fillId="6" borderId="78" xfId="10" applyNumberFormat="1" applyFont="1" applyFill="1" applyBorder="1" applyAlignment="1" applyProtection="1">
      <alignment horizontal="center" vertical="center" wrapText="1"/>
    </xf>
    <xf numFmtId="0" fontId="260" fillId="6" borderId="57"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center" vertical="center" wrapText="1"/>
    </xf>
    <xf numFmtId="0" fontId="51" fillId="6" borderId="44" xfId="10" applyNumberFormat="1" applyFont="1" applyFill="1" applyBorder="1" applyAlignment="1" applyProtection="1">
      <alignment horizontal="left" vertical="center" wrapText="1"/>
    </xf>
    <xf numFmtId="0" fontId="51" fillId="6" borderId="45" xfId="10" applyNumberFormat="1" applyFont="1" applyFill="1" applyBorder="1" applyAlignment="1" applyProtection="1">
      <alignment horizontal="center" vertical="center" wrapText="1"/>
    </xf>
    <xf numFmtId="0" fontId="51" fillId="6" borderId="78" xfId="10" applyNumberFormat="1" applyFont="1" applyFill="1" applyBorder="1" applyAlignment="1" applyProtection="1">
      <alignment horizontal="center" vertical="center" wrapText="1"/>
    </xf>
    <xf numFmtId="0" fontId="51" fillId="6" borderId="79" xfId="10" applyNumberFormat="1" applyFont="1" applyFill="1" applyBorder="1" applyAlignment="1" applyProtection="1">
      <alignment horizontal="center" vertical="center" wrapText="1"/>
    </xf>
    <xf numFmtId="0" fontId="260" fillId="6" borderId="15"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1" fillId="6" borderId="53" xfId="10" applyNumberFormat="1" applyFont="1" applyFill="1" applyBorder="1" applyAlignment="1" applyProtection="1">
      <alignment horizontal="center" vertical="center" wrapText="1"/>
    </xf>
    <xf numFmtId="0" fontId="53"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center" vertical="center" wrapText="1"/>
      <protection locked="0"/>
    </xf>
    <xf numFmtId="0" fontId="70" fillId="0" borderId="44" xfId="10" applyNumberFormat="1" applyFont="1" applyFill="1" applyBorder="1" applyAlignment="1" applyProtection="1">
      <alignment horizontal="left" vertical="center" wrapText="1"/>
      <protection locked="0"/>
    </xf>
    <xf numFmtId="0" fontId="70" fillId="0" borderId="45" xfId="10" applyNumberFormat="1" applyFont="1" applyFill="1" applyBorder="1" applyAlignment="1" applyProtection="1">
      <alignment horizontal="center" vertical="center" wrapText="1"/>
      <protection locked="0"/>
    </xf>
    <xf numFmtId="0" fontId="53"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center" vertical="center" wrapText="1"/>
      <protection locked="0"/>
    </xf>
    <xf numFmtId="0" fontId="70" fillId="0" borderId="2" xfId="10" applyNumberFormat="1" applyFont="1" applyFill="1" applyBorder="1" applyAlignment="1" applyProtection="1">
      <alignment horizontal="left" vertical="center" wrapText="1"/>
      <protection locked="0"/>
    </xf>
    <xf numFmtId="0" fontId="70" fillId="0" borderId="8" xfId="10" applyNumberFormat="1" applyFont="1" applyFill="1" applyBorder="1" applyAlignment="1" applyProtection="1">
      <alignment horizontal="center" vertical="center" wrapText="1"/>
      <protection locked="0"/>
    </xf>
    <xf numFmtId="0" fontId="53" fillId="0" borderId="32" xfId="10" applyNumberFormat="1" applyFont="1" applyFill="1" applyBorder="1" applyAlignment="1" applyProtection="1">
      <alignment horizontal="center" vertical="center" wrapText="1"/>
      <protection locked="0"/>
    </xf>
    <xf numFmtId="0" fontId="53" fillId="0" borderId="49" xfId="10" applyNumberFormat="1" applyFont="1" applyFill="1" applyBorder="1" applyAlignment="1" applyProtection="1">
      <alignment horizontal="center" vertical="center" wrapText="1"/>
      <protection locked="0"/>
    </xf>
    <xf numFmtId="0" fontId="71" fillId="6" borderId="14" xfId="10" applyNumberFormat="1" applyFont="1" applyFill="1" applyBorder="1" applyAlignment="1" applyProtection="1">
      <alignment vertical="center" textRotation="255" wrapText="1"/>
    </xf>
    <xf numFmtId="0" fontId="46" fillId="6" borderId="58" xfId="10" applyNumberFormat="1" applyFont="1" applyFill="1" applyBorder="1" applyAlignment="1" applyProtection="1">
      <alignment horizontal="center" vertical="center"/>
    </xf>
    <xf numFmtId="0" fontId="51" fillId="0" borderId="1"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left" vertical="center" wrapText="1"/>
      <protection locked="0"/>
    </xf>
    <xf numFmtId="0" fontId="51" fillId="0" borderId="24" xfId="10" applyNumberFormat="1" applyFont="1" applyFill="1" applyBorder="1" applyAlignment="1" applyProtection="1">
      <alignment horizontal="center" vertical="center" wrapText="1"/>
      <protection locked="0"/>
    </xf>
    <xf numFmtId="0" fontId="53" fillId="0" borderId="13" xfId="10" applyNumberFormat="1" applyFont="1" applyFill="1" applyBorder="1" applyAlignment="1" applyProtection="1">
      <alignment horizontal="center" vertical="center" wrapText="1"/>
      <protection locked="0"/>
    </xf>
    <xf numFmtId="0" fontId="53" fillId="0" borderId="61" xfId="10" applyNumberFormat="1" applyFont="1" applyFill="1" applyBorder="1" applyAlignment="1" applyProtection="1">
      <alignment horizontal="center" vertical="center" wrapText="1"/>
      <protection locked="0"/>
    </xf>
    <xf numFmtId="0" fontId="103" fillId="6" borderId="9" xfId="10" applyNumberFormat="1" applyFont="1" applyFill="1" applyBorder="1" applyAlignment="1" applyProtection="1">
      <alignment horizontal="center" vertical="center" wrapText="1"/>
    </xf>
    <xf numFmtId="0" fontId="103" fillId="6" borderId="9" xfId="10" applyNumberFormat="1" applyFont="1" applyFill="1" applyBorder="1" applyAlignment="1" applyProtection="1">
      <alignment horizontal="left" vertical="center" wrapText="1"/>
    </xf>
    <xf numFmtId="0" fontId="103" fillId="6" borderId="10" xfId="10" applyNumberFormat="1" applyFont="1" applyFill="1" applyBorder="1" applyAlignment="1" applyProtection="1">
      <alignment horizontal="center" vertical="center" wrapText="1"/>
    </xf>
    <xf numFmtId="0" fontId="103" fillId="0" borderId="1" xfId="10" applyNumberFormat="1" applyFont="1" applyFill="1" applyBorder="1" applyAlignment="1" applyProtection="1">
      <alignment horizontal="center" vertical="center" wrapText="1"/>
      <protection locked="0"/>
    </xf>
    <xf numFmtId="0" fontId="103" fillId="0" borderId="1" xfId="10" applyNumberFormat="1" applyFont="1" applyFill="1" applyBorder="1" applyAlignment="1" applyProtection="1">
      <alignment horizontal="left" vertical="center" wrapText="1"/>
      <protection locked="0"/>
    </xf>
    <xf numFmtId="0" fontId="103" fillId="0" borderId="24" xfId="10" applyNumberFormat="1" applyFont="1" applyFill="1" applyBorder="1" applyAlignment="1" applyProtection="1">
      <alignment horizontal="center" vertical="center" wrapText="1"/>
      <protection locked="0"/>
    </xf>
    <xf numFmtId="0" fontId="52" fillId="6" borderId="14" xfId="10" applyNumberFormat="1" applyFont="1" applyFill="1" applyBorder="1" applyAlignment="1" applyProtection="1">
      <alignment vertical="center" textRotation="255" wrapText="1"/>
    </xf>
    <xf numFmtId="0" fontId="51" fillId="6" borderId="74" xfId="10" applyNumberFormat="1" applyFont="1" applyFill="1" applyBorder="1" applyAlignment="1" applyProtection="1">
      <alignment horizontal="center" vertical="center" wrapText="1"/>
    </xf>
    <xf numFmtId="0" fontId="53" fillId="7" borderId="0" xfId="10" applyFont="1" applyFill="1" applyAlignment="1" applyProtection="1">
      <alignment horizontal="center" vertical="center"/>
      <protection locked="0"/>
    </xf>
    <xf numFmtId="189" fontId="53" fillId="7" borderId="0" xfId="10" applyNumberFormat="1" applyFont="1" applyFill="1" applyAlignment="1" applyProtection="1">
      <alignment horizontal="center" vertical="center"/>
      <protection locked="0"/>
    </xf>
    <xf numFmtId="181" fontId="53" fillId="7" borderId="0" xfId="10" applyNumberFormat="1" applyFont="1" applyFill="1" applyAlignment="1" applyProtection="1">
      <alignment horizontal="center" vertical="center"/>
      <protection locked="0"/>
    </xf>
    <xf numFmtId="0" fontId="53" fillId="7" borderId="0" xfId="10" applyFont="1" applyFill="1" applyAlignment="1" applyProtection="1">
      <alignment horizontal="center" vertical="center"/>
    </xf>
    <xf numFmtId="189" fontId="53" fillId="7" borderId="0" xfId="10" applyNumberFormat="1" applyFont="1" applyFill="1" applyAlignment="1" applyProtection="1">
      <alignment horizontal="center" vertical="center"/>
    </xf>
    <xf numFmtId="181" fontId="53" fillId="7" borderId="0" xfId="10" applyNumberFormat="1" applyFont="1" applyFill="1" applyAlignment="1" applyProtection="1">
      <alignment horizontal="center" vertical="center"/>
    </xf>
    <xf numFmtId="189" fontId="53" fillId="0" borderId="0" xfId="10" applyNumberFormat="1" applyFont="1" applyFill="1" applyAlignment="1" applyProtection="1">
      <alignment horizontal="center" vertical="center"/>
    </xf>
    <xf numFmtId="181" fontId="53" fillId="0" borderId="0" xfId="10" applyNumberFormat="1" applyFont="1" applyFill="1" applyAlignment="1" applyProtection="1">
      <alignment horizontal="center" vertical="center"/>
    </xf>
    <xf numFmtId="0" fontId="269" fillId="0" borderId="82" xfId="0" applyFont="1" applyBorder="1" applyAlignment="1">
      <alignment horizontal="justify" vertical="center" wrapText="1"/>
    </xf>
    <xf numFmtId="0" fontId="269" fillId="0" borderId="65" xfId="0" applyFont="1" applyBorder="1" applyAlignment="1">
      <alignment horizontal="justify" vertical="center" wrapText="1"/>
    </xf>
    <xf numFmtId="10" fontId="0" fillId="0" borderId="0" xfId="0" applyNumberFormat="1">
      <alignment vertical="center"/>
    </xf>
    <xf numFmtId="0" fontId="0" fillId="5" borderId="0" xfId="0" applyFill="1">
      <alignment vertical="center"/>
    </xf>
    <xf numFmtId="0" fontId="0" fillId="0" borderId="0" xfId="0" applyAlignment="1">
      <alignment horizontal="right"/>
    </xf>
    <xf numFmtId="177" fontId="0" fillId="0" borderId="0" xfId="0" applyNumberFormat="1" applyAlignment="1"/>
    <xf numFmtId="0" fontId="119" fillId="0" borderId="0" xfId="0" applyFont="1" applyAlignment="1"/>
    <xf numFmtId="0" fontId="119" fillId="0" borderId="0" xfId="0" applyFont="1" applyAlignment="1">
      <alignment horizontal="right"/>
    </xf>
    <xf numFmtId="0" fontId="119" fillId="5" borderId="0" xfId="0" applyFont="1" applyFill="1" applyAlignment="1"/>
    <xf numFmtId="0" fontId="119" fillId="5" borderId="0" xfId="0" applyFont="1" applyFill="1" applyAlignment="1">
      <alignment horizontal="right"/>
    </xf>
    <xf numFmtId="0" fontId="0" fillId="0" borderId="0" xfId="0" applyAlignment="1">
      <alignment horizontal="right" vertical="center"/>
    </xf>
    <xf numFmtId="177" fontId="0" fillId="0" borderId="0" xfId="0" applyNumberFormat="1">
      <alignment vertical="center"/>
    </xf>
    <xf numFmtId="0" fontId="46" fillId="6" borderId="1"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6" fillId="6" borderId="5" xfId="0"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12" fillId="0" borderId="0" xfId="16" applyFont="1">
      <alignment vertical="center"/>
    </xf>
    <xf numFmtId="0" fontId="112" fillId="6" borderId="13" xfId="16" applyFont="1" applyFill="1" applyBorder="1">
      <alignment vertical="center"/>
    </xf>
    <xf numFmtId="0" fontId="112" fillId="5" borderId="13" xfId="16" applyFont="1" applyFill="1" applyBorder="1" applyAlignment="1" applyProtection="1">
      <alignment horizontal="center" vertical="center"/>
      <protection locked="0"/>
    </xf>
    <xf numFmtId="0" fontId="112" fillId="6" borderId="1" xfId="16" applyFont="1" applyFill="1" applyBorder="1" applyAlignment="1">
      <alignment horizontal="center" vertical="center"/>
    </xf>
    <xf numFmtId="0" fontId="118" fillId="6" borderId="1" xfId="16" applyFont="1" applyFill="1" applyBorder="1" applyAlignment="1">
      <alignment horizontal="center" vertical="center"/>
    </xf>
    <xf numFmtId="0" fontId="112" fillId="6" borderId="0" xfId="16" applyFont="1" applyFill="1" applyAlignment="1">
      <alignment horizontal="center" vertical="center"/>
    </xf>
    <xf numFmtId="0" fontId="112" fillId="6" borderId="1" xfId="16" applyFont="1" applyFill="1" applyBorder="1">
      <alignment vertical="center"/>
    </xf>
    <xf numFmtId="0" fontId="118" fillId="6" borderId="1" xfId="16" applyFont="1" applyFill="1" applyBorder="1" applyAlignment="1">
      <alignment horizontal="center" vertical="center" wrapText="1"/>
    </xf>
    <xf numFmtId="0" fontId="112" fillId="6" borderId="2" xfId="16" applyFont="1" applyFill="1" applyBorder="1" applyAlignment="1">
      <alignment horizontal="center" vertical="center"/>
    </xf>
    <xf numFmtId="0" fontId="112" fillId="6" borderId="5" xfId="16" applyFont="1" applyFill="1" applyBorder="1" applyAlignment="1">
      <alignment horizontal="center" vertical="center"/>
    </xf>
    <xf numFmtId="0" fontId="112" fillId="6" borderId="6" xfId="16" applyFont="1" applyFill="1" applyBorder="1" applyAlignment="1">
      <alignment horizontal="center" vertical="center"/>
    </xf>
    <xf numFmtId="0" fontId="272" fillId="6" borderId="10" xfId="16" applyFont="1" applyFill="1" applyBorder="1" applyAlignment="1">
      <alignment horizontal="center" vertical="center"/>
    </xf>
    <xf numFmtId="0" fontId="273" fillId="0" borderId="0" xfId="16" applyFont="1">
      <alignment vertical="center"/>
    </xf>
    <xf numFmtId="177" fontId="118" fillId="6" borderId="1" xfId="16" applyNumberFormat="1" applyFont="1" applyFill="1" applyBorder="1" applyAlignment="1" applyProtection="1">
      <alignment horizontal="center" vertical="center"/>
    </xf>
    <xf numFmtId="0" fontId="112" fillId="0" borderId="1" xfId="16" applyFont="1" applyBorder="1" applyAlignment="1">
      <alignment horizontal="center" vertical="center"/>
    </xf>
    <xf numFmtId="0" fontId="112" fillId="0" borderId="5" xfId="16" applyFont="1" applyBorder="1" applyAlignment="1">
      <alignment horizontal="center" vertical="center"/>
    </xf>
    <xf numFmtId="0" fontId="112" fillId="6" borderId="23" xfId="16" applyFont="1" applyFill="1" applyBorder="1" applyAlignment="1">
      <alignment horizontal="center" vertical="center"/>
    </xf>
    <xf numFmtId="0" fontId="272" fillId="6" borderId="24" xfId="16" applyFont="1" applyFill="1" applyBorder="1" applyAlignment="1">
      <alignment horizontal="center" vertical="center"/>
    </xf>
    <xf numFmtId="0" fontId="112" fillId="6" borderId="15" xfId="16" applyFont="1" applyFill="1" applyBorder="1">
      <alignment vertical="center"/>
    </xf>
    <xf numFmtId="177" fontId="118" fillId="6" borderId="15" xfId="16" applyNumberFormat="1" applyFont="1" applyFill="1" applyBorder="1" applyAlignment="1" applyProtection="1">
      <alignment horizontal="center" vertical="center"/>
    </xf>
    <xf numFmtId="0" fontId="112" fillId="6" borderId="13" xfId="16" applyFont="1" applyFill="1" applyBorder="1" applyAlignment="1">
      <alignment horizontal="center" vertical="center"/>
    </xf>
    <xf numFmtId="0" fontId="112" fillId="0" borderId="0" xfId="16" applyFont="1" applyAlignment="1">
      <alignment horizontal="center" vertical="center"/>
    </xf>
    <xf numFmtId="0" fontId="112" fillId="0" borderId="46" xfId="16" applyFont="1" applyBorder="1" applyAlignment="1">
      <alignment horizontal="center" vertical="center"/>
    </xf>
    <xf numFmtId="0" fontId="112" fillId="6" borderId="25" xfId="16" applyFont="1" applyFill="1" applyBorder="1" applyAlignment="1">
      <alignment horizontal="center" vertical="center"/>
    </xf>
    <xf numFmtId="0" fontId="272" fillId="6" borderId="49" xfId="16" applyFont="1" applyFill="1" applyBorder="1" applyAlignment="1">
      <alignment horizontal="center" vertical="center"/>
    </xf>
    <xf numFmtId="0" fontId="112" fillId="6" borderId="6" xfId="16" applyFont="1" applyFill="1" applyBorder="1">
      <alignment vertical="center"/>
    </xf>
    <xf numFmtId="0" fontId="112" fillId="6" borderId="9" xfId="16" applyFont="1" applyFill="1" applyBorder="1">
      <alignment vertical="center"/>
    </xf>
    <xf numFmtId="0" fontId="112" fillId="6" borderId="9" xfId="16" applyFont="1" applyFill="1" applyBorder="1" applyAlignment="1">
      <alignment horizontal="center" vertical="center"/>
    </xf>
    <xf numFmtId="0" fontId="112" fillId="6" borderId="28" xfId="16" applyFont="1" applyFill="1" applyBorder="1" applyAlignment="1">
      <alignment horizontal="center" vertical="center"/>
    </xf>
    <xf numFmtId="0" fontId="112" fillId="6" borderId="10" xfId="16" applyFont="1" applyFill="1" applyBorder="1" applyAlignment="1">
      <alignment horizontal="center" vertical="center"/>
    </xf>
    <xf numFmtId="49" fontId="112" fillId="6" borderId="23" xfId="16" applyNumberFormat="1" applyFont="1" applyFill="1" applyBorder="1" applyAlignment="1">
      <alignment horizontal="center" vertical="center"/>
    </xf>
    <xf numFmtId="0" fontId="112" fillId="6" borderId="2" xfId="16" applyFont="1" applyFill="1" applyBorder="1">
      <alignment vertical="center"/>
    </xf>
    <xf numFmtId="177" fontId="112" fillId="6" borderId="2" xfId="16" applyNumberFormat="1" applyFont="1" applyFill="1" applyBorder="1" applyAlignment="1">
      <alignment horizontal="center" vertical="center"/>
    </xf>
    <xf numFmtId="9" fontId="112" fillId="6" borderId="4" xfId="16" applyNumberFormat="1" applyFont="1" applyFill="1" applyBorder="1" applyAlignment="1">
      <alignment horizontal="center" vertical="center"/>
    </xf>
    <xf numFmtId="181" fontId="112" fillId="6" borderId="13" xfId="16" applyNumberFormat="1" applyFont="1" applyFill="1" applyBorder="1" applyAlignment="1" applyProtection="1">
      <alignment horizontal="center" vertical="center"/>
    </xf>
    <xf numFmtId="0" fontId="112" fillId="6" borderId="8" xfId="16" applyFont="1" applyFill="1" applyBorder="1" applyAlignment="1">
      <alignment horizontal="center" vertical="center"/>
    </xf>
    <xf numFmtId="49" fontId="274" fillId="6" borderId="23" xfId="16" applyNumberFormat="1" applyFont="1" applyFill="1" applyBorder="1" applyAlignment="1">
      <alignment horizontal="right" vertical="center"/>
    </xf>
    <xf numFmtId="0" fontId="274" fillId="6" borderId="1" xfId="16" applyFont="1" applyFill="1" applyBorder="1" applyAlignment="1">
      <alignment horizontal="right" vertical="center"/>
    </xf>
    <xf numFmtId="177" fontId="274" fillId="6" borderId="1" xfId="16" applyNumberFormat="1" applyFont="1" applyFill="1" applyBorder="1" applyAlignment="1">
      <alignment horizontal="center" vertical="center"/>
    </xf>
    <xf numFmtId="181" fontId="274" fillId="0" borderId="1" xfId="16" applyNumberFormat="1" applyFont="1" applyFill="1" applyBorder="1" applyAlignment="1" applyProtection="1">
      <alignment horizontal="center" vertical="center"/>
      <protection locked="0"/>
    </xf>
    <xf numFmtId="0" fontId="274" fillId="6" borderId="1" xfId="16" applyFont="1" applyFill="1" applyBorder="1" applyAlignment="1">
      <alignment horizontal="center" vertical="center"/>
    </xf>
    <xf numFmtId="9" fontId="274" fillId="0" borderId="1" xfId="16" applyNumberFormat="1" applyFont="1" applyBorder="1">
      <alignment vertical="center"/>
    </xf>
    <xf numFmtId="10" fontId="274" fillId="0" borderId="1" xfId="16" applyNumberFormat="1" applyFont="1" applyBorder="1" applyAlignment="1" applyProtection="1">
      <alignment horizontal="center" vertical="center"/>
      <protection locked="0"/>
    </xf>
    <xf numFmtId="0" fontId="274" fillId="6" borderId="24" xfId="16" applyFont="1" applyFill="1" applyBorder="1" applyAlignment="1">
      <alignment horizontal="left" vertical="center"/>
    </xf>
    <xf numFmtId="0" fontId="274" fillId="0" borderId="0" xfId="16" applyFont="1">
      <alignment vertical="center"/>
    </xf>
    <xf numFmtId="0" fontId="274" fillId="0" borderId="1" xfId="16" applyFont="1" applyBorder="1">
      <alignment vertical="center"/>
    </xf>
    <xf numFmtId="10" fontId="274" fillId="0" borderId="1" xfId="16" applyNumberFormat="1" applyFont="1" applyFill="1" applyBorder="1" applyAlignment="1" applyProtection="1">
      <alignment horizontal="center" vertical="center"/>
    </xf>
    <xf numFmtId="181" fontId="274" fillId="6" borderId="0" xfId="16" applyNumberFormat="1" applyFont="1" applyFill="1">
      <alignment vertical="center"/>
    </xf>
    <xf numFmtId="0" fontId="275" fillId="0" borderId="53" xfId="16" applyFont="1" applyFill="1" applyBorder="1" applyAlignment="1">
      <alignment horizontal="left" vertical="center"/>
    </xf>
    <xf numFmtId="177" fontId="112" fillId="6" borderId="1" xfId="16" applyNumberFormat="1" applyFont="1" applyFill="1" applyBorder="1" applyAlignment="1">
      <alignment horizontal="center" vertical="center"/>
    </xf>
    <xf numFmtId="181" fontId="112" fillId="0" borderId="1" xfId="16" applyNumberFormat="1" applyFont="1" applyFill="1" applyBorder="1" applyAlignment="1" applyProtection="1">
      <alignment horizontal="center" vertical="center"/>
      <protection locked="0"/>
    </xf>
    <xf numFmtId="0" fontId="112" fillId="0" borderId="1" xfId="16" applyFont="1" applyBorder="1">
      <alignment vertical="center"/>
    </xf>
    <xf numFmtId="10" fontId="112" fillId="0" borderId="1" xfId="16" applyNumberFormat="1" applyFont="1" applyBorder="1" applyAlignment="1" applyProtection="1">
      <alignment horizontal="center" vertical="center"/>
      <protection locked="0"/>
    </xf>
    <xf numFmtId="0" fontId="112" fillId="6" borderId="24" xfId="16" applyFont="1" applyFill="1" applyBorder="1" applyAlignment="1">
      <alignment horizontal="left" vertical="center"/>
    </xf>
    <xf numFmtId="0" fontId="112" fillId="0" borderId="13" xfId="16" applyFont="1" applyBorder="1">
      <alignment vertical="center"/>
    </xf>
    <xf numFmtId="10" fontId="118" fillId="0" borderId="1" xfId="16" applyNumberFormat="1" applyFont="1" applyBorder="1" applyAlignment="1" applyProtection="1">
      <alignment horizontal="center" vertical="center"/>
      <protection locked="0"/>
    </xf>
    <xf numFmtId="0" fontId="112" fillId="6" borderId="61" xfId="16" applyFont="1" applyFill="1" applyBorder="1" applyAlignment="1">
      <alignment horizontal="left" vertical="center"/>
    </xf>
    <xf numFmtId="0" fontId="276" fillId="0" borderId="32" xfId="16" applyFont="1" applyBorder="1" applyAlignment="1" applyProtection="1">
      <alignment horizontal="center" vertical="center"/>
      <protection locked="0"/>
    </xf>
    <xf numFmtId="0" fontId="118" fillId="6" borderId="32" xfId="16" applyFont="1" applyFill="1" applyBorder="1" applyAlignment="1">
      <alignment horizontal="center" vertical="center"/>
    </xf>
    <xf numFmtId="9" fontId="118" fillId="6" borderId="32" xfId="16" applyNumberFormat="1" applyFont="1" applyFill="1" applyBorder="1" applyAlignment="1">
      <alignment horizontal="center" vertical="center"/>
    </xf>
    <xf numFmtId="0" fontId="118" fillId="0" borderId="32" xfId="16" applyFont="1" applyBorder="1">
      <alignment vertical="center"/>
    </xf>
    <xf numFmtId="181" fontId="272" fillId="6" borderId="74" xfId="16" applyNumberFormat="1" applyFont="1" applyFill="1" applyBorder="1" applyAlignment="1" applyProtection="1">
      <alignment horizontal="center" vertical="center"/>
    </xf>
    <xf numFmtId="0" fontId="118" fillId="6" borderId="49" xfId="16" applyFont="1" applyFill="1" applyBorder="1" applyAlignment="1">
      <alignment horizontal="left" vertical="center"/>
    </xf>
    <xf numFmtId="0" fontId="118" fillId="0" borderId="0" xfId="16" applyFont="1">
      <alignment vertical="center"/>
    </xf>
    <xf numFmtId="0" fontId="123" fillId="0" borderId="0" xfId="16" applyFont="1">
      <alignment vertical="center"/>
    </xf>
    <xf numFmtId="0" fontId="79" fillId="0" borderId="1" xfId="0" applyFont="1" applyBorder="1" applyAlignment="1" applyProtection="1">
      <alignment horizontal="center" vertical="center" wrapText="1"/>
      <protection locked="0"/>
    </xf>
    <xf numFmtId="0" fontId="0" fillId="0" borderId="0" xfId="0" applyFill="1">
      <alignment vertical="center"/>
    </xf>
    <xf numFmtId="0" fontId="100" fillId="5" borderId="0" xfId="0" applyFont="1" applyFill="1">
      <alignment vertical="center"/>
    </xf>
    <xf numFmtId="0" fontId="100" fillId="5" borderId="0" xfId="0" applyFont="1" applyFill="1" applyBorder="1">
      <alignment vertical="center"/>
    </xf>
    <xf numFmtId="0" fontId="0" fillId="0" borderId="1" xfId="0" applyBorder="1">
      <alignment vertical="center"/>
    </xf>
    <xf numFmtId="0" fontId="0" fillId="0" borderId="1" xfId="0" applyFill="1" applyBorder="1">
      <alignment vertical="center"/>
    </xf>
    <xf numFmtId="0" fontId="268" fillId="0" borderId="81" xfId="0" applyFont="1" applyBorder="1" applyAlignment="1">
      <alignment horizontal="left" vertical="center" wrapText="1"/>
    </xf>
    <xf numFmtId="0" fontId="174" fillId="0" borderId="43" xfId="0" applyFont="1" applyBorder="1" applyAlignment="1">
      <alignment horizontal="left" vertical="center" wrapText="1"/>
    </xf>
    <xf numFmtId="0" fontId="268" fillId="0" borderId="43" xfId="0" applyFont="1" applyBorder="1" applyAlignment="1">
      <alignment horizontal="left" vertical="center" wrapText="1"/>
    </xf>
    <xf numFmtId="0" fontId="270" fillId="5" borderId="81" xfId="0" applyFont="1" applyFill="1" applyBorder="1" applyAlignment="1">
      <alignment horizontal="left" vertical="center" wrapText="1"/>
    </xf>
    <xf numFmtId="0" fontId="119" fillId="5" borderId="43" xfId="0" applyFont="1" applyFill="1" applyBorder="1" applyAlignment="1">
      <alignment horizontal="left" vertical="center" wrapText="1"/>
    </xf>
    <xf numFmtId="0" fontId="270" fillId="5" borderId="43" xfId="0" applyFont="1" applyFill="1" applyBorder="1" applyAlignment="1">
      <alignment horizontal="left" vertical="center" wrapText="1"/>
    </xf>
    <xf numFmtId="0" fontId="270" fillId="5" borderId="80" xfId="0" applyFont="1" applyFill="1" applyBorder="1" applyAlignment="1">
      <alignment horizontal="left" vertical="center" wrapText="1"/>
    </xf>
    <xf numFmtId="0" fontId="119" fillId="5" borderId="56" xfId="0" applyFont="1" applyFill="1" applyBorder="1" applyAlignment="1">
      <alignment horizontal="left" vertical="center" wrapText="1"/>
    </xf>
    <xf numFmtId="0" fontId="270" fillId="5" borderId="56" xfId="0" applyFont="1" applyFill="1" applyBorder="1" applyAlignment="1">
      <alignment horizontal="left" vertical="center" wrapText="1"/>
    </xf>
    <xf numFmtId="0" fontId="280" fillId="0" borderId="1" xfId="0" applyFont="1" applyBorder="1" applyAlignment="1">
      <alignment horizontal="left" vertical="center"/>
    </xf>
    <xf numFmtId="0" fontId="278" fillId="0" borderId="1" xfId="0" applyFont="1" applyFill="1" applyBorder="1" applyAlignment="1">
      <alignment horizontal="left" vertical="center" wrapText="1"/>
    </xf>
    <xf numFmtId="0" fontId="280" fillId="0" borderId="1" xfId="0" applyFont="1" applyFill="1" applyBorder="1" applyAlignment="1">
      <alignment horizontal="left" vertical="center"/>
    </xf>
    <xf numFmtId="0" fontId="0" fillId="0" borderId="15" xfId="0" applyFont="1" applyFill="1" applyBorder="1">
      <alignment vertical="center"/>
    </xf>
    <xf numFmtId="0" fontId="278" fillId="0" borderId="15" xfId="0" applyFont="1" applyFill="1" applyBorder="1" applyAlignment="1">
      <alignment horizontal="left" vertical="center" wrapText="1"/>
    </xf>
    <xf numFmtId="0" fontId="280" fillId="0" borderId="15" xfId="0" applyFont="1" applyFill="1" applyBorder="1" applyAlignment="1">
      <alignment horizontal="left" vertical="center"/>
    </xf>
    <xf numFmtId="9" fontId="0" fillId="0" borderId="0" xfId="19" applyNumberFormat="1" applyFont="1">
      <alignment vertical="center"/>
    </xf>
    <xf numFmtId="0" fontId="136" fillId="0" borderId="24" xfId="0" applyNumberFormat="1"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10" applyNumberFormat="1" applyFont="1" applyFill="1" applyBorder="1" applyAlignment="1" applyProtection="1">
      <alignment horizontal="center" vertical="center" wrapText="1"/>
      <protection locked="0"/>
    </xf>
    <xf numFmtId="0" fontId="281" fillId="0" borderId="156" xfId="0" applyFont="1" applyBorder="1" applyAlignment="1">
      <alignment vertical="center" wrapText="1"/>
    </xf>
    <xf numFmtId="0" fontId="281" fillId="0" borderId="157" xfId="0" applyFont="1" applyBorder="1" applyAlignment="1">
      <alignment vertical="center" wrapText="1"/>
    </xf>
    <xf numFmtId="0" fontId="281" fillId="0" borderId="158" xfId="0" applyFont="1" applyBorder="1" applyAlignment="1">
      <alignment vertical="center" wrapText="1"/>
    </xf>
    <xf numFmtId="0" fontId="281" fillId="0" borderId="159" xfId="0" applyFont="1" applyBorder="1" applyAlignment="1">
      <alignment vertical="center" wrapText="1"/>
    </xf>
    <xf numFmtId="182" fontId="0" fillId="0" borderId="0" xfId="0" applyNumberFormat="1">
      <alignment vertical="center"/>
    </xf>
    <xf numFmtId="0" fontId="282" fillId="0" borderId="82" xfId="0" applyFont="1" applyBorder="1" applyAlignment="1">
      <alignment horizontal="justify" vertical="center"/>
    </xf>
    <xf numFmtId="0" fontId="282" fillId="0" borderId="65" xfId="0" applyFont="1" applyBorder="1" applyAlignment="1">
      <alignment horizontal="justify" vertical="center" wrapText="1"/>
    </xf>
    <xf numFmtId="0" fontId="282" fillId="0" borderId="65" xfId="0" applyFont="1" applyBorder="1" applyAlignment="1">
      <alignment horizontal="justify" vertical="center"/>
    </xf>
    <xf numFmtId="0" fontId="283" fillId="0" borderId="81" xfId="0" applyFont="1" applyBorder="1" applyAlignment="1">
      <alignment horizontal="justify" vertical="center"/>
    </xf>
    <xf numFmtId="0" fontId="283" fillId="0" borderId="43" xfId="0" applyFont="1" applyBorder="1" applyAlignment="1">
      <alignment horizontal="justify" vertical="center" wrapText="1"/>
    </xf>
    <xf numFmtId="0" fontId="283" fillId="0" borderId="43" xfId="0" applyFont="1" applyBorder="1" applyAlignment="1">
      <alignment horizontal="justify" vertical="center"/>
    </xf>
    <xf numFmtId="0" fontId="282" fillId="0" borderId="43" xfId="0" applyFont="1" applyBorder="1" applyAlignment="1">
      <alignment horizontal="justify" vertical="center"/>
    </xf>
    <xf numFmtId="0" fontId="282" fillId="0" borderId="43" xfId="0" applyFont="1" applyBorder="1" applyAlignment="1">
      <alignment horizontal="justify" vertical="center" wrapText="1"/>
    </xf>
    <xf numFmtId="0" fontId="282" fillId="0" borderId="81" xfId="0" applyFont="1" applyBorder="1" applyAlignment="1">
      <alignment horizontal="justify" vertical="center"/>
    </xf>
    <xf numFmtId="0" fontId="0" fillId="18" borderId="0" xfId="0" applyFill="1" applyAlignment="1"/>
    <xf numFmtId="0" fontId="0" fillId="18" borderId="0" xfId="0" applyFill="1" applyAlignment="1">
      <alignment horizontal="right"/>
    </xf>
    <xf numFmtId="177" fontId="0" fillId="18" borderId="0" xfId="0" applyNumberFormat="1" applyFill="1" applyAlignment="1"/>
    <xf numFmtId="0" fontId="98" fillId="0" borderId="0" xfId="0" applyFont="1">
      <alignment vertical="center"/>
    </xf>
    <xf numFmtId="0" fontId="46" fillId="5" borderId="23" xfId="0" applyFont="1" applyFill="1" applyBorder="1" applyAlignment="1" applyProtection="1">
      <alignment vertical="center"/>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10" applyFont="1" applyFill="1" applyBorder="1" applyAlignment="1" applyProtection="1">
      <alignment horizontal="center" vertical="center"/>
    </xf>
    <xf numFmtId="0" fontId="53" fillId="6" borderId="15" xfId="10" applyFont="1" applyFill="1" applyBorder="1" applyAlignment="1" applyProtection="1">
      <alignment horizontal="center" vertical="center"/>
    </xf>
    <xf numFmtId="0" fontId="53" fillId="6" borderId="2" xfId="10" applyFont="1" applyFill="1" applyBorder="1" applyAlignment="1" applyProtection="1">
      <alignment horizontal="center" vertical="center"/>
    </xf>
    <xf numFmtId="0" fontId="53" fillId="6" borderId="6" xfId="10" applyFont="1" applyFill="1" applyBorder="1" applyAlignment="1" applyProtection="1">
      <alignment horizontal="center" vertical="center" wrapText="1"/>
    </xf>
    <xf numFmtId="0" fontId="53" fillId="6" borderId="10"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wrapText="1"/>
    </xf>
    <xf numFmtId="0" fontId="53" fillId="6" borderId="22" xfId="10" applyFont="1" applyFill="1" applyBorder="1" applyAlignment="1" applyProtection="1">
      <alignment horizontal="center" vertical="center" wrapText="1"/>
    </xf>
    <xf numFmtId="0" fontId="53" fillId="6" borderId="58" xfId="10" applyFont="1" applyFill="1" applyBorder="1" applyAlignment="1" applyProtection="1">
      <alignment horizontal="center" vertical="center" wrapText="1"/>
    </xf>
    <xf numFmtId="0" fontId="53" fillId="6" borderId="35" xfId="10" applyFont="1" applyFill="1" applyBorder="1" applyAlignment="1" applyProtection="1">
      <alignment horizontal="center" vertical="center" wrapText="1"/>
    </xf>
    <xf numFmtId="0" fontId="53" fillId="6" borderId="4" xfId="10" applyFont="1" applyFill="1" applyBorder="1" applyAlignment="1" applyProtection="1">
      <alignment horizontal="center" vertical="center" wrapText="1"/>
    </xf>
    <xf numFmtId="0" fontId="53" fillId="6" borderId="7" xfId="10" applyFont="1" applyFill="1" applyBorder="1" applyAlignment="1" applyProtection="1">
      <alignment horizontal="center" vertical="center" wrapText="1"/>
    </xf>
    <xf numFmtId="0" fontId="53" fillId="6" borderId="46" xfId="10" applyFont="1" applyFill="1" applyBorder="1" applyAlignment="1" applyProtection="1">
      <alignment horizontal="center" vertical="center"/>
    </xf>
    <xf numFmtId="0" fontId="53" fillId="6" borderId="22" xfId="10" applyFont="1" applyFill="1" applyBorder="1" applyAlignment="1" applyProtection="1">
      <alignment horizontal="center" vertical="center"/>
    </xf>
    <xf numFmtId="0" fontId="53" fillId="6" borderId="58" xfId="10" applyFont="1" applyFill="1" applyBorder="1" applyAlignment="1" applyProtection="1">
      <alignment horizontal="center" vertical="center"/>
    </xf>
    <xf numFmtId="0" fontId="53" fillId="6" borderId="35" xfId="10" applyFont="1" applyFill="1" applyBorder="1" applyAlignment="1" applyProtection="1">
      <alignment horizontal="center" vertical="center"/>
    </xf>
    <xf numFmtId="0" fontId="177" fillId="0" borderId="23" xfId="10" applyFont="1" applyFill="1" applyBorder="1" applyAlignment="1" applyProtection="1">
      <alignment horizontal="center" vertical="center" wrapText="1"/>
      <protection locked="0"/>
    </xf>
    <xf numFmtId="0" fontId="177" fillId="0" borderId="24" xfId="10" applyFont="1" applyFill="1" applyBorder="1" applyAlignment="1" applyProtection="1">
      <alignment horizontal="center" vertical="center" wrapText="1"/>
      <protection locked="0"/>
    </xf>
    <xf numFmtId="0" fontId="177" fillId="0" borderId="25" xfId="10" applyFont="1" applyFill="1" applyBorder="1" applyAlignment="1" applyProtection="1">
      <alignment horizontal="center" vertical="center" wrapText="1"/>
      <protection locked="0"/>
    </xf>
    <xf numFmtId="0" fontId="177" fillId="0" borderId="49" xfId="10" applyFont="1" applyFill="1" applyBorder="1" applyAlignment="1" applyProtection="1">
      <alignment horizontal="center" vertical="center" wrapText="1"/>
      <protection locked="0"/>
    </xf>
    <xf numFmtId="0" fontId="177" fillId="0" borderId="11" xfId="10" applyFont="1" applyFill="1" applyBorder="1" applyAlignment="1" applyProtection="1">
      <alignment horizontal="center" vertical="center" wrapText="1"/>
      <protection locked="0"/>
    </xf>
    <xf numFmtId="0" fontId="177" fillId="0" borderId="61" xfId="10" applyFont="1" applyFill="1" applyBorder="1" applyAlignment="1" applyProtection="1">
      <alignment horizontal="center" vertical="center" wrapText="1"/>
      <protection locked="0"/>
    </xf>
    <xf numFmtId="0" fontId="53" fillId="6" borderId="4" xfId="10" applyFont="1" applyFill="1" applyBorder="1" applyAlignment="1" applyProtection="1">
      <alignment horizontal="center" vertical="center"/>
    </xf>
    <xf numFmtId="0" fontId="53" fillId="6" borderId="7" xfId="10" applyFont="1" applyFill="1" applyBorder="1" applyAlignment="1" applyProtection="1">
      <alignment horizontal="center" vertical="center"/>
    </xf>
    <xf numFmtId="0" fontId="53" fillId="6" borderId="1" xfId="10" applyFont="1" applyFill="1" applyBorder="1" applyAlignment="1" applyProtection="1">
      <alignment horizontal="center" vertical="center"/>
    </xf>
    <xf numFmtId="0" fontId="46" fillId="6" borderId="5" xfId="10" applyFont="1" applyFill="1" applyBorder="1" applyAlignment="1" applyProtection="1">
      <alignment horizontal="center" vertical="center"/>
    </xf>
    <xf numFmtId="0" fontId="46" fillId="6" borderId="54" xfId="10" applyFont="1" applyFill="1" applyBorder="1" applyAlignment="1" applyProtection="1">
      <alignment horizontal="center" vertical="center"/>
    </xf>
    <xf numFmtId="0" fontId="46" fillId="6" borderId="3" xfId="10" applyFont="1" applyFill="1" applyBorder="1" applyAlignment="1" applyProtection="1">
      <alignment horizontal="center" vertical="center"/>
    </xf>
    <xf numFmtId="0" fontId="53" fillId="6" borderId="1" xfId="10" applyFont="1" applyFill="1" applyBorder="1" applyAlignment="1" applyProtection="1">
      <alignment horizontal="center" vertical="center" wrapText="1"/>
    </xf>
    <xf numFmtId="0" fontId="46" fillId="6" borderId="1" xfId="10" applyFont="1" applyFill="1" applyBorder="1" applyAlignment="1" applyProtection="1">
      <alignment horizontal="center" vertical="center" wrapText="1"/>
    </xf>
    <xf numFmtId="0" fontId="53" fillId="6" borderId="13" xfId="10" applyFont="1" applyFill="1" applyBorder="1" applyAlignment="1" applyProtection="1">
      <alignment horizontal="center" vertical="center" wrapText="1"/>
    </xf>
    <xf numFmtId="0" fontId="53" fillId="6" borderId="15"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3" fillId="6" borderId="5" xfId="10" applyFont="1" applyFill="1" applyBorder="1" applyAlignment="1" applyProtection="1">
      <alignment horizontal="center" vertical="center" wrapText="1"/>
    </xf>
    <xf numFmtId="0" fontId="53" fillId="6" borderId="3" xfId="10" applyFont="1" applyFill="1" applyBorder="1" applyAlignment="1" applyProtection="1">
      <alignment horizontal="center" vertical="center" wrapText="1"/>
    </xf>
    <xf numFmtId="186" fontId="52" fillId="6" borderId="1" xfId="10" applyNumberFormat="1" applyFont="1" applyFill="1" applyBorder="1" applyAlignment="1" applyProtection="1">
      <alignment horizontal="center" vertical="center"/>
    </xf>
    <xf numFmtId="0" fontId="53" fillId="6" borderId="13" xfId="10" applyFont="1" applyFill="1" applyBorder="1" applyAlignment="1" applyProtection="1">
      <alignment horizontal="center" vertical="center" textRotation="255" wrapText="1"/>
    </xf>
    <xf numFmtId="0" fontId="53" fillId="6" borderId="15" xfId="10" applyFont="1" applyFill="1" applyBorder="1" applyAlignment="1" applyProtection="1">
      <alignment horizontal="center" vertical="center" textRotation="255" wrapText="1"/>
    </xf>
    <xf numFmtId="0" fontId="97" fillId="6" borderId="6" xfId="10" applyFont="1" applyFill="1" applyBorder="1" applyAlignment="1" applyProtection="1">
      <alignment horizontal="center" vertical="center" wrapText="1"/>
    </xf>
    <xf numFmtId="0" fontId="97" fillId="6" borderId="9" xfId="10" applyFont="1" applyFill="1" applyBorder="1" applyAlignment="1" applyProtection="1">
      <alignment horizontal="center" vertical="center" wrapText="1"/>
    </xf>
    <xf numFmtId="0" fontId="97" fillId="6" borderId="23" xfId="10" applyFont="1" applyFill="1" applyBorder="1" applyAlignment="1" applyProtection="1">
      <alignment horizontal="center" vertical="center" wrapText="1"/>
    </xf>
    <xf numFmtId="0" fontId="97" fillId="6" borderId="1" xfId="10" applyFont="1" applyFill="1" applyBorder="1" applyAlignment="1" applyProtection="1">
      <alignment horizontal="center" vertical="center" wrapText="1"/>
    </xf>
    <xf numFmtId="0" fontId="129" fillId="6" borderId="23" xfId="1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4"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177"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118" fillId="6" borderId="38" xfId="16" applyFont="1" applyFill="1" applyBorder="1" applyAlignment="1">
      <alignment horizontal="center" vertical="center"/>
    </xf>
    <xf numFmtId="0" fontId="118" fillId="6" borderId="66" xfId="16" applyFont="1" applyFill="1" applyBorder="1" applyAlignment="1">
      <alignment horizontal="center" vertical="center"/>
    </xf>
  </cellXfs>
  <cellStyles count="20">
    <cellStyle name="百分比" xfId="19" builtinId="5"/>
    <cellStyle name="百分比 2" xfId="14"/>
    <cellStyle name="常规" xfId="0" builtinId="0"/>
    <cellStyle name="常规 137 2 2"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76" xfId="18"/>
    <cellStyle name="常规 8" xfId="11"/>
    <cellStyle name="常规 9" xfId="12"/>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390525</xdr:colOff>
      <xdr:row>36</xdr:row>
      <xdr:rowOff>152400</xdr:rowOff>
    </xdr:from>
    <xdr:to>
      <xdr:col>8</xdr:col>
      <xdr:colOff>685800</xdr:colOff>
      <xdr:row>68</xdr:row>
      <xdr:rowOff>113657</xdr:rowOff>
    </xdr:to>
    <xdr:pic>
      <xdr:nvPicPr>
        <xdr:cNvPr id="2" name="图片 1"/>
        <xdr:cNvPicPr>
          <a:picLocks noChangeAspect="1"/>
        </xdr:cNvPicPr>
      </xdr:nvPicPr>
      <xdr:blipFill>
        <a:blip xmlns:r="http://schemas.openxmlformats.org/officeDocument/2006/relationships" r:embed="rId1"/>
        <a:stretch>
          <a:fillRect/>
        </a:stretch>
      </xdr:blipFill>
      <xdr:spPr>
        <a:xfrm>
          <a:off x="2800350" y="6362700"/>
          <a:ext cx="4724400" cy="54476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238124</xdr:colOff>
      <xdr:row>1</xdr:row>
      <xdr:rowOff>39554</xdr:rowOff>
    </xdr:from>
    <xdr:to>
      <xdr:col>9</xdr:col>
      <xdr:colOff>552449</xdr:colOff>
      <xdr:row>23</xdr:row>
      <xdr:rowOff>57150</xdr:rowOff>
    </xdr:to>
    <xdr:pic>
      <xdr:nvPicPr>
        <xdr:cNvPr id="2" name="图片 1" descr="C:\Documents and Settings\Administrator\Application Data\Tencent\Users\2416965547\QQ\WinTemp\RichOle\7]B(%(F19R0NNGN18)T$TP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4" y="211004"/>
          <a:ext cx="6486525" cy="378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8070;&#27743;&#32737;&#20029;&#21326;&#24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830;&#19994;-&#28070;&#27743;&#26143;&#24742;&#24191;&#223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不动产收益法-车位</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保障房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sheetData>
      <sheetData sheetId="10" refreshError="1"/>
      <sheetData sheetId="11" refreshError="1"/>
      <sheetData sheetId="12">
        <row r="3">
          <cell r="D3">
            <v>31686.81</v>
          </cell>
          <cell r="E3">
            <v>88957.530000000013</v>
          </cell>
        </row>
        <row r="8">
          <cell r="D8">
            <v>18676.41</v>
          </cell>
          <cell r="E8">
            <v>52432.130000000005</v>
          </cell>
        </row>
        <row r="9">
          <cell r="E9">
            <v>0</v>
          </cell>
        </row>
        <row r="11">
          <cell r="E11">
            <v>0</v>
          </cell>
        </row>
        <row r="12">
          <cell r="E12">
            <v>0</v>
          </cell>
        </row>
        <row r="13">
          <cell r="E13">
            <v>28390.01</v>
          </cell>
        </row>
        <row r="14">
          <cell r="E14">
            <v>0</v>
          </cell>
        </row>
        <row r="15">
          <cell r="E15">
            <v>0</v>
          </cell>
        </row>
        <row r="17">
          <cell r="C17" t="str">
            <v>项目类型</v>
          </cell>
        </row>
        <row r="19">
          <cell r="C19" t="str">
            <v>住宅</v>
          </cell>
        </row>
        <row r="20">
          <cell r="C20" t="str">
            <v>商业</v>
          </cell>
        </row>
        <row r="21">
          <cell r="C21" t="str">
            <v>车库</v>
          </cell>
        </row>
        <row r="22">
          <cell r="C22" t="str">
            <v>保障房</v>
          </cell>
        </row>
      </sheetData>
      <sheetData sheetId="13">
        <row r="2">
          <cell r="B2">
            <v>43672</v>
          </cell>
        </row>
        <row r="16">
          <cell r="G16">
            <v>0.995</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13">
          <cell r="A13" t="str">
            <v>同期商业地块南侧,站南街西侧,同期居住地块北侧,规划路东侧。</v>
          </cell>
          <cell r="D13">
            <v>48883.03</v>
          </cell>
          <cell r="H13" t="str">
            <v>2017-12-28</v>
          </cell>
          <cell r="K13">
            <v>2425.71</v>
          </cell>
        </row>
        <row r="17">
          <cell r="A17" t="str">
            <v>北临南街村地,西临廉法胡同,东临南街村地,南临南街村地。</v>
          </cell>
          <cell r="D17">
            <v>14027.01</v>
          </cell>
          <cell r="H17" t="str">
            <v>2017-06-28</v>
          </cell>
          <cell r="K17">
            <v>2081.17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酒店"/>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 val="相关政策"/>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82802.080000000002</v>
          </cell>
          <cell r="C14">
            <v>16101.25</v>
          </cell>
          <cell r="D14">
            <v>3583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1211</v>
      </c>
      <c r="B1" s="1584" t="s">
        <v>1290</v>
      </c>
    </row>
    <row r="2" spans="1:2" s="1589" customFormat="1" ht="16.2" thickTop="1">
      <c r="A2" s="1587" t="s">
        <v>1212</v>
      </c>
      <c r="B2" s="1588" t="str">
        <f>'预评函-封皮'!B37:I37</f>
        <v>出让国有建设用地使用权及在建建筑物预评估</v>
      </c>
    </row>
    <row r="3" spans="1:2" s="1592" customFormat="1">
      <c r="A3" s="1590" t="s">
        <v>1213</v>
      </c>
      <c r="B3" s="1591">
        <f>'预评函-封皮'!B40</f>
        <v>0</v>
      </c>
    </row>
    <row r="4" spans="1:2" s="1592" customFormat="1">
      <c r="A4" s="1590" t="s">
        <v>1214</v>
      </c>
      <c r="B4" s="1591" t="str">
        <f ca="1">'预评函-封皮'!B46</f>
        <v>郑燚（注册号：1120070131)、（注册号：0)</v>
      </c>
    </row>
    <row r="5" spans="1:2" s="1586" customFormat="1" ht="16.2" thickBot="1">
      <c r="A5" s="1593" t="s">
        <v>1215</v>
      </c>
      <c r="B5" s="1594" t="str">
        <f>'预评函-封皮'!B49</f>
        <v>康正预评字号</v>
      </c>
    </row>
    <row r="6" spans="1:2" s="1589" customFormat="1" ht="16.2" thickTop="1">
      <c r="A6" s="1587" t="s">
        <v>1216</v>
      </c>
      <c r="B6" s="1588" t="str">
        <f>'预评函-1'!A4</f>
        <v>受贵公司委托，我公司对出让国有建设用地使用权及在建建筑物房地产抵押价值进行了预评估。</v>
      </c>
    </row>
    <row r="7" spans="1:2" s="1592" customFormat="1">
      <c r="A7" s="1590" t="s">
        <v>1256</v>
      </c>
      <c r="B7" s="1591" t="str">
        <f>'预评函-1'!A7</f>
        <v>估价对象为出让国有建设用地使用权及在建建筑物房地产，为所有。根据《国有土地使用证》[]，估价对象（分摊）出让国有建设用地使用权面积为26957.93平方米，建筑面积为75681.68平方米。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为估价委托人了解估价对象房地产市场价值提供参考依据。</v>
      </c>
    </row>
    <row r="12" spans="1:2" s="1592" customFormat="1">
      <c r="A12" s="1590" t="s">
        <v>1218</v>
      </c>
      <c r="B12" s="1591" t="str">
        <f>'预评函-1'!A15</f>
        <v>2019年8月8日（评估专业人员实地查勘之日）</v>
      </c>
    </row>
    <row r="13" spans="1:2" s="1592" customFormat="1">
      <c r="A13" s="1590" t="s">
        <v>1219</v>
      </c>
      <c r="B13" s="1591" t="str">
        <f>'预评函-1'!A18</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1224</v>
      </c>
      <c r="B18" s="1594" t="str">
        <f>'预评函-1'!A24</f>
        <v>本次评估采用的主估价方法为成本法和假设开发法。</v>
      </c>
    </row>
    <row r="19" spans="1:2" s="1589" customFormat="1" ht="16.2"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21446</v>
      </c>
    </row>
    <row r="21" spans="1:2" s="1592" customFormat="1">
      <c r="A21" s="1590" t="s">
        <v>1227</v>
      </c>
      <c r="B21" s="1591">
        <f ca="1">'预评函-2'!D7</f>
        <v>2834</v>
      </c>
    </row>
    <row r="22" spans="1:2" s="1592" customFormat="1">
      <c r="A22" s="1590" t="s">
        <v>1228</v>
      </c>
      <c r="B22" s="1591" t="str">
        <f ca="1">'预评函-2'!D6</f>
        <v>贰亿壹仟肆佰肆拾陆万元整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21446</v>
      </c>
    </row>
    <row r="31" spans="1:2" s="1592" customFormat="1">
      <c r="A31" s="1590" t="s">
        <v>1266</v>
      </c>
      <c r="B31" s="1591">
        <f ca="1">'预评函-2'!D15</f>
        <v>2834</v>
      </c>
    </row>
    <row r="32" spans="1:2" s="1592" customFormat="1">
      <c r="A32" s="1590" t="s">
        <v>1233</v>
      </c>
      <c r="B32" s="1591" t="str">
        <f ca="1">'预评函-2'!D14</f>
        <v>贰亿壹仟肆佰肆拾陆万元整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出让国有建设用地使用权及在建建筑物房地产</v>
      </c>
    </row>
    <row r="42" spans="1:2" s="1592" customFormat="1" ht="31.2">
      <c r="A42" s="1590" t="s">
        <v>1280</v>
      </c>
      <c r="B42" s="1591" t="str">
        <f>'预评函-3'!B2</f>
        <v>建筑面积</v>
      </c>
    </row>
    <row r="43" spans="1:2" s="1592" customFormat="1">
      <c r="A43" s="1590" t="s">
        <v>1281</v>
      </c>
      <c r="B43" s="1591">
        <f>'预评函-3'!B4</f>
        <v>75681.680000000008</v>
      </c>
    </row>
    <row r="44" spans="1:2" s="1592" customFormat="1" ht="31.2">
      <c r="A44" s="1590" t="s">
        <v>1265</v>
      </c>
      <c r="B44" s="1591" t="str">
        <f>'预评函-3'!C2</f>
        <v>(分摊)土地面积</v>
      </c>
    </row>
    <row r="45" spans="1:2" s="1592" customFormat="1">
      <c r="A45" s="1590" t="s">
        <v>1237</v>
      </c>
      <c r="B45" s="1591">
        <f>'预评函-3'!C4</f>
        <v>26957.93</v>
      </c>
    </row>
    <row r="46" spans="1:2" s="1592" customFormat="1">
      <c r="A46" s="1590" t="s">
        <v>1263</v>
      </c>
      <c r="B46" s="1591" t="str">
        <f>'预评函-3'!D2</f>
        <v>出让国有建设用地使用权价值</v>
      </c>
    </row>
    <row r="47" spans="1:2" s="1592" customFormat="1">
      <c r="A47" s="1590" t="s">
        <v>1238</v>
      </c>
      <c r="B47" s="1591">
        <f ca="1">'预评函-3'!D4</f>
        <v>15334</v>
      </c>
    </row>
    <row r="48" spans="1:2" s="1592" customFormat="1">
      <c r="A48" s="1590" t="s">
        <v>1239</v>
      </c>
      <c r="B48" s="1591">
        <f ca="1">'预评函-3'!E4</f>
        <v>2026</v>
      </c>
    </row>
    <row r="49" spans="1:2" s="1592" customFormat="1">
      <c r="A49" s="1590" t="s">
        <v>1240</v>
      </c>
      <c r="B49" s="1591" t="str">
        <f ca="1">'预评函-3'!D5</f>
        <v>壹亿伍仟叁佰叁拾肆万元整</v>
      </c>
    </row>
    <row r="50" spans="1:2" s="1592" customFormat="1">
      <c r="A50" s="1590" t="s">
        <v>1264</v>
      </c>
      <c r="B50" s="1591" t="str">
        <f>'预评函-3'!F2</f>
        <v>在建建筑物价值</v>
      </c>
    </row>
    <row r="51" spans="1:2" s="1592" customFormat="1">
      <c r="A51" s="1590" t="s">
        <v>1241</v>
      </c>
      <c r="B51" s="1591">
        <f ca="1">'预评函-3'!F4</f>
        <v>6112</v>
      </c>
    </row>
    <row r="52" spans="1:2" s="1592" customFormat="1">
      <c r="A52" s="1590" t="s">
        <v>1242</v>
      </c>
      <c r="B52" s="1591">
        <f ca="1">'预评函-3'!G4</f>
        <v>808</v>
      </c>
    </row>
    <row r="53" spans="1:2" s="1592" customFormat="1">
      <c r="A53" s="1590" t="s">
        <v>1270</v>
      </c>
      <c r="B53" s="1591" t="str">
        <f ca="1">'预评函-3'!F5</f>
        <v>陆仟壹佰壹拾贰万元整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6.2" thickBot="1">
      <c r="A57" s="1593" t="s">
        <v>1289</v>
      </c>
      <c r="B57" s="1594" t="str">
        <f>'预评函-3'!A6</f>
        <v>估价师知悉的法定优先受偿款</v>
      </c>
    </row>
    <row r="58" spans="1:2" s="1589" customFormat="1" ht="16.2" thickTop="1">
      <c r="A58" s="1587" t="s">
        <v>1243</v>
      </c>
      <c r="B58" s="1588" t="str">
        <f>'预评函-4'!A12</f>
        <v>2.本次评估设定估价对象房地产权属无争议，未被查封或者以其他形式限制其房地产权利，未设定抵押权等他项权利，不涉及第三方权利义务。</v>
      </c>
    </row>
    <row r="59" spans="1:2" s="1592" customFormat="1">
      <c r="A59" s="1590" t="s">
        <v>1244</v>
      </c>
      <c r="B59" s="1591" t="str">
        <f>'预评函-4'!A13</f>
        <v>——</v>
      </c>
    </row>
    <row r="60" spans="1:2" s="1592" customFormat="1">
      <c r="A60" s="1590" t="s">
        <v>1245</v>
      </c>
      <c r="B60" s="1591" t="str">
        <f>'预评函-4'!A14</f>
        <v>——</v>
      </c>
    </row>
    <row r="61" spans="1:2" s="1592" customFormat="1">
      <c r="A61" s="1590" t="s">
        <v>1246</v>
      </c>
      <c r="B61" s="1591" t="str">
        <f>'预评函-4'!A15</f>
        <v>——</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v>
      </c>
    </row>
    <row r="65" spans="1:2" s="1592" customFormat="1">
      <c r="A65" s="1590" t="s">
        <v>1249</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6.2" thickBot="1">
      <c r="A69" s="1593" t="s">
        <v>1251</v>
      </c>
      <c r="B69" s="1595">
        <f>'预评函-4'!C31</f>
        <v>42551</v>
      </c>
    </row>
    <row r="70" spans="1:2" ht="16.2" thickTop="1">
      <c r="A70" s="1596" t="s">
        <v>1252</v>
      </c>
      <c r="B70" s="1597" t="str">
        <f>'预评函-4'!A4</f>
        <v>郑燚</v>
      </c>
    </row>
    <row r="71" spans="1:2">
      <c r="A71" s="1590" t="s">
        <v>1253</v>
      </c>
      <c r="B71" s="1591">
        <f ca="1">'预评函-4'!B4</f>
        <v>1120070131</v>
      </c>
    </row>
    <row r="72" spans="1:2">
      <c r="A72" s="1590" t="s">
        <v>1254</v>
      </c>
      <c r="B72" s="1599">
        <f>'预评函-4'!A5</f>
        <v>0</v>
      </c>
    </row>
    <row r="73" spans="1:2" s="1586" customFormat="1" ht="16.2" thickBot="1">
      <c r="A73" s="1593" t="s">
        <v>1255</v>
      </c>
      <c r="B73" s="1594">
        <f>'预评函-4'!B5</f>
        <v>0</v>
      </c>
    </row>
    <row r="74" spans="1:2" ht="16.2"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3326</v>
      </c>
      <c r="B3" s="2015"/>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t="s">
        <v>3328</v>
      </c>
      <c r="B4" s="2012" t="s">
        <v>1714</v>
      </c>
      <c r="C4" s="2013" t="s">
        <v>761</v>
      </c>
      <c r="D4" s="2014" t="s">
        <v>864</v>
      </c>
      <c r="E4" s="2014" t="s">
        <v>1715</v>
      </c>
      <c r="F4" s="2014" t="s">
        <v>1716</v>
      </c>
      <c r="G4" s="2014">
        <v>70</v>
      </c>
      <c r="H4" s="2014" t="s">
        <v>1716</v>
      </c>
      <c r="I4" s="2014" t="s">
        <v>1717</v>
      </c>
      <c r="K4" s="2014" t="s">
        <v>1718</v>
      </c>
      <c r="L4" s="2014" t="s">
        <v>1718</v>
      </c>
      <c r="M4" s="2014" t="s">
        <v>1718</v>
      </c>
      <c r="N4" s="2014" t="s">
        <v>1718</v>
      </c>
      <c r="O4" s="2014" t="s">
        <v>1718</v>
      </c>
      <c r="P4" s="2014" t="s">
        <v>1718</v>
      </c>
      <c r="Q4" s="2014" t="s">
        <v>1718</v>
      </c>
      <c r="R4" s="2014" t="s">
        <v>1137</v>
      </c>
      <c r="S4" s="2014" t="s">
        <v>1718</v>
      </c>
      <c r="T4" s="2014" t="s">
        <v>1719</v>
      </c>
      <c r="U4" s="2014" t="s">
        <v>1718</v>
      </c>
      <c r="W4" s="2014" t="s">
        <v>1718</v>
      </c>
    </row>
    <row r="5" spans="1:23">
      <c r="A5" s="2012" t="s">
        <v>3330</v>
      </c>
      <c r="B5" s="2015" t="s">
        <v>3350</v>
      </c>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t="s">
        <v>3332</v>
      </c>
      <c r="B6" s="2012" t="s">
        <v>1731</v>
      </c>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t="s">
        <v>3352</v>
      </c>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515"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2020" t="s">
        <v>860</v>
      </c>
      <c r="C54" s="2017" t="s">
        <v>1273</v>
      </c>
    </row>
    <row r="55" spans="1:4">
      <c r="A55" s="3515"/>
      <c r="B55" s="2020" t="s">
        <v>861</v>
      </c>
      <c r="C55" s="2017" t="s">
        <v>1274</v>
      </c>
    </row>
    <row r="56" spans="1:4">
      <c r="A56" s="3515"/>
      <c r="B56" s="2020" t="s">
        <v>862</v>
      </c>
      <c r="C56" s="2017" t="s">
        <v>1278</v>
      </c>
    </row>
    <row r="57" spans="1:4">
      <c r="A57" s="3515"/>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1735</v>
      </c>
      <c r="B1" s="3516" t="str">
        <f>IF(B10="北京市","北京市",C10)&amp;F10&amp;IF(结果表!G1="在建","出让国有建设用地使用权及在建建筑物",IF(结果表!G1="土地","出让国有建设用地使用权",))&amp;B9&amp;"预评估"</f>
        <v>出让国有建设用地使用权及在建建筑物预评估</v>
      </c>
      <c r="C1" s="3517"/>
      <c r="D1" s="3517"/>
      <c r="E1" s="3517"/>
      <c r="F1" s="3517"/>
      <c r="G1" s="3517"/>
      <c r="H1" s="3517"/>
      <c r="I1" s="351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4" t="s">
        <v>1736</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3" t="s">
        <v>1737</v>
      </c>
      <c r="B3" s="2034">
        <v>43685</v>
      </c>
      <c r="C3" s="2035" t="s">
        <v>1738</v>
      </c>
      <c r="D3" s="2034">
        <f>B3</f>
        <v>43685</v>
      </c>
      <c r="E3" s="2024"/>
      <c r="F3" s="2024"/>
      <c r="G3" s="2024"/>
      <c r="H3" s="2024"/>
      <c r="I3" s="2024"/>
      <c r="J3" s="2024"/>
      <c r="K3" s="2025"/>
      <c r="L3" s="2026"/>
      <c r="M3" s="2026"/>
      <c r="N3" s="2027"/>
      <c r="O3" s="2028"/>
      <c r="P3" s="2027"/>
      <c r="Q3" s="2027"/>
      <c r="R3" s="2027"/>
      <c r="S3" s="2029"/>
    </row>
    <row r="4" spans="1:19" ht="18" customHeight="1" thickBot="1">
      <c r="A4" s="2036" t="s">
        <v>1739</v>
      </c>
      <c r="B4" s="2037" t="s">
        <v>3422</v>
      </c>
      <c r="C4" s="1036">
        <f ca="1">SUMIF(注册房地产估价师,B4,估价师及机构信息!B3:B24)</f>
        <v>1120070131</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郑燚（注册号：1120070131)、（注册号：0)</v>
      </c>
      <c r="L4" s="2026"/>
      <c r="M4" s="2026"/>
      <c r="N4" s="2027"/>
      <c r="O4" s="2028"/>
      <c r="P4" s="2027"/>
      <c r="Q4" s="2027"/>
      <c r="R4" s="2027"/>
      <c r="S4" s="2029"/>
    </row>
    <row r="5" spans="1:19" ht="18" customHeight="1" thickTop="1">
      <c r="A5" s="2042" t="s">
        <v>1740</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1741</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1742</v>
      </c>
      <c r="B7" s="2051"/>
      <c r="C7" s="2048"/>
      <c r="D7" s="2049"/>
      <c r="E7" s="2032"/>
      <c r="F7" s="2040"/>
      <c r="G7" s="2040"/>
      <c r="H7" s="2040"/>
      <c r="I7" s="2040"/>
      <c r="J7" s="2040"/>
      <c r="K7" s="2052"/>
      <c r="L7" s="2026"/>
      <c r="M7" s="2026"/>
      <c r="N7" s="2027"/>
      <c r="O7" s="2028"/>
      <c r="P7" s="2027"/>
      <c r="Q7" s="2027"/>
      <c r="R7" s="2027"/>
    </row>
    <row r="8" spans="1:19" ht="18" customHeight="1">
      <c r="A8" s="2046" t="s">
        <v>1743</v>
      </c>
      <c r="B8" s="2053"/>
      <c r="C8" s="2054"/>
      <c r="D8" s="3519" t="s">
        <v>1744</v>
      </c>
      <c r="E8" s="2055"/>
      <c r="F8" s="2056"/>
      <c r="G8" s="2024"/>
      <c r="H8" s="2024"/>
      <c r="I8" s="2024"/>
      <c r="J8" s="2040"/>
      <c r="K8" s="2041"/>
      <c r="L8" s="2026"/>
      <c r="M8" s="2026"/>
      <c r="N8" s="2027"/>
      <c r="O8" s="2028"/>
      <c r="P8" s="2027"/>
      <c r="Q8" s="2027"/>
      <c r="R8" s="2027"/>
    </row>
    <row r="9" spans="1:19" ht="18" customHeight="1" thickBot="1">
      <c r="A9" s="2038" t="s">
        <v>1745</v>
      </c>
      <c r="B9" s="2057"/>
      <c r="C9" s="2058"/>
      <c r="D9" s="3520"/>
      <c r="E9" s="2057"/>
      <c r="F9" s="2059"/>
      <c r="G9" s="2060"/>
      <c r="H9" s="2060"/>
      <c r="I9" s="2060"/>
      <c r="J9" s="2040"/>
      <c r="K9" s="2052"/>
      <c r="L9" s="2026"/>
      <c r="M9" s="2026"/>
      <c r="N9" s="2027"/>
      <c r="O9" s="2028"/>
      <c r="P9" s="2027"/>
      <c r="Q9" s="2027"/>
      <c r="R9" s="2027"/>
    </row>
    <row r="10" spans="1:19" ht="18" customHeight="1" thickTop="1">
      <c r="A10" s="2061" t="s">
        <v>1746</v>
      </c>
      <c r="B10" s="2062" t="s">
        <v>3012</v>
      </c>
      <c r="C10" s="2063"/>
      <c r="D10" s="2045"/>
      <c r="E10" s="2064" t="s">
        <v>1747</v>
      </c>
      <c r="F10" s="2065"/>
      <c r="G10" s="2066"/>
      <c r="H10" s="2067"/>
      <c r="I10" s="2045"/>
      <c r="J10" s="2040"/>
      <c r="K10" s="2052"/>
      <c r="L10" s="2026"/>
      <c r="M10" s="2026"/>
      <c r="N10" s="2027"/>
      <c r="O10" s="2028"/>
      <c r="P10" s="2027"/>
      <c r="Q10" s="2027"/>
      <c r="R10" s="2027"/>
    </row>
    <row r="11" spans="1:19" ht="18" customHeight="1">
      <c r="A11" s="2068" t="s">
        <v>1748</v>
      </c>
      <c r="B11" s="2069" t="s">
        <v>3011</v>
      </c>
      <c r="C11" s="2070"/>
      <c r="D11" s="2071"/>
      <c r="E11" s="2040"/>
      <c r="F11" s="2040"/>
      <c r="G11" s="2040"/>
      <c r="H11" s="2040"/>
      <c r="I11" s="2040"/>
      <c r="J11" s="2040"/>
      <c r="K11" s="2052"/>
      <c r="L11" s="2026"/>
      <c r="M11" s="2026"/>
      <c r="N11" s="2027"/>
      <c r="O11" s="2028"/>
      <c r="P11" s="2027"/>
      <c r="Q11" s="2027"/>
      <c r="R11" s="2027"/>
    </row>
    <row r="12" spans="1:19" ht="18" customHeight="1">
      <c r="A12" s="2072" t="s">
        <v>1749</v>
      </c>
      <c r="B12" s="2069" t="s">
        <v>3010</v>
      </c>
      <c r="C12" s="2073" t="s">
        <v>1750</v>
      </c>
      <c r="D12" s="2074" t="s">
        <v>1751</v>
      </c>
      <c r="E12" s="2074" t="s">
        <v>1752</v>
      </c>
      <c r="F12" s="2074" t="s">
        <v>1753</v>
      </c>
      <c r="G12" s="2074" t="s">
        <v>1754</v>
      </c>
      <c r="H12" s="2074" t="s">
        <v>1755</v>
      </c>
      <c r="I12" s="2074" t="s">
        <v>1756</v>
      </c>
      <c r="J12" s="2040"/>
      <c r="K12" s="2052"/>
      <c r="L12" s="2026"/>
      <c r="M12" s="2026"/>
      <c r="N12" s="2027"/>
      <c r="O12" s="2028"/>
      <c r="P12" s="2027"/>
      <c r="Q12" s="2027"/>
      <c r="R12" s="2027"/>
    </row>
    <row r="13" spans="1:19" ht="18" customHeight="1">
      <c r="A13" s="2075"/>
      <c r="B13" s="2076"/>
      <c r="C13" s="2077" t="s">
        <v>1757</v>
      </c>
      <c r="D13" s="2953">
        <v>68676</v>
      </c>
      <c r="E13" s="2953">
        <v>57719</v>
      </c>
      <c r="F13" s="2953"/>
      <c r="G13" s="2953">
        <v>61371</v>
      </c>
      <c r="H13" s="2078"/>
      <c r="I13" s="1046"/>
      <c r="J13" s="2040"/>
      <c r="K13" s="2052"/>
      <c r="L13" s="2026"/>
      <c r="M13" s="2026"/>
      <c r="N13" s="2027"/>
      <c r="O13" s="2028"/>
      <c r="P13" s="2027"/>
      <c r="Q13" s="2027"/>
      <c r="R13" s="2027"/>
    </row>
    <row r="14" spans="1:19" ht="18" customHeight="1">
      <c r="A14" s="2075"/>
      <c r="B14" s="2076"/>
      <c r="C14" s="2077" t="s">
        <v>1758</v>
      </c>
      <c r="D14" s="1049">
        <v>70</v>
      </c>
      <c r="E14" s="1049">
        <v>40</v>
      </c>
      <c r="F14" s="1049"/>
      <c r="G14" s="1049">
        <v>50</v>
      </c>
      <c r="H14" s="1049"/>
      <c r="I14" s="1049"/>
      <c r="J14" s="2040"/>
      <c r="K14" s="2079"/>
      <c r="L14" s="2026"/>
      <c r="M14" s="2026"/>
      <c r="N14" s="2027"/>
      <c r="O14" s="2028"/>
      <c r="P14" s="2027"/>
      <c r="Q14" s="2027"/>
      <c r="R14" s="2027"/>
    </row>
    <row r="15" spans="1:19" ht="18" customHeight="1">
      <c r="A15" s="2061"/>
      <c r="B15" s="2080"/>
      <c r="C15" s="2077" t="s">
        <v>1759</v>
      </c>
      <c r="D15" s="1048">
        <f>IF(B12="出让",IF(D13="","",ROUNDDOWN(MIN((D13-$D$3)/365,D14),2)),D14)</f>
        <v>68.459999999999994</v>
      </c>
      <c r="E15" s="1048">
        <f>IF(B12="出让",IF(E13="","",ROUNDDOWN(MIN((E13-$D$3)/365,E14),2)),E14)</f>
        <v>38.44</v>
      </c>
      <c r="F15" s="1048" t="str">
        <f>IF(B12="出让",IF(F13="","",ROUNDDOWN(MIN((F13-$D$3)/365,F14),2)),F14)</f>
        <v/>
      </c>
      <c r="G15" s="1048">
        <f>IF(B12="出让",IF(G13="","",ROUNDDOWN(MIN((G13-$D$3)/365,G14),2)),G14)</f>
        <v>48.45</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1760</v>
      </c>
      <c r="B16" s="3526"/>
      <c r="C16" s="3527"/>
      <c r="D16" s="3528"/>
      <c r="E16" s="2084" t="s">
        <v>1761</v>
      </c>
      <c r="F16" s="3529"/>
      <c r="G16" s="3530"/>
      <c r="H16" s="3530"/>
      <c r="I16" s="3531"/>
      <c r="J16" s="2027"/>
      <c r="K16" s="2081"/>
      <c r="L16" s="2082"/>
      <c r="M16" s="2082"/>
      <c r="N16" s="2083"/>
      <c r="O16" s="2082"/>
      <c r="P16" s="2083"/>
      <c r="Q16" s="2027"/>
      <c r="R16" s="2027"/>
    </row>
    <row r="17" spans="1:22" ht="18" customHeight="1">
      <c r="A17" s="2085" t="s">
        <v>1762</v>
      </c>
      <c r="B17" s="2033" t="s">
        <v>1763</v>
      </c>
      <c r="C17" s="1053">
        <f>'数据-汇总表'!E3</f>
        <v>75681.680000000008</v>
      </c>
      <c r="D17" s="2086" t="s">
        <v>1764</v>
      </c>
      <c r="E17" s="3532" t="s">
        <v>1765</v>
      </c>
      <c r="F17" s="3533"/>
      <c r="G17" s="3533"/>
      <c r="H17" s="3533"/>
      <c r="I17" s="3534"/>
      <c r="J17" s="2027"/>
      <c r="K17" s="2087"/>
      <c r="L17" s="2082"/>
      <c r="M17" s="2082"/>
      <c r="N17" s="2083"/>
      <c r="O17" s="2082"/>
      <c r="P17" s="2083"/>
      <c r="Q17" s="2027"/>
      <c r="R17" s="2027"/>
      <c r="S17" s="2027"/>
      <c r="T17" s="2027"/>
      <c r="U17" s="2027"/>
      <c r="V17" s="2027"/>
    </row>
    <row r="18" spans="1:22" ht="36" customHeight="1" thickBot="1">
      <c r="A18" s="2088" t="s">
        <v>1766</v>
      </c>
      <c r="B18" s="2036" t="s">
        <v>1767</v>
      </c>
      <c r="C18" s="1443">
        <f>'数据-汇总表'!D3</f>
        <v>26957.93</v>
      </c>
      <c r="D18" s="2089" t="s">
        <v>1764</v>
      </c>
      <c r="E18" s="3535" t="s">
        <v>1768</v>
      </c>
      <c r="F18" s="3536"/>
      <c r="G18" s="3536"/>
      <c r="H18" s="3536"/>
      <c r="I18" s="3537"/>
      <c r="J18" s="2027"/>
      <c r="K18" s="2087"/>
      <c r="L18" s="2082"/>
      <c r="M18" s="2082"/>
      <c r="N18" s="2083"/>
      <c r="O18" s="2082"/>
      <c r="P18" s="2083"/>
      <c r="Q18" s="2027"/>
      <c r="R18" s="2027"/>
      <c r="S18" s="2027"/>
      <c r="T18" s="2027"/>
      <c r="U18" s="2027"/>
      <c r="V18" s="2027"/>
    </row>
    <row r="19" spans="1:22" ht="37.5" customHeight="1" thickTop="1" thickBot="1">
      <c r="A19" s="373" t="s">
        <v>1769</v>
      </c>
      <c r="B19" s="352" t="s">
        <v>1770</v>
      </c>
      <c r="C19" s="2090"/>
      <c r="D19" s="2091" t="s">
        <v>1771</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1772</v>
      </c>
      <c r="B20" s="3522" t="s">
        <v>1773</v>
      </c>
      <c r="C20" s="3523"/>
      <c r="D20" s="3524" t="s">
        <v>1774</v>
      </c>
      <c r="E20" s="3525"/>
      <c r="F20" s="2096" t="s">
        <v>1775</v>
      </c>
      <c r="G20" s="2040"/>
      <c r="H20" s="2040"/>
      <c r="I20" s="2040"/>
      <c r="J20" s="2040"/>
      <c r="K20" s="3521"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1777</v>
      </c>
      <c r="C21" s="2098" t="s">
        <v>1778</v>
      </c>
      <c r="D21" s="2099" t="s">
        <v>1779</v>
      </c>
      <c r="E21" s="2100" t="s">
        <v>1778</v>
      </c>
      <c r="F21" s="2101"/>
      <c r="G21" s="2040"/>
      <c r="H21" s="2040"/>
      <c r="I21" s="2040"/>
      <c r="J21" s="2040"/>
      <c r="K21" s="35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1780</v>
      </c>
      <c r="C22" s="2098" t="s">
        <v>1781</v>
      </c>
      <c r="D22" s="2024"/>
      <c r="E22" s="2024"/>
      <c r="F22" s="2103"/>
      <c r="G22" s="2040"/>
      <c r="H22" s="2040"/>
      <c r="I22" s="2040"/>
      <c r="J22" s="2040"/>
      <c r="K22" s="35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1782</v>
      </c>
      <c r="B23" s="183" t="s">
        <v>1783</v>
      </c>
      <c r="C23" s="2105"/>
      <c r="D23" s="2106" t="s">
        <v>1783</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1784</v>
      </c>
      <c r="C24" s="2110"/>
      <c r="D24" s="2104" t="s">
        <v>1784</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1785</v>
      </c>
      <c r="C25" s="2110"/>
      <c r="D25" s="2104" t="s">
        <v>1785</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1786</v>
      </c>
      <c r="C26" s="2114"/>
      <c r="D26" s="2115" t="s">
        <v>1787</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539" t="s">
        <v>1788</v>
      </c>
      <c r="B27" s="2061" t="s">
        <v>1789</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539"/>
      <c r="B28" s="2033" t="s">
        <v>1790</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539"/>
      <c r="B29" s="2033" t="s">
        <v>1791</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540"/>
      <c r="B30" s="2033" t="s">
        <v>1792</v>
      </c>
      <c r="C30" s="3541"/>
      <c r="D30" s="3542"/>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543" t="s">
        <v>1793</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544"/>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544"/>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1794</v>
      </c>
      <c r="B34" s="2132" t="s">
        <v>3333</v>
      </c>
      <c r="C34" s="2132" t="s">
        <v>3334</v>
      </c>
      <c r="D34" s="2132" t="s">
        <v>3335</v>
      </c>
      <c r="E34" s="2132" t="s">
        <v>3336</v>
      </c>
      <c r="F34" s="2132" t="s">
        <v>3337</v>
      </c>
      <c r="G34" s="2132" t="s">
        <v>3338</v>
      </c>
      <c r="H34" s="2132" t="s">
        <v>3339</v>
      </c>
      <c r="I34" s="2040"/>
      <c r="J34" s="2040"/>
      <c r="K34" s="1794">
        <f>COUNTIF(B34:H34,"——")</f>
        <v>0</v>
      </c>
      <c r="L34" s="2073" t="s">
        <v>1795</v>
      </c>
      <c r="M34" s="2073" t="s">
        <v>1796</v>
      </c>
      <c r="N34" s="2073" t="s">
        <v>1797</v>
      </c>
      <c r="O34" s="2073" t="s">
        <v>1798</v>
      </c>
      <c r="P34" s="2073" t="s">
        <v>1799</v>
      </c>
      <c r="Q34" s="2073" t="s">
        <v>1800</v>
      </c>
      <c r="R34" s="2073" t="s">
        <v>1801</v>
      </c>
      <c r="S34" s="3538" t="s">
        <v>1802</v>
      </c>
      <c r="T34" s="2133" t="str">
        <f>NUMBERSTRING(7-K34,1)&amp;"通"</f>
        <v>七通</v>
      </c>
      <c r="U34" s="2027"/>
      <c r="V34" s="2027"/>
    </row>
    <row r="35" spans="1:22" ht="18" customHeight="1">
      <c r="A35" s="2134"/>
      <c r="B35" s="3545" t="s">
        <v>1803</v>
      </c>
      <c r="C35" s="3545"/>
      <c r="D35" s="3545"/>
      <c r="E35" s="3545"/>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38"/>
      <c r="T35" s="48" t="str">
        <f>IF(T34="一通",L35,IF(T34="二通",M35,IF(T34="三通",N35,IF(T34="四通",O35,IF(T34="五通",P35,IF(T34="六通",Q35,R35))))))</f>
        <v>通路、通电、通讯、通上水、通下水、通热、燃气</v>
      </c>
      <c r="U35" s="2027"/>
      <c r="V35" s="2027"/>
    </row>
    <row r="36" spans="1:22" ht="18" customHeight="1">
      <c r="A36" s="2136"/>
      <c r="B36" s="2135" t="s">
        <v>1804</v>
      </c>
      <c r="C36" s="2135" t="s">
        <v>1805</v>
      </c>
      <c r="D36" s="2135" t="s">
        <v>1806</v>
      </c>
      <c r="E36" s="2135" t="s">
        <v>1807</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1808</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1809</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1810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1811</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1812</v>
      </c>
      <c r="B42" s="1794" t="s">
        <v>1813</v>
      </c>
      <c r="C42" s="1794" t="s">
        <v>1814</v>
      </c>
      <c r="D42" s="1794" t="s">
        <v>1815</v>
      </c>
      <c r="E42" s="1794" t="s">
        <v>1816</v>
      </c>
      <c r="F42" s="1794" t="s">
        <v>1817</v>
      </c>
      <c r="G42" s="1794" t="s">
        <v>1818</v>
      </c>
      <c r="H42" s="1794" t="s">
        <v>1819</v>
      </c>
      <c r="I42" s="1794" t="s">
        <v>1820</v>
      </c>
      <c r="J42" s="2151" t="s">
        <v>1821</v>
      </c>
      <c r="K42" s="2074" t="s">
        <v>1822</v>
      </c>
      <c r="L42" s="2074" t="s">
        <v>1823</v>
      </c>
      <c r="M42" s="2074" t="s">
        <v>1824</v>
      </c>
      <c r="N42" s="1794" t="s">
        <v>1825</v>
      </c>
      <c r="O42" s="1794" t="s">
        <v>1826</v>
      </c>
      <c r="P42" s="1794" t="s">
        <v>1827</v>
      </c>
      <c r="Q42" s="2073" t="s">
        <v>1828</v>
      </c>
      <c r="R42" s="2073" t="s">
        <v>1829</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8671875" defaultRowHeight="13.8"/>
  <cols>
    <col min="1" max="1" width="10.6640625" style="2158" customWidth="1"/>
    <col min="2" max="2" width="11" style="2158" customWidth="1"/>
    <col min="3" max="3" width="10.33203125" style="2158" customWidth="1"/>
    <col min="4" max="4" width="9.109375" style="2158" customWidth="1"/>
    <col min="5" max="6" width="10" style="2221" customWidth="1"/>
    <col min="7" max="8" width="10" style="2158" customWidth="1"/>
    <col min="9" max="9" width="10.6640625" style="2158" customWidth="1"/>
    <col min="10" max="10" width="9.44140625" style="2158" customWidth="1"/>
    <col min="11" max="11" width="11" style="2158" customWidth="1"/>
    <col min="12" max="14" width="9.44140625" style="2158" customWidth="1"/>
    <col min="15" max="15" width="9.88671875" style="2158" customWidth="1"/>
    <col min="16" max="16" width="9.77734375" style="2158" customWidth="1"/>
    <col min="17" max="17" width="9.33203125" style="2158" customWidth="1"/>
    <col min="18" max="18" width="9.21875" style="2158" customWidth="1"/>
    <col min="19" max="19" width="10.88671875" style="2158" customWidth="1"/>
    <col min="20" max="21" width="10.77734375" style="2158" customWidth="1"/>
    <col min="22" max="22" width="10.88671875" style="2158" customWidth="1"/>
    <col min="23" max="27" width="10.77734375" style="2158" customWidth="1"/>
    <col min="28" max="28" width="10.88671875" style="2158" customWidth="1"/>
    <col min="29" max="29" width="11" style="2158" bestFit="1" customWidth="1"/>
    <col min="30" max="30" width="10" style="2158" bestFit="1" customWidth="1"/>
    <col min="31" max="31" width="9.77734375" style="2158" customWidth="1"/>
    <col min="32" max="46" width="9.44140625" style="2158" customWidth="1"/>
    <col min="47" max="47" width="18.109375" style="2158" customWidth="1"/>
    <col min="48" max="50" width="9.77734375" style="2158" customWidth="1"/>
    <col min="51" max="55" width="10.44140625" style="2158" bestFit="1" customWidth="1"/>
    <col min="56" max="56" width="9.44140625" style="2158" bestFit="1" customWidth="1"/>
    <col min="57" max="63" width="9.109375" style="2158" bestFit="1" customWidth="1"/>
    <col min="64" max="64" width="9.44140625" style="2158" bestFit="1" customWidth="1"/>
    <col min="65" max="65" width="9.109375" style="2158" bestFit="1" customWidth="1"/>
    <col min="66" max="66" width="9.44140625" style="2158" bestFit="1" customWidth="1"/>
    <col min="67" max="69" width="9.109375" style="2158" bestFit="1" customWidth="1"/>
    <col min="70" max="70" width="9.44140625" style="2158" bestFit="1" customWidth="1"/>
    <col min="71" max="71" width="9" style="2158" customWidth="1"/>
    <col min="72" max="72" width="9.109375" style="2158" bestFit="1" customWidth="1"/>
    <col min="73" max="16384" width="8.88671875" style="2158"/>
  </cols>
  <sheetData>
    <row r="1" spans="1:72" ht="21">
      <c r="A1" s="2161"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1832</v>
      </c>
      <c r="B2" s="11" t="s">
        <v>1833</v>
      </c>
      <c r="C2" s="11" t="s">
        <v>1834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1835</v>
      </c>
      <c r="AZ2" s="1269" t="s">
        <v>1836</v>
      </c>
      <c r="BA2" s="11" t="s">
        <v>1837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3.2">
      <c r="A3" s="13">
        <f>A39</f>
        <v>54440.83</v>
      </c>
      <c r="B3" s="14">
        <f>IF(C3="否",G5-AT5,G5)</f>
        <v>152837.16</v>
      </c>
      <c r="C3" s="2167" t="s">
        <v>1838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3.2">
      <c r="A5" s="15" t="s">
        <v>1839</v>
      </c>
      <c r="B5" s="1802"/>
      <c r="C5" s="1802"/>
      <c r="D5" s="1805"/>
      <c r="E5" s="16" t="s">
        <v>1</v>
      </c>
      <c r="F5" s="16">
        <f>SUM(F13:F587)</f>
        <v>0</v>
      </c>
      <c r="G5" s="16">
        <f>SUM(G13:G587)</f>
        <v>152837.16</v>
      </c>
      <c r="H5" s="16">
        <f t="shared" ref="H5:AT5" si="0">SUM(H13:H656)</f>
        <v>135407.47999999998</v>
      </c>
      <c r="I5" s="16">
        <f t="shared" si="0"/>
        <v>97598.27999999997</v>
      </c>
      <c r="J5" s="16">
        <f t="shared" si="0"/>
        <v>0</v>
      </c>
      <c r="K5" s="16">
        <f t="shared" si="0"/>
        <v>4366.49</v>
      </c>
      <c r="L5" s="16">
        <f t="shared" si="0"/>
        <v>0</v>
      </c>
      <c r="M5" s="16">
        <f t="shared" si="0"/>
        <v>28390.01</v>
      </c>
      <c r="N5" s="16">
        <f t="shared" si="0"/>
        <v>0</v>
      </c>
      <c r="O5" s="16">
        <f t="shared" si="0"/>
        <v>5052.7</v>
      </c>
      <c r="P5" s="16">
        <f t="shared" si="0"/>
        <v>5052.7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17429.68</v>
      </c>
      <c r="AD5" s="16">
        <f t="shared" si="0"/>
        <v>1763.93</v>
      </c>
      <c r="AE5" s="16">
        <f t="shared" si="0"/>
        <v>0</v>
      </c>
      <c r="AF5" s="16">
        <f t="shared" si="0"/>
        <v>0</v>
      </c>
      <c r="AG5" s="16">
        <f t="shared" si="0"/>
        <v>0</v>
      </c>
      <c r="AH5" s="16">
        <f t="shared" si="0"/>
        <v>0</v>
      </c>
      <c r="AI5" s="16">
        <f t="shared" si="0"/>
        <v>0</v>
      </c>
      <c r="AJ5" s="16">
        <f t="shared" si="0"/>
        <v>0</v>
      </c>
      <c r="AK5" s="16">
        <f t="shared" si="0"/>
        <v>0</v>
      </c>
      <c r="AL5" s="16">
        <f t="shared" si="0"/>
        <v>100.25000000000003</v>
      </c>
      <c r="AM5" s="16">
        <f t="shared" si="0"/>
        <v>0</v>
      </c>
      <c r="AN5" s="16">
        <f t="shared" si="0"/>
        <v>15565.5</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75681.680000000008</v>
      </c>
      <c r="BA5" s="18">
        <f t="shared" si="1"/>
        <v>68211.349999999991</v>
      </c>
      <c r="BB5" s="18">
        <f t="shared" si="1"/>
        <v>37528.670000000006</v>
      </c>
      <c r="BC5" s="18">
        <f t="shared" si="1"/>
        <v>2292.67</v>
      </c>
      <c r="BD5" s="18">
        <f t="shared" si="1"/>
        <v>28390.01</v>
      </c>
      <c r="BE5" s="18">
        <f t="shared" si="1"/>
        <v>0</v>
      </c>
      <c r="BF5" s="18">
        <f t="shared" si="1"/>
        <v>0</v>
      </c>
      <c r="BG5" s="18">
        <f t="shared" si="1"/>
        <v>0</v>
      </c>
      <c r="BH5" s="18">
        <f t="shared" si="1"/>
        <v>0</v>
      </c>
      <c r="BI5" s="18">
        <f t="shared" si="1"/>
        <v>0</v>
      </c>
      <c r="BJ5" s="18">
        <f t="shared" si="1"/>
        <v>0</v>
      </c>
      <c r="BK5" s="18">
        <f t="shared" si="1"/>
        <v>0</v>
      </c>
      <c r="BL5" s="18">
        <f t="shared" si="1"/>
        <v>7470.329999999999</v>
      </c>
      <c r="BM5" s="18">
        <f t="shared" si="1"/>
        <v>0</v>
      </c>
      <c r="BN5" s="18">
        <f t="shared" si="1"/>
        <v>0</v>
      </c>
      <c r="BO5" s="18">
        <f t="shared" si="1"/>
        <v>0</v>
      </c>
      <c r="BP5" s="18">
        <f t="shared" si="1"/>
        <v>0</v>
      </c>
      <c r="BQ5" s="18">
        <f t="shared" si="1"/>
        <v>100.25000000000003</v>
      </c>
      <c r="BR5" s="18">
        <f t="shared" si="1"/>
        <v>7370.079999999999</v>
      </c>
      <c r="BS5" s="18">
        <f t="shared" si="1"/>
        <v>0</v>
      </c>
      <c r="BT5" s="19">
        <f t="shared" si="1"/>
        <v>0</v>
      </c>
    </row>
    <row r="6" spans="1:72" s="2176" customFormat="1" ht="13.2">
      <c r="A6" s="15" t="s">
        <v>1840</v>
      </c>
      <c r="B6" s="2173"/>
      <c r="C6" s="2173"/>
      <c r="D6" s="2174"/>
      <c r="E6" s="16">
        <f>H6+AC6+AT6</f>
        <v>54440.82</v>
      </c>
      <c r="F6" s="16" t="s">
        <v>1</v>
      </c>
      <c r="G6" s="16" t="s">
        <v>2</v>
      </c>
      <c r="H6" s="20">
        <f>SUMIF(I$12:AB$12,"总值",I6:AB6)</f>
        <v>48232.35</v>
      </c>
      <c r="I6" s="16">
        <f t="shared" ref="I6:AB6" si="2">ROUND($A$3*I5/$B$3,2)</f>
        <v>34764.660000000003</v>
      </c>
      <c r="J6" s="16">
        <f t="shared" si="2"/>
        <v>0</v>
      </c>
      <c r="K6" s="16">
        <f t="shared" si="2"/>
        <v>1555.35</v>
      </c>
      <c r="L6" s="16">
        <f t="shared" si="2"/>
        <v>0</v>
      </c>
      <c r="M6" s="16">
        <f t="shared" si="2"/>
        <v>10112.56</v>
      </c>
      <c r="N6" s="16">
        <f t="shared" si="2"/>
        <v>0</v>
      </c>
      <c r="O6" s="16">
        <f t="shared" si="2"/>
        <v>1799.78</v>
      </c>
      <c r="P6" s="16">
        <f t="shared" si="2"/>
        <v>1799.78</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6208.4699999999993</v>
      </c>
      <c r="AD6" s="16">
        <f t="shared" ref="AD6:AS6" si="3">ROUND($A$3*AD5/$B$3,2)</f>
        <v>628.30999999999995</v>
      </c>
      <c r="AE6" s="16">
        <f t="shared" si="3"/>
        <v>0</v>
      </c>
      <c r="AF6" s="16">
        <f t="shared" si="3"/>
        <v>0</v>
      </c>
      <c r="AG6" s="16">
        <f t="shared" si="3"/>
        <v>0</v>
      </c>
      <c r="AH6" s="16">
        <f t="shared" si="3"/>
        <v>0</v>
      </c>
      <c r="AI6" s="16">
        <f t="shared" si="3"/>
        <v>0</v>
      </c>
      <c r="AJ6" s="16">
        <f t="shared" si="3"/>
        <v>0</v>
      </c>
      <c r="AK6" s="16">
        <f t="shared" si="3"/>
        <v>0</v>
      </c>
      <c r="AL6" s="16">
        <f t="shared" si="3"/>
        <v>35.71</v>
      </c>
      <c r="AM6" s="16">
        <f t="shared" si="3"/>
        <v>0</v>
      </c>
      <c r="AN6" s="16">
        <f t="shared" si="3"/>
        <v>5544.45</v>
      </c>
      <c r="AO6" s="16">
        <f t="shared" si="3"/>
        <v>0</v>
      </c>
      <c r="AP6" s="16">
        <f t="shared" si="3"/>
        <v>0</v>
      </c>
      <c r="AQ6" s="16">
        <f t="shared" si="3"/>
        <v>0</v>
      </c>
      <c r="AR6" s="16">
        <f t="shared" si="3"/>
        <v>0</v>
      </c>
      <c r="AS6" s="16">
        <f t="shared" si="3"/>
        <v>0</v>
      </c>
      <c r="AT6" s="20">
        <f>IF(C3="是",ROUND($A$3*AT5/$B$3,2),0)</f>
        <v>0</v>
      </c>
      <c r="AU6" s="2175"/>
      <c r="AV6" s="15" t="s">
        <v>1840</v>
      </c>
      <c r="AW6" s="2173"/>
      <c r="AX6" s="2173"/>
      <c r="AY6" s="21">
        <f>IF(AY3&gt;0,AY3,ROUND($A$3*AZ5/$B$3,2))</f>
        <v>26957.93</v>
      </c>
      <c r="AZ6" s="16" t="s">
        <v>3</v>
      </c>
      <c r="BA6" s="16">
        <f>ROUND($AY$6*BA5/$AZ$5,2)</f>
        <v>24296.99</v>
      </c>
      <c r="BB6" s="16">
        <f>ROUND($AY$6*BB5/$AZ$5,2)</f>
        <v>13367.77</v>
      </c>
      <c r="BC6" s="16">
        <f t="shared" ref="BC6:BH6" si="4">ROUND($AY$6*BC5/$AZ$5,2)</f>
        <v>816.65</v>
      </c>
      <c r="BD6" s="16">
        <f t="shared" si="4"/>
        <v>10112.56</v>
      </c>
      <c r="BE6" s="16">
        <f t="shared" si="4"/>
        <v>0</v>
      </c>
      <c r="BF6" s="16">
        <f t="shared" si="4"/>
        <v>0</v>
      </c>
      <c r="BG6" s="16">
        <f t="shared" si="4"/>
        <v>0</v>
      </c>
      <c r="BH6" s="16">
        <f t="shared" si="4"/>
        <v>0</v>
      </c>
      <c r="BI6" s="16">
        <f t="shared" ref="BI6:BT6" si="5">ROUND($AY$6*BI5/$AZ$5,2)</f>
        <v>0</v>
      </c>
      <c r="BJ6" s="16">
        <f t="shared" si="5"/>
        <v>0</v>
      </c>
      <c r="BK6" s="16">
        <f t="shared" si="5"/>
        <v>0</v>
      </c>
      <c r="BL6" s="16">
        <f t="shared" si="5"/>
        <v>2660.94</v>
      </c>
      <c r="BM6" s="16">
        <f t="shared" si="5"/>
        <v>0</v>
      </c>
      <c r="BN6" s="16">
        <f t="shared" si="5"/>
        <v>0</v>
      </c>
      <c r="BO6" s="16">
        <f t="shared" si="5"/>
        <v>0</v>
      </c>
      <c r="BP6" s="16">
        <f t="shared" si="5"/>
        <v>0</v>
      </c>
      <c r="BQ6" s="16">
        <f t="shared" si="5"/>
        <v>35.71</v>
      </c>
      <c r="BR6" s="16">
        <f t="shared" si="5"/>
        <v>2625.23</v>
      </c>
      <c r="BS6" s="16">
        <f t="shared" si="5"/>
        <v>0</v>
      </c>
      <c r="BT6" s="22">
        <f t="shared" si="5"/>
        <v>0</v>
      </c>
    </row>
    <row r="7" spans="1:72" s="2166" customFormat="1" ht="25.2">
      <c r="A7" s="2108" t="s">
        <v>1841</v>
      </c>
      <c r="B7" s="2108" t="s">
        <v>1842</v>
      </c>
      <c r="C7" s="2108" t="s">
        <v>1843</v>
      </c>
      <c r="D7" s="2108" t="s">
        <v>1844</v>
      </c>
      <c r="E7" s="2108" t="s">
        <v>1845</v>
      </c>
      <c r="F7" s="2108" t="s">
        <v>1846</v>
      </c>
      <c r="G7" s="2177" t="s">
        <v>1847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1848</v>
      </c>
      <c r="AV7" s="23" t="s">
        <v>1849</v>
      </c>
      <c r="AW7" s="2165" t="s">
        <v>1850</v>
      </c>
      <c r="AX7" s="23" t="s">
        <v>1843</v>
      </c>
      <c r="AY7" s="1802" t="s">
        <v>1851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1852</v>
      </c>
      <c r="H8" s="2183" t="s">
        <v>1853</v>
      </c>
      <c r="I8" s="2184"/>
      <c r="J8" s="1817"/>
      <c r="K8" s="1817"/>
      <c r="L8" s="1817"/>
      <c r="M8" s="1817"/>
      <c r="N8" s="1817"/>
      <c r="O8" s="1817"/>
      <c r="P8" s="1817"/>
      <c r="Q8" s="1817"/>
      <c r="R8" s="1817"/>
      <c r="S8" s="1817"/>
      <c r="T8" s="1817"/>
      <c r="U8" s="1817"/>
      <c r="V8" s="2185"/>
      <c r="W8" s="1817"/>
      <c r="X8" s="1817"/>
      <c r="Y8" s="1817"/>
      <c r="Z8" s="1817"/>
      <c r="AA8" s="2185"/>
      <c r="AB8" s="2186"/>
      <c r="AC8" s="980" t="s">
        <v>1854</v>
      </c>
      <c r="AD8" s="2187"/>
      <c r="AE8" s="2179"/>
      <c r="AF8" s="1817"/>
      <c r="AG8" s="1817"/>
      <c r="AH8" s="1817"/>
      <c r="AI8" s="1817"/>
      <c r="AJ8" s="1817"/>
      <c r="AK8" s="1817"/>
      <c r="AL8" s="1817"/>
      <c r="AM8" s="1817"/>
      <c r="AN8" s="1817"/>
      <c r="AO8" s="1817"/>
      <c r="AP8" s="1817"/>
      <c r="AQ8" s="1817"/>
      <c r="AR8" s="1817"/>
      <c r="AS8" s="1817"/>
      <c r="AT8" s="1291" t="s">
        <v>1855</v>
      </c>
      <c r="AU8" s="2181" t="s">
        <v>1856</v>
      </c>
      <c r="AV8" s="1291"/>
      <c r="AW8" s="2164"/>
      <c r="AX8" s="1291"/>
      <c r="AY8" s="2165"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3.2">
      <c r="A9" s="2181"/>
      <c r="B9" s="2181"/>
      <c r="C9" s="2181"/>
      <c r="D9" s="2181"/>
      <c r="E9" s="2181"/>
      <c r="F9" s="2181"/>
      <c r="G9" s="1291"/>
      <c r="H9" s="2189" t="s">
        <v>1859</v>
      </c>
      <c r="I9" s="2190" t="s">
        <v>3039</v>
      </c>
      <c r="J9" s="980"/>
      <c r="K9" s="2190" t="s">
        <v>3039</v>
      </c>
      <c r="L9" s="980"/>
      <c r="M9" s="2190" t="s">
        <v>3043</v>
      </c>
      <c r="N9" s="980"/>
      <c r="O9" s="2190" t="s">
        <v>3039</v>
      </c>
      <c r="P9" s="980"/>
      <c r="Q9" s="2190"/>
      <c r="R9" s="980"/>
      <c r="S9" s="2190"/>
      <c r="T9" s="980"/>
      <c r="U9" s="2190"/>
      <c r="V9" s="980"/>
      <c r="W9" s="2190"/>
      <c r="X9" s="2191"/>
      <c r="Y9" s="2190"/>
      <c r="Z9" s="980"/>
      <c r="AA9" s="2190"/>
      <c r="AB9" s="980"/>
      <c r="AC9" s="2182" t="s">
        <v>1859</v>
      </c>
      <c r="AD9" s="15" t="s">
        <v>1860</v>
      </c>
      <c r="AE9" s="1297"/>
      <c r="AF9" s="15" t="s">
        <v>1861</v>
      </c>
      <c r="AG9" s="1297"/>
      <c r="AH9" s="15" t="s">
        <v>1860</v>
      </c>
      <c r="AI9" s="1297"/>
      <c r="AJ9" s="15" t="s">
        <v>1861</v>
      </c>
      <c r="AK9" s="1297"/>
      <c r="AL9" s="15" t="s">
        <v>1860</v>
      </c>
      <c r="AM9" s="1297"/>
      <c r="AN9" s="15" t="s">
        <v>1861</v>
      </c>
      <c r="AO9" s="1297"/>
      <c r="AP9" s="15" t="s">
        <v>1860</v>
      </c>
      <c r="AQ9" s="1297"/>
      <c r="AR9" s="15" t="s">
        <v>1861</v>
      </c>
      <c r="AS9" s="2192"/>
      <c r="AT9" s="2181"/>
      <c r="AU9" s="2181" t="s">
        <v>1862</v>
      </c>
      <c r="AV9" s="1291"/>
      <c r="AW9" s="2164"/>
      <c r="AX9" s="1291"/>
      <c r="AY9" s="28"/>
      <c r="AZ9" s="28" t="s">
        <v>1852</v>
      </c>
      <c r="BA9" s="2193" t="s">
        <v>1863</v>
      </c>
      <c r="BB9" s="2194"/>
      <c r="BC9" s="1337"/>
      <c r="BD9" s="1337"/>
      <c r="BE9" s="1337"/>
      <c r="BF9" s="1337"/>
      <c r="BG9" s="1337"/>
      <c r="BH9" s="1337"/>
      <c r="BI9" s="1337"/>
      <c r="BJ9" s="1337"/>
      <c r="BK9" s="2195"/>
      <c r="BL9" s="15" t="s">
        <v>1864</v>
      </c>
      <c r="BM9" s="1817"/>
      <c r="BN9" s="2184"/>
      <c r="BO9" s="1817"/>
      <c r="BP9" s="1817"/>
      <c r="BQ9" s="1817"/>
      <c r="BR9" s="1817"/>
      <c r="BS9" s="1817"/>
      <c r="BT9" s="26"/>
    </row>
    <row r="10" spans="1:72" s="2188" customFormat="1" ht="13.2">
      <c r="A10" s="2181"/>
      <c r="B10" s="2181"/>
      <c r="C10" s="2181"/>
      <c r="D10" s="2181"/>
      <c r="E10" s="2181"/>
      <c r="F10" s="2181"/>
      <c r="G10" s="1291"/>
      <c r="H10" s="28"/>
      <c r="I10" s="2190" t="s">
        <v>3040</v>
      </c>
      <c r="J10" s="980"/>
      <c r="K10" s="2196" t="s">
        <v>1369</v>
      </c>
      <c r="L10" s="980"/>
      <c r="M10" s="2196" t="s">
        <v>3035</v>
      </c>
      <c r="N10" s="980"/>
      <c r="O10" s="2196" t="s">
        <v>3040</v>
      </c>
      <c r="P10" s="980"/>
      <c r="Q10" s="2196"/>
      <c r="R10" s="980"/>
      <c r="S10" s="2196"/>
      <c r="T10" s="980"/>
      <c r="U10" s="2196"/>
      <c r="V10" s="980"/>
      <c r="W10" s="2196"/>
      <c r="X10" s="980"/>
      <c r="Y10" s="2196"/>
      <c r="Z10" s="980"/>
      <c r="AA10" s="2196"/>
      <c r="AB10" s="980"/>
      <c r="AC10" s="1291"/>
      <c r="AD10" s="15" t="s">
        <v>1865</v>
      </c>
      <c r="AE10" s="2197"/>
      <c r="AF10" s="15" t="s">
        <v>1865</v>
      </c>
      <c r="AG10" s="2197"/>
      <c r="AH10" s="15" t="s">
        <v>1866</v>
      </c>
      <c r="AI10" s="2197"/>
      <c r="AJ10" s="15" t="s">
        <v>1866</v>
      </c>
      <c r="AK10" s="2197"/>
      <c r="AL10" s="15" t="s">
        <v>1867</v>
      </c>
      <c r="AM10" s="1297"/>
      <c r="AN10" s="15" t="s">
        <v>1867</v>
      </c>
      <c r="AO10" s="1297"/>
      <c r="AP10" s="15" t="s">
        <v>1868</v>
      </c>
      <c r="AQ10" s="1297"/>
      <c r="AR10" s="15" t="s">
        <v>1868</v>
      </c>
      <c r="AS10" s="1297"/>
      <c r="AT10" s="2181"/>
      <c r="AU10" s="2181"/>
      <c r="AV10" s="1291"/>
      <c r="AW10" s="2164"/>
      <c r="AX10" s="1291"/>
      <c r="AY10" s="28"/>
      <c r="AZ10" s="28"/>
      <c r="BA10" s="2198" t="s">
        <v>1859</v>
      </c>
      <c r="BB10" s="2199" t="str">
        <f>I9</f>
        <v>地上</v>
      </c>
      <c r="BC10" s="29" t="str">
        <f>K9</f>
        <v>地上</v>
      </c>
      <c r="BD10" s="29" t="str">
        <f>M9</f>
        <v>地下</v>
      </c>
      <c r="BE10" s="29" t="str">
        <f>O9</f>
        <v>地上</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3.2">
      <c r="A11" s="2181"/>
      <c r="B11" s="2181"/>
      <c r="C11" s="2181"/>
      <c r="D11" s="2181"/>
      <c r="E11" s="2181"/>
      <c r="F11" s="2181"/>
      <c r="G11" s="1291"/>
      <c r="H11" s="2198"/>
      <c r="I11" s="2201" t="s">
        <v>3041</v>
      </c>
      <c r="J11" s="2202"/>
      <c r="K11" s="2201" t="s">
        <v>3042</v>
      </c>
      <c r="L11" s="2202"/>
      <c r="M11" s="2201" t="s">
        <v>3331</v>
      </c>
      <c r="N11" s="2202"/>
      <c r="O11" s="2201" t="s">
        <v>3044</v>
      </c>
      <c r="P11" s="2202"/>
      <c r="Q11" s="2201"/>
      <c r="R11" s="2202"/>
      <c r="S11" s="2201"/>
      <c r="T11" s="2202"/>
      <c r="U11" s="2201"/>
      <c r="V11" s="2202"/>
      <c r="W11" s="2201"/>
      <c r="X11" s="2202"/>
      <c r="Y11" s="2201"/>
      <c r="Z11" s="2202"/>
      <c r="AA11" s="2201"/>
      <c r="AB11" s="2202"/>
      <c r="AC11" s="1291"/>
      <c r="AD11" s="2203" t="s">
        <v>1869</v>
      </c>
      <c r="AE11" s="1818"/>
      <c r="AF11" s="2203" t="s">
        <v>1869</v>
      </c>
      <c r="AG11" s="1818"/>
      <c r="AH11" s="2203" t="s">
        <v>1870</v>
      </c>
      <c r="AI11" s="2204"/>
      <c r="AJ11" s="2203" t="s">
        <v>1870</v>
      </c>
      <c r="AK11" s="1818"/>
      <c r="AL11" s="1816"/>
      <c r="AM11" s="1818"/>
      <c r="AN11" s="1816"/>
      <c r="AO11" s="1818"/>
      <c r="AP11" s="1816"/>
      <c r="AQ11" s="1818"/>
      <c r="AR11" s="1816"/>
      <c r="AS11" s="1818"/>
      <c r="AT11" s="2164"/>
      <c r="AU11" s="2181"/>
      <c r="AV11" s="1291"/>
      <c r="AW11" s="2164"/>
      <c r="AX11" s="1291"/>
      <c r="AY11" s="28"/>
      <c r="AZ11" s="28"/>
      <c r="BA11" s="28"/>
      <c r="BB11" s="2186" t="str">
        <f>I10</f>
        <v>住宅</v>
      </c>
      <c r="BC11" s="2186" t="str">
        <f>K10</f>
        <v>商业</v>
      </c>
      <c r="BD11" s="2186" t="str">
        <f>M10</f>
        <v>车库</v>
      </c>
      <c r="BE11" s="2186" t="str">
        <f>O10</f>
        <v>住宅</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3.2">
      <c r="A12" s="2206"/>
      <c r="B12" s="2206"/>
      <c r="C12" s="2206"/>
      <c r="D12" s="2206"/>
      <c r="E12" s="2206"/>
      <c r="F12" s="2206"/>
      <c r="G12" s="30"/>
      <c r="H12" s="2207"/>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8"/>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6" t="s">
        <v>1872</v>
      </c>
      <c r="AT12" s="2209"/>
      <c r="AU12" s="2206"/>
      <c r="AV12" s="31"/>
      <c r="AW12" s="2165"/>
      <c r="AX12" s="31"/>
      <c r="AY12" s="2210"/>
      <c r="AZ12" s="28"/>
      <c r="BA12" s="2198"/>
      <c r="BB12" s="24" t="str">
        <f>I11</f>
        <v>平层住宅</v>
      </c>
      <c r="BC12" s="2211" t="str">
        <f>K11</f>
        <v>底商</v>
      </c>
      <c r="BD12" s="2211" t="str">
        <f>M11</f>
        <v>地下车库用房</v>
      </c>
      <c r="BE12" s="2186" t="str">
        <f>O11</f>
        <v>保障房</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3.2">
      <c r="A13" s="1271"/>
      <c r="B13" s="3425" t="s">
        <v>3340</v>
      </c>
      <c r="C13" s="1271" t="s">
        <v>3013</v>
      </c>
      <c r="D13" s="2212" t="s">
        <v>3014</v>
      </c>
      <c r="E13" s="16">
        <f>IF($C$3="是",ROUND($A$3*G13/$B$3,2),ROUND($A$3*(G13-AT13)/$B$3,2))</f>
        <v>4289.4399999999996</v>
      </c>
      <c r="F13" s="32"/>
      <c r="G13" s="33">
        <f>H13+AC13+AT13</f>
        <v>12042.18</v>
      </c>
      <c r="H13" s="20">
        <f>SUMIF(I$12:AB$12,"总值",I13:AB13)</f>
        <v>10797.12</v>
      </c>
      <c r="I13" s="2213">
        <v>5494.670000000001</v>
      </c>
      <c r="J13" s="2213"/>
      <c r="K13" s="2213">
        <v>249.75</v>
      </c>
      <c r="L13" s="2213"/>
      <c r="M13" s="2213"/>
      <c r="N13" s="2213"/>
      <c r="O13" s="2213">
        <v>5052.7</v>
      </c>
      <c r="P13" s="2213">
        <v>5052.7</v>
      </c>
      <c r="Q13" s="2213"/>
      <c r="R13" s="2213"/>
      <c r="S13" s="2213"/>
      <c r="T13" s="2213"/>
      <c r="U13" s="2213"/>
      <c r="V13" s="2213"/>
      <c r="W13" s="2213"/>
      <c r="X13" s="2213"/>
      <c r="Y13" s="2213"/>
      <c r="Z13" s="2213"/>
      <c r="AA13" s="2213"/>
      <c r="AB13" s="2213"/>
      <c r="AC13" s="16">
        <f>SUMIF(AD$12:AS$12,"总值",AD13:AS13)</f>
        <v>1245.06</v>
      </c>
      <c r="AD13" s="2214"/>
      <c r="AE13" s="2214"/>
      <c r="AF13" s="2214"/>
      <c r="AG13" s="2214"/>
      <c r="AH13" s="2214"/>
      <c r="AI13" s="2214"/>
      <c r="AJ13" s="2214"/>
      <c r="AK13" s="2214"/>
      <c r="AL13" s="2214"/>
      <c r="AM13" s="2214"/>
      <c r="AN13" s="2214">
        <v>1245.06</v>
      </c>
      <c r="AO13" s="2214"/>
      <c r="AP13" s="2214"/>
      <c r="AQ13" s="2214"/>
      <c r="AR13" s="2214"/>
      <c r="AS13" s="2214"/>
      <c r="AT13" s="2215"/>
      <c r="AU13" s="2216"/>
      <c r="AV13" s="11">
        <f t="shared" ref="AV13:AX17" si="6">A13</f>
        <v>0</v>
      </c>
      <c r="AW13" s="11" t="str">
        <f t="shared" si="6"/>
        <v>住宅</v>
      </c>
      <c r="AX13" s="11" t="str">
        <f t="shared" si="6"/>
        <v>1#</v>
      </c>
      <c r="AY13" s="1805">
        <f>ROUND($AY$6*AZ13/$AZ$5,2)</f>
        <v>2489.66</v>
      </c>
      <c r="AZ13" s="16">
        <f>BA13+BL13</f>
        <v>6989.4800000000014</v>
      </c>
      <c r="BA13" s="16">
        <f>SUM(BB13:BK13)</f>
        <v>5744.420000000001</v>
      </c>
      <c r="BB13" s="16">
        <f>IF($D13="是",I13-J13,0)</f>
        <v>5494.670000000001</v>
      </c>
      <c r="BC13" s="16">
        <f>IF($D13="是",K13-L13,0)</f>
        <v>249.75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1245.06</v>
      </c>
      <c r="BM13" s="16">
        <f>IF($D13="是",AD13-AE13,0)</f>
        <v>0</v>
      </c>
      <c r="BN13" s="16">
        <f>IF($D13="是",AF13-AG13,0)</f>
        <v>0</v>
      </c>
      <c r="BO13" s="16">
        <f>IF($D13="是",AH13-AI13,0)</f>
        <v>0</v>
      </c>
      <c r="BP13" s="16">
        <f>IF($D13="是",AJ13-AK13,0)</f>
        <v>0</v>
      </c>
      <c r="BQ13" s="16">
        <f>IF($D13="是",AL13-AM13,0)</f>
        <v>0</v>
      </c>
      <c r="BR13" s="16">
        <f>IF($D13="是",AN13-AO13,0)</f>
        <v>1245.06</v>
      </c>
      <c r="BS13" s="16">
        <f>IF($D13="是",AP13-AQ13,0)</f>
        <v>0</v>
      </c>
      <c r="BT13" s="22">
        <f>IF($D13="是",AR13-AS13,0)</f>
        <v>0</v>
      </c>
    </row>
    <row r="14" spans="1:72" s="2166" customFormat="1" ht="13.2">
      <c r="A14" s="1271"/>
      <c r="B14" s="3425" t="s">
        <v>3340</v>
      </c>
      <c r="C14" s="1271" t="s">
        <v>3015</v>
      </c>
      <c r="D14" s="2212" t="s">
        <v>3016</v>
      </c>
      <c r="E14" s="16">
        <f>IF($C$3="是",ROUND($A$3*G14/$B$3,2),ROUND($A$3*(G14-AT14)/$B$3,2))</f>
        <v>4499.41</v>
      </c>
      <c r="F14" s="32"/>
      <c r="G14" s="33">
        <f>H14+AC14+AT14</f>
        <v>12631.64</v>
      </c>
      <c r="H14" s="20">
        <f>SUMIF(I$12:AB$12,"总值",I14:AB14)</f>
        <v>11292.55</v>
      </c>
      <c r="I14" s="2213">
        <v>10733.949999999999</v>
      </c>
      <c r="J14" s="2213"/>
      <c r="K14" s="2213">
        <v>558.6</v>
      </c>
      <c r="L14" s="2213"/>
      <c r="M14" s="2213"/>
      <c r="N14" s="2213"/>
      <c r="O14" s="2213"/>
      <c r="P14" s="2213"/>
      <c r="Q14" s="2213"/>
      <c r="R14" s="2213"/>
      <c r="S14" s="2213"/>
      <c r="T14" s="2213"/>
      <c r="U14" s="2213"/>
      <c r="V14" s="2213"/>
      <c r="W14" s="2213"/>
      <c r="X14" s="2213"/>
      <c r="Y14" s="2213"/>
      <c r="Z14" s="2213"/>
      <c r="AA14" s="2213"/>
      <c r="AB14" s="2213"/>
      <c r="AC14" s="16">
        <f>SUMIF(AD$12:AS$12,"总值",AD14:AS14)</f>
        <v>1339.09</v>
      </c>
      <c r="AD14" s="2214"/>
      <c r="AE14" s="2214"/>
      <c r="AF14" s="2214"/>
      <c r="AG14" s="2214"/>
      <c r="AH14" s="2214"/>
      <c r="AI14" s="2214"/>
      <c r="AJ14" s="2214"/>
      <c r="AK14" s="2214"/>
      <c r="AL14" s="2214"/>
      <c r="AM14" s="2214"/>
      <c r="AN14" s="2214">
        <v>1339.09</v>
      </c>
      <c r="AO14" s="2214"/>
      <c r="AP14" s="2214"/>
      <c r="AQ14" s="2214"/>
      <c r="AR14" s="2214"/>
      <c r="AS14" s="2214"/>
      <c r="AT14" s="2215"/>
      <c r="AU14" s="2216"/>
      <c r="AV14" s="11">
        <f t="shared" si="6"/>
        <v>0</v>
      </c>
      <c r="AW14" s="11" t="str">
        <f t="shared" si="6"/>
        <v>住宅</v>
      </c>
      <c r="AX14" s="11" t="str">
        <f t="shared" si="6"/>
        <v>2#</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3.2">
      <c r="A15" s="1271"/>
      <c r="B15" s="3425" t="s">
        <v>3340</v>
      </c>
      <c r="C15" s="1271" t="s">
        <v>3017</v>
      </c>
      <c r="D15" s="2212" t="s">
        <v>3016</v>
      </c>
      <c r="E15" s="16">
        <f>IF($C$3="是",ROUND($A$3*G15/$B$3,2),ROUND($A$3*(G15-AT15)/$B$3,2))</f>
        <v>4437.38</v>
      </c>
      <c r="F15" s="32"/>
      <c r="G15" s="33">
        <f>H15+AC15+AT15</f>
        <v>12457.49</v>
      </c>
      <c r="H15" s="20">
        <f>SUMIF(I$12:AB$12,"总值",I15:AB15)</f>
        <v>11139.789999999999</v>
      </c>
      <c r="I15" s="2213">
        <v>11139.789999999999</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1317.7</v>
      </c>
      <c r="AD15" s="2214"/>
      <c r="AE15" s="2214"/>
      <c r="AF15" s="2214"/>
      <c r="AG15" s="2214"/>
      <c r="AH15" s="2214"/>
      <c r="AI15" s="2214"/>
      <c r="AJ15" s="2214"/>
      <c r="AK15" s="2214"/>
      <c r="AL15" s="2214"/>
      <c r="AM15" s="2214"/>
      <c r="AN15" s="2214">
        <v>1317.7</v>
      </c>
      <c r="AO15" s="2214"/>
      <c r="AP15" s="2214"/>
      <c r="AQ15" s="2214"/>
      <c r="AR15" s="2214"/>
      <c r="AS15" s="2214"/>
      <c r="AT15" s="2215"/>
      <c r="AU15" s="2216"/>
      <c r="AV15" s="11">
        <f t="shared" si="6"/>
        <v>0</v>
      </c>
      <c r="AW15" s="11" t="str">
        <f t="shared" si="6"/>
        <v>住宅</v>
      </c>
      <c r="AX15" s="11" t="str">
        <f t="shared" si="6"/>
        <v>3#</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3.2">
      <c r="A16" s="1271"/>
      <c r="B16" s="3425" t="s">
        <v>3340</v>
      </c>
      <c r="C16" s="1271" t="s">
        <v>3018</v>
      </c>
      <c r="D16" s="2212" t="s">
        <v>3016</v>
      </c>
      <c r="E16" s="16">
        <f>IF($C$3="是",ROUND($A$3*G16/$B$3,2),ROUND($A$3*(G16-AT16)/$B$3,2))</f>
        <v>4548.66</v>
      </c>
      <c r="F16" s="32"/>
      <c r="G16" s="33">
        <f>H16+AC16+AT16</f>
        <v>12769.91</v>
      </c>
      <c r="H16" s="20">
        <f>SUMIF(I$12:AB$12,"总值",I16:AB16)</f>
        <v>11323.449999999999</v>
      </c>
      <c r="I16" s="2213">
        <v>10871.349999999999</v>
      </c>
      <c r="J16" s="2213"/>
      <c r="K16" s="2213">
        <v>452.1</v>
      </c>
      <c r="L16" s="2213"/>
      <c r="M16" s="2213"/>
      <c r="N16" s="2213"/>
      <c r="O16" s="2213"/>
      <c r="P16" s="2213"/>
      <c r="Q16" s="2213"/>
      <c r="R16" s="2213"/>
      <c r="S16" s="2213"/>
      <c r="T16" s="2213"/>
      <c r="U16" s="2213"/>
      <c r="V16" s="2213"/>
      <c r="W16" s="2213"/>
      <c r="X16" s="2213"/>
      <c r="Y16" s="2213"/>
      <c r="Z16" s="2213"/>
      <c r="AA16" s="2213"/>
      <c r="AB16" s="2213"/>
      <c r="AC16" s="16">
        <f>SUMIF(AD$12:AS$12,"总值",AD16:AS16)</f>
        <v>1446.46</v>
      </c>
      <c r="AD16" s="2214"/>
      <c r="AE16" s="2214"/>
      <c r="AF16" s="2214"/>
      <c r="AG16" s="2214"/>
      <c r="AH16" s="2214"/>
      <c r="AI16" s="2214"/>
      <c r="AJ16" s="2214"/>
      <c r="AK16" s="2214"/>
      <c r="AL16" s="2214"/>
      <c r="AM16" s="2214"/>
      <c r="AN16" s="2214">
        <v>1446.46</v>
      </c>
      <c r="AO16" s="2214"/>
      <c r="AP16" s="2214"/>
      <c r="AQ16" s="2214"/>
      <c r="AR16" s="2214"/>
      <c r="AS16" s="2214"/>
      <c r="AT16" s="2215"/>
      <c r="AU16" s="2216"/>
      <c r="AV16" s="11">
        <f t="shared" si="6"/>
        <v>0</v>
      </c>
      <c r="AW16" s="11" t="str">
        <f t="shared" si="6"/>
        <v>住宅</v>
      </c>
      <c r="AX16" s="11" t="str">
        <f t="shared" si="6"/>
        <v>4#</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3.2">
      <c r="A17" s="1271"/>
      <c r="B17" s="3425" t="s">
        <v>3340</v>
      </c>
      <c r="C17" s="1271" t="s">
        <v>3019</v>
      </c>
      <c r="D17" s="2212" t="s">
        <v>3014</v>
      </c>
      <c r="E17" s="16">
        <f>IF($C$3="是",ROUND($A$3*G17/$B$3,2),ROUND($A$3*(G17-AT17)/$B$3,2))</f>
        <v>2347.16</v>
      </c>
      <c r="F17" s="32"/>
      <c r="G17" s="33">
        <f>H17+AC17+AT17</f>
        <v>6589.42</v>
      </c>
      <c r="H17" s="20">
        <f>SUMIF(I$12:AB$12,"总值",I17:AB17)</f>
        <v>5550.59</v>
      </c>
      <c r="I17" s="2213">
        <v>5550.59</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1038.83</v>
      </c>
      <c r="AD17" s="2214"/>
      <c r="AE17" s="2214"/>
      <c r="AF17" s="2214"/>
      <c r="AG17" s="2214"/>
      <c r="AH17" s="2214"/>
      <c r="AI17" s="2214"/>
      <c r="AJ17" s="2214"/>
      <c r="AK17" s="2214"/>
      <c r="AL17" s="2214"/>
      <c r="AM17" s="2214"/>
      <c r="AN17" s="2214">
        <v>1038.83</v>
      </c>
      <c r="AO17" s="2214"/>
      <c r="AP17" s="2214"/>
      <c r="AQ17" s="2214"/>
      <c r="AR17" s="2214"/>
      <c r="AS17" s="2214"/>
      <c r="AT17" s="2215"/>
      <c r="AU17" s="2216"/>
      <c r="AV17" s="11">
        <f t="shared" si="6"/>
        <v>0</v>
      </c>
      <c r="AW17" s="11" t="str">
        <f t="shared" si="6"/>
        <v>住宅</v>
      </c>
      <c r="AX17" s="11" t="str">
        <f t="shared" si="6"/>
        <v>5#</v>
      </c>
      <c r="AY17" s="1805">
        <f>ROUND($AY$6*AZ17/$AZ$5,2)</f>
        <v>2347.16</v>
      </c>
      <c r="AZ17" s="16">
        <f>BA17+BL17</f>
        <v>6589.42</v>
      </c>
      <c r="BA17" s="16">
        <f>SUM(BB17:BK17)</f>
        <v>5550.59</v>
      </c>
      <c r="BB17" s="16">
        <f>IF($D17="是",I17-J17,0)</f>
        <v>5550.59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1038.83</v>
      </c>
      <c r="BM17" s="16">
        <f>IF($D17="是",AD17-AE17,0)</f>
        <v>0</v>
      </c>
      <c r="BN17" s="16">
        <f>IF($D17="是",AF17-AG17,0)</f>
        <v>0</v>
      </c>
      <c r="BO17" s="16">
        <f>IF($D17="是",AH17-AI17,0)</f>
        <v>0</v>
      </c>
      <c r="BP17" s="16">
        <f>IF($D17="是",AJ17-AK17,0)</f>
        <v>0</v>
      </c>
      <c r="BQ17" s="16">
        <f>IF($D17="是",AL17-AM17,0)</f>
        <v>0</v>
      </c>
      <c r="BR17" s="16">
        <f>IF($D17="是",AN17-AO17,0)</f>
        <v>1038.83</v>
      </c>
      <c r="BS17" s="16">
        <f>IF($D17="是",AP17-AQ17,0)</f>
        <v>0</v>
      </c>
      <c r="BT17" s="22">
        <f>IF($D17="是",AR17-AS17,0)</f>
        <v>0</v>
      </c>
    </row>
    <row r="18" spans="1:72">
      <c r="A18" s="9"/>
      <c r="B18" s="3425" t="s">
        <v>3340</v>
      </c>
      <c r="C18" s="34" t="s">
        <v>3020</v>
      </c>
      <c r="D18" s="2217" t="s">
        <v>3014</v>
      </c>
      <c r="E18" s="35">
        <f t="shared" ref="E18:E112" si="7">IF($C$3="是",ROUND($A$3*G18/$B$3,2),ROUND($A$3*(G18-AT18)/$B$3,2))</f>
        <v>2562.65</v>
      </c>
      <c r="F18" s="36"/>
      <c r="G18" s="37">
        <f t="shared" ref="G18:G109" si="8">H18+AC18+AT18</f>
        <v>7194.37</v>
      </c>
      <c r="H18" s="38">
        <f t="shared" ref="H18:H109" si="9">SUMIF(I$12:AB$12,"总值",I18:AB18)</f>
        <v>6065.45</v>
      </c>
      <c r="I18" s="39">
        <v>6065.45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1128.92</v>
      </c>
      <c r="AD18" s="40"/>
      <c r="AE18" s="40"/>
      <c r="AF18" s="40"/>
      <c r="AG18" s="40"/>
      <c r="AH18" s="40"/>
      <c r="AI18" s="40"/>
      <c r="AJ18" s="40"/>
      <c r="AK18" s="40"/>
      <c r="AL18" s="40"/>
      <c r="AM18" s="40"/>
      <c r="AN18" s="40">
        <v>1128.92</v>
      </c>
      <c r="AO18" s="40"/>
      <c r="AP18" s="40"/>
      <c r="AQ18" s="40"/>
      <c r="AR18" s="40"/>
      <c r="AS18" s="40"/>
      <c r="AT18" s="41"/>
      <c r="AU18" s="2218"/>
      <c r="AV18" s="1794">
        <f t="shared" ref="AV18:AV112" si="11">A18</f>
        <v>0</v>
      </c>
      <c r="AW18" s="1794" t="str">
        <f t="shared" ref="AW18:AW112" si="12">B18</f>
        <v>住宅</v>
      </c>
      <c r="AX18" s="1794" t="str">
        <f t="shared" ref="AX18:AX112" si="13">C18</f>
        <v>6#</v>
      </c>
      <c r="AY18" s="42">
        <f t="shared" ref="AY18:AY109" si="14">ROUND($AY$6*AZ18/$AZ$5,2)</f>
        <v>2562.65</v>
      </c>
      <c r="AZ18" s="35">
        <f t="shared" ref="AZ18:AZ109" si="15">BA18+BL18</f>
        <v>7194.37</v>
      </c>
      <c r="BA18" s="35">
        <f t="shared" ref="BA18:BA109" si="16">SUM(BB18:BK18)</f>
        <v>6065.45</v>
      </c>
      <c r="BB18" s="35">
        <f t="shared" ref="BB18:BB109" si="17">IF($D18="是",I18-J18,0)</f>
        <v>6065.45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1128.92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1128.92</v>
      </c>
      <c r="BS18" s="35">
        <f t="shared" ref="BS18:BS109" si="34">IF($D18="是",AP18-AQ18,0)</f>
        <v>0</v>
      </c>
      <c r="BT18" s="43">
        <f t="shared" ref="BT18:BT109" si="35">IF($D18="是",AR18-AS18,0)</f>
        <v>0</v>
      </c>
    </row>
    <row r="19" spans="1:72">
      <c r="A19" s="9"/>
      <c r="B19" s="3425" t="s">
        <v>3340</v>
      </c>
      <c r="C19" s="34" t="s">
        <v>3021</v>
      </c>
      <c r="D19" s="2217" t="s">
        <v>3016</v>
      </c>
      <c r="E19" s="35">
        <f t="shared" si="7"/>
        <v>2300.7800000000002</v>
      </c>
      <c r="F19" s="36"/>
      <c r="G19" s="37">
        <f t="shared" si="8"/>
        <v>6459.2200000000012</v>
      </c>
      <c r="H19" s="38">
        <f t="shared" si="9"/>
        <v>5794.1600000000008</v>
      </c>
      <c r="I19" s="39">
        <v>5451.9700000000012</v>
      </c>
      <c r="J19" s="39"/>
      <c r="K19" s="39">
        <v>342.19</v>
      </c>
      <c r="L19" s="39"/>
      <c r="M19" s="39"/>
      <c r="N19" s="39"/>
      <c r="O19" s="39"/>
      <c r="P19" s="39"/>
      <c r="Q19" s="39"/>
      <c r="R19" s="39"/>
      <c r="S19" s="39"/>
      <c r="T19" s="39"/>
      <c r="U19" s="39"/>
      <c r="V19" s="39"/>
      <c r="W19" s="39"/>
      <c r="X19" s="39"/>
      <c r="Y19" s="39"/>
      <c r="Z19" s="39"/>
      <c r="AA19" s="39"/>
      <c r="AB19" s="39"/>
      <c r="AC19" s="35">
        <f t="shared" si="10"/>
        <v>665.06</v>
      </c>
      <c r="AD19" s="40"/>
      <c r="AE19" s="40"/>
      <c r="AF19" s="40"/>
      <c r="AG19" s="40"/>
      <c r="AH19" s="40"/>
      <c r="AI19" s="40"/>
      <c r="AJ19" s="40"/>
      <c r="AK19" s="40"/>
      <c r="AL19" s="40"/>
      <c r="AM19" s="40"/>
      <c r="AN19" s="40">
        <v>665.06</v>
      </c>
      <c r="AO19" s="40"/>
      <c r="AP19" s="40"/>
      <c r="AQ19" s="40"/>
      <c r="AR19" s="40"/>
      <c r="AS19" s="40"/>
      <c r="AT19" s="41"/>
      <c r="AU19" s="2218"/>
      <c r="AV19" s="1794">
        <f t="shared" si="11"/>
        <v>0</v>
      </c>
      <c r="AW19" s="1794" t="str">
        <f t="shared" si="12"/>
        <v>住宅</v>
      </c>
      <c r="AX19" s="1794" t="str">
        <f t="shared" si="13"/>
        <v>7#</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25" t="s">
        <v>3340</v>
      </c>
      <c r="C20" s="34" t="s">
        <v>3022</v>
      </c>
      <c r="D20" s="2217" t="s">
        <v>3014</v>
      </c>
      <c r="E20" s="35">
        <f t="shared" si="7"/>
        <v>2347.16</v>
      </c>
      <c r="F20" s="36"/>
      <c r="G20" s="37">
        <f t="shared" si="8"/>
        <v>6589.42</v>
      </c>
      <c r="H20" s="38">
        <f t="shared" si="9"/>
        <v>5550.59</v>
      </c>
      <c r="I20" s="39">
        <v>5550.59</v>
      </c>
      <c r="J20" s="39"/>
      <c r="K20" s="39"/>
      <c r="L20" s="39"/>
      <c r="M20" s="39"/>
      <c r="N20" s="39"/>
      <c r="O20" s="39"/>
      <c r="P20" s="39"/>
      <c r="Q20" s="39"/>
      <c r="R20" s="39"/>
      <c r="S20" s="39"/>
      <c r="T20" s="39"/>
      <c r="U20" s="39"/>
      <c r="V20" s="39"/>
      <c r="W20" s="39"/>
      <c r="X20" s="39"/>
      <c r="Y20" s="39"/>
      <c r="Z20" s="39"/>
      <c r="AA20" s="39"/>
      <c r="AB20" s="39"/>
      <c r="AC20" s="35">
        <f t="shared" si="10"/>
        <v>1038.83</v>
      </c>
      <c r="AD20" s="40"/>
      <c r="AE20" s="40"/>
      <c r="AF20" s="40"/>
      <c r="AG20" s="40"/>
      <c r="AH20" s="40"/>
      <c r="AI20" s="40"/>
      <c r="AJ20" s="40"/>
      <c r="AK20" s="40"/>
      <c r="AL20" s="40"/>
      <c r="AM20" s="40"/>
      <c r="AN20" s="40">
        <v>1038.83</v>
      </c>
      <c r="AO20" s="40"/>
      <c r="AP20" s="40"/>
      <c r="AQ20" s="40"/>
      <c r="AR20" s="40"/>
      <c r="AS20" s="40"/>
      <c r="AT20" s="41"/>
      <c r="AU20" s="2218"/>
      <c r="AV20" s="1794">
        <f t="shared" si="11"/>
        <v>0</v>
      </c>
      <c r="AW20" s="1794" t="str">
        <f t="shared" si="12"/>
        <v>住宅</v>
      </c>
      <c r="AX20" s="1794" t="str">
        <f t="shared" si="13"/>
        <v>8#</v>
      </c>
      <c r="AY20" s="42">
        <f t="shared" si="14"/>
        <v>2347.16</v>
      </c>
      <c r="AZ20" s="35">
        <f t="shared" si="15"/>
        <v>6589.42</v>
      </c>
      <c r="BA20" s="35">
        <f t="shared" si="16"/>
        <v>5550.59</v>
      </c>
      <c r="BB20" s="35">
        <f t="shared" si="17"/>
        <v>5550.59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1038.83</v>
      </c>
      <c r="BM20" s="35">
        <f t="shared" si="28"/>
        <v>0</v>
      </c>
      <c r="BN20" s="35">
        <f t="shared" si="29"/>
        <v>0</v>
      </c>
      <c r="BO20" s="35">
        <f t="shared" si="30"/>
        <v>0</v>
      </c>
      <c r="BP20" s="35">
        <f t="shared" si="31"/>
        <v>0</v>
      </c>
      <c r="BQ20" s="35">
        <f t="shared" si="32"/>
        <v>0</v>
      </c>
      <c r="BR20" s="35">
        <f t="shared" si="33"/>
        <v>1038.83</v>
      </c>
      <c r="BS20" s="35">
        <f t="shared" si="34"/>
        <v>0</v>
      </c>
      <c r="BT20" s="43">
        <f t="shared" si="35"/>
        <v>0</v>
      </c>
    </row>
    <row r="21" spans="1:72">
      <c r="A21" s="9"/>
      <c r="B21" s="3425" t="s">
        <v>3340</v>
      </c>
      <c r="C21" s="34" t="s">
        <v>3023</v>
      </c>
      <c r="D21" s="2217" t="s">
        <v>3014</v>
      </c>
      <c r="E21" s="35">
        <f t="shared" si="7"/>
        <v>2370.98</v>
      </c>
      <c r="F21" s="36"/>
      <c r="G21" s="37">
        <f t="shared" si="8"/>
        <v>6656.29</v>
      </c>
      <c r="H21" s="38">
        <f t="shared" si="9"/>
        <v>5527.37</v>
      </c>
      <c r="I21" s="39">
        <v>5527.37</v>
      </c>
      <c r="J21" s="39"/>
      <c r="K21" s="39"/>
      <c r="L21" s="39"/>
      <c r="M21" s="39"/>
      <c r="N21" s="39"/>
      <c r="O21" s="39"/>
      <c r="P21" s="39"/>
      <c r="Q21" s="39"/>
      <c r="R21" s="39"/>
      <c r="S21" s="39"/>
      <c r="T21" s="39"/>
      <c r="U21" s="39"/>
      <c r="V21" s="39"/>
      <c r="W21" s="39"/>
      <c r="X21" s="39"/>
      <c r="Y21" s="39"/>
      <c r="Z21" s="39"/>
      <c r="AA21" s="39"/>
      <c r="AB21" s="39"/>
      <c r="AC21" s="35">
        <f t="shared" si="10"/>
        <v>1128.92</v>
      </c>
      <c r="AD21" s="40"/>
      <c r="AE21" s="40"/>
      <c r="AF21" s="40"/>
      <c r="AG21" s="40"/>
      <c r="AH21" s="40"/>
      <c r="AI21" s="40"/>
      <c r="AJ21" s="40"/>
      <c r="AK21" s="40"/>
      <c r="AL21" s="40"/>
      <c r="AM21" s="40"/>
      <c r="AN21" s="40">
        <v>1128.92</v>
      </c>
      <c r="AO21" s="40"/>
      <c r="AP21" s="40"/>
      <c r="AQ21" s="40"/>
      <c r="AR21" s="40"/>
      <c r="AS21" s="40"/>
      <c r="AT21" s="41"/>
      <c r="AU21" s="2218"/>
      <c r="AV21" s="1794">
        <f t="shared" si="11"/>
        <v>0</v>
      </c>
      <c r="AW21" s="1794" t="str">
        <f t="shared" si="12"/>
        <v>住宅</v>
      </c>
      <c r="AX21" s="1794" t="str">
        <f t="shared" si="13"/>
        <v>9#</v>
      </c>
      <c r="AY21" s="42">
        <f t="shared" si="14"/>
        <v>2370.98</v>
      </c>
      <c r="AZ21" s="35">
        <f t="shared" si="15"/>
        <v>6656.29</v>
      </c>
      <c r="BA21" s="35">
        <f t="shared" si="16"/>
        <v>5527.37</v>
      </c>
      <c r="BB21" s="35">
        <f t="shared" si="17"/>
        <v>5527.37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1128.92</v>
      </c>
      <c r="BM21" s="35">
        <f t="shared" si="28"/>
        <v>0</v>
      </c>
      <c r="BN21" s="35">
        <f t="shared" si="29"/>
        <v>0</v>
      </c>
      <c r="BO21" s="35">
        <f t="shared" si="30"/>
        <v>0</v>
      </c>
      <c r="BP21" s="35">
        <f t="shared" si="31"/>
        <v>0</v>
      </c>
      <c r="BQ21" s="35">
        <f t="shared" si="32"/>
        <v>0</v>
      </c>
      <c r="BR21" s="35">
        <f t="shared" si="33"/>
        <v>1128.92</v>
      </c>
      <c r="BS21" s="35">
        <f t="shared" si="34"/>
        <v>0</v>
      </c>
      <c r="BT21" s="43">
        <f t="shared" si="35"/>
        <v>0</v>
      </c>
    </row>
    <row r="22" spans="1:72">
      <c r="A22" s="9"/>
      <c r="B22" s="3425" t="s">
        <v>3340</v>
      </c>
      <c r="C22" s="34" t="s">
        <v>3024</v>
      </c>
      <c r="D22" s="2217" t="s">
        <v>3014</v>
      </c>
      <c r="E22" s="35">
        <f t="shared" si="7"/>
        <v>2109.91</v>
      </c>
      <c r="F22" s="36"/>
      <c r="G22" s="37">
        <f t="shared" si="8"/>
        <v>5923.36</v>
      </c>
      <c r="H22" s="38">
        <f t="shared" si="9"/>
        <v>5259.58</v>
      </c>
      <c r="I22" s="39">
        <v>4888.7699999999995</v>
      </c>
      <c r="J22" s="39"/>
      <c r="K22" s="39">
        <v>370.81</v>
      </c>
      <c r="L22" s="39"/>
      <c r="M22" s="39"/>
      <c r="N22" s="39"/>
      <c r="O22" s="39"/>
      <c r="P22" s="39"/>
      <c r="Q22" s="39"/>
      <c r="R22" s="39"/>
      <c r="S22" s="39"/>
      <c r="T22" s="39"/>
      <c r="U22" s="39"/>
      <c r="V22" s="39"/>
      <c r="W22" s="39"/>
      <c r="X22" s="39"/>
      <c r="Y22" s="39"/>
      <c r="Z22" s="39"/>
      <c r="AA22" s="39"/>
      <c r="AB22" s="39"/>
      <c r="AC22" s="35">
        <f t="shared" si="10"/>
        <v>663.78</v>
      </c>
      <c r="AD22" s="40"/>
      <c r="AE22" s="40"/>
      <c r="AF22" s="40"/>
      <c r="AG22" s="40"/>
      <c r="AH22" s="40"/>
      <c r="AI22" s="40"/>
      <c r="AJ22" s="40"/>
      <c r="AK22" s="40"/>
      <c r="AL22" s="40"/>
      <c r="AM22" s="40"/>
      <c r="AN22" s="40">
        <v>663.78</v>
      </c>
      <c r="AO22" s="40"/>
      <c r="AP22" s="40"/>
      <c r="AQ22" s="40"/>
      <c r="AR22" s="40"/>
      <c r="AS22" s="40"/>
      <c r="AT22" s="41"/>
      <c r="AU22" s="2218"/>
      <c r="AV22" s="1794">
        <f t="shared" si="11"/>
        <v>0</v>
      </c>
      <c r="AW22" s="1794" t="str">
        <f t="shared" si="12"/>
        <v>住宅</v>
      </c>
      <c r="AX22" s="1794" t="str">
        <f t="shared" si="13"/>
        <v>10#</v>
      </c>
      <c r="AY22" s="42">
        <f t="shared" si="14"/>
        <v>2109.91</v>
      </c>
      <c r="AZ22" s="35">
        <f t="shared" si="15"/>
        <v>5923.36</v>
      </c>
      <c r="BA22" s="35">
        <f t="shared" si="16"/>
        <v>5259.58</v>
      </c>
      <c r="BB22" s="35">
        <f t="shared" si="17"/>
        <v>4888.7699999999995</v>
      </c>
      <c r="BC22" s="35">
        <f t="shared" si="18"/>
        <v>370.81</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663.78</v>
      </c>
      <c r="BM22" s="35">
        <f t="shared" si="28"/>
        <v>0</v>
      </c>
      <c r="BN22" s="35">
        <f t="shared" si="29"/>
        <v>0</v>
      </c>
      <c r="BO22" s="35">
        <f t="shared" si="30"/>
        <v>0</v>
      </c>
      <c r="BP22" s="35">
        <f t="shared" si="31"/>
        <v>0</v>
      </c>
      <c r="BQ22" s="35">
        <f t="shared" si="32"/>
        <v>0</v>
      </c>
      <c r="BR22" s="35">
        <f t="shared" si="33"/>
        <v>663.78</v>
      </c>
      <c r="BS22" s="35">
        <f t="shared" si="34"/>
        <v>0</v>
      </c>
      <c r="BT22" s="43">
        <f t="shared" si="35"/>
        <v>0</v>
      </c>
    </row>
    <row r="23" spans="1:72">
      <c r="A23" s="9"/>
      <c r="B23" s="3425" t="s">
        <v>3340</v>
      </c>
      <c r="C23" s="34" t="s">
        <v>3025</v>
      </c>
      <c r="D23" s="2217" t="s">
        <v>3016</v>
      </c>
      <c r="E23" s="35">
        <f t="shared" si="7"/>
        <v>2347.91</v>
      </c>
      <c r="F23" s="36"/>
      <c r="G23" s="37">
        <f t="shared" si="8"/>
        <v>6591.53</v>
      </c>
      <c r="H23" s="38">
        <f t="shared" si="9"/>
        <v>5552.7</v>
      </c>
      <c r="I23" s="39">
        <v>5552.7</v>
      </c>
      <c r="J23" s="39"/>
      <c r="K23" s="39"/>
      <c r="L23" s="39"/>
      <c r="M23" s="39"/>
      <c r="N23" s="39"/>
      <c r="O23" s="39"/>
      <c r="P23" s="39"/>
      <c r="Q23" s="39"/>
      <c r="R23" s="39"/>
      <c r="S23" s="39"/>
      <c r="T23" s="39"/>
      <c r="U23" s="39"/>
      <c r="V23" s="39"/>
      <c r="W23" s="39"/>
      <c r="X23" s="39"/>
      <c r="Y23" s="39"/>
      <c r="Z23" s="39"/>
      <c r="AA23" s="39"/>
      <c r="AB23" s="39"/>
      <c r="AC23" s="35">
        <f t="shared" si="10"/>
        <v>1038.83</v>
      </c>
      <c r="AD23" s="40"/>
      <c r="AE23" s="40"/>
      <c r="AF23" s="40"/>
      <c r="AG23" s="40"/>
      <c r="AH23" s="40"/>
      <c r="AI23" s="40"/>
      <c r="AJ23" s="40"/>
      <c r="AK23" s="40"/>
      <c r="AL23" s="40"/>
      <c r="AM23" s="40"/>
      <c r="AN23" s="40">
        <v>1038.83</v>
      </c>
      <c r="AO23" s="40"/>
      <c r="AP23" s="40"/>
      <c r="AQ23" s="40"/>
      <c r="AR23" s="40"/>
      <c r="AS23" s="40"/>
      <c r="AT23" s="41"/>
      <c r="AU23" s="2218"/>
      <c r="AV23" s="1794">
        <f t="shared" si="11"/>
        <v>0</v>
      </c>
      <c r="AW23" s="1794" t="str">
        <f t="shared" si="12"/>
        <v>住宅</v>
      </c>
      <c r="AX23" s="1794" t="str">
        <f t="shared" si="13"/>
        <v>11#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25" t="s">
        <v>3340</v>
      </c>
      <c r="C24" s="34" t="s">
        <v>3026</v>
      </c>
      <c r="D24" s="2217" t="s">
        <v>3014</v>
      </c>
      <c r="E24" s="35">
        <f t="shared" si="7"/>
        <v>1986.53</v>
      </c>
      <c r="F24" s="36"/>
      <c r="G24" s="37">
        <f t="shared" si="8"/>
        <v>5576.97</v>
      </c>
      <c r="H24" s="38">
        <f t="shared" si="9"/>
        <v>4451.2300000000005</v>
      </c>
      <c r="I24" s="39">
        <v>4451.2300000000005</v>
      </c>
      <c r="J24" s="39"/>
      <c r="K24" s="39"/>
      <c r="L24" s="39"/>
      <c r="M24" s="39"/>
      <c r="N24" s="39"/>
      <c r="O24" s="39"/>
      <c r="P24" s="39"/>
      <c r="Q24" s="39"/>
      <c r="R24" s="39"/>
      <c r="S24" s="39"/>
      <c r="T24" s="39"/>
      <c r="U24" s="39"/>
      <c r="V24" s="39"/>
      <c r="W24" s="39"/>
      <c r="X24" s="39"/>
      <c r="Y24" s="39"/>
      <c r="Z24" s="39"/>
      <c r="AA24" s="39"/>
      <c r="AB24" s="39"/>
      <c r="AC24" s="35">
        <f t="shared" si="10"/>
        <v>1125.74</v>
      </c>
      <c r="AD24" s="40"/>
      <c r="AE24" s="40"/>
      <c r="AF24" s="40"/>
      <c r="AG24" s="40"/>
      <c r="AH24" s="40"/>
      <c r="AI24" s="40"/>
      <c r="AJ24" s="40"/>
      <c r="AK24" s="40"/>
      <c r="AL24" s="40"/>
      <c r="AM24" s="40"/>
      <c r="AN24" s="40">
        <v>1125.74</v>
      </c>
      <c r="AO24" s="40"/>
      <c r="AP24" s="40"/>
      <c r="AQ24" s="40"/>
      <c r="AR24" s="40"/>
      <c r="AS24" s="40"/>
      <c r="AT24" s="41"/>
      <c r="AU24" s="2218"/>
      <c r="AV24" s="1794">
        <f t="shared" si="11"/>
        <v>0</v>
      </c>
      <c r="AW24" s="1794" t="str">
        <f t="shared" si="12"/>
        <v>住宅</v>
      </c>
      <c r="AX24" s="1794" t="str">
        <f t="shared" si="13"/>
        <v>12#</v>
      </c>
      <c r="AY24" s="42">
        <f t="shared" si="14"/>
        <v>1986.53</v>
      </c>
      <c r="AZ24" s="35">
        <f t="shared" si="15"/>
        <v>5576.97</v>
      </c>
      <c r="BA24" s="35">
        <f t="shared" si="16"/>
        <v>4451.2300000000005</v>
      </c>
      <c r="BB24" s="35">
        <f t="shared" si="17"/>
        <v>4451.2300000000005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1125.74</v>
      </c>
      <c r="BM24" s="35">
        <f t="shared" si="28"/>
        <v>0</v>
      </c>
      <c r="BN24" s="35">
        <f t="shared" si="29"/>
        <v>0</v>
      </c>
      <c r="BO24" s="35">
        <f t="shared" si="30"/>
        <v>0</v>
      </c>
      <c r="BP24" s="35">
        <f t="shared" si="31"/>
        <v>0</v>
      </c>
      <c r="BQ24" s="35">
        <f t="shared" si="32"/>
        <v>0</v>
      </c>
      <c r="BR24" s="35">
        <f t="shared" si="33"/>
        <v>1125.74</v>
      </c>
      <c r="BS24" s="35">
        <f t="shared" si="34"/>
        <v>0</v>
      </c>
      <c r="BT24" s="43">
        <f t="shared" si="35"/>
        <v>0</v>
      </c>
    </row>
    <row r="25" spans="1:72">
      <c r="A25" s="9"/>
      <c r="B25" s="3425" t="s">
        <v>3340</v>
      </c>
      <c r="C25" s="34" t="s">
        <v>3027</v>
      </c>
      <c r="D25" s="2217" t="s">
        <v>3016</v>
      </c>
      <c r="E25" s="35">
        <f t="shared" si="7"/>
        <v>2300.02</v>
      </c>
      <c r="F25" s="36"/>
      <c r="G25" s="37">
        <f t="shared" si="8"/>
        <v>6457.07</v>
      </c>
      <c r="H25" s="38">
        <f t="shared" si="9"/>
        <v>5793.29</v>
      </c>
      <c r="I25" s="39">
        <v>5413.94</v>
      </c>
      <c r="J25" s="39"/>
      <c r="K25" s="39">
        <v>379.35</v>
      </c>
      <c r="L25" s="39"/>
      <c r="M25" s="39"/>
      <c r="N25" s="39"/>
      <c r="O25" s="39"/>
      <c r="P25" s="39"/>
      <c r="Q25" s="39"/>
      <c r="R25" s="39"/>
      <c r="S25" s="39"/>
      <c r="T25" s="39"/>
      <c r="U25" s="39"/>
      <c r="V25" s="39"/>
      <c r="W25" s="39"/>
      <c r="X25" s="39"/>
      <c r="Y25" s="39"/>
      <c r="Z25" s="39"/>
      <c r="AA25" s="39"/>
      <c r="AB25" s="39"/>
      <c r="AC25" s="35">
        <f t="shared" si="10"/>
        <v>663.78</v>
      </c>
      <c r="AD25" s="40"/>
      <c r="AE25" s="40"/>
      <c r="AF25" s="40"/>
      <c r="AG25" s="40"/>
      <c r="AH25" s="40"/>
      <c r="AI25" s="40"/>
      <c r="AJ25" s="40"/>
      <c r="AK25" s="40"/>
      <c r="AL25" s="40"/>
      <c r="AM25" s="40"/>
      <c r="AN25" s="40">
        <v>663.78</v>
      </c>
      <c r="AO25" s="40"/>
      <c r="AP25" s="40"/>
      <c r="AQ25" s="40"/>
      <c r="AR25" s="40"/>
      <c r="AS25" s="40"/>
      <c r="AT25" s="41"/>
      <c r="AU25" s="2218"/>
      <c r="AV25" s="1794">
        <f t="shared" si="11"/>
        <v>0</v>
      </c>
      <c r="AW25" s="1794" t="str">
        <f t="shared" si="12"/>
        <v>住宅</v>
      </c>
      <c r="AX25" s="1794" t="str">
        <f t="shared" si="13"/>
        <v>13#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25" t="s">
        <v>3340</v>
      </c>
      <c r="C26" s="34" t="s">
        <v>3028</v>
      </c>
      <c r="D26" s="2217" t="s">
        <v>3016</v>
      </c>
      <c r="E26" s="35">
        <f t="shared" si="7"/>
        <v>2255.63</v>
      </c>
      <c r="F26" s="36"/>
      <c r="G26" s="37">
        <f t="shared" si="8"/>
        <v>6332.4599999999991</v>
      </c>
      <c r="H26" s="38">
        <f t="shared" si="9"/>
        <v>5281.15</v>
      </c>
      <c r="I26" s="39">
        <v>5281.15</v>
      </c>
      <c r="J26" s="39"/>
      <c r="K26" s="39"/>
      <c r="L26" s="39"/>
      <c r="M26" s="39"/>
      <c r="N26" s="39"/>
      <c r="O26" s="39"/>
      <c r="P26" s="39"/>
      <c r="Q26" s="39"/>
      <c r="R26" s="39"/>
      <c r="S26" s="39"/>
      <c r="T26" s="39"/>
      <c r="U26" s="39"/>
      <c r="V26" s="39"/>
      <c r="W26" s="39"/>
      <c r="X26" s="39"/>
      <c r="Y26" s="39"/>
      <c r="Z26" s="39"/>
      <c r="AA26" s="39"/>
      <c r="AB26" s="39"/>
      <c r="AC26" s="35">
        <f t="shared" si="10"/>
        <v>1051.31</v>
      </c>
      <c r="AD26" s="40"/>
      <c r="AE26" s="40"/>
      <c r="AF26" s="40"/>
      <c r="AG26" s="40"/>
      <c r="AH26" s="40"/>
      <c r="AI26" s="40"/>
      <c r="AJ26" s="40"/>
      <c r="AK26" s="40"/>
      <c r="AL26" s="40"/>
      <c r="AM26" s="40"/>
      <c r="AN26" s="40">
        <v>1051.31</v>
      </c>
      <c r="AO26" s="40"/>
      <c r="AP26" s="40"/>
      <c r="AQ26" s="40"/>
      <c r="AR26" s="40"/>
      <c r="AS26" s="40"/>
      <c r="AT26" s="41"/>
      <c r="AU26" s="2218"/>
      <c r="AV26" s="1794">
        <f t="shared" si="11"/>
        <v>0</v>
      </c>
      <c r="AW26" s="1794" t="str">
        <f t="shared" si="12"/>
        <v>住宅</v>
      </c>
      <c r="AX26" s="1794" t="str">
        <f t="shared" si="13"/>
        <v>14#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25" t="s">
        <v>3340</v>
      </c>
      <c r="C27" s="34" t="s">
        <v>3029</v>
      </c>
      <c r="D27" s="2217" t="s">
        <v>3016</v>
      </c>
      <c r="E27" s="35">
        <f t="shared" si="7"/>
        <v>2365.0100000000002</v>
      </c>
      <c r="F27" s="36"/>
      <c r="G27" s="37">
        <f t="shared" si="8"/>
        <v>6639.5300000000007</v>
      </c>
      <c r="H27" s="38">
        <f t="shared" si="9"/>
        <v>5966.34</v>
      </c>
      <c r="I27" s="39">
        <v>5624.76</v>
      </c>
      <c r="J27" s="39"/>
      <c r="K27" s="39">
        <v>341.58</v>
      </c>
      <c r="L27" s="39"/>
      <c r="M27" s="39"/>
      <c r="N27" s="39"/>
      <c r="O27" s="39"/>
      <c r="P27" s="39"/>
      <c r="Q27" s="39"/>
      <c r="R27" s="39"/>
      <c r="S27" s="39"/>
      <c r="T27" s="39"/>
      <c r="U27" s="39"/>
      <c r="V27" s="39"/>
      <c r="W27" s="39"/>
      <c r="X27" s="39"/>
      <c r="Y27" s="39"/>
      <c r="Z27" s="39"/>
      <c r="AA27" s="39"/>
      <c r="AB27" s="39"/>
      <c r="AC27" s="35">
        <f t="shared" si="10"/>
        <v>673.19</v>
      </c>
      <c r="AD27" s="40"/>
      <c r="AE27" s="40"/>
      <c r="AF27" s="40"/>
      <c r="AG27" s="40"/>
      <c r="AH27" s="40"/>
      <c r="AI27" s="40"/>
      <c r="AJ27" s="40"/>
      <c r="AK27" s="40"/>
      <c r="AL27" s="40"/>
      <c r="AM27" s="40"/>
      <c r="AN27" s="40">
        <v>673.19</v>
      </c>
      <c r="AO27" s="40"/>
      <c r="AP27" s="40"/>
      <c r="AQ27" s="40"/>
      <c r="AR27" s="40"/>
      <c r="AS27" s="40"/>
      <c r="AT27" s="41"/>
      <c r="AU27" s="2218"/>
      <c r="AV27" s="1794">
        <f t="shared" si="11"/>
        <v>0</v>
      </c>
      <c r="AW27" s="1794" t="str">
        <f t="shared" si="12"/>
        <v>住宅</v>
      </c>
      <c r="AX27" s="1794" t="str">
        <f t="shared" si="13"/>
        <v>15#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3030</v>
      </c>
      <c r="C28" s="34" t="s">
        <v>3031</v>
      </c>
      <c r="D28" s="2217" t="s">
        <v>3016</v>
      </c>
      <c r="E28" s="35">
        <f t="shared" si="7"/>
        <v>628.30999999999995</v>
      </c>
      <c r="F28" s="36"/>
      <c r="G28" s="37">
        <f t="shared" si="8"/>
        <v>1763.93</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1763.93</v>
      </c>
      <c r="AD28" s="40">
        <v>1763.93</v>
      </c>
      <c r="AE28" s="40"/>
      <c r="AF28" s="40"/>
      <c r="AG28" s="40"/>
      <c r="AH28" s="40"/>
      <c r="AI28" s="40"/>
      <c r="AJ28" s="40"/>
      <c r="AK28" s="40"/>
      <c r="AL28" s="40"/>
      <c r="AM28" s="40"/>
      <c r="AN28" s="40"/>
      <c r="AO28" s="40"/>
      <c r="AP28" s="40"/>
      <c r="AQ28" s="40"/>
      <c r="AR28" s="40"/>
      <c r="AS28" s="40"/>
      <c r="AT28" s="41"/>
      <c r="AU28" s="2218"/>
      <c r="AV28" s="1794">
        <f t="shared" si="11"/>
        <v>0</v>
      </c>
      <c r="AW28" s="1794" t="str">
        <f t="shared" si="12"/>
        <v>幼儿园</v>
      </c>
      <c r="AX28" s="1794" t="str">
        <f t="shared" si="13"/>
        <v>16#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1369</v>
      </c>
      <c r="C29" s="34" t="s">
        <v>3032</v>
      </c>
      <c r="D29" s="2217" t="s">
        <v>3014</v>
      </c>
      <c r="E29" s="35">
        <f t="shared" si="7"/>
        <v>169.52</v>
      </c>
      <c r="F29" s="36"/>
      <c r="G29" s="37">
        <f t="shared" si="8"/>
        <v>475.91</v>
      </c>
      <c r="H29" s="38">
        <f t="shared" si="9"/>
        <v>434.17</v>
      </c>
      <c r="I29" s="39"/>
      <c r="J29" s="39"/>
      <c r="K29" s="39">
        <v>434.17</v>
      </c>
      <c r="L29" s="39"/>
      <c r="M29" s="39"/>
      <c r="N29" s="39"/>
      <c r="O29" s="39"/>
      <c r="P29" s="39"/>
      <c r="Q29" s="39"/>
      <c r="R29" s="39"/>
      <c r="S29" s="39"/>
      <c r="T29" s="39"/>
      <c r="U29" s="39"/>
      <c r="V29" s="39"/>
      <c r="W29" s="39"/>
      <c r="X29" s="39"/>
      <c r="Y29" s="39"/>
      <c r="Z29" s="39"/>
      <c r="AA29" s="39"/>
      <c r="AB29" s="39"/>
      <c r="AC29" s="35">
        <f t="shared" si="10"/>
        <v>41.740000000000009</v>
      </c>
      <c r="AD29" s="40"/>
      <c r="AE29" s="40"/>
      <c r="AF29" s="40"/>
      <c r="AG29" s="40"/>
      <c r="AH29" s="40"/>
      <c r="AI29" s="40"/>
      <c r="AJ29" s="40"/>
      <c r="AK29" s="40"/>
      <c r="AL29" s="40">
        <v>41.740000000000009</v>
      </c>
      <c r="AM29" s="40"/>
      <c r="AN29" s="40"/>
      <c r="AO29" s="40"/>
      <c r="AP29" s="40"/>
      <c r="AQ29" s="40"/>
      <c r="AR29" s="40"/>
      <c r="AS29" s="40"/>
      <c r="AT29" s="41"/>
      <c r="AU29" s="2218"/>
      <c r="AV29" s="1794">
        <f t="shared" si="11"/>
        <v>0</v>
      </c>
      <c r="AW29" s="1794" t="str">
        <f t="shared" si="12"/>
        <v>商业</v>
      </c>
      <c r="AX29" s="1794" t="str">
        <f t="shared" si="13"/>
        <v>17#</v>
      </c>
      <c r="AY29" s="42">
        <f t="shared" si="14"/>
        <v>169.52</v>
      </c>
      <c r="AZ29" s="35">
        <f t="shared" si="15"/>
        <v>475.91</v>
      </c>
      <c r="BA29" s="35">
        <f t="shared" si="16"/>
        <v>434.17</v>
      </c>
      <c r="BB29" s="35">
        <f t="shared" si="17"/>
        <v>0</v>
      </c>
      <c r="BC29" s="35">
        <f t="shared" si="18"/>
        <v>434.17</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41.740000000000009</v>
      </c>
      <c r="BM29" s="35">
        <f t="shared" si="28"/>
        <v>0</v>
      </c>
      <c r="BN29" s="35">
        <f t="shared" si="29"/>
        <v>0</v>
      </c>
      <c r="BO29" s="35">
        <f t="shared" si="30"/>
        <v>0</v>
      </c>
      <c r="BP29" s="35">
        <f t="shared" si="31"/>
        <v>0</v>
      </c>
      <c r="BQ29" s="35">
        <f t="shared" si="32"/>
        <v>41.740000000000009</v>
      </c>
      <c r="BR29" s="35">
        <f t="shared" si="33"/>
        <v>0</v>
      </c>
      <c r="BS29" s="35">
        <f t="shared" si="34"/>
        <v>0</v>
      </c>
      <c r="BT29" s="43">
        <f t="shared" si="35"/>
        <v>0</v>
      </c>
    </row>
    <row r="30" spans="1:72">
      <c r="A30" s="9"/>
      <c r="B30" s="34" t="s">
        <v>1369</v>
      </c>
      <c r="C30" s="34" t="s">
        <v>3033</v>
      </c>
      <c r="D30" s="2217" t="s">
        <v>3014</v>
      </c>
      <c r="E30" s="35">
        <f t="shared" si="7"/>
        <v>169.52</v>
      </c>
      <c r="F30" s="36"/>
      <c r="G30" s="37">
        <f t="shared" si="8"/>
        <v>475.91</v>
      </c>
      <c r="H30" s="38">
        <f t="shared" si="9"/>
        <v>435.31</v>
      </c>
      <c r="I30" s="39"/>
      <c r="J30" s="39"/>
      <c r="K30" s="39">
        <v>435.31</v>
      </c>
      <c r="L30" s="39"/>
      <c r="M30" s="39"/>
      <c r="N30" s="39"/>
      <c r="O30" s="39"/>
      <c r="P30" s="39"/>
      <c r="Q30" s="39"/>
      <c r="R30" s="39"/>
      <c r="S30" s="39"/>
      <c r="T30" s="39"/>
      <c r="U30" s="39"/>
      <c r="V30" s="39"/>
      <c r="W30" s="39"/>
      <c r="X30" s="39"/>
      <c r="Y30" s="39"/>
      <c r="Z30" s="39"/>
      <c r="AA30" s="39"/>
      <c r="AB30" s="39"/>
      <c r="AC30" s="35">
        <f t="shared" si="10"/>
        <v>40.600000000000023</v>
      </c>
      <c r="AD30" s="40"/>
      <c r="AE30" s="40"/>
      <c r="AF30" s="40"/>
      <c r="AG30" s="40"/>
      <c r="AH30" s="40"/>
      <c r="AI30" s="40"/>
      <c r="AJ30" s="40"/>
      <c r="AK30" s="40"/>
      <c r="AL30" s="40">
        <v>40.600000000000023</v>
      </c>
      <c r="AM30" s="40"/>
      <c r="AN30" s="40"/>
      <c r="AO30" s="40"/>
      <c r="AP30" s="40"/>
      <c r="AQ30" s="40"/>
      <c r="AR30" s="40"/>
      <c r="AS30" s="40"/>
      <c r="AT30" s="41"/>
      <c r="AU30" s="2218"/>
      <c r="AV30" s="1794">
        <f t="shared" si="11"/>
        <v>0</v>
      </c>
      <c r="AW30" s="1794" t="str">
        <f t="shared" si="12"/>
        <v>商业</v>
      </c>
      <c r="AX30" s="1794" t="str">
        <f t="shared" si="13"/>
        <v>18#</v>
      </c>
      <c r="AY30" s="42">
        <f t="shared" si="14"/>
        <v>169.52</v>
      </c>
      <c r="AZ30" s="35">
        <f t="shared" si="15"/>
        <v>475.91</v>
      </c>
      <c r="BA30" s="35">
        <f t="shared" si="16"/>
        <v>435.31</v>
      </c>
      <c r="BB30" s="35">
        <f t="shared" si="17"/>
        <v>0</v>
      </c>
      <c r="BC30" s="35">
        <f t="shared" si="18"/>
        <v>435.31</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40.600000000000023</v>
      </c>
      <c r="BM30" s="35">
        <f t="shared" si="28"/>
        <v>0</v>
      </c>
      <c r="BN30" s="35">
        <f t="shared" si="29"/>
        <v>0</v>
      </c>
      <c r="BO30" s="35">
        <f t="shared" si="30"/>
        <v>0</v>
      </c>
      <c r="BP30" s="35">
        <f t="shared" si="31"/>
        <v>0</v>
      </c>
      <c r="BQ30" s="35">
        <f t="shared" si="32"/>
        <v>40.600000000000023</v>
      </c>
      <c r="BR30" s="35">
        <f t="shared" si="33"/>
        <v>0</v>
      </c>
      <c r="BS30" s="35">
        <f t="shared" si="34"/>
        <v>0</v>
      </c>
      <c r="BT30" s="43">
        <f t="shared" si="35"/>
        <v>0</v>
      </c>
    </row>
    <row r="31" spans="1:72">
      <c r="A31" s="9"/>
      <c r="B31" s="34" t="s">
        <v>1369</v>
      </c>
      <c r="C31" s="34" t="s">
        <v>3034</v>
      </c>
      <c r="D31" s="2217" t="s">
        <v>3014</v>
      </c>
      <c r="E31" s="35">
        <f t="shared" si="7"/>
        <v>285.89999999999998</v>
      </c>
      <c r="F31" s="36"/>
      <c r="G31" s="37">
        <f t="shared" si="8"/>
        <v>802.63</v>
      </c>
      <c r="H31" s="38">
        <f t="shared" si="9"/>
        <v>802.63</v>
      </c>
      <c r="I31" s="39"/>
      <c r="J31" s="39"/>
      <c r="K31" s="39">
        <v>802.63</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t="str">
        <f t="shared" si="12"/>
        <v>商业</v>
      </c>
      <c r="AX31" s="1794" t="str">
        <f t="shared" si="13"/>
        <v>19#</v>
      </c>
      <c r="AY31" s="42">
        <f t="shared" si="14"/>
        <v>285.89999999999998</v>
      </c>
      <c r="AZ31" s="35">
        <f t="shared" si="15"/>
        <v>802.63</v>
      </c>
      <c r="BA31" s="35">
        <f t="shared" si="16"/>
        <v>802.63</v>
      </c>
      <c r="BB31" s="35">
        <f t="shared" si="17"/>
        <v>0</v>
      </c>
      <c r="BC31" s="35">
        <f t="shared" si="18"/>
        <v>802.63</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3035</v>
      </c>
      <c r="C32" s="34" t="s">
        <v>3036</v>
      </c>
      <c r="D32" s="2217" t="s">
        <v>3014</v>
      </c>
      <c r="E32" s="35">
        <f t="shared" si="7"/>
        <v>10112.56</v>
      </c>
      <c r="F32" s="36"/>
      <c r="G32" s="37">
        <f t="shared" si="8"/>
        <v>28390.01</v>
      </c>
      <c r="H32" s="38">
        <f t="shared" si="9"/>
        <v>28390.01</v>
      </c>
      <c r="I32" s="39"/>
      <c r="J32" s="39"/>
      <c r="K32" s="39"/>
      <c r="L32" s="39"/>
      <c r="M32" s="39">
        <v>28390.01</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t="str">
        <f t="shared" si="12"/>
        <v>车库</v>
      </c>
      <c r="AX32" s="1794" t="str">
        <f t="shared" si="13"/>
        <v>20#</v>
      </c>
      <c r="AY32" s="42">
        <f t="shared" si="14"/>
        <v>10112.56</v>
      </c>
      <c r="AZ32" s="35">
        <f t="shared" si="15"/>
        <v>28390.01</v>
      </c>
      <c r="BA32" s="35">
        <f t="shared" si="16"/>
        <v>28390.01</v>
      </c>
      <c r="BB32" s="35">
        <f t="shared" si="17"/>
        <v>0</v>
      </c>
      <c r="BC32" s="35">
        <f t="shared" si="18"/>
        <v>0</v>
      </c>
      <c r="BD32" s="35">
        <f t="shared" si="19"/>
        <v>28390.01</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3037</v>
      </c>
      <c r="C33" s="34" t="s">
        <v>3038</v>
      </c>
      <c r="D33" s="2217" t="s">
        <v>3014</v>
      </c>
      <c r="E33" s="35">
        <f t="shared" si="7"/>
        <v>6.38</v>
      </c>
      <c r="F33" s="36"/>
      <c r="G33" s="37">
        <f t="shared" si="8"/>
        <v>17.91</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17.91</v>
      </c>
      <c r="AD33" s="40"/>
      <c r="AE33" s="40"/>
      <c r="AF33" s="40"/>
      <c r="AG33" s="40"/>
      <c r="AH33" s="40"/>
      <c r="AI33" s="40"/>
      <c r="AJ33" s="40"/>
      <c r="AK33" s="40"/>
      <c r="AL33" s="40">
        <v>17.91</v>
      </c>
      <c r="AM33" s="40"/>
      <c r="AN33" s="40"/>
      <c r="AO33" s="40"/>
      <c r="AP33" s="40"/>
      <c r="AQ33" s="40"/>
      <c r="AR33" s="40"/>
      <c r="AS33" s="40"/>
      <c r="AT33" s="41"/>
      <c r="AU33" s="2218"/>
      <c r="AV33" s="1794">
        <f t="shared" si="11"/>
        <v>0</v>
      </c>
      <c r="AW33" s="1794" t="str">
        <f t="shared" si="12"/>
        <v>大门</v>
      </c>
      <c r="AX33" s="1794" t="str">
        <f t="shared" si="13"/>
        <v>21#</v>
      </c>
      <c r="AY33" s="42">
        <f t="shared" si="14"/>
        <v>6.38</v>
      </c>
      <c r="AZ33" s="35">
        <f t="shared" si="15"/>
        <v>17.91</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17.91</v>
      </c>
      <c r="BM33" s="35">
        <f t="shared" si="28"/>
        <v>0</v>
      </c>
      <c r="BN33" s="35">
        <f t="shared" si="29"/>
        <v>0</v>
      </c>
      <c r="BO33" s="35">
        <f t="shared" si="30"/>
        <v>0</v>
      </c>
      <c r="BP33" s="35">
        <f t="shared" si="31"/>
        <v>0</v>
      </c>
      <c r="BQ33" s="35">
        <f t="shared" si="32"/>
        <v>17.91</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2954">
        <v>54440.83</v>
      </c>
      <c r="B39" s="2955">
        <v>152837.16</v>
      </c>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t="e">
        <f>#REF!</f>
        <v>#REF!</v>
      </c>
      <c r="AW39" s="1794" t="e">
        <f>#REF!</f>
        <v>#REF!</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2954">
        <v>31686.808155489787</v>
      </c>
      <c r="B40" s="2955">
        <v>88957.53</v>
      </c>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t="e">
        <f>#REF!</f>
        <v>#REF!</v>
      </c>
      <c r="AW40" s="1794" t="e">
        <f>#REF!</f>
        <v>#REF!</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2414"/>
      <c r="B53" s="241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t="e">
        <f>#REF!</f>
        <v>#REF!</v>
      </c>
      <c r="AW53" s="1794" t="e">
        <f>#REF!</f>
        <v>#REF!</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2414"/>
      <c r="B54" s="241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t="e">
        <f>#REF!</f>
        <v>#REF!</v>
      </c>
      <c r="AW54" s="1794" t="e">
        <f>#REF!</f>
        <v>#REF!</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2414"/>
      <c r="B65" s="241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A39</f>
        <v>54440.83</v>
      </c>
      <c r="AW65" s="1794">
        <f>B39</f>
        <v>152837.16</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2414"/>
      <c r="B66" s="241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A40</f>
        <v>31686.808155489787</v>
      </c>
      <c r="AW66" s="1794">
        <f>B40</f>
        <v>88957.53</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5" customWidth="1"/>
    <col min="2" max="2" width="10.21875" style="2225" customWidth="1"/>
    <col min="3" max="3" width="18.44140625" style="2225" customWidth="1"/>
    <col min="4" max="4" width="11.6640625" style="2225" customWidth="1"/>
    <col min="5" max="5" width="13.33203125" style="2225" customWidth="1"/>
    <col min="6" max="8" width="11.44140625" style="2225" customWidth="1"/>
    <col min="9" max="9" width="11.109375" style="2225" customWidth="1"/>
    <col min="10" max="10" width="3.109375" style="2225" customWidth="1"/>
    <col min="11" max="16" width="10" style="2225" customWidth="1"/>
    <col min="17" max="17" width="2.6640625" style="2225" customWidth="1"/>
    <col min="18" max="18" width="9.33203125" style="2225" bestFit="1" customWidth="1"/>
    <col min="19" max="19" width="10.44140625" style="2225" bestFit="1" customWidth="1"/>
    <col min="20" max="16384" width="9.21875" style="2225"/>
  </cols>
  <sheetData>
    <row r="1" spans="1:16" ht="17.399999999999999">
      <c r="A1" s="2224" t="s">
        <v>1898</v>
      </c>
      <c r="B1" s="1391"/>
      <c r="C1" s="1391"/>
      <c r="D1" s="1391"/>
      <c r="E1" s="1391"/>
      <c r="F1" s="1391"/>
      <c r="G1" s="1391"/>
      <c r="H1" s="1391"/>
      <c r="I1" s="1391"/>
      <c r="J1" s="1391"/>
      <c r="K1" s="1391"/>
      <c r="L1" s="1391"/>
      <c r="M1" s="1391"/>
      <c r="N1" s="1391"/>
      <c r="O1" s="1391"/>
      <c r="P1" s="1391"/>
    </row>
    <row r="2" spans="1:16" ht="14.4">
      <c r="A2" s="3555" t="s">
        <v>1899</v>
      </c>
      <c r="B2" s="3555"/>
      <c r="C2" s="3555"/>
      <c r="D2" s="966" t="s">
        <v>1875</v>
      </c>
      <c r="E2" s="2226" t="s">
        <v>1876</v>
      </c>
      <c r="F2" s="1391"/>
      <c r="G2" s="2227"/>
      <c r="H2" s="2228"/>
      <c r="I2" s="2229" t="s">
        <v>1900</v>
      </c>
      <c r="J2" s="1391"/>
      <c r="K2" s="1391"/>
      <c r="L2" s="1391"/>
      <c r="M2" s="1391"/>
      <c r="N2" s="1426"/>
      <c r="O2" s="1391"/>
      <c r="P2" s="1391"/>
    </row>
    <row r="3" spans="1:16" ht="15" thickBot="1">
      <c r="A3" s="3556" t="s">
        <v>1873</v>
      </c>
      <c r="B3" s="3556"/>
      <c r="C3" s="3556"/>
      <c r="D3" s="46">
        <f>'数据-基础表'!AY6</f>
        <v>26957.93</v>
      </c>
      <c r="E3" s="46">
        <f>'数据-基础表'!AZ5</f>
        <v>75681.680000000008</v>
      </c>
      <c r="F3" s="1391"/>
      <c r="G3" s="1398"/>
      <c r="H3" s="1246" t="s">
        <v>1874</v>
      </c>
      <c r="I3" s="55">
        <f>ROUND('数据-基础表'!B3/'数据-基础表'!A3,2)</f>
        <v>2.81</v>
      </c>
      <c r="J3" s="1391"/>
      <c r="K3" s="1391"/>
      <c r="L3" s="1391"/>
      <c r="M3" s="1391"/>
      <c r="N3" s="1426"/>
      <c r="O3" s="1391"/>
      <c r="P3" s="1391"/>
    </row>
    <row r="4" spans="1:16" ht="14.4">
      <c r="A4" s="3557"/>
      <c r="B4" s="3558"/>
      <c r="C4" s="3559"/>
      <c r="D4" s="2230" t="s">
        <v>1875</v>
      </c>
      <c r="E4" s="2231" t="s">
        <v>1876</v>
      </c>
      <c r="F4" s="1391"/>
      <c r="G4" s="2232" t="s">
        <v>1901</v>
      </c>
      <c r="H4" s="1246" t="s">
        <v>1881</v>
      </c>
      <c r="I4" s="55">
        <f>ROUND(SUMIF('数据-基础表'!I9:AS9,"地上",'数据-基础表'!I5:AS5)/'数据-基础表'!A3,2)</f>
        <v>2</v>
      </c>
      <c r="J4" s="1391"/>
      <c r="K4" s="1391"/>
      <c r="L4" s="1391"/>
      <c r="M4" s="1391"/>
      <c r="N4" s="1426"/>
      <c r="O4" s="1391"/>
      <c r="P4" s="1391"/>
    </row>
    <row r="5" spans="1:16" ht="14.4">
      <c r="A5" s="47" t="s">
        <v>1877</v>
      </c>
      <c r="B5" s="3560" t="s">
        <v>1878</v>
      </c>
      <c r="C5" s="3560"/>
      <c r="D5" s="48">
        <f>ROUND($D$3*E5/$E$3,2)</f>
        <v>13367.77</v>
      </c>
      <c r="E5" s="49">
        <f>SUMIF('数据-基础表'!$11:$11,"住宅",'数据-基础表'!$5:$5)</f>
        <v>37528.670000000006</v>
      </c>
      <c r="F5" s="1391"/>
      <c r="G5" s="1398"/>
      <c r="H5" s="1246" t="s">
        <v>1874</v>
      </c>
      <c r="I5" s="55">
        <f>ROUND(E31/D31,2)</f>
        <v>2.81</v>
      </c>
      <c r="J5" s="1391"/>
      <c r="K5" s="1391"/>
      <c r="L5" s="1391"/>
      <c r="M5" s="1391"/>
      <c r="N5" s="1391"/>
      <c r="O5" s="1391"/>
      <c r="P5" s="1391"/>
    </row>
    <row r="6" spans="1:16" ht="15" thickBot="1">
      <c r="A6" s="2233"/>
      <c r="B6" s="3560" t="s">
        <v>1879</v>
      </c>
      <c r="C6" s="3560"/>
      <c r="D6" s="48">
        <f>ROUND($D$3*E6/$E$3,2)</f>
        <v>13590.16</v>
      </c>
      <c r="E6" s="49">
        <f>E3-E5</f>
        <v>38153.01</v>
      </c>
      <c r="F6" s="1391"/>
      <c r="G6" s="2234" t="s">
        <v>1880</v>
      </c>
      <c r="H6" s="1398" t="s">
        <v>1881</v>
      </c>
      <c r="I6" s="938">
        <f>ROUND(F31/D31,2)</f>
        <v>1.48</v>
      </c>
      <c r="J6" s="1391"/>
      <c r="K6" s="1391"/>
      <c r="L6" s="1391"/>
      <c r="M6" s="1391"/>
      <c r="N6" s="1391"/>
      <c r="O6" s="1391"/>
      <c r="P6" s="1391"/>
    </row>
    <row r="7" spans="1:16" ht="14.4">
      <c r="A7" s="3552"/>
      <c r="B7" s="3553"/>
      <c r="C7" s="3554"/>
      <c r="D7" s="2230" t="s">
        <v>1875</v>
      </c>
      <c r="E7" s="2235" t="s">
        <v>1882</v>
      </c>
      <c r="F7" s="1391"/>
      <c r="G7" s="2227" t="s">
        <v>1883</v>
      </c>
      <c r="H7" s="64"/>
      <c r="I7" s="420"/>
      <c r="J7" s="1391"/>
      <c r="K7" s="1391"/>
      <c r="L7" s="1391"/>
      <c r="M7" s="1391"/>
      <c r="N7" s="1391"/>
      <c r="O7" s="1391"/>
      <c r="P7" s="1391"/>
    </row>
    <row r="8" spans="1:16" ht="14.4">
      <c r="A8" s="47" t="s">
        <v>1884</v>
      </c>
      <c r="B8" s="50" t="s">
        <v>1885</v>
      </c>
      <c r="C8" s="48" t="s">
        <v>1886</v>
      </c>
      <c r="D8" s="48">
        <f t="shared" ref="D8:D15" si="0">ROUND($D$3*E8/$E$3,2)</f>
        <v>14184.42</v>
      </c>
      <c r="E8" s="51">
        <f>SUMIF('数据-基础表'!BB10:BK10,"地上",'数据-基础表'!BB5:BK5)</f>
        <v>39821.340000000004</v>
      </c>
      <c r="F8" s="1391"/>
      <c r="G8" s="2236"/>
      <c r="H8" s="2236"/>
      <c r="I8" s="1391"/>
      <c r="J8" s="1391"/>
      <c r="K8" s="1391"/>
      <c r="L8" s="1391"/>
      <c r="M8" s="1391"/>
      <c r="N8" s="1391"/>
      <c r="O8" s="1391"/>
      <c r="P8" s="1391"/>
    </row>
    <row r="9" spans="1:16" ht="14.4">
      <c r="A9" s="2237"/>
      <c r="B9" s="2238"/>
      <c r="C9" s="48" t="s">
        <v>1887</v>
      </c>
      <c r="D9" s="48">
        <f t="shared" si="0"/>
        <v>0</v>
      </c>
      <c r="E9" s="52">
        <v>0</v>
      </c>
      <c r="F9" s="1391"/>
      <c r="G9" s="2236"/>
      <c r="H9" s="2236"/>
      <c r="I9" s="1391"/>
      <c r="J9" s="1391"/>
      <c r="K9" s="1391"/>
      <c r="L9" s="1391"/>
      <c r="M9" s="1391"/>
      <c r="N9" s="1391"/>
      <c r="O9" s="1391"/>
      <c r="P9" s="1391"/>
    </row>
    <row r="10" spans="1:16" ht="14.4">
      <c r="A10" s="2237"/>
      <c r="B10" s="2238"/>
      <c r="C10" s="48" t="s">
        <v>1896</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ht="14.4">
      <c r="A11" s="2237"/>
      <c r="B11" s="2238"/>
      <c r="C11" s="48" t="s">
        <v>1888</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ht="14.4">
      <c r="A12" s="2237"/>
      <c r="B12" s="2238"/>
      <c r="C12" s="48" t="s">
        <v>1889</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ht="14.4">
      <c r="A13" s="2237"/>
      <c r="B13" s="2238"/>
      <c r="C13" s="48" t="s">
        <v>1890</v>
      </c>
      <c r="D13" s="48">
        <f t="shared" si="0"/>
        <v>10112.56</v>
      </c>
      <c r="E13" s="51">
        <f>SUMPRODUCT(('数据-基础表'!BB10:BK10="地下")*('数据-基础表'!BB11:BK11="车库")*('数据-基础表'!BB5:BK5))</f>
        <v>28390.01</v>
      </c>
      <c r="F13" s="1391"/>
      <c r="G13" s="2236"/>
      <c r="H13" s="2236"/>
      <c r="I13" s="1391"/>
      <c r="J13" s="1391"/>
      <c r="K13" s="1391"/>
      <c r="L13" s="1391"/>
      <c r="M13" s="1391"/>
      <c r="N13" s="1391"/>
      <c r="O13" s="1391"/>
      <c r="P13" s="1391"/>
    </row>
    <row r="14" spans="1:16" ht="14.4">
      <c r="A14" s="2237"/>
      <c r="B14" s="2238"/>
      <c r="C14" s="48" t="s">
        <v>1902</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1897</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 thickBot="1">
      <c r="A16" s="2233"/>
      <c r="B16" s="2238"/>
      <c r="C16" s="50" t="s">
        <v>1891</v>
      </c>
      <c r="D16" s="50">
        <f>SUM(D8:D15)</f>
        <v>24296.98</v>
      </c>
      <c r="E16" s="53">
        <f>SUM(E8:E15)</f>
        <v>68211.350000000006</v>
      </c>
      <c r="F16" s="1391"/>
      <c r="G16" s="2236"/>
      <c r="H16" s="2239" t="s">
        <v>1903</v>
      </c>
      <c r="I16" s="2240"/>
      <c r="J16" s="1391"/>
      <c r="K16" s="3549" t="s">
        <v>1903</v>
      </c>
      <c r="L16" s="3550"/>
      <c r="M16" s="3550"/>
      <c r="N16" s="3550"/>
      <c r="O16" s="3550"/>
      <c r="P16" s="3551"/>
    </row>
    <row r="17" spans="1:19" ht="14.4">
      <c r="A17" s="2241" t="s">
        <v>1904</v>
      </c>
      <c r="B17" s="2242" t="s">
        <v>1905</v>
      </c>
      <c r="C17" s="2243" t="s">
        <v>1906</v>
      </c>
      <c r="D17" s="2244" t="s">
        <v>1894</v>
      </c>
      <c r="E17" s="2245" t="s">
        <v>1895</v>
      </c>
      <c r="F17" s="2246"/>
      <c r="G17" s="2247"/>
      <c r="H17" s="2248" t="s">
        <v>1907</v>
      </c>
      <c r="I17" s="2249" t="s">
        <v>1892</v>
      </c>
      <c r="J17" s="1391"/>
      <c r="K17" s="3546" t="s">
        <v>1908</v>
      </c>
      <c r="L17" s="3547"/>
      <c r="M17" s="3548"/>
      <c r="N17" s="3546" t="s">
        <v>1909</v>
      </c>
      <c r="O17" s="3547"/>
      <c r="P17" s="3548"/>
      <c r="R17" s="2227" t="s">
        <v>1910</v>
      </c>
      <c r="S17" s="64"/>
    </row>
    <row r="18" spans="1:19" ht="14.4">
      <c r="A18" s="2237"/>
      <c r="B18" s="2250"/>
      <c r="C18" s="2251"/>
      <c r="D18" s="2252"/>
      <c r="E18" s="2253" t="s">
        <v>1911</v>
      </c>
      <c r="F18" s="2254" t="s">
        <v>1912</v>
      </c>
      <c r="G18" s="2255" t="s">
        <v>1913</v>
      </c>
      <c r="H18" s="1261" t="s">
        <v>1914</v>
      </c>
      <c r="I18" s="2256" t="s">
        <v>1915</v>
      </c>
      <c r="J18" s="1391"/>
      <c r="K18" s="1261" t="s">
        <v>1916</v>
      </c>
      <c r="L18" s="2257" t="s">
        <v>1917</v>
      </c>
      <c r="M18" s="1045" t="s">
        <v>1918</v>
      </c>
      <c r="N18" s="1261" t="s">
        <v>1916</v>
      </c>
      <c r="O18" s="2257" t="s">
        <v>1917</v>
      </c>
      <c r="P18" s="1045" t="s">
        <v>1918</v>
      </c>
      <c r="R18" s="1246" t="s">
        <v>1919</v>
      </c>
      <c r="S18" s="1246" t="s">
        <v>1920</v>
      </c>
    </row>
    <row r="19" spans="1:19" ht="14.4">
      <c r="A19" s="2258"/>
      <c r="B19" s="50" t="s">
        <v>1893</v>
      </c>
      <c r="C19" s="2956" t="str">
        <f>定义!A3</f>
        <v>住宅用房</v>
      </c>
      <c r="D19" s="48">
        <f>ROUND($D$3*E19/$E$3,2)</f>
        <v>13367.77</v>
      </c>
      <c r="E19" s="56">
        <f t="shared" ref="E19:E26" si="1">SUM(F19:G19)</f>
        <v>37528.670000000006</v>
      </c>
      <c r="F19" s="57">
        <f>'数据-基础表'!I13+'数据-基础表'!I17+'数据-基础表'!I18+'数据-基础表'!I20+'数据-基础表'!I21+'数据-基础表'!I22+'数据-基础表'!I24</f>
        <v>37528.670000000006</v>
      </c>
      <c r="G19" s="58"/>
      <c r="H19" s="723">
        <f>ROUND($D$3*I19/$E$3,2)</f>
        <v>1464</v>
      </c>
      <c r="I19" s="51">
        <f t="shared" ref="I19:I26" si="2">IF($I$17="自定义",P19,M19)</f>
        <v>4110.04</v>
      </c>
      <c r="J19" s="1391"/>
      <c r="K19" s="1390">
        <f t="shared" ref="K19:K26" si="3">ROUND(E$28*E19/E$27,2)</f>
        <v>4110.04</v>
      </c>
      <c r="L19" s="1246">
        <f t="shared" ref="L19:L26" si="4">ROUND(IF(COUNTIF(C19,"*住宅*")&gt;0,E$29*E19/E$32,0),2)</f>
        <v>0</v>
      </c>
      <c r="M19" s="1402">
        <f>K19+L19</f>
        <v>4110.04</v>
      </c>
      <c r="N19" s="2259"/>
      <c r="O19" s="2260"/>
      <c r="P19" s="1402">
        <f>N19+O19</f>
        <v>0</v>
      </c>
      <c r="R19" s="1246">
        <f t="shared" ref="R19:S26" si="5">D19+H19</f>
        <v>14831.77</v>
      </c>
      <c r="S19" s="1247">
        <f t="shared" si="5"/>
        <v>41638.710000000006</v>
      </c>
    </row>
    <row r="20" spans="1:19" ht="14.4">
      <c r="A20" s="2261"/>
      <c r="B20" s="50" t="s">
        <v>1921</v>
      </c>
      <c r="C20" s="2956" t="str">
        <f>定义!A5</f>
        <v>商业用房</v>
      </c>
      <c r="D20" s="48">
        <f t="shared" ref="D20:D26" si="6">ROUND($D$3*E20/$E$3,2)</f>
        <v>816.65</v>
      </c>
      <c r="E20" s="56">
        <f t="shared" si="1"/>
        <v>2292.67</v>
      </c>
      <c r="F20" s="57">
        <f>'数据-基础表'!K13+'数据-基础表'!K22+'数据-基础表'!K29+'数据-基础表'!K30+'数据-基础表'!K31</f>
        <v>2292.67</v>
      </c>
      <c r="G20" s="58"/>
      <c r="H20" s="723">
        <f t="shared" ref="H20:H26" si="7">ROUND($D$3*I20/$E$3,2)</f>
        <v>89.44</v>
      </c>
      <c r="I20" s="51">
        <f t="shared" si="2"/>
        <v>251.09</v>
      </c>
      <c r="J20" s="1391"/>
      <c r="K20" s="1390">
        <f t="shared" si="3"/>
        <v>251.09</v>
      </c>
      <c r="L20" s="1246">
        <f t="shared" si="4"/>
        <v>0</v>
      </c>
      <c r="M20" s="1402">
        <f t="shared" ref="M20:M26" si="8">K20+L20</f>
        <v>251.09</v>
      </c>
      <c r="N20" s="2259"/>
      <c r="O20" s="2260"/>
      <c r="P20" s="1402">
        <f t="shared" ref="P20:P26" si="9">N20+O20</f>
        <v>0</v>
      </c>
      <c r="R20" s="1246">
        <f t="shared" si="5"/>
        <v>906.08999999999992</v>
      </c>
      <c r="S20" s="1247">
        <f t="shared" si="5"/>
        <v>2543.7600000000002</v>
      </c>
    </row>
    <row r="21" spans="1:19" ht="14.4">
      <c r="A21" s="2261"/>
      <c r="B21" s="50" t="s">
        <v>1921</v>
      </c>
      <c r="C21" s="2956" t="str">
        <f>定义!A6</f>
        <v>地下车库用房</v>
      </c>
      <c r="D21" s="48">
        <f t="shared" si="6"/>
        <v>10112.56</v>
      </c>
      <c r="E21" s="56">
        <f t="shared" si="1"/>
        <v>28390.01</v>
      </c>
      <c r="F21" s="57"/>
      <c r="G21" s="58">
        <f>'数据-基础表'!M32</f>
        <v>28390.01</v>
      </c>
      <c r="H21" s="723">
        <f t="shared" si="7"/>
        <v>1107.5</v>
      </c>
      <c r="I21" s="51">
        <f t="shared" si="2"/>
        <v>3109.2</v>
      </c>
      <c r="J21" s="1391"/>
      <c r="K21" s="1390">
        <f t="shared" si="3"/>
        <v>3109.2</v>
      </c>
      <c r="L21" s="1246">
        <f t="shared" si="4"/>
        <v>0</v>
      </c>
      <c r="M21" s="1402">
        <f t="shared" si="8"/>
        <v>3109.2</v>
      </c>
      <c r="N21" s="2259"/>
      <c r="O21" s="2260"/>
      <c r="P21" s="1402">
        <f t="shared" si="9"/>
        <v>0</v>
      </c>
      <c r="R21" s="1246">
        <f t="shared" si="5"/>
        <v>11220.06</v>
      </c>
      <c r="S21" s="1247">
        <f t="shared" si="5"/>
        <v>31499.21</v>
      </c>
    </row>
    <row r="22" spans="1:19" ht="14.4">
      <c r="A22" s="2261"/>
      <c r="B22" s="50" t="s">
        <v>1921</v>
      </c>
      <c r="C22" s="2957" t="str">
        <f>定义!A4</f>
        <v>保障房</v>
      </c>
      <c r="D22" s="48">
        <f t="shared" si="6"/>
        <v>0</v>
      </c>
      <c r="E22" s="56">
        <f t="shared" si="1"/>
        <v>0</v>
      </c>
      <c r="F22" s="61"/>
      <c r="G22" s="62"/>
      <c r="H22" s="723">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ht="14.4">
      <c r="A23" s="2261"/>
      <c r="B23" s="50" t="s">
        <v>1921</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ht="14.4">
      <c r="A24" s="2261"/>
      <c r="B24" s="50" t="s">
        <v>1921</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ht="14.4">
      <c r="A25" s="2261"/>
      <c r="B25" s="50" t="s">
        <v>1921</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ht="14.4">
      <c r="A26" s="2261"/>
      <c r="B26" s="50" t="s">
        <v>1921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28.2" thickBot="1">
      <c r="A27" s="2261"/>
      <c r="B27" s="48"/>
      <c r="C27" s="2264" t="s">
        <v>1922</v>
      </c>
      <c r="D27" s="1392">
        <f>SUM(D19:D26)</f>
        <v>24296.98</v>
      </c>
      <c r="E27" s="1393">
        <f>IF(SUM(E19:E26)='数据-基础表'!BA5,SUM(E19:E26),IF(F27="地上面积有误","面积有误","地下面积有误"))</f>
        <v>68211.350000000006</v>
      </c>
      <c r="F27" s="1392">
        <f>IF(SUM(F19:F26)=E8,SUM(F19:F26),"地上面积有误")</f>
        <v>39821.340000000004</v>
      </c>
      <c r="G27" s="1394">
        <f>SUM(G19:G26)</f>
        <v>28390.01</v>
      </c>
      <c r="H27" s="1395">
        <f>SUM(H19:H26)</f>
        <v>2660.94</v>
      </c>
      <c r="I27" s="1396">
        <f>SUM(I19:I26)</f>
        <v>7470.33</v>
      </c>
      <c r="J27" s="1391"/>
      <c r="K27" s="1399">
        <f>SUM(K19:K26)</f>
        <v>7470.33</v>
      </c>
      <c r="L27" s="1400">
        <f>SUM(L19:L26)</f>
        <v>0</v>
      </c>
      <c r="M27" s="1403">
        <f>SUM(M19:M26)</f>
        <v>7470.33</v>
      </c>
      <c r="N27" s="1399">
        <f t="shared" ref="N27:O27" si="10">SUM(N19:N26)</f>
        <v>0</v>
      </c>
      <c r="O27" s="1400">
        <f t="shared" si="10"/>
        <v>0</v>
      </c>
      <c r="P27" s="1401">
        <f>SUM(P19:P26)</f>
        <v>0</v>
      </c>
      <c r="R27" s="1248" t="str">
        <f>IF(SUM(R19:R26)=$D$3,SUM(R19:R26),SUM(R19:R26)&amp;"误差"&amp;ROUND(SUM(R19:R26)-$D$3,2))</f>
        <v>26957.92误差-0.01</v>
      </c>
      <c r="S27" s="1246">
        <f>IF(SUM(S19:S26)=$E$3,SUM(S19:S26),SUM(S19:S26)&amp;"误差"&amp;ROUND(SUM(S19:S26)-E3,2))</f>
        <v>75681.680000000008</v>
      </c>
    </row>
    <row r="28" spans="1:19" ht="14.4">
      <c r="A28" s="2261"/>
      <c r="B28" s="50" t="s">
        <v>1923</v>
      </c>
      <c r="C28" s="1258" t="s">
        <v>1924</v>
      </c>
      <c r="D28" s="48">
        <f>ROUND($D$3*E28/$E$3,2)</f>
        <v>2660.94</v>
      </c>
      <c r="E28" s="56">
        <f>SUM(F28:G28)</f>
        <v>7470.329999999999</v>
      </c>
      <c r="F28" s="64">
        <f>'数据-基础表'!BQ5+'数据-基础表'!BS5</f>
        <v>100.25000000000003</v>
      </c>
      <c r="G28" s="65">
        <f>'数据-基础表'!BR5+'数据-基础表'!BT5</f>
        <v>7370.079999999999</v>
      </c>
      <c r="H28" s="1391"/>
      <c r="I28" s="1391"/>
      <c r="J28" s="1391"/>
      <c r="K28" s="1391"/>
      <c r="L28" s="1391"/>
      <c r="M28" s="1391"/>
      <c r="N28" s="1391"/>
      <c r="O28" s="1391"/>
      <c r="P28" s="1391"/>
    </row>
    <row r="29" spans="1:19" ht="14.4">
      <c r="A29" s="2261"/>
      <c r="B29" s="50" t="s">
        <v>1923</v>
      </c>
      <c r="C29" s="2265" t="s">
        <v>1925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1"/>
      <c r="B30" s="50"/>
      <c r="C30" s="2266" t="s">
        <v>1922</v>
      </c>
      <c r="D30" s="1392">
        <f>SUM(D28:D29)</f>
        <v>2660.94</v>
      </c>
      <c r="E30" s="1392">
        <f>SUM(E28:E29)</f>
        <v>7470.329999999999</v>
      </c>
      <c r="F30" s="1392">
        <f>SUM(F28:F29)</f>
        <v>100.25000000000003</v>
      </c>
      <c r="G30" s="1394">
        <f>SUM(G28:G29)</f>
        <v>7370.079999999999</v>
      </c>
      <c r="H30" s="1391"/>
      <c r="I30" s="1391"/>
      <c r="J30" s="1391"/>
      <c r="K30" s="1391"/>
      <c r="L30" s="1391"/>
      <c r="M30" s="1391"/>
      <c r="N30" s="1391"/>
      <c r="O30" s="1391"/>
      <c r="P30" s="1391"/>
    </row>
    <row r="31" spans="1:19" ht="15" thickBot="1">
      <c r="A31" s="2267"/>
      <c r="B31" s="2268"/>
      <c r="C31" s="1006" t="s">
        <v>1926</v>
      </c>
      <c r="D31" s="729">
        <f>D27+D30</f>
        <v>26957.919999999998</v>
      </c>
      <c r="E31" s="729">
        <f>E27+E30</f>
        <v>75681.680000000008</v>
      </c>
      <c r="F31" s="730">
        <f>F27+F30</f>
        <v>39921.590000000004</v>
      </c>
      <c r="G31" s="731">
        <f>G27+G30</f>
        <v>35760.089999999997</v>
      </c>
      <c r="H31" s="1391"/>
      <c r="I31" s="1391"/>
      <c r="J31" s="1391"/>
      <c r="K31" s="1391"/>
      <c r="L31" s="1391"/>
      <c r="M31" s="1391"/>
      <c r="N31" s="1391"/>
      <c r="O31" s="1391"/>
      <c r="P31" s="1391"/>
    </row>
    <row r="32" spans="1:19" ht="14.4">
      <c r="A32" s="2232"/>
      <c r="B32" s="2232" t="s">
        <v>1927</v>
      </c>
      <c r="C32" s="2232"/>
      <c r="D32" s="2232"/>
      <c r="E32" s="1273">
        <f>SUMIF(C19:C26,"*住宅*",E19:E26)</f>
        <v>37528.670000000006</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561" t="s">
        <v>0</v>
      </c>
      <c r="B1" s="3561" t="s">
        <v>4</v>
      </c>
      <c r="C1" s="3561" t="s">
        <v>5</v>
      </c>
      <c r="D1" s="3562" t="s">
        <v>53</v>
      </c>
      <c r="E1" s="3562" t="s">
        <v>54</v>
      </c>
      <c r="F1" s="3562"/>
      <c r="G1" s="3562"/>
      <c r="H1" s="3562"/>
      <c r="I1" s="3562"/>
      <c r="J1" s="3562"/>
      <c r="K1" s="3562"/>
      <c r="L1" s="3562"/>
      <c r="M1" s="3562"/>
    </row>
    <row r="2" spans="1:13" ht="27" customHeight="1">
      <c r="A2" s="3561"/>
      <c r="B2" s="3561"/>
      <c r="C2" s="3561"/>
      <c r="D2" s="3562"/>
      <c r="E2" s="3562" t="s">
        <v>37</v>
      </c>
      <c r="F2" s="3562" t="s">
        <v>38</v>
      </c>
      <c r="G2" s="3562"/>
      <c r="H2" s="3562"/>
      <c r="I2" s="3562"/>
      <c r="J2" s="3562" t="s">
        <v>39</v>
      </c>
      <c r="K2" s="3562"/>
      <c r="L2" s="3562"/>
      <c r="M2" s="3562"/>
    </row>
    <row r="3" spans="1:13" ht="46.8">
      <c r="A3" s="3561"/>
      <c r="B3" s="3561"/>
      <c r="C3" s="3561"/>
      <c r="D3" s="3562"/>
      <c r="E3" s="356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62" t="s">
        <v>55</v>
      </c>
      <c r="B9" s="3562"/>
      <c r="C9" s="35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8"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24" width="6.77734375" style="2273" customWidth="1"/>
    <col min="25" max="25" width="8.33203125" style="2273" customWidth="1"/>
    <col min="26"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1928</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4" t="s">
        <v>1929</v>
      </c>
      <c r="B2" s="1265">
        <f>项目基本情况!D3</f>
        <v>43685</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4.4"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1930</v>
      </c>
      <c r="B4" s="2279"/>
      <c r="C4" s="2280"/>
      <c r="D4" s="2281"/>
      <c r="E4" s="2280" t="s">
        <v>1931</v>
      </c>
      <c r="F4" s="2280"/>
      <c r="G4" s="2280"/>
      <c r="H4" s="2280"/>
      <c r="I4" s="2280"/>
      <c r="J4" s="2282"/>
      <c r="K4" s="2283"/>
      <c r="L4" s="2284"/>
      <c r="M4" s="2280"/>
      <c r="N4" s="2280" t="s">
        <v>1932</v>
      </c>
      <c r="O4" s="2280"/>
      <c r="P4" s="2280"/>
      <c r="Q4" s="2280"/>
      <c r="R4" s="2280"/>
      <c r="S4" s="2282"/>
      <c r="T4" s="2285" t="str">
        <f>'数据-汇总表'!I17</f>
        <v>按面积比例</v>
      </c>
      <c r="U4" s="2279" t="s">
        <v>1933</v>
      </c>
      <c r="V4" s="2280"/>
      <c r="W4" s="2280"/>
      <c r="X4" s="2280"/>
      <c r="Y4" s="2282"/>
      <c r="Z4" s="2243" t="s">
        <v>1934</v>
      </c>
      <c r="AA4" s="2243"/>
      <c r="AB4" s="2243"/>
      <c r="AC4" s="2243"/>
      <c r="AD4" s="2243"/>
      <c r="AE4" s="2241" t="s">
        <v>1935</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57.6">
      <c r="A5" s="2287" t="s">
        <v>1936</v>
      </c>
      <c r="B5" s="2288" t="s">
        <v>1937</v>
      </c>
      <c r="C5" s="2289" t="s">
        <v>1938</v>
      </c>
      <c r="D5" s="2290" t="s">
        <v>1939</v>
      </c>
      <c r="E5" s="1267" t="s">
        <v>1940</v>
      </c>
      <c r="F5" s="2291" t="s">
        <v>1941</v>
      </c>
      <c r="G5" s="1267" t="s">
        <v>1942</v>
      </c>
      <c r="H5" s="1267" t="s">
        <v>1943</v>
      </c>
      <c r="I5" s="1267" t="s">
        <v>1944</v>
      </c>
      <c r="J5" s="2292" t="s">
        <v>1945</v>
      </c>
      <c r="K5" s="2293" t="s">
        <v>1946</v>
      </c>
      <c r="L5" s="2294" t="s">
        <v>1947</v>
      </c>
      <c r="M5" s="2295" t="s">
        <v>1948</v>
      </c>
      <c r="N5" s="2296" t="s">
        <v>1949</v>
      </c>
      <c r="O5" s="2294" t="s">
        <v>1950</v>
      </c>
      <c r="P5" s="2297" t="s">
        <v>1951</v>
      </c>
      <c r="Q5" s="69" t="s">
        <v>1952</v>
      </c>
      <c r="R5" s="2298" t="s">
        <v>1953</v>
      </c>
      <c r="S5" s="2299" t="s">
        <v>1954</v>
      </c>
      <c r="T5" s="2300" t="s">
        <v>1955</v>
      </c>
      <c r="U5" s="1266" t="s">
        <v>1956</v>
      </c>
      <c r="V5" s="1267" t="s">
        <v>1957</v>
      </c>
      <c r="W5" s="1267" t="s">
        <v>1958</v>
      </c>
      <c r="X5" s="71"/>
      <c r="Y5" s="70" t="s">
        <v>1959</v>
      </c>
      <c r="Z5" s="2301" t="s">
        <v>1956</v>
      </c>
      <c r="AA5" s="1267" t="s">
        <v>1957</v>
      </c>
      <c r="AB5" s="1267" t="s">
        <v>1958</v>
      </c>
      <c r="AC5" s="71"/>
      <c r="AD5" s="71" t="s">
        <v>1959</v>
      </c>
      <c r="AE5" s="1266" t="s">
        <v>1960</v>
      </c>
      <c r="AF5" s="1267" t="s">
        <v>1961</v>
      </c>
      <c r="AG5" s="70" t="s">
        <v>1962</v>
      </c>
      <c r="AH5" s="1266" t="s">
        <v>1963</v>
      </c>
      <c r="AI5" s="2301" t="s">
        <v>1964</v>
      </c>
      <c r="AJ5" s="2301" t="s">
        <v>1965</v>
      </c>
      <c r="AK5" s="1267" t="s">
        <v>1966</v>
      </c>
      <c r="AL5" s="1267" t="s">
        <v>1967</v>
      </c>
      <c r="AM5" s="70" t="s">
        <v>1968</v>
      </c>
      <c r="AN5" s="2302" t="s">
        <v>1969</v>
      </c>
      <c r="AO5" s="2073" t="s">
        <v>1970</v>
      </c>
      <c r="AP5" s="1248" t="s">
        <v>1971</v>
      </c>
      <c r="AQ5" s="2303" t="s">
        <v>1972</v>
      </c>
      <c r="AR5" s="2303" t="s">
        <v>1973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3.8">
      <c r="A6" s="2304" t="str">
        <f>'数据-汇总表'!C19</f>
        <v>住宅用房</v>
      </c>
      <c r="B6" s="2305" t="str">
        <f>IF(A6=0,"","经营性")</f>
        <v>经营性</v>
      </c>
      <c r="C6" s="2306" t="s">
        <v>3040</v>
      </c>
      <c r="D6" s="1050">
        <f>SUMIF(项目基本情况!D$12:I$12,C6,项目基本情况!D$14:I$14)</f>
        <v>70</v>
      </c>
      <c r="E6" s="1047">
        <f>IF(B6="","",SUMIF(项目基本情况!D$12:I$12,C6,项目基本情况!D$13:I$13))</f>
        <v>68676</v>
      </c>
      <c r="F6" s="72">
        <f>SUMIF(项目基本情况!D$12:I$12,C6,项目基本情况!D$15:I$15)</f>
        <v>68.459999999999994</v>
      </c>
      <c r="G6" s="73">
        <f>IF(ISERROR(ROUND(POWER(1+H6,D6-F6)*(POWER(1+H6,F6)-1)/(POWER(1+H6,D6)-1),3)),0,ROUND(POWER(1+H6,D6-F6)*(POWER(1+H6,F6)-1)/(POWER(1+H6,D6)-1),3))</f>
        <v>0.997</v>
      </c>
      <c r="H6" s="802">
        <v>4.4999999999999998E-2</v>
      </c>
      <c r="I6" s="802">
        <v>0.05</v>
      </c>
      <c r="J6" s="74">
        <v>8.5000000000000006E-2</v>
      </c>
      <c r="K6" s="1250">
        <f>SUMIF('数据-汇总表'!C$19:C$33,A6,'数据-汇总表'!E$19:E$33)</f>
        <v>37528.670000000006</v>
      </c>
      <c r="L6" s="803">
        <v>2000</v>
      </c>
      <c r="M6" s="75">
        <f t="shared" ref="M6:M14" si="0">ROUND(K6*L6/10000,0)</f>
        <v>7506</v>
      </c>
      <c r="N6" s="801">
        <f>工程进度!F33</f>
        <v>0.28999999999999998</v>
      </c>
      <c r="O6" s="75">
        <f>IF($N$5="成新度","——",ROUND(M6*N6,0))</f>
        <v>2177</v>
      </c>
      <c r="P6" s="76">
        <f>IF($N$5="成新度","——",M6-O6)</f>
        <v>5329</v>
      </c>
      <c r="Q6" s="804">
        <v>0.15</v>
      </c>
      <c r="R6" s="77">
        <f ca="1">SUMIF('数据-汇总表'!C$19:C$33,A6,'数据-汇总表'!R$19:R$27)</f>
        <v>14831.77</v>
      </c>
      <c r="S6" s="54">
        <f>IF('数据-汇总表'!$I$17="按面积比例",SUMIF('数据-汇总表'!C$19:C$33,A6,'数据-汇总表'!K$19:K$33),SUMIF('数据-汇总表'!C$19:C$33,A6,'数据-汇总表'!N$19:N$33))</f>
        <v>4110.04</v>
      </c>
      <c r="T6" s="1442">
        <f>ROUND($L$14*S6/10000,0)</f>
        <v>822</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v>1.4999999999999999E-2</v>
      </c>
      <c r="AL6" s="88">
        <v>1.5E-3</v>
      </c>
      <c r="AM6" s="89">
        <v>0.01</v>
      </c>
      <c r="AN6" s="2307"/>
      <c r="AO6" s="55" t="e">
        <f ca="1">SUMIF(INDIRECT("'"&amp;AN6&amp;"'"&amp;"!A:A"),"总价",INDIRECT("'"&amp;AN6&amp;"'"&amp;"!B:B"))</f>
        <v>#REF!</v>
      </c>
      <c r="AP6" s="2308">
        <f>IF(C6="住宅",K6*L6,0)</f>
        <v>75057340.000000015</v>
      </c>
      <c r="AQ6" s="55">
        <f>ROUND($L$14*$N$14*S6/10000,0)</f>
        <v>238</v>
      </c>
      <c r="AR6" s="55">
        <f>ROUND($L$14*(1-$N$14)*S6/10000,0)</f>
        <v>584</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3.5" customHeight="1">
      <c r="A7" s="2304" t="str">
        <f>'数据-汇总表'!C20</f>
        <v>商业用房</v>
      </c>
      <c r="B7" s="2305" t="str">
        <f t="shared" ref="B7:B13" si="1">IF(A7=0,"","经营性")</f>
        <v>经营性</v>
      </c>
      <c r="C7" s="2306" t="s">
        <v>1369</v>
      </c>
      <c r="D7" s="1050">
        <f>SUMIF(项目基本情况!D$12:I$12,C7,项目基本情况!D$14:I$14)</f>
        <v>40</v>
      </c>
      <c r="E7" s="1047">
        <f>IF(B7="","",SUMIF(项目基本情况!D$12:I$12,C7,项目基本情况!D$13:I$13))</f>
        <v>57719</v>
      </c>
      <c r="F7" s="72">
        <f>SUMIF(项目基本情况!D$12:I$12,C7,项目基本情况!D$15:I$15)</f>
        <v>38.44</v>
      </c>
      <c r="G7" s="73">
        <f t="shared" ref="G7:G11" si="2">IF(ISERROR(ROUND(POWER(1+H7,D7-F7)*(POWER(1+H7,F7)-1)/(POWER(1+H7,D7)-1),3)),0,ROUND(POWER(1+H7,D7-F7)*(POWER(1+H7,F7)-1)/(POWER(1+H7,D7)-1),3))</f>
        <v>0.98799999999999999</v>
      </c>
      <c r="H7" s="802">
        <v>5.5E-2</v>
      </c>
      <c r="I7" s="802">
        <v>0.06</v>
      </c>
      <c r="J7" s="74">
        <v>8.5000000000000006E-2</v>
      </c>
      <c r="K7" s="1250">
        <f>SUMIF('数据-汇总表'!C$19:C$33,A7,'数据-汇总表'!E$19:E$33)</f>
        <v>2292.67</v>
      </c>
      <c r="L7" s="803">
        <f>L6</f>
        <v>2000</v>
      </c>
      <c r="M7" s="75">
        <f t="shared" si="0"/>
        <v>459</v>
      </c>
      <c r="N7" s="801">
        <f>N6</f>
        <v>0.28999999999999998</v>
      </c>
      <c r="O7" s="75">
        <f t="shared" ref="O7:O14" si="3">IF($N$5="成新度","——",ROUND(M7*N7,0))</f>
        <v>133</v>
      </c>
      <c r="P7" s="76">
        <f t="shared" ref="P7:P14" si="4">IF($N$5="成新度","——",M7-O7)</f>
        <v>326</v>
      </c>
      <c r="Q7" s="804">
        <v>0.2</v>
      </c>
      <c r="R7" s="77">
        <f ca="1">SUMIF('数据-汇总表'!C$19:C$33,A7,'数据-汇总表'!R$19:R$27)</f>
        <v>906.08999999999992</v>
      </c>
      <c r="S7" s="54">
        <f>IF('数据-汇总表'!$I$17="按面积比例",SUMIF('数据-汇总表'!C$19:C$33,A7,'数据-汇总表'!K$19:K$33),SUMIF('数据-汇总表'!C$19:C$33,A7,'数据-汇总表'!N$19:N$33))</f>
        <v>251.09</v>
      </c>
      <c r="T7" s="1442">
        <f t="shared" ref="T7:T13" si="5">ROUND($L$14*S7/10000,0)</f>
        <v>50</v>
      </c>
      <c r="U7" s="3471">
        <v>2.6</v>
      </c>
      <c r="V7" s="79">
        <v>2.5000000000000001E-2</v>
      </c>
      <c r="W7" s="79">
        <v>0.1</v>
      </c>
      <c r="X7" s="1260"/>
      <c r="Y7" s="80">
        <v>1</v>
      </c>
      <c r="Z7" s="81"/>
      <c r="AA7" s="74"/>
      <c r="AB7" s="74"/>
      <c r="AC7" s="1260"/>
      <c r="AD7" s="82"/>
      <c r="AE7" s="1261">
        <f t="shared" ref="AE7:AE13" ca="1" si="6">IF(AN7="",0,SUMIF(INDIRECT("'"&amp;AN7&amp;"'"&amp;"!E:E"),$AE$5,INDIRECT("'"&amp;AN7&amp;"'"&amp;"!F:F")))</f>
        <v>37.04</v>
      </c>
      <c r="AF7" s="1803"/>
      <c r="AG7" s="147">
        <f t="shared" ref="AG7:AG13" si="7">IF(AF7="",0,AE7-AF7)</f>
        <v>0</v>
      </c>
      <c r="AH7" s="83"/>
      <c r="AI7" s="85">
        <v>365</v>
      </c>
      <c r="AJ7" s="86"/>
      <c r="AK7" s="87">
        <v>1.4999999999999999E-2</v>
      </c>
      <c r="AL7" s="88">
        <v>1.5E-3</v>
      </c>
      <c r="AM7" s="89">
        <v>0.01</v>
      </c>
      <c r="AN7" s="2307" t="s">
        <v>3349</v>
      </c>
      <c r="AO7" s="55">
        <f t="shared" ref="AO7:AO13" ca="1" si="8">SUMIF(INDIRECT("'"&amp;AN7&amp;"'"&amp;"!A:A"),"总价",INDIRECT("'"&amp;AN7&amp;"'"&amp;"!B:B"))</f>
        <v>2989</v>
      </c>
      <c r="AP7" s="2308">
        <f t="shared" ref="AP7:AP13" si="9">IF(C7="住宅",K7*L7,0)</f>
        <v>0</v>
      </c>
      <c r="AQ7" s="55">
        <f t="shared" ref="AQ7:AQ13" si="10">ROUND($L$14*$N$14*S7/10000,0)</f>
        <v>15</v>
      </c>
      <c r="AR7" s="55">
        <f t="shared" ref="AR7:AR13" si="11">ROUND($L$14*(1-$N$14)*S7/10000,0)</f>
        <v>36</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3.8">
      <c r="A8" s="2304" t="str">
        <f>'数据-汇总表'!C21</f>
        <v>地下车库用房</v>
      </c>
      <c r="B8" s="2305" t="str">
        <f t="shared" si="1"/>
        <v>经营性</v>
      </c>
      <c r="C8" s="2306" t="s">
        <v>3035</v>
      </c>
      <c r="D8" s="1050">
        <f>SUMIF(项目基本情况!D$12:I$12,C8,项目基本情况!D$14:I$14)</f>
        <v>50</v>
      </c>
      <c r="E8" s="1047">
        <f>IF(B8="","",SUMIF(项目基本情况!D$12:I$12,C8,项目基本情况!D$13:I$13))</f>
        <v>61371</v>
      </c>
      <c r="F8" s="72">
        <f>SUMIF(项目基本情况!D$12:I$12,C8,项目基本情况!D$15:I$15)</f>
        <v>48.45</v>
      </c>
      <c r="G8" s="73">
        <f t="shared" si="2"/>
        <v>0.99199999999999999</v>
      </c>
      <c r="H8" s="802">
        <v>0.05</v>
      </c>
      <c r="I8" s="802">
        <v>5.5E-2</v>
      </c>
      <c r="J8" s="74">
        <v>8.5000000000000006E-2</v>
      </c>
      <c r="K8" s="1250">
        <f>SUMIF('数据-汇总表'!C$19:C$33,A8,'数据-汇总表'!E$19:E$33)</f>
        <v>28390.01</v>
      </c>
      <c r="L8" s="803">
        <f t="shared" ref="L8:L9" si="12">L7</f>
        <v>2000</v>
      </c>
      <c r="M8" s="75">
        <f>ROUND(K8*L8/10000,0)</f>
        <v>5678</v>
      </c>
      <c r="N8" s="801">
        <f>N6</f>
        <v>0.28999999999999998</v>
      </c>
      <c r="O8" s="75">
        <f t="shared" si="3"/>
        <v>1647</v>
      </c>
      <c r="P8" s="76">
        <f t="shared" si="4"/>
        <v>4031</v>
      </c>
      <c r="Q8" s="804">
        <v>0.05</v>
      </c>
      <c r="R8" s="77">
        <f ca="1">SUMIF('数据-汇总表'!C$19:C$33,A8,'数据-汇总表'!R$19:R$27)</f>
        <v>11220.06</v>
      </c>
      <c r="S8" s="54">
        <f>IF('数据-汇总表'!$I$17="按面积比例",SUMIF('数据-汇总表'!C$19:C$33,A8,'数据-汇总表'!K$19:K$33),SUMIF('数据-汇总表'!C$19:C$33,A8,'数据-汇总表'!N$19:N$33))</f>
        <v>3109.2</v>
      </c>
      <c r="T8" s="1442">
        <f t="shared" si="5"/>
        <v>622</v>
      </c>
      <c r="U8" s="805">
        <v>800</v>
      </c>
      <c r="V8" s="79">
        <v>1.4999999999999999E-2</v>
      </c>
      <c r="W8" s="79">
        <v>0.1</v>
      </c>
      <c r="X8" s="1260"/>
      <c r="Y8" s="806">
        <v>1</v>
      </c>
      <c r="Z8" s="81"/>
      <c r="AA8" s="74"/>
      <c r="AB8" s="74"/>
      <c r="AC8" s="1260"/>
      <c r="AD8" s="82"/>
      <c r="AE8" s="1261">
        <f t="shared" ca="1" si="6"/>
        <v>47.050000000000004</v>
      </c>
      <c r="AF8" s="1803"/>
      <c r="AG8" s="147">
        <f t="shared" si="7"/>
        <v>0</v>
      </c>
      <c r="AH8" s="807">
        <f>ROUND('数据-基础表'!M32/50,0)</f>
        <v>568</v>
      </c>
      <c r="AI8" s="85">
        <v>12</v>
      </c>
      <c r="AJ8" s="86"/>
      <c r="AK8" s="808">
        <v>1.4999999999999999E-2</v>
      </c>
      <c r="AL8" s="809">
        <v>1.5E-3</v>
      </c>
      <c r="AM8" s="810">
        <v>0.01</v>
      </c>
      <c r="AN8" s="2307" t="s">
        <v>3351</v>
      </c>
      <c r="AO8" s="55">
        <f t="shared" ca="1" si="8"/>
        <v>5278</v>
      </c>
      <c r="AP8" s="2308">
        <f t="shared" si="9"/>
        <v>0</v>
      </c>
      <c r="AQ8" s="55">
        <f t="shared" si="10"/>
        <v>180</v>
      </c>
      <c r="AR8" s="55">
        <f t="shared" si="11"/>
        <v>442</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3.8">
      <c r="A9" s="2304" t="str">
        <f>'数据-汇总表'!C22</f>
        <v>保障房</v>
      </c>
      <c r="B9" s="2305" t="str">
        <f t="shared" si="1"/>
        <v>经营性</v>
      </c>
      <c r="C9" s="2306" t="s">
        <v>3040</v>
      </c>
      <c r="D9" s="1050">
        <f>SUMIF(项目基本情况!D$12:I$12,C9,项目基本情况!D$14:I$14)</f>
        <v>70</v>
      </c>
      <c r="E9" s="1047">
        <f>IF(B9="","",SUMIF(项目基本情况!D$12:I$12,C9,项目基本情况!D$13:I$13))</f>
        <v>68676</v>
      </c>
      <c r="F9" s="72">
        <f>SUMIF(项目基本情况!D$12:I$12,C9,项目基本情况!D$15:I$15)</f>
        <v>68.459999999999994</v>
      </c>
      <c r="G9" s="73">
        <f t="shared" si="2"/>
        <v>0.997</v>
      </c>
      <c r="H9" s="74">
        <v>4.4999999999999998E-2</v>
      </c>
      <c r="I9" s="74">
        <v>0.05</v>
      </c>
      <c r="J9" s="74">
        <v>8.5000000000000006E-2</v>
      </c>
      <c r="K9" s="1250">
        <f>SUMIF('数据-汇总表'!C$19:C$33,A9,'数据-汇总表'!E$19:E$33)</f>
        <v>0</v>
      </c>
      <c r="L9" s="803">
        <f t="shared" si="12"/>
        <v>2000</v>
      </c>
      <c r="M9" s="75">
        <f t="shared" si="0"/>
        <v>0</v>
      </c>
      <c r="N9" s="801">
        <f>N6</f>
        <v>0.28999999999999998</v>
      </c>
      <c r="O9" s="75">
        <f t="shared" si="3"/>
        <v>0</v>
      </c>
      <c r="P9" s="76">
        <f t="shared" si="4"/>
        <v>0</v>
      </c>
      <c r="Q9" s="90">
        <v>0.15</v>
      </c>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v>1.4999999999999999E-2</v>
      </c>
      <c r="AL9" s="88">
        <v>1.5E-3</v>
      </c>
      <c r="AM9" s="89">
        <v>0.01</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3.8">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3.8">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3.8">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3.8">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4">
      <c r="A14" s="2309" t="s">
        <v>1974</v>
      </c>
      <c r="B14" s="2305" t="s">
        <v>1975</v>
      </c>
      <c r="C14" s="2310" t="s">
        <v>1974</v>
      </c>
      <c r="D14" s="1050"/>
      <c r="E14" s="1047"/>
      <c r="F14" s="72"/>
      <c r="G14" s="73"/>
      <c r="H14" s="1249"/>
      <c r="I14" s="1249"/>
      <c r="J14" s="1249"/>
      <c r="K14" s="1250">
        <f>SUMIF('数据-汇总表'!C$19:C$33,A14,'数据-汇总表'!E$19:E$33)</f>
        <v>7470.329999999999</v>
      </c>
      <c r="L14" s="91">
        <f>L6</f>
        <v>2000</v>
      </c>
      <c r="M14" s="75">
        <f t="shared" si="0"/>
        <v>1494</v>
      </c>
      <c r="N14" s="92">
        <f>N6</f>
        <v>0.28999999999999998</v>
      </c>
      <c r="O14" s="75">
        <f t="shared" si="3"/>
        <v>433</v>
      </c>
      <c r="P14" s="76">
        <f t="shared" si="4"/>
        <v>1061</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8.8">
      <c r="A15" s="2309" t="s">
        <v>1976</v>
      </c>
      <c r="B15" s="2305" t="s">
        <v>1975</v>
      </c>
      <c r="C15" s="2310" t="s">
        <v>1977</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 thickBot="1">
      <c r="A16" s="2311" t="s">
        <v>1978</v>
      </c>
      <c r="B16" s="97"/>
      <c r="C16" s="1004"/>
      <c r="D16" s="2312"/>
      <c r="E16" s="97"/>
      <c r="F16" s="97"/>
      <c r="G16" s="98">
        <f>ROUND(SUMPRODUCT(G6:G13,K6:K13)/SUMPRODUCT((G6:G13&gt;0)*(K6:K13)),3)</f>
        <v>0.995</v>
      </c>
      <c r="H16" s="99">
        <f>ROUND(SUMPRODUCT(H6:H13,K6:K13)/SUMPRODUCT((H6:H13&gt;0)*(K6:K13)),3)</f>
        <v>4.7E-2</v>
      </c>
      <c r="I16" s="100"/>
      <c r="J16" s="100"/>
      <c r="K16" s="101">
        <f>SUM(K6:K15)</f>
        <v>75681.680000000008</v>
      </c>
      <c r="L16" s="102">
        <f>ROUND(M16*10000/SUM(K6:K14),0)</f>
        <v>2000</v>
      </c>
      <c r="M16" s="102">
        <f>SUM(M6:M14)</f>
        <v>15137</v>
      </c>
      <c r="N16" s="103">
        <f>ROUND(SUMPRODUCT(M6:M14,N6:N14)/M16,3)</f>
        <v>0.28999999999999998</v>
      </c>
      <c r="O16" s="102">
        <f>SUM(O6:O14)</f>
        <v>4390</v>
      </c>
      <c r="P16" s="102">
        <f>SUM(P6:P14)</f>
        <v>10747</v>
      </c>
      <c r="Q16" s="104">
        <f>ROUND(SUMPRODUCT(Q6:Q13,K6:K13)/SUMPRODUCT((Q6:Q13&gt;0)*(K6:K13)),2)</f>
        <v>0.11</v>
      </c>
      <c r="R16" s="1254">
        <f ca="1">SUM(R6:R13)</f>
        <v>26957.919999999998</v>
      </c>
      <c r="S16" s="105">
        <f>SUM(S6:S13)</f>
        <v>7470.33</v>
      </c>
      <c r="T16" s="106">
        <f>IF(SUMIF(T6:T13,"&lt;9E307")=M14,SUMIF(T6:T13,"&lt;9E307"),"有误，请检查")</f>
        <v>1494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1979</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1980</v>
      </c>
      <c r="B19" s="112">
        <v>0</v>
      </c>
      <c r="C19" s="2275" t="s">
        <v>1981</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1982</v>
      </c>
      <c r="B20" s="113">
        <v>2</v>
      </c>
      <c r="C20" s="2275" t="s">
        <v>1983</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1984</v>
      </c>
      <c r="B21" s="113">
        <v>0.6</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1985</v>
      </c>
      <c r="B22" s="114">
        <f>B19+B20</f>
        <v>2</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1986</v>
      </c>
      <c r="B23" s="114">
        <f>B19+B21</f>
        <v>0.6</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1987</v>
      </c>
      <c r="B24" s="115">
        <f>B20-B21</f>
        <v>1.4</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1988</v>
      </c>
      <c r="B26" s="2318" t="s">
        <v>1989</v>
      </c>
      <c r="C26" s="2319" t="s">
        <v>1990</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1991</v>
      </c>
      <c r="B27" s="116">
        <v>73.7</v>
      </c>
      <c r="C27" s="1763" t="s">
        <v>1992</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8.8">
      <c r="A28" s="2323" t="s">
        <v>1993</v>
      </c>
      <c r="B28" s="119">
        <v>62</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9.4" thickBot="1">
      <c r="A29" s="2325" t="s">
        <v>1994</v>
      </c>
      <c r="B29" s="121">
        <v>0</v>
      </c>
      <c r="C29" s="1763" t="s">
        <v>1995</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8.8">
      <c r="A30" s="2326" t="s">
        <v>1996</v>
      </c>
      <c r="B30" s="724">
        <v>150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8.8">
      <c r="A31" s="2323" t="s">
        <v>1997</v>
      </c>
      <c r="B31" s="120">
        <f>B30-B32</f>
        <v>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9.4" thickBot="1">
      <c r="A32" s="2327" t="s">
        <v>1998</v>
      </c>
      <c r="B32" s="725">
        <v>150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4">
      <c r="A33" s="2320" t="s">
        <v>1999</v>
      </c>
      <c r="B33" s="726">
        <v>0.03</v>
      </c>
      <c r="C33" s="1762" t="s">
        <v>2000</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4">
      <c r="A34" s="2323" t="s">
        <v>2001</v>
      </c>
      <c r="B34" s="122">
        <v>0.04</v>
      </c>
      <c r="C34" s="1762" t="s">
        <v>2002</v>
      </c>
      <c r="D34" s="2276" t="s">
        <v>2003</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4">
      <c r="A35" s="2323" t="s">
        <v>2004</v>
      </c>
      <c r="B35" s="119">
        <v>150</v>
      </c>
      <c r="C35" s="1762" t="s">
        <v>2005</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2006</v>
      </c>
      <c r="B36" s="123">
        <v>1.4999999999999999E-2</v>
      </c>
      <c r="C36" s="1762" t="s">
        <v>2007</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2008</v>
      </c>
      <c r="B37" s="124">
        <v>0.02</v>
      </c>
      <c r="C37" s="1762" t="s">
        <v>2009</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2010</v>
      </c>
      <c r="B38" s="122">
        <v>0.02</v>
      </c>
      <c r="C38" s="1762" t="s">
        <v>2009</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2011</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2012</v>
      </c>
      <c r="B40" s="1299">
        <f ca="1">存贷款利率!G1</f>
        <v>4.7500000000000001E-2</v>
      </c>
      <c r="C40" s="1762" t="s">
        <v>2013</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2014</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2015</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2016</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2017</v>
      </c>
      <c r="B44" s="128">
        <v>0.05</v>
      </c>
      <c r="C44" s="1762" t="s">
        <v>2018</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2019</v>
      </c>
      <c r="B45" s="126">
        <v>0.03</v>
      </c>
      <c r="C45" s="1763" t="s">
        <v>2020</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2021</v>
      </c>
      <c r="B46" s="126">
        <v>0.02</v>
      </c>
      <c r="C46" s="1763" t="s">
        <v>2022</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2023</v>
      </c>
      <c r="B47" s="129"/>
      <c r="C47" s="1763" t="s">
        <v>2024</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2025</v>
      </c>
      <c r="B48" s="130">
        <v>0.04</v>
      </c>
      <c r="C48" s="1770" t="s">
        <v>2026</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2027</v>
      </c>
      <c r="B49" s="126">
        <v>5.0000000000000001E-4</v>
      </c>
      <c r="C49" s="1770" t="s">
        <v>2028</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2029</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2030</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2031</v>
      </c>
      <c r="B52" s="133">
        <f>SUMIF(A54:A63,B53,B54:B63)</f>
        <v>10</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2032</v>
      </c>
      <c r="B53" s="2334" t="s">
        <v>442</v>
      </c>
      <c r="C53" s="1426" t="s">
        <v>2033</v>
      </c>
      <c r="D53" s="2335" t="s">
        <v>2034</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2035</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2036</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2037</v>
      </c>
      <c r="B56" s="84">
        <v>10</v>
      </c>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2038</v>
      </c>
      <c r="B57" s="84"/>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2039</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2040</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2041</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2042</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2043</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2044</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3.8"/>
  <cols>
    <col min="1" max="1" width="9.44140625" style="2367" customWidth="1"/>
    <col min="2" max="2" width="24.44140625" style="2414" customWidth="1"/>
    <col min="3" max="3" width="24.44140625" style="2413" customWidth="1"/>
    <col min="4" max="4" width="2.6640625" style="2413" customWidth="1"/>
    <col min="5" max="5" width="5.88671875" style="2413" customWidth="1"/>
    <col min="6" max="6" width="27" style="2414" customWidth="1"/>
    <col min="7" max="7" width="27" style="2415" customWidth="1"/>
    <col min="8" max="8" width="11.88671875" style="2393" customWidth="1"/>
    <col min="9" max="9" width="16.77734375" style="2394" customWidth="1"/>
    <col min="10" max="10" width="2.6640625" style="2393" customWidth="1"/>
    <col min="11" max="11" width="11.88671875" style="2393" customWidth="1"/>
    <col min="12" max="12" width="16.77734375" style="2394" customWidth="1"/>
    <col min="13" max="13" width="2.6640625" style="2393" customWidth="1"/>
    <col min="14" max="14" width="11.88671875" style="2393" customWidth="1"/>
    <col min="15" max="15" width="16.77734375" style="2394" customWidth="1"/>
    <col min="16" max="16" width="2.6640625" style="2393" customWidth="1"/>
    <col min="17" max="17" width="11.88671875" style="2393" customWidth="1"/>
    <col min="18" max="18" width="16.77734375" style="2395" customWidth="1"/>
    <col min="19" max="29" width="9" style="2366"/>
    <col min="30" max="16384" width="9" style="2367"/>
  </cols>
  <sheetData>
    <row r="1" spans="1:29" s="2360" customFormat="1" ht="18" thickBot="1">
      <c r="A1" s="3563" t="s">
        <v>2045</v>
      </c>
      <c r="B1" s="3564"/>
      <c r="C1" s="3564"/>
      <c r="D1" s="3564"/>
      <c r="E1" s="3564"/>
      <c r="F1" s="3564"/>
      <c r="G1" s="356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2046</v>
      </c>
      <c r="D2" s="2364"/>
      <c r="E2" s="2365"/>
      <c r="F2" s="2284"/>
      <c r="G2" s="2363" t="s">
        <v>2047</v>
      </c>
      <c r="H2" s="2366"/>
      <c r="I2" s="2366"/>
      <c r="J2" s="2366"/>
      <c r="K2" s="2366"/>
      <c r="L2" s="2366"/>
      <c r="M2" s="2366"/>
      <c r="N2" s="2366"/>
      <c r="O2" s="2366"/>
      <c r="P2" s="2366"/>
      <c r="Q2" s="2366"/>
      <c r="R2" s="2366"/>
    </row>
    <row r="3" spans="1:29" ht="69">
      <c r="A3" s="415" t="s">
        <v>2048</v>
      </c>
      <c r="B3" s="1267" t="s">
        <v>2049</v>
      </c>
      <c r="C3" s="2368" t="s">
        <v>3354</v>
      </c>
      <c r="D3" s="2369"/>
      <c r="E3" s="431" t="s">
        <v>2048</v>
      </c>
      <c r="F3" s="2370" t="s">
        <v>2050</v>
      </c>
      <c r="G3" s="2371"/>
      <c r="H3" s="2366"/>
      <c r="I3" s="2366"/>
      <c r="J3" s="2366"/>
      <c r="K3" s="2366"/>
      <c r="L3" s="2366"/>
      <c r="M3" s="2366"/>
      <c r="N3" s="2366"/>
      <c r="O3" s="2366"/>
      <c r="P3" s="2366"/>
      <c r="Q3" s="2366"/>
      <c r="R3" s="2366"/>
    </row>
    <row r="4" spans="1:29" ht="55.2">
      <c r="A4" s="431"/>
      <c r="B4" s="1794" t="s">
        <v>2051</v>
      </c>
      <c r="C4" s="2372" t="s">
        <v>3355</v>
      </c>
      <c r="D4" s="2369"/>
      <c r="E4" s="2373"/>
      <c r="F4" s="42" t="s">
        <v>2052</v>
      </c>
      <c r="G4" s="2374"/>
      <c r="H4" s="2366"/>
      <c r="I4" s="2366"/>
      <c r="J4" s="2366"/>
      <c r="K4" s="2366"/>
      <c r="L4" s="2366"/>
      <c r="M4" s="2366"/>
      <c r="N4" s="2366"/>
      <c r="O4" s="2366"/>
      <c r="P4" s="2366"/>
      <c r="Q4" s="2366"/>
      <c r="R4" s="2366"/>
    </row>
    <row r="5" spans="1:29" ht="14.4">
      <c r="A5" s="431"/>
      <c r="B5" s="1794" t="s">
        <v>2053</v>
      </c>
      <c r="C5" s="2372"/>
      <c r="D5" s="2369"/>
      <c r="E5" s="2373"/>
      <c r="F5" s="1794" t="s">
        <v>2054</v>
      </c>
      <c r="G5" s="2374"/>
      <c r="H5" s="2366"/>
      <c r="I5" s="2366"/>
      <c r="J5" s="2366"/>
      <c r="K5" s="2366"/>
      <c r="L5" s="2366"/>
      <c r="M5" s="2366"/>
      <c r="N5" s="2366"/>
      <c r="O5" s="2366"/>
      <c r="P5" s="2366"/>
      <c r="Q5" s="2366"/>
      <c r="R5" s="2366"/>
    </row>
    <row r="6" spans="1:29" ht="55.2">
      <c r="A6" s="431"/>
      <c r="B6" s="1794" t="s">
        <v>2055</v>
      </c>
      <c r="C6" s="2374" t="s">
        <v>3356</v>
      </c>
      <c r="D6" s="2369"/>
      <c r="E6" s="2373"/>
      <c r="F6" s="1794" t="s">
        <v>2056</v>
      </c>
      <c r="G6" s="2374"/>
      <c r="H6" s="2366"/>
      <c r="I6" s="2366"/>
      <c r="J6" s="2366"/>
      <c r="K6" s="2366"/>
      <c r="L6" s="2366"/>
      <c r="M6" s="2366"/>
      <c r="N6" s="2366"/>
      <c r="O6" s="2366"/>
      <c r="P6" s="2366"/>
      <c r="Q6" s="2366"/>
      <c r="R6" s="2366"/>
    </row>
    <row r="7" spans="1:29" ht="28.2" thickBot="1">
      <c r="A7" s="431"/>
      <c r="B7" s="1794" t="s">
        <v>2054</v>
      </c>
      <c r="C7" s="2374" t="s">
        <v>3357</v>
      </c>
      <c r="D7" s="2375"/>
      <c r="E7" s="2376"/>
      <c r="F7" s="2377" t="s">
        <v>2057</v>
      </c>
      <c r="G7" s="2378"/>
      <c r="H7" s="2366"/>
      <c r="I7" s="2366"/>
      <c r="J7" s="2366"/>
      <c r="K7" s="2366"/>
      <c r="L7" s="2366"/>
      <c r="M7" s="2366"/>
      <c r="N7" s="2366"/>
      <c r="O7" s="2366"/>
      <c r="P7" s="2366"/>
      <c r="Q7" s="2366"/>
      <c r="R7" s="2366"/>
    </row>
    <row r="8" spans="1:29" ht="27.6">
      <c r="A8" s="431"/>
      <c r="B8" s="1794" t="s">
        <v>2056</v>
      </c>
      <c r="C8" s="2374" t="s">
        <v>3358</v>
      </c>
      <c r="D8" s="2375"/>
      <c r="E8" s="2375"/>
      <c r="F8" s="1132"/>
      <c r="G8" s="1132"/>
      <c r="H8" s="2366"/>
      <c r="I8" s="2366"/>
      <c r="J8" s="2366"/>
      <c r="K8" s="2366"/>
      <c r="L8" s="2366"/>
      <c r="M8" s="2366"/>
      <c r="N8" s="2366"/>
      <c r="O8" s="2366"/>
      <c r="P8" s="2366"/>
      <c r="Q8" s="2366"/>
      <c r="R8" s="2366"/>
    </row>
    <row r="9" spans="1:29" ht="41.4">
      <c r="A9" s="431"/>
      <c r="B9" s="1794" t="s">
        <v>2058</v>
      </c>
      <c r="C9" s="2372" t="s">
        <v>3359</v>
      </c>
      <c r="D9" s="2369"/>
      <c r="E9" s="2375"/>
      <c r="F9" s="1132"/>
      <c r="G9" s="1132"/>
      <c r="H9" s="2366"/>
      <c r="I9" s="2366"/>
      <c r="J9" s="2366"/>
      <c r="K9" s="2366"/>
      <c r="L9" s="2366"/>
      <c r="M9" s="2366"/>
      <c r="N9" s="2366"/>
      <c r="O9" s="2366"/>
      <c r="P9" s="2366"/>
      <c r="Q9" s="2366"/>
      <c r="R9" s="2366"/>
    </row>
    <row r="10" spans="1:29" s="117" customFormat="1" ht="15" thickBot="1">
      <c r="A10" s="2379"/>
      <c r="B10" s="2380" t="s">
        <v>2059</v>
      </c>
      <c r="C10" s="2381" t="s">
        <v>3360</v>
      </c>
      <c r="D10" s="2369"/>
      <c r="E10" s="2369"/>
      <c r="F10" s="1132"/>
      <c r="G10" s="1132"/>
      <c r="H10" s="2382"/>
      <c r="I10" s="2383"/>
      <c r="J10" s="2384"/>
      <c r="K10" s="2382"/>
      <c r="L10" s="2394"/>
      <c r="M10" s="2394"/>
      <c r="N10" s="2382"/>
      <c r="O10" s="2383"/>
      <c r="P10" s="2384"/>
      <c r="Q10" s="2382"/>
      <c r="R10" s="2383"/>
      <c r="S10" s="2366"/>
      <c r="T10" s="2366"/>
      <c r="U10" s="2366"/>
      <c r="V10" s="2366"/>
      <c r="W10" s="2366"/>
      <c r="X10" s="2366"/>
      <c r="Y10" s="2366"/>
      <c r="Z10" s="2366"/>
      <c r="AA10" s="2366"/>
      <c r="AB10" s="2366"/>
      <c r="AC10" s="2366"/>
    </row>
    <row r="11" spans="1:29" s="117" customFormat="1">
      <c r="A11" s="2385"/>
      <c r="B11" s="2375"/>
      <c r="C11" s="2369"/>
      <c r="D11" s="2369"/>
      <c r="E11" s="2369"/>
      <c r="F11" s="2375"/>
      <c r="G11" s="1150"/>
      <c r="H11" s="2382"/>
      <c r="I11" s="2383"/>
      <c r="J11" s="2384"/>
      <c r="K11" s="2382"/>
      <c r="L11" s="2394"/>
      <c r="M11" s="2394"/>
      <c r="N11" s="2382"/>
      <c r="O11" s="2383"/>
      <c r="P11" s="2384"/>
      <c r="Q11" s="2382"/>
      <c r="R11" s="2383"/>
      <c r="S11" s="2366"/>
      <c r="T11" s="2366"/>
      <c r="U11" s="2366"/>
      <c r="V11" s="2366"/>
      <c r="W11" s="2366"/>
      <c r="X11" s="2366"/>
      <c r="Y11" s="2366"/>
      <c r="Z11" s="2366"/>
      <c r="AA11" s="2366"/>
      <c r="AB11" s="2366"/>
      <c r="AC11" s="2366"/>
    </row>
    <row r="12" spans="1:29" s="2360" customFormat="1" ht="17.399999999999999">
      <c r="A12" s="2385"/>
      <c r="B12" s="2375"/>
      <c r="C12" s="2369"/>
      <c r="D12" s="2386"/>
      <c r="E12" s="2369"/>
      <c r="F12" s="2375"/>
      <c r="G12" s="1150"/>
      <c r="H12" s="2387"/>
      <c r="I12" s="2388"/>
      <c r="J12" s="2387"/>
      <c r="K12" s="2387"/>
      <c r="L12" s="2394"/>
      <c r="M12" s="2394"/>
      <c r="N12" s="2389"/>
      <c r="O12" s="2390"/>
      <c r="P12" s="2389"/>
      <c r="Q12" s="2389"/>
      <c r="R12" s="2358"/>
      <c r="S12" s="2359"/>
      <c r="T12" s="2359"/>
      <c r="U12" s="2359"/>
      <c r="V12" s="2359"/>
      <c r="W12" s="2359"/>
      <c r="X12" s="2359"/>
      <c r="Y12" s="2359"/>
      <c r="Z12" s="2359"/>
      <c r="AA12" s="2359"/>
      <c r="AB12" s="2359"/>
      <c r="AC12" s="2359"/>
    </row>
    <row r="13" spans="1:29" ht="18" thickBot="1">
      <c r="A13" s="2391" t="s">
        <v>2060</v>
      </c>
      <c r="B13" s="2386"/>
      <c r="C13" s="2386"/>
      <c r="D13" s="2392"/>
      <c r="E13" s="2386"/>
      <c r="F13" s="2386"/>
      <c r="G13" s="2386"/>
      <c r="M13" s="2394"/>
    </row>
    <row r="14" spans="1:29" ht="15" thickBot="1">
      <c r="A14" s="2396"/>
      <c r="B14" s="2397"/>
      <c r="C14" s="2398" t="s">
        <v>2061</v>
      </c>
      <c r="D14" s="2369"/>
      <c r="E14" s="2399"/>
      <c r="F14" s="2399"/>
      <c r="G14" s="2363" t="s">
        <v>2062</v>
      </c>
      <c r="M14" s="2394"/>
    </row>
    <row r="15" spans="1:29" ht="69">
      <c r="A15" s="68" t="s">
        <v>2063</v>
      </c>
      <c r="B15" s="1266" t="s">
        <v>2049</v>
      </c>
      <c r="C15" s="2400" t="str">
        <f>C3</f>
        <v>估价对象周边居住用地比例较好、居住小区规模和社区发展完善程度较好，综合评价居住社区成熟度较好</v>
      </c>
      <c r="D15" s="2369"/>
      <c r="E15" s="2401" t="s">
        <v>2064</v>
      </c>
      <c r="F15" s="1266" t="s">
        <v>2065</v>
      </c>
      <c r="G15" s="135">
        <f>G3</f>
        <v>0</v>
      </c>
      <c r="M15" s="2394"/>
    </row>
    <row r="16" spans="1:29" ht="55.2">
      <c r="A16" s="645"/>
      <c r="B16" s="2402" t="s">
        <v>2051</v>
      </c>
      <c r="C16" s="2403" t="str">
        <f>C4</f>
        <v>估价对象位于世纪大道南侧，周边商业氛围成熟一般，人流量一般，商业繁华度一般</v>
      </c>
      <c r="D16" s="2369"/>
      <c r="E16" s="2404"/>
      <c r="F16" s="2405" t="s">
        <v>2052</v>
      </c>
      <c r="G16" s="136">
        <f>G4</f>
        <v>0</v>
      </c>
    </row>
    <row r="17" spans="1:18" ht="14.4">
      <c r="A17" s="645"/>
      <c r="B17" s="2402" t="s">
        <v>2053</v>
      </c>
      <c r="C17" s="2403">
        <f>C5</f>
        <v>0</v>
      </c>
      <c r="D17" s="2375"/>
      <c r="E17" s="2404"/>
      <c r="F17" s="2405" t="s">
        <v>2066</v>
      </c>
      <c r="G17" s="1568"/>
    </row>
    <row r="18" spans="1:18" ht="55.2">
      <c r="A18" s="645"/>
      <c r="B18" s="2405" t="s">
        <v>2055</v>
      </c>
      <c r="C18" s="136" t="str">
        <f>C6</f>
        <v>估价对象周边道路状况较好、公共交通通达情况较好、停车便捷程度较好，综合评价交通便捷度较好</v>
      </c>
      <c r="D18" s="2375"/>
      <c r="E18" s="2404"/>
      <c r="F18" s="2405" t="s">
        <v>2057</v>
      </c>
      <c r="G18" s="136">
        <f>G7</f>
        <v>0</v>
      </c>
    </row>
    <row r="19" spans="1:18" ht="14.4">
      <c r="A19" s="645"/>
      <c r="B19" s="2405" t="s">
        <v>2067</v>
      </c>
      <c r="C19" s="3447" t="s">
        <v>3361</v>
      </c>
      <c r="D19" s="2369"/>
      <c r="E19" s="2404"/>
      <c r="F19" s="1794" t="s">
        <v>2054</v>
      </c>
      <c r="G19" s="136">
        <f>G5</f>
        <v>0</v>
      </c>
    </row>
    <row r="20" spans="1:18" ht="41.4">
      <c r="A20" s="645"/>
      <c r="B20" s="2405" t="s">
        <v>2068</v>
      </c>
      <c r="C20" s="2403" t="str">
        <f>C9</f>
        <v>区域自然环境：较好；人文环境：较好；综合评价环境状况较好</v>
      </c>
      <c r="D20" s="2375"/>
      <c r="E20" s="2404"/>
      <c r="F20" s="1794" t="s">
        <v>2069</v>
      </c>
      <c r="G20" s="136">
        <f>G6</f>
        <v>0</v>
      </c>
    </row>
    <row r="21" spans="1:18" ht="27.6">
      <c r="A21" s="645"/>
      <c r="B21" s="1794" t="s">
        <v>2054</v>
      </c>
      <c r="C21" s="136" t="str">
        <f>C7</f>
        <v>估价对象所在区域公共配套设施齐备情况较好</v>
      </c>
      <c r="D21" s="2369"/>
      <c r="E21" s="2404"/>
      <c r="F21" s="2405" t="s">
        <v>2070</v>
      </c>
      <c r="G21" s="2406"/>
    </row>
    <row r="22" spans="1:18" ht="13.5" customHeight="1">
      <c r="A22" s="645"/>
      <c r="B22" s="1794" t="s">
        <v>2056</v>
      </c>
      <c r="C22" s="136" t="str">
        <f>C8</f>
        <v>估价对象所在区域基础设施水平较好</v>
      </c>
      <c r="D22" s="2369"/>
      <c r="E22" s="2404"/>
      <c r="F22" s="2405" t="s">
        <v>2059</v>
      </c>
      <c r="G22" s="1568"/>
    </row>
    <row r="23" spans="1:18" s="2366" customFormat="1" ht="15" thickBot="1">
      <c r="A23" s="645"/>
      <c r="B23" s="2405" t="s">
        <v>2070</v>
      </c>
      <c r="C23" s="2406" t="s">
        <v>3362</v>
      </c>
      <c r="D23" s="2393"/>
      <c r="E23" s="2407"/>
      <c r="F23" s="2408" t="s">
        <v>2071</v>
      </c>
      <c r="G23" s="2409"/>
      <c r="H23" s="2393"/>
      <c r="I23" s="2394"/>
      <c r="J23" s="2393"/>
      <c r="K23" s="2393"/>
      <c r="L23" s="2394"/>
      <c r="M23" s="2393"/>
      <c r="N23" s="2393"/>
      <c r="O23" s="2394"/>
      <c r="P23" s="2393"/>
      <c r="Q23" s="2393"/>
      <c r="R23" s="2395"/>
    </row>
    <row r="24" spans="1:18" s="2366" customFormat="1" ht="15" thickBot="1">
      <c r="A24" s="2410"/>
      <c r="B24" s="2408" t="s">
        <v>2072</v>
      </c>
      <c r="C24" s="137" t="str">
        <f>C10</f>
        <v>城市次干道-世纪大道</v>
      </c>
      <c r="D24" s="2393"/>
      <c r="E24" s="2411"/>
      <c r="F24" s="2411"/>
      <c r="G24" s="2412"/>
      <c r="H24" s="2393"/>
      <c r="I24" s="2394"/>
      <c r="J24" s="2393"/>
      <c r="K24" s="2393"/>
      <c r="L24" s="2394"/>
      <c r="M24" s="2393"/>
      <c r="N24" s="2393"/>
      <c r="O24" s="2394"/>
      <c r="P24" s="2393"/>
      <c r="Q24" s="2393"/>
      <c r="R24" s="2395"/>
    </row>
    <row r="25" spans="1:18" s="2366" customFormat="1">
      <c r="B25" s="2393"/>
      <c r="C25" s="2393"/>
      <c r="D25" s="2393"/>
      <c r="H25" s="2393"/>
      <c r="I25" s="2394"/>
      <c r="J25" s="2393"/>
      <c r="K25" s="2393"/>
      <c r="L25" s="2394"/>
      <c r="M25" s="2393"/>
      <c r="N25" s="2393"/>
      <c r="O25" s="2394"/>
      <c r="P25" s="2393"/>
      <c r="Q25" s="2393"/>
      <c r="R25" s="2395"/>
    </row>
    <row r="26" spans="1:18" s="2366" customFormat="1">
      <c r="B26" s="2393"/>
      <c r="C26" s="2393"/>
      <c r="D26" s="2393"/>
      <c r="H26" s="2393"/>
      <c r="I26" s="2394"/>
      <c r="J26" s="2393"/>
      <c r="K26" s="2393"/>
      <c r="L26" s="2394"/>
      <c r="M26" s="2393"/>
      <c r="N26" s="2393"/>
      <c r="O26" s="2394"/>
      <c r="P26" s="2393"/>
      <c r="Q26" s="2393"/>
      <c r="R26" s="2395"/>
    </row>
    <row r="27" spans="1:18" s="2366" customFormat="1">
      <c r="B27" s="2393"/>
      <c r="C27" s="2393"/>
      <c r="D27" s="2393"/>
      <c r="H27" s="2393"/>
      <c r="I27" s="2394"/>
      <c r="J27" s="2393"/>
      <c r="K27" s="2393"/>
      <c r="L27" s="2394"/>
      <c r="M27" s="2393"/>
      <c r="N27" s="2393"/>
      <c r="O27" s="2394"/>
      <c r="P27" s="2393"/>
      <c r="Q27" s="2393"/>
      <c r="R27" s="2395"/>
    </row>
    <row r="28" spans="1:18" s="2366" customFormat="1">
      <c r="B28" s="2393"/>
      <c r="C28" s="2393"/>
      <c r="D28" s="2393"/>
      <c r="H28" s="2393"/>
      <c r="I28" s="2394"/>
      <c r="J28" s="2393"/>
      <c r="K28" s="2393"/>
      <c r="L28" s="2394"/>
      <c r="M28" s="2393"/>
      <c r="N28" s="2393"/>
      <c r="O28" s="2394"/>
      <c r="P28" s="2393"/>
      <c r="Q28" s="2393"/>
      <c r="R28" s="2395"/>
    </row>
    <row r="29" spans="1:18" s="2366" customFormat="1">
      <c r="B29" s="2393"/>
      <c r="C29" s="2393"/>
      <c r="D29" s="2393"/>
      <c r="H29" s="2393"/>
      <c r="I29" s="2394"/>
      <c r="J29" s="2393"/>
      <c r="K29" s="2393"/>
      <c r="L29" s="2394"/>
      <c r="M29" s="2393"/>
      <c r="N29" s="2393"/>
      <c r="O29" s="2394"/>
      <c r="P29" s="2393"/>
      <c r="Q29" s="2393"/>
      <c r="R29" s="2395"/>
    </row>
    <row r="30" spans="1:18" s="2366" customFormat="1">
      <c r="B30" s="2393"/>
      <c r="C30" s="2393"/>
      <c r="D30" s="2393"/>
      <c r="H30" s="2393"/>
      <c r="I30" s="2394"/>
      <c r="J30" s="2393"/>
      <c r="K30" s="2393"/>
      <c r="L30" s="2394"/>
      <c r="M30" s="2393"/>
      <c r="N30" s="2393"/>
      <c r="O30" s="2394"/>
      <c r="P30" s="2393"/>
      <c r="Q30" s="2393"/>
      <c r="R30" s="2395"/>
    </row>
    <row r="31" spans="1:18" s="2366" customFormat="1">
      <c r="B31" s="2393"/>
      <c r="C31" s="2393"/>
      <c r="D31" s="2393"/>
      <c r="H31" s="2393"/>
      <c r="I31" s="2394"/>
      <c r="J31" s="2393"/>
      <c r="K31" s="2393"/>
      <c r="L31" s="2394"/>
      <c r="M31" s="2393"/>
      <c r="N31" s="2393"/>
      <c r="O31" s="2394"/>
      <c r="P31" s="2393"/>
      <c r="Q31" s="2393"/>
      <c r="R31" s="2395"/>
    </row>
    <row r="32" spans="1:18" s="2366" customFormat="1">
      <c r="B32" s="2393"/>
      <c r="C32" s="2393"/>
      <c r="D32" s="2393"/>
      <c r="H32" s="2393"/>
      <c r="I32" s="2394"/>
      <c r="J32" s="2393"/>
      <c r="K32" s="2393"/>
      <c r="L32" s="2394"/>
      <c r="M32" s="2393"/>
      <c r="N32" s="2393"/>
      <c r="O32" s="2394"/>
      <c r="P32" s="2393"/>
      <c r="Q32" s="2393"/>
      <c r="R32" s="2395"/>
    </row>
    <row r="33" spans="2:18" s="2366" customFormat="1">
      <c r="B33" s="2393"/>
      <c r="C33" s="2393"/>
      <c r="D33" s="2393"/>
      <c r="H33" s="2393"/>
      <c r="I33" s="2394"/>
      <c r="J33" s="2393"/>
      <c r="K33" s="2393"/>
      <c r="L33" s="2394"/>
      <c r="M33" s="2393"/>
      <c r="N33" s="2393"/>
      <c r="O33" s="2394"/>
      <c r="P33" s="2393"/>
      <c r="Q33" s="2393"/>
      <c r="R33" s="2395"/>
    </row>
    <row r="34" spans="2:18" s="2366" customFormat="1">
      <c r="B34" s="2393"/>
      <c r="C34" s="2393"/>
      <c r="D34" s="2393"/>
      <c r="H34" s="2393"/>
      <c r="I34" s="2394"/>
      <c r="J34" s="2393"/>
      <c r="K34" s="2393"/>
      <c r="L34" s="2394"/>
      <c r="M34" s="2393"/>
      <c r="N34" s="2393"/>
      <c r="O34" s="2394"/>
      <c r="P34" s="2393"/>
      <c r="Q34" s="2393"/>
      <c r="R34" s="2395"/>
    </row>
    <row r="35" spans="2:18" s="2366" customFormat="1">
      <c r="B35" s="2393"/>
      <c r="C35" s="2393"/>
      <c r="D35" s="2393"/>
      <c r="H35" s="2393"/>
      <c r="I35" s="2394"/>
      <c r="J35" s="2393"/>
      <c r="K35" s="2393"/>
      <c r="L35" s="2394"/>
      <c r="M35" s="2393"/>
      <c r="N35" s="2393"/>
      <c r="O35" s="2394"/>
      <c r="P35" s="2393"/>
      <c r="Q35" s="2393"/>
      <c r="R35" s="2395"/>
    </row>
    <row r="36" spans="2:18" s="2366" customFormat="1">
      <c r="B36" s="2393"/>
      <c r="C36" s="2393"/>
      <c r="D36" s="2393"/>
      <c r="H36" s="2393"/>
      <c r="I36" s="2394"/>
      <c r="J36" s="2393"/>
      <c r="K36" s="2393"/>
      <c r="L36" s="2394"/>
      <c r="M36" s="2393"/>
      <c r="N36" s="2393"/>
      <c r="O36" s="2394"/>
      <c r="P36" s="2393"/>
      <c r="Q36" s="2393"/>
      <c r="R36" s="2395"/>
    </row>
    <row r="37" spans="2:18" s="2366" customFormat="1">
      <c r="B37" s="2393"/>
      <c r="C37" s="2393"/>
      <c r="D37" s="2393"/>
      <c r="H37" s="2393"/>
      <c r="I37" s="2394"/>
      <c r="J37" s="2393"/>
      <c r="K37" s="2393"/>
      <c r="L37" s="2394"/>
      <c r="M37" s="2393"/>
      <c r="N37" s="2393"/>
      <c r="O37" s="2394"/>
      <c r="P37" s="2393"/>
      <c r="Q37" s="2393"/>
      <c r="R37" s="2395"/>
    </row>
    <row r="38" spans="2:18" s="2366" customFormat="1">
      <c r="B38" s="2393"/>
      <c r="C38" s="2393"/>
      <c r="D38" s="2393"/>
      <c r="E38" s="2393"/>
      <c r="F38" s="2393"/>
      <c r="G38" s="2394"/>
      <c r="H38" s="2393"/>
      <c r="I38" s="2394"/>
      <c r="J38" s="2393"/>
      <c r="K38" s="2393"/>
      <c r="L38" s="2394"/>
      <c r="M38" s="2393"/>
      <c r="N38" s="2393"/>
      <c r="O38" s="2394"/>
      <c r="P38" s="2393"/>
      <c r="Q38" s="2393"/>
      <c r="R38" s="2395"/>
    </row>
    <row r="39" spans="2:18" s="2366" customFormat="1">
      <c r="B39" s="2393"/>
      <c r="C39" s="2393"/>
      <c r="D39" s="2393"/>
      <c r="E39" s="2393"/>
      <c r="F39" s="2393"/>
      <c r="G39" s="2394"/>
      <c r="H39" s="2393"/>
      <c r="I39" s="2394"/>
      <c r="J39" s="2393"/>
      <c r="K39" s="2393"/>
      <c r="L39" s="2394"/>
      <c r="M39" s="2393"/>
      <c r="N39" s="2393"/>
      <c r="O39" s="2394"/>
      <c r="P39" s="2393"/>
      <c r="Q39" s="2393"/>
      <c r="R39" s="2395"/>
    </row>
    <row r="40" spans="2:18" s="2366" customFormat="1">
      <c r="B40" s="2393"/>
      <c r="C40" s="2393"/>
      <c r="D40" s="2393"/>
      <c r="E40" s="2393"/>
      <c r="F40" s="2393"/>
      <c r="G40" s="2394"/>
      <c r="H40" s="2393"/>
      <c r="I40" s="2394"/>
      <c r="J40" s="2393"/>
      <c r="K40" s="2393"/>
      <c r="L40" s="2394"/>
      <c r="M40" s="2393"/>
      <c r="N40" s="2393"/>
      <c r="O40" s="2394"/>
      <c r="P40" s="2393"/>
      <c r="Q40" s="2393"/>
      <c r="R40" s="2395"/>
    </row>
    <row r="41" spans="2:18" s="2366" customFormat="1">
      <c r="B41" s="2393"/>
      <c r="C41" s="2393"/>
      <c r="D41" s="2393"/>
      <c r="E41" s="2393"/>
      <c r="F41" s="2393"/>
      <c r="G41" s="2394"/>
      <c r="H41" s="2393"/>
      <c r="I41" s="2394"/>
      <c r="J41" s="2393"/>
      <c r="K41" s="2393"/>
      <c r="L41" s="2394"/>
      <c r="M41" s="2393"/>
      <c r="N41" s="2393"/>
      <c r="O41" s="2394"/>
      <c r="P41" s="2393"/>
      <c r="Q41" s="2393"/>
      <c r="R41" s="2395"/>
    </row>
    <row r="42" spans="2:18" s="2366" customFormat="1">
      <c r="B42" s="2393"/>
      <c r="C42" s="2393"/>
      <c r="D42" s="2393"/>
      <c r="E42" s="2393"/>
      <c r="F42" s="2393"/>
      <c r="G42" s="2394"/>
      <c r="H42" s="2393"/>
      <c r="I42" s="2394"/>
      <c r="J42" s="2393"/>
      <c r="K42" s="2393"/>
      <c r="L42" s="2394"/>
      <c r="M42" s="2393"/>
      <c r="N42" s="2393"/>
      <c r="O42" s="2394"/>
      <c r="P42" s="2393"/>
      <c r="Q42" s="2393"/>
      <c r="R42" s="2395"/>
    </row>
    <row r="43" spans="2:18" s="2366" customFormat="1">
      <c r="B43" s="2393"/>
      <c r="C43" s="2393"/>
      <c r="D43" s="2393"/>
      <c r="E43" s="2393"/>
      <c r="F43" s="2393"/>
      <c r="G43" s="2394"/>
      <c r="H43" s="2393"/>
      <c r="I43" s="2394"/>
      <c r="J43" s="2393"/>
      <c r="K43" s="2393"/>
      <c r="L43" s="2394"/>
      <c r="M43" s="2393"/>
      <c r="N43" s="2393"/>
      <c r="O43" s="2394"/>
      <c r="P43" s="2393"/>
      <c r="Q43" s="2393"/>
      <c r="R43" s="2395"/>
    </row>
    <row r="44" spans="2:18" s="2366" customFormat="1">
      <c r="B44" s="2393"/>
      <c r="C44" s="2393"/>
      <c r="D44" s="2393"/>
      <c r="E44" s="2393"/>
      <c r="F44" s="2393"/>
      <c r="G44" s="2394"/>
      <c r="H44" s="2393"/>
      <c r="I44" s="2394"/>
      <c r="J44" s="2393"/>
      <c r="K44" s="2393"/>
      <c r="L44" s="2394"/>
      <c r="M44" s="2393"/>
      <c r="N44" s="2393"/>
      <c r="O44" s="2394"/>
      <c r="P44" s="2393"/>
      <c r="Q44" s="2393"/>
      <c r="R44" s="2395"/>
    </row>
    <row r="45" spans="2:18" s="2366" customFormat="1">
      <c r="B45" s="2393"/>
      <c r="C45" s="2393"/>
      <c r="D45" s="2393"/>
      <c r="E45" s="2393"/>
      <c r="F45" s="2393"/>
      <c r="G45" s="2394"/>
      <c r="H45" s="2393"/>
      <c r="I45" s="2394"/>
      <c r="J45" s="2393"/>
      <c r="K45" s="2393"/>
      <c r="L45" s="2394"/>
      <c r="M45" s="2393"/>
      <c r="N45" s="2393"/>
      <c r="O45" s="2394"/>
      <c r="P45" s="2393"/>
      <c r="Q45" s="2393"/>
      <c r="R45" s="2395"/>
    </row>
    <row r="46" spans="2:18" s="2366" customFormat="1">
      <c r="B46" s="2393"/>
      <c r="C46" s="2393"/>
      <c r="D46" s="2393"/>
      <c r="E46" s="2393"/>
      <c r="F46" s="2393"/>
      <c r="G46" s="2394"/>
      <c r="H46" s="2393"/>
      <c r="I46" s="2394"/>
      <c r="J46" s="2393"/>
      <c r="K46" s="2393"/>
      <c r="L46" s="2394"/>
      <c r="M46" s="2393"/>
      <c r="N46" s="2393"/>
      <c r="O46" s="2394"/>
      <c r="P46" s="2393"/>
      <c r="Q46" s="2393"/>
      <c r="R46" s="2395"/>
    </row>
    <row r="47" spans="2:18" s="2366" customFormat="1">
      <c r="B47" s="2393"/>
      <c r="C47" s="2393"/>
      <c r="D47" s="2393"/>
      <c r="E47" s="2393"/>
      <c r="F47" s="2393"/>
      <c r="G47" s="2394"/>
      <c r="H47" s="2393"/>
      <c r="I47" s="2394"/>
      <c r="J47" s="2393"/>
      <c r="K47" s="2393"/>
      <c r="L47" s="2394"/>
      <c r="M47" s="2393"/>
      <c r="N47" s="2393"/>
      <c r="O47" s="2394"/>
      <c r="P47" s="2393"/>
      <c r="Q47" s="2393"/>
      <c r="R47" s="2395"/>
    </row>
    <row r="48" spans="2:18" s="2366" customFormat="1">
      <c r="B48" s="2393"/>
      <c r="C48" s="2393"/>
      <c r="D48" s="2393"/>
      <c r="E48" s="2393"/>
      <c r="F48" s="2393"/>
      <c r="G48" s="2394"/>
      <c r="H48" s="2393"/>
      <c r="I48" s="2394"/>
      <c r="J48" s="2393"/>
      <c r="K48" s="2393"/>
      <c r="L48" s="2394"/>
      <c r="M48" s="2393"/>
      <c r="N48" s="2393"/>
      <c r="O48" s="2394"/>
      <c r="P48" s="2393"/>
      <c r="Q48" s="2393"/>
      <c r="R48" s="2395"/>
    </row>
    <row r="49" spans="2:18" s="2366" customFormat="1">
      <c r="B49" s="2393"/>
      <c r="C49" s="2393"/>
      <c r="D49" s="2393"/>
      <c r="E49" s="2393"/>
      <c r="F49" s="2393"/>
      <c r="G49" s="2394"/>
      <c r="H49" s="2393"/>
      <c r="I49" s="2394"/>
      <c r="J49" s="2393"/>
      <c r="K49" s="2393"/>
      <c r="L49" s="2394"/>
      <c r="M49" s="2393"/>
      <c r="N49" s="2393"/>
      <c r="O49" s="2394"/>
      <c r="P49" s="2393"/>
      <c r="Q49" s="2393"/>
      <c r="R49" s="2395"/>
    </row>
    <row r="50" spans="2:18" s="2366" customFormat="1">
      <c r="B50" s="2393"/>
      <c r="C50" s="2393"/>
      <c r="D50" s="2393"/>
      <c r="E50" s="2393"/>
      <c r="F50" s="2393"/>
      <c r="G50" s="2394"/>
      <c r="H50" s="2393"/>
      <c r="I50" s="2394"/>
      <c r="J50" s="2393"/>
      <c r="K50" s="2393"/>
      <c r="L50" s="2394"/>
      <c r="M50" s="2393"/>
      <c r="N50" s="2393"/>
      <c r="O50" s="2394"/>
      <c r="P50" s="2393"/>
      <c r="Q50" s="2393"/>
      <c r="R50" s="2395"/>
    </row>
    <row r="51" spans="2:18" s="2366" customFormat="1">
      <c r="B51" s="2393"/>
      <c r="C51" s="2393"/>
      <c r="D51" s="2393"/>
      <c r="E51" s="2393"/>
      <c r="F51" s="2393"/>
      <c r="G51" s="2394"/>
      <c r="H51" s="2393"/>
      <c r="I51" s="2394"/>
      <c r="J51" s="2393"/>
      <c r="K51" s="2393"/>
      <c r="L51" s="2394"/>
      <c r="M51" s="2393"/>
      <c r="N51" s="2393"/>
      <c r="O51" s="2394"/>
      <c r="P51" s="2393"/>
      <c r="Q51" s="2393"/>
      <c r="R51" s="2395"/>
    </row>
    <row r="52" spans="2:18" s="2366" customFormat="1">
      <c r="B52" s="2393"/>
      <c r="C52" s="2393"/>
      <c r="D52" s="2393"/>
      <c r="E52" s="2393"/>
      <c r="F52" s="2393"/>
      <c r="G52" s="2394"/>
      <c r="H52" s="2393"/>
      <c r="I52" s="2394"/>
      <c r="J52" s="2393"/>
      <c r="K52" s="2393"/>
      <c r="L52" s="2394"/>
      <c r="M52" s="2393"/>
      <c r="N52" s="2393"/>
      <c r="O52" s="2394"/>
      <c r="P52" s="2393"/>
      <c r="Q52" s="2393"/>
      <c r="R52" s="2395"/>
    </row>
    <row r="53" spans="2:18" s="2366" customFormat="1">
      <c r="B53" s="2393"/>
      <c r="C53" s="2393"/>
      <c r="D53" s="2393"/>
      <c r="E53" s="2393"/>
      <c r="F53" s="2393"/>
      <c r="G53" s="2394"/>
      <c r="H53" s="2393"/>
      <c r="I53" s="2394"/>
      <c r="J53" s="2393"/>
      <c r="K53" s="2393"/>
      <c r="L53" s="2394"/>
      <c r="M53" s="2393"/>
      <c r="N53" s="2393"/>
      <c r="O53" s="2394"/>
      <c r="P53" s="2393"/>
      <c r="Q53" s="2393"/>
      <c r="R53" s="2395"/>
    </row>
    <row r="54" spans="2:18" s="2366" customFormat="1">
      <c r="B54" s="2393"/>
      <c r="C54" s="2393"/>
      <c r="D54" s="2393"/>
      <c r="E54" s="2393"/>
      <c r="F54" s="2393"/>
      <c r="G54" s="2394"/>
      <c r="H54" s="2393"/>
      <c r="I54" s="2394"/>
      <c r="J54" s="2393"/>
      <c r="K54" s="2393"/>
      <c r="L54" s="2394"/>
      <c r="M54" s="2393"/>
      <c r="N54" s="2393"/>
      <c r="O54" s="2394"/>
      <c r="P54" s="2393"/>
      <c r="Q54" s="2393"/>
      <c r="R54" s="2395"/>
    </row>
    <row r="55" spans="2:18" s="2366" customFormat="1">
      <c r="B55" s="2393"/>
      <c r="C55" s="2393"/>
      <c r="D55" s="2393"/>
      <c r="E55" s="2393"/>
      <c r="F55" s="2393"/>
      <c r="G55" s="2394"/>
      <c r="H55" s="2393"/>
      <c r="I55" s="2394"/>
      <c r="J55" s="2393"/>
      <c r="K55" s="2393"/>
      <c r="L55" s="2394"/>
      <c r="M55" s="2393"/>
      <c r="N55" s="2393"/>
      <c r="O55" s="2394"/>
      <c r="P55" s="2393"/>
      <c r="Q55" s="2393"/>
      <c r="R55" s="2395"/>
    </row>
    <row r="56" spans="2:18" s="2366" customFormat="1">
      <c r="B56" s="2393"/>
      <c r="C56" s="2393"/>
      <c r="D56" s="2393"/>
      <c r="E56" s="2393"/>
      <c r="F56" s="2393"/>
      <c r="G56" s="2394"/>
      <c r="H56" s="2393"/>
      <c r="I56" s="2394"/>
      <c r="J56" s="2393"/>
      <c r="K56" s="2393"/>
      <c r="L56" s="2394"/>
      <c r="M56" s="2393"/>
      <c r="N56" s="2393"/>
      <c r="O56" s="2394"/>
      <c r="P56" s="2393"/>
      <c r="Q56" s="2393"/>
      <c r="R56" s="2395"/>
    </row>
    <row r="57" spans="2:18" s="2366" customFormat="1">
      <c r="B57" s="2393"/>
      <c r="C57" s="2393"/>
      <c r="D57" s="2393"/>
      <c r="E57" s="2393"/>
      <c r="F57" s="2393"/>
      <c r="G57" s="2394"/>
      <c r="H57" s="2393"/>
      <c r="I57" s="2394"/>
      <c r="J57" s="2393"/>
      <c r="K57" s="2393"/>
      <c r="L57" s="2394"/>
      <c r="M57" s="2393"/>
      <c r="N57" s="2393"/>
      <c r="O57" s="2394"/>
      <c r="P57" s="2393"/>
      <c r="Q57" s="2393"/>
      <c r="R57" s="2395"/>
    </row>
    <row r="58" spans="2:18" s="2366" customFormat="1">
      <c r="B58" s="2393"/>
      <c r="C58" s="2393"/>
      <c r="D58" s="2393"/>
      <c r="E58" s="2393"/>
      <c r="F58" s="2393"/>
      <c r="G58" s="2394"/>
      <c r="H58" s="2393"/>
      <c r="I58" s="2394"/>
      <c r="J58" s="2393"/>
      <c r="K58" s="2393"/>
      <c r="L58" s="2394"/>
      <c r="M58" s="2393"/>
      <c r="N58" s="2393"/>
      <c r="O58" s="2394"/>
      <c r="P58" s="2393"/>
      <c r="Q58" s="2393"/>
      <c r="R58" s="2395"/>
    </row>
    <row r="59" spans="2:18" s="2366" customFormat="1">
      <c r="B59" s="2393"/>
      <c r="C59" s="2393"/>
      <c r="D59" s="2393"/>
      <c r="E59" s="2393"/>
      <c r="F59" s="2393"/>
      <c r="G59" s="2394"/>
      <c r="H59" s="2393"/>
      <c r="I59" s="2394"/>
      <c r="J59" s="2393"/>
      <c r="K59" s="2393"/>
      <c r="L59" s="2394"/>
      <c r="M59" s="2393"/>
      <c r="N59" s="2393"/>
      <c r="O59" s="2394"/>
      <c r="P59" s="2393"/>
      <c r="Q59" s="2393"/>
      <c r="R59" s="2395"/>
    </row>
    <row r="60" spans="2:18" s="2366" customFormat="1">
      <c r="B60" s="2393"/>
      <c r="C60" s="2393"/>
      <c r="D60" s="2393"/>
      <c r="E60" s="2393"/>
      <c r="F60" s="2393"/>
      <c r="G60" s="2394"/>
      <c r="H60" s="2393"/>
      <c r="I60" s="2394"/>
      <c r="J60" s="2393"/>
      <c r="K60" s="2393"/>
      <c r="L60" s="2394"/>
      <c r="M60" s="2393"/>
      <c r="N60" s="2393"/>
      <c r="O60" s="2394"/>
      <c r="P60" s="2393"/>
      <c r="Q60" s="2393"/>
      <c r="R60" s="2395"/>
    </row>
    <row r="61" spans="2:18" s="2366" customFormat="1">
      <c r="B61" s="2393"/>
      <c r="C61" s="2393"/>
      <c r="D61" s="2393"/>
      <c r="E61" s="2393"/>
      <c r="F61" s="2393"/>
      <c r="G61" s="2394"/>
      <c r="H61" s="2393"/>
      <c r="I61" s="2394"/>
      <c r="J61" s="2393"/>
      <c r="K61" s="2393"/>
      <c r="L61" s="2394"/>
      <c r="M61" s="2393"/>
      <c r="N61" s="2393"/>
      <c r="O61" s="2394"/>
      <c r="P61" s="2393"/>
      <c r="Q61" s="2393"/>
      <c r="R61" s="2395"/>
    </row>
    <row r="62" spans="2:18" s="2366" customFormat="1">
      <c r="B62" s="2393"/>
      <c r="C62" s="2393"/>
      <c r="D62" s="2393"/>
      <c r="E62" s="2393"/>
      <c r="F62" s="2393"/>
      <c r="G62" s="2394"/>
      <c r="H62" s="2393"/>
      <c r="I62" s="2394"/>
      <c r="J62" s="2393"/>
      <c r="K62" s="2393"/>
      <c r="L62" s="2394"/>
      <c r="M62" s="2393"/>
      <c r="N62" s="2393"/>
      <c r="O62" s="2394"/>
      <c r="P62" s="2393"/>
      <c r="Q62" s="2393"/>
      <c r="R62" s="2395"/>
    </row>
    <row r="63" spans="2:18" s="2366" customFormat="1">
      <c r="B63" s="2393"/>
      <c r="C63" s="2393"/>
      <c r="D63" s="2393"/>
      <c r="E63" s="2393"/>
      <c r="F63" s="2393"/>
      <c r="G63" s="2394"/>
      <c r="H63" s="2393"/>
      <c r="I63" s="2394"/>
      <c r="J63" s="2393"/>
      <c r="K63" s="2393"/>
      <c r="L63" s="2394"/>
      <c r="M63" s="2393"/>
      <c r="N63" s="2393"/>
      <c r="O63" s="2394"/>
      <c r="P63" s="2393"/>
      <c r="Q63" s="2393"/>
      <c r="R63" s="2395"/>
    </row>
    <row r="64" spans="2:18" s="2366" customFormat="1">
      <c r="B64" s="2393"/>
      <c r="C64" s="2393"/>
      <c r="D64" s="2393"/>
      <c r="E64" s="2393"/>
      <c r="F64" s="2393"/>
      <c r="G64" s="2394"/>
      <c r="H64" s="2393"/>
      <c r="I64" s="2394"/>
      <c r="J64" s="2393"/>
      <c r="K64" s="2393"/>
      <c r="L64" s="2394"/>
      <c r="M64" s="2393"/>
      <c r="N64" s="2393"/>
      <c r="O64" s="2394"/>
      <c r="P64" s="2393"/>
      <c r="Q64" s="2393"/>
      <c r="R64" s="2395"/>
    </row>
    <row r="65" spans="2:18" s="2366" customFormat="1">
      <c r="B65" s="2393"/>
      <c r="C65" s="2393"/>
      <c r="D65" s="2393"/>
      <c r="E65" s="2393"/>
      <c r="F65" s="2393"/>
      <c r="G65" s="2394"/>
      <c r="H65" s="2393"/>
      <c r="I65" s="2394"/>
      <c r="J65" s="2393"/>
      <c r="K65" s="2393"/>
      <c r="L65" s="2394"/>
      <c r="M65" s="2393"/>
      <c r="N65" s="2393"/>
      <c r="O65" s="2394"/>
      <c r="P65" s="2393"/>
      <c r="Q65" s="2393"/>
      <c r="R65" s="2395"/>
    </row>
    <row r="66" spans="2:18" s="2366" customFormat="1">
      <c r="B66" s="2393"/>
      <c r="C66" s="2393"/>
      <c r="D66" s="2393"/>
      <c r="E66" s="2393"/>
      <c r="F66" s="2393"/>
      <c r="G66" s="2394"/>
      <c r="H66" s="2393"/>
      <c r="I66" s="2394"/>
      <c r="J66" s="2393"/>
      <c r="K66" s="2393"/>
      <c r="L66" s="2394"/>
      <c r="M66" s="2393"/>
      <c r="N66" s="2393"/>
      <c r="O66" s="2394"/>
      <c r="P66" s="2393"/>
      <c r="Q66" s="2393"/>
      <c r="R66" s="2395"/>
    </row>
    <row r="67" spans="2:18" s="2366" customFormat="1">
      <c r="B67" s="2393"/>
      <c r="C67" s="2393"/>
      <c r="D67" s="2393"/>
      <c r="E67" s="2393"/>
      <c r="F67" s="2393"/>
      <c r="G67" s="2394"/>
      <c r="H67" s="2393"/>
      <c r="I67" s="2394"/>
      <c r="J67" s="2393"/>
      <c r="K67" s="2393"/>
      <c r="L67" s="2394"/>
      <c r="M67" s="2393"/>
      <c r="N67" s="2393"/>
      <c r="O67" s="2394"/>
      <c r="P67" s="2393"/>
      <c r="Q67" s="2393"/>
      <c r="R67" s="2395"/>
    </row>
    <row r="68" spans="2:18" s="2366" customFormat="1">
      <c r="B68" s="2393"/>
      <c r="C68" s="2393"/>
      <c r="D68" s="2393"/>
      <c r="E68" s="2393"/>
      <c r="F68" s="2393"/>
      <c r="G68" s="2394"/>
      <c r="H68" s="2393"/>
      <c r="I68" s="2394"/>
      <c r="J68" s="2393"/>
      <c r="K68" s="2393"/>
      <c r="L68" s="2394"/>
      <c r="M68" s="2393"/>
      <c r="N68" s="2393"/>
      <c r="O68" s="2394"/>
      <c r="P68" s="2393"/>
      <c r="Q68" s="2393"/>
      <c r="R68" s="2395"/>
    </row>
    <row r="69" spans="2:18" s="2366" customFormat="1">
      <c r="B69" s="2393"/>
      <c r="C69" s="2393"/>
      <c r="D69" s="2393"/>
      <c r="E69" s="2393"/>
      <c r="F69" s="2393"/>
      <c r="G69" s="2394"/>
      <c r="H69" s="2393"/>
      <c r="I69" s="2394"/>
      <c r="J69" s="2393"/>
      <c r="K69" s="2393"/>
      <c r="L69" s="2394"/>
      <c r="M69" s="2393"/>
      <c r="N69" s="2393"/>
      <c r="O69" s="2394"/>
      <c r="P69" s="2393"/>
      <c r="Q69" s="2393"/>
      <c r="R69" s="2395"/>
    </row>
    <row r="70" spans="2:18" s="2366" customFormat="1">
      <c r="B70" s="2393"/>
      <c r="C70" s="2393"/>
      <c r="D70" s="2393"/>
      <c r="E70" s="2393"/>
      <c r="F70" s="2393"/>
      <c r="G70" s="2394"/>
      <c r="H70" s="2393"/>
      <c r="I70" s="2394"/>
      <c r="J70" s="2393"/>
      <c r="K70" s="2393"/>
      <c r="L70" s="2394"/>
      <c r="M70" s="2393"/>
      <c r="N70" s="2393"/>
      <c r="O70" s="2394"/>
      <c r="P70" s="2393"/>
      <c r="Q70" s="2393"/>
      <c r="R70" s="2395"/>
    </row>
    <row r="71" spans="2:18" s="2366" customFormat="1">
      <c r="B71" s="2393"/>
      <c r="C71" s="2393"/>
      <c r="D71" s="2393"/>
      <c r="E71" s="2393"/>
      <c r="F71" s="2393"/>
      <c r="G71" s="2394"/>
      <c r="H71" s="2393"/>
      <c r="I71" s="2394"/>
      <c r="J71" s="2393"/>
      <c r="K71" s="2393"/>
      <c r="L71" s="2394"/>
      <c r="M71" s="2393"/>
      <c r="N71" s="2393"/>
      <c r="O71" s="2394"/>
      <c r="P71" s="2393"/>
      <c r="Q71" s="2393"/>
      <c r="R71" s="2395"/>
    </row>
    <row r="72" spans="2:18" s="2366" customFormat="1">
      <c r="B72" s="2393"/>
      <c r="C72" s="2393"/>
      <c r="D72" s="2393"/>
      <c r="E72" s="2393"/>
      <c r="F72" s="2393"/>
      <c r="G72" s="2394"/>
      <c r="H72" s="2393"/>
      <c r="I72" s="2394"/>
      <c r="J72" s="2393"/>
      <c r="K72" s="2393"/>
      <c r="L72" s="2394"/>
      <c r="M72" s="2393"/>
      <c r="N72" s="2393"/>
      <c r="O72" s="2394"/>
      <c r="P72" s="2393"/>
      <c r="Q72" s="2393"/>
      <c r="R72" s="2395"/>
    </row>
    <row r="73" spans="2:18" s="2366" customFormat="1">
      <c r="B73" s="2393"/>
      <c r="C73" s="2393"/>
      <c r="D73" s="2393"/>
      <c r="E73" s="2393"/>
      <c r="F73" s="2393"/>
      <c r="G73" s="2394"/>
      <c r="H73" s="2393"/>
      <c r="I73" s="2394"/>
      <c r="J73" s="2393"/>
      <c r="K73" s="2393"/>
      <c r="L73" s="2394"/>
      <c r="M73" s="2393"/>
      <c r="N73" s="2393"/>
      <c r="O73" s="2394"/>
      <c r="P73" s="2393"/>
      <c r="Q73" s="2393"/>
      <c r="R73" s="2395"/>
    </row>
    <row r="74" spans="2:18" s="2366" customFormat="1">
      <c r="B74" s="2393"/>
      <c r="C74" s="2393"/>
      <c r="D74" s="2393"/>
      <c r="E74" s="2393"/>
      <c r="F74" s="2393"/>
      <c r="G74" s="2394"/>
      <c r="H74" s="2393"/>
      <c r="I74" s="2394"/>
      <c r="J74" s="2393"/>
      <c r="K74" s="2393"/>
      <c r="L74" s="2394"/>
      <c r="M74" s="2393"/>
      <c r="N74" s="2393"/>
      <c r="O74" s="2394"/>
      <c r="P74" s="2393"/>
      <c r="Q74" s="2393"/>
      <c r="R74" s="2395"/>
    </row>
    <row r="75" spans="2:18" s="2366" customFormat="1">
      <c r="B75" s="2393"/>
      <c r="C75" s="2393"/>
      <c r="D75" s="2393"/>
      <c r="E75" s="2393"/>
      <c r="F75" s="2393"/>
      <c r="G75" s="2394"/>
      <c r="H75" s="2393"/>
      <c r="I75" s="2394"/>
      <c r="J75" s="2393"/>
      <c r="K75" s="2393"/>
      <c r="L75" s="2394"/>
      <c r="M75" s="2393"/>
      <c r="N75" s="2393"/>
      <c r="O75" s="2394"/>
      <c r="P75" s="2393"/>
      <c r="Q75" s="2393"/>
      <c r="R75" s="2395"/>
    </row>
    <row r="76" spans="2:18" s="2366" customFormat="1">
      <c r="B76" s="2393"/>
      <c r="C76" s="2393"/>
      <c r="D76" s="2393"/>
      <c r="E76" s="2393"/>
      <c r="F76" s="2393"/>
      <c r="G76" s="2394"/>
      <c r="H76" s="2393"/>
      <c r="I76" s="2394"/>
      <c r="J76" s="2393"/>
      <c r="K76" s="2393"/>
      <c r="L76" s="2394"/>
      <c r="M76" s="2393"/>
      <c r="N76" s="2393"/>
      <c r="O76" s="2394"/>
      <c r="P76" s="2393"/>
      <c r="Q76" s="2393"/>
      <c r="R76" s="2395"/>
    </row>
    <row r="77" spans="2:18" s="2366" customFormat="1">
      <c r="B77" s="2393"/>
      <c r="C77" s="2393"/>
      <c r="D77" s="2393"/>
      <c r="E77" s="2393"/>
      <c r="F77" s="2393"/>
      <c r="G77" s="2394"/>
      <c r="H77" s="2393"/>
      <c r="I77" s="2394"/>
      <c r="J77" s="2393"/>
      <c r="K77" s="2393"/>
      <c r="L77" s="2394"/>
      <c r="M77" s="2393"/>
      <c r="N77" s="2393"/>
      <c r="O77" s="2394"/>
      <c r="P77" s="2393"/>
      <c r="Q77" s="2393"/>
      <c r="R77" s="2395"/>
    </row>
    <row r="78" spans="2:18" s="2366" customFormat="1">
      <c r="B78" s="2393"/>
      <c r="C78" s="2393"/>
      <c r="D78" s="2393"/>
      <c r="E78" s="2393"/>
      <c r="F78" s="2393"/>
      <c r="G78" s="2394"/>
      <c r="H78" s="2393"/>
      <c r="I78" s="2394"/>
      <c r="J78" s="2393"/>
      <c r="K78" s="2393"/>
      <c r="L78" s="2394"/>
      <c r="M78" s="2393"/>
      <c r="N78" s="2393"/>
      <c r="O78" s="2394"/>
      <c r="P78" s="2393"/>
      <c r="Q78" s="2393"/>
      <c r="R78" s="2395"/>
    </row>
    <row r="79" spans="2:18" s="2366" customFormat="1">
      <c r="B79" s="2393"/>
      <c r="C79" s="2393"/>
      <c r="D79" s="2393"/>
      <c r="E79" s="2393"/>
      <c r="F79" s="2393"/>
      <c r="G79" s="2394"/>
      <c r="H79" s="2393"/>
      <c r="I79" s="2394"/>
      <c r="J79" s="2393"/>
      <c r="K79" s="2393"/>
      <c r="L79" s="2394"/>
      <c r="M79" s="2393"/>
      <c r="N79" s="2393"/>
      <c r="O79" s="2394"/>
      <c r="P79" s="2393"/>
      <c r="Q79" s="2393"/>
      <c r="R79" s="2395"/>
    </row>
    <row r="80" spans="2:18" s="2366" customFormat="1">
      <c r="B80" s="2393"/>
      <c r="C80" s="2393"/>
      <c r="D80" s="2393"/>
      <c r="E80" s="2393"/>
      <c r="F80" s="2393"/>
      <c r="G80" s="2394"/>
      <c r="H80" s="2393"/>
      <c r="I80" s="2394"/>
      <c r="J80" s="2393"/>
      <c r="K80" s="2393"/>
      <c r="L80" s="2394"/>
      <c r="M80" s="2393"/>
      <c r="N80" s="2393"/>
      <c r="O80" s="2394"/>
      <c r="P80" s="2393"/>
      <c r="Q80" s="2393"/>
      <c r="R80" s="2395"/>
    </row>
    <row r="81" spans="2:18" s="2366" customFormat="1">
      <c r="B81" s="2393"/>
      <c r="C81" s="2393"/>
      <c r="D81" s="2393"/>
      <c r="E81" s="2393"/>
      <c r="F81" s="2393"/>
      <c r="G81" s="2394"/>
      <c r="H81" s="2393"/>
      <c r="I81" s="2394"/>
      <c r="J81" s="2393"/>
      <c r="K81" s="2393"/>
      <c r="L81" s="2394"/>
      <c r="M81" s="2393"/>
      <c r="N81" s="2393"/>
      <c r="O81" s="2394"/>
      <c r="P81" s="2393"/>
      <c r="Q81" s="2393"/>
      <c r="R81" s="2395"/>
    </row>
    <row r="82" spans="2:18" s="2366" customFormat="1">
      <c r="B82" s="2393"/>
      <c r="C82" s="2393"/>
      <c r="D82" s="2393"/>
      <c r="E82" s="2393"/>
      <c r="F82" s="2393"/>
      <c r="G82" s="2394"/>
      <c r="H82" s="2393"/>
      <c r="I82" s="2394"/>
      <c r="J82" s="2393"/>
      <c r="K82" s="2393"/>
      <c r="L82" s="2394"/>
      <c r="M82" s="2393"/>
      <c r="N82" s="2393"/>
      <c r="O82" s="2394"/>
      <c r="P82" s="2393"/>
      <c r="Q82" s="2393"/>
      <c r="R82" s="2395"/>
    </row>
    <row r="83" spans="2:18" s="2366" customFormat="1">
      <c r="B83" s="2393"/>
      <c r="C83" s="2393"/>
      <c r="D83" s="2393"/>
      <c r="E83" s="2393"/>
      <c r="F83" s="2393"/>
      <c r="G83" s="2394"/>
      <c r="H83" s="2393"/>
      <c r="I83" s="2394"/>
      <c r="J83" s="2393"/>
      <c r="K83" s="2393"/>
      <c r="L83" s="2394"/>
      <c r="M83" s="2393"/>
      <c r="N83" s="2393"/>
      <c r="O83" s="2394"/>
      <c r="P83" s="2393"/>
      <c r="Q83" s="2393"/>
      <c r="R83" s="2395"/>
    </row>
    <row r="84" spans="2:18" s="2366" customFormat="1">
      <c r="B84" s="2393"/>
      <c r="C84" s="2393"/>
      <c r="D84" s="2393"/>
      <c r="E84" s="2393"/>
      <c r="F84" s="2393"/>
      <c r="G84" s="2394"/>
      <c r="H84" s="2393"/>
      <c r="I84" s="2394"/>
      <c r="J84" s="2393"/>
      <c r="K84" s="2393"/>
      <c r="L84" s="2394"/>
      <c r="M84" s="2393"/>
      <c r="N84" s="2393"/>
      <c r="O84" s="2394"/>
      <c r="P84" s="2393"/>
      <c r="Q84" s="2393"/>
      <c r="R84" s="2395"/>
    </row>
    <row r="85" spans="2:18" s="2366" customFormat="1">
      <c r="B85" s="2393"/>
      <c r="C85" s="2393"/>
      <c r="D85" s="2393"/>
      <c r="E85" s="2393"/>
      <c r="F85" s="2393"/>
      <c r="G85" s="2394"/>
      <c r="H85" s="2393"/>
      <c r="I85" s="2394"/>
      <c r="J85" s="2393"/>
      <c r="K85" s="2393"/>
      <c r="L85" s="2394"/>
      <c r="M85" s="2393"/>
      <c r="N85" s="2393"/>
      <c r="O85" s="2394"/>
      <c r="P85" s="2393"/>
      <c r="Q85" s="2393"/>
      <c r="R85" s="2395"/>
    </row>
    <row r="86" spans="2:18" s="2366" customFormat="1">
      <c r="B86" s="2393"/>
      <c r="C86" s="2393"/>
      <c r="D86" s="2393"/>
      <c r="E86" s="2393"/>
      <c r="F86" s="2393"/>
      <c r="G86" s="2394"/>
      <c r="H86" s="2393"/>
      <c r="I86" s="2394"/>
      <c r="J86" s="2393"/>
      <c r="K86" s="2393"/>
      <c r="L86" s="2394"/>
      <c r="M86" s="2393"/>
      <c r="N86" s="2393"/>
      <c r="O86" s="2394"/>
      <c r="P86" s="2393"/>
      <c r="Q86" s="2393"/>
      <c r="R86" s="2395"/>
    </row>
    <row r="87" spans="2:18" s="2366" customFormat="1">
      <c r="B87" s="2393"/>
      <c r="C87" s="2393"/>
      <c r="D87" s="2393"/>
      <c r="E87" s="2393"/>
      <c r="F87" s="2393"/>
      <c r="G87" s="2394"/>
      <c r="H87" s="2393"/>
      <c r="I87" s="2394"/>
      <c r="J87" s="2393"/>
      <c r="K87" s="2393"/>
      <c r="L87" s="2394"/>
      <c r="M87" s="2393"/>
      <c r="N87" s="2393"/>
      <c r="O87" s="2394"/>
      <c r="P87" s="2393"/>
      <c r="Q87" s="2393"/>
      <c r="R87" s="2395"/>
    </row>
    <row r="88" spans="2:18" s="2366" customFormat="1">
      <c r="B88" s="2393"/>
      <c r="C88" s="2393"/>
      <c r="D88" s="2393"/>
      <c r="E88" s="2393"/>
      <c r="F88" s="2393"/>
      <c r="G88" s="2394"/>
      <c r="H88" s="2393"/>
      <c r="I88" s="2394"/>
      <c r="J88" s="2393"/>
      <c r="K88" s="2393"/>
      <c r="L88" s="2394"/>
      <c r="M88" s="2393"/>
      <c r="N88" s="2393"/>
      <c r="O88" s="2394"/>
      <c r="P88" s="2393"/>
      <c r="Q88" s="2393"/>
      <c r="R88" s="2395"/>
    </row>
    <row r="89" spans="2:18" s="2366" customFormat="1">
      <c r="B89" s="2393"/>
      <c r="C89" s="2393"/>
      <c r="D89" s="2393"/>
      <c r="E89" s="2393"/>
      <c r="F89" s="2393"/>
      <c r="G89" s="2394"/>
      <c r="H89" s="2393"/>
      <c r="I89" s="2394"/>
      <c r="J89" s="2393"/>
      <c r="K89" s="2393"/>
      <c r="L89" s="2394"/>
      <c r="M89" s="2393"/>
      <c r="N89" s="2393"/>
      <c r="O89" s="2394"/>
      <c r="P89" s="2393"/>
      <c r="Q89" s="2393"/>
      <c r="R89" s="2395"/>
    </row>
    <row r="90" spans="2:18" s="2366" customFormat="1">
      <c r="B90" s="2393"/>
      <c r="C90" s="2393"/>
      <c r="D90" s="2393"/>
      <c r="E90" s="2393"/>
      <c r="F90" s="2393"/>
      <c r="G90" s="2394"/>
      <c r="H90" s="2393"/>
      <c r="I90" s="2394"/>
      <c r="J90" s="2393"/>
      <c r="K90" s="2393"/>
      <c r="L90" s="2394"/>
      <c r="M90" s="2393"/>
      <c r="N90" s="2393"/>
      <c r="O90" s="2394"/>
      <c r="P90" s="2393"/>
      <c r="Q90" s="2393"/>
      <c r="R90" s="2395"/>
    </row>
    <row r="91" spans="2:18" s="2366" customFormat="1">
      <c r="B91" s="2393"/>
      <c r="C91" s="2393"/>
      <c r="D91" s="2393"/>
      <c r="E91" s="2393"/>
      <c r="F91" s="2393"/>
      <c r="G91" s="2394"/>
      <c r="H91" s="2393"/>
      <c r="I91" s="2394"/>
      <c r="J91" s="2393"/>
      <c r="K91" s="2393"/>
      <c r="L91" s="2394"/>
      <c r="M91" s="2393"/>
      <c r="N91" s="2393"/>
      <c r="O91" s="2394"/>
      <c r="P91" s="2393"/>
      <c r="Q91" s="2393"/>
      <c r="R91" s="2395"/>
    </row>
    <row r="92" spans="2:18" s="2366" customFormat="1">
      <c r="B92" s="2393"/>
      <c r="C92" s="2393"/>
      <c r="D92" s="2393"/>
      <c r="E92" s="2393"/>
      <c r="F92" s="2393"/>
      <c r="G92" s="2394"/>
      <c r="H92" s="2393"/>
      <c r="I92" s="2394"/>
      <c r="J92" s="2393"/>
      <c r="K92" s="2393"/>
      <c r="L92" s="2394"/>
      <c r="M92" s="2393"/>
      <c r="N92" s="2393"/>
      <c r="O92" s="2394"/>
      <c r="P92" s="2393"/>
      <c r="Q92" s="2393"/>
      <c r="R92" s="2395"/>
    </row>
    <row r="93" spans="2:18" s="2366" customFormat="1">
      <c r="B93" s="2393"/>
      <c r="C93" s="2393"/>
      <c r="D93" s="2393"/>
      <c r="E93" s="2393"/>
      <c r="F93" s="2393"/>
      <c r="G93" s="2394"/>
      <c r="H93" s="2393"/>
      <c r="I93" s="2394"/>
      <c r="J93" s="2393"/>
      <c r="K93" s="2393"/>
      <c r="L93" s="2394"/>
      <c r="M93" s="2393"/>
      <c r="N93" s="2393"/>
      <c r="O93" s="2394"/>
      <c r="P93" s="2393"/>
      <c r="Q93" s="2393"/>
      <c r="R93" s="2395"/>
    </row>
    <row r="94" spans="2:18" s="2366" customFormat="1">
      <c r="B94" s="2393"/>
      <c r="C94" s="2393"/>
      <c r="D94" s="2393"/>
      <c r="E94" s="2393"/>
      <c r="F94" s="2393"/>
      <c r="G94" s="2394"/>
      <c r="H94" s="2393"/>
      <c r="I94" s="2394"/>
      <c r="J94" s="2393"/>
      <c r="K94" s="2393"/>
      <c r="L94" s="2394"/>
      <c r="M94" s="2393"/>
      <c r="N94" s="2393"/>
      <c r="O94" s="2394"/>
      <c r="P94" s="2393"/>
      <c r="Q94" s="2393"/>
      <c r="R94" s="2395"/>
    </row>
    <row r="95" spans="2:18" s="2366" customFormat="1">
      <c r="B95" s="2393"/>
      <c r="C95" s="2393"/>
      <c r="D95" s="2393"/>
      <c r="E95" s="2393"/>
      <c r="F95" s="2393"/>
      <c r="G95" s="2394"/>
      <c r="H95" s="2393"/>
      <c r="I95" s="2394"/>
      <c r="J95" s="2393"/>
      <c r="K95" s="2393"/>
      <c r="L95" s="2394"/>
      <c r="M95" s="2393"/>
      <c r="N95" s="2393"/>
      <c r="O95" s="2394"/>
      <c r="P95" s="2393"/>
      <c r="Q95" s="2393"/>
      <c r="R95" s="2395"/>
    </row>
    <row r="96" spans="2:18" s="2366" customFormat="1">
      <c r="B96" s="2393"/>
      <c r="C96" s="2393"/>
      <c r="D96" s="2393"/>
      <c r="E96" s="2393"/>
      <c r="F96" s="2393"/>
      <c r="G96" s="2394"/>
      <c r="H96" s="2393"/>
      <c r="I96" s="2394"/>
      <c r="J96" s="2393"/>
      <c r="K96" s="2393"/>
      <c r="L96" s="2394"/>
      <c r="M96" s="2393"/>
      <c r="N96" s="2393"/>
      <c r="O96" s="2394"/>
      <c r="P96" s="2393"/>
      <c r="Q96" s="2393"/>
      <c r="R96" s="2395"/>
    </row>
    <row r="97" spans="2:18" s="2366" customFormat="1">
      <c r="B97" s="2393"/>
      <c r="C97" s="2393"/>
      <c r="D97" s="2393"/>
      <c r="E97" s="2393"/>
      <c r="F97" s="2393"/>
      <c r="G97" s="2394"/>
      <c r="H97" s="2393"/>
      <c r="I97" s="2394"/>
      <c r="J97" s="2393"/>
      <c r="K97" s="2393"/>
      <c r="L97" s="2394"/>
      <c r="M97" s="2393"/>
      <c r="N97" s="2393"/>
      <c r="O97" s="2394"/>
      <c r="P97" s="2393"/>
      <c r="Q97" s="2393"/>
      <c r="R97" s="2395"/>
    </row>
    <row r="98" spans="2:18" s="2366" customFormat="1">
      <c r="B98" s="2393"/>
      <c r="C98" s="2393"/>
      <c r="D98" s="2393"/>
      <c r="E98" s="2393"/>
      <c r="F98" s="2393"/>
      <c r="G98" s="2394"/>
      <c r="H98" s="2393"/>
      <c r="I98" s="2394"/>
      <c r="J98" s="2393"/>
      <c r="K98" s="2393"/>
      <c r="L98" s="2394"/>
      <c r="M98" s="2393"/>
      <c r="N98" s="2393"/>
      <c r="O98" s="2394"/>
      <c r="P98" s="2393"/>
      <c r="Q98" s="2393"/>
      <c r="R98" s="2395"/>
    </row>
    <row r="99" spans="2:18" s="2366" customFormat="1">
      <c r="B99" s="2393"/>
      <c r="C99" s="2393"/>
      <c r="D99" s="2393"/>
      <c r="E99" s="2393"/>
      <c r="F99" s="2393"/>
      <c r="G99" s="2394"/>
      <c r="H99" s="2393"/>
      <c r="I99" s="2394"/>
      <c r="J99" s="2393"/>
      <c r="K99" s="2393"/>
      <c r="L99" s="2394"/>
      <c r="M99" s="2393"/>
      <c r="N99" s="2393"/>
      <c r="O99" s="2394"/>
      <c r="P99" s="2393"/>
      <c r="Q99" s="2393"/>
      <c r="R99" s="2395"/>
    </row>
    <row r="100" spans="2:18" s="2366" customFormat="1">
      <c r="B100" s="2393"/>
      <c r="C100" s="2393"/>
      <c r="D100" s="2393"/>
      <c r="E100" s="2393"/>
      <c r="F100" s="2393"/>
      <c r="G100" s="2394"/>
      <c r="H100" s="2393"/>
      <c r="I100" s="2394"/>
      <c r="J100" s="2393"/>
      <c r="K100" s="2393"/>
      <c r="L100" s="2394"/>
      <c r="M100" s="2393"/>
      <c r="N100" s="2393"/>
      <c r="O100" s="2394"/>
      <c r="P100" s="2393"/>
      <c r="Q100" s="2393"/>
      <c r="R100" s="2395"/>
    </row>
    <row r="101" spans="2:18" s="2366" customFormat="1">
      <c r="B101" s="2393"/>
      <c r="C101" s="2393"/>
      <c r="D101" s="2393"/>
      <c r="E101" s="2393"/>
      <c r="F101" s="2393"/>
      <c r="G101" s="2394"/>
      <c r="H101" s="2393"/>
      <c r="I101" s="2394"/>
      <c r="J101" s="2393"/>
      <c r="K101" s="2393"/>
      <c r="L101" s="2394"/>
      <c r="M101" s="2393"/>
      <c r="N101" s="2393"/>
      <c r="O101" s="2394"/>
      <c r="P101" s="2393"/>
      <c r="Q101" s="2393"/>
      <c r="R101" s="2395"/>
    </row>
    <row r="102" spans="2:18" s="2366" customFormat="1">
      <c r="B102" s="2393"/>
      <c r="C102" s="2393"/>
      <c r="D102" s="2393"/>
      <c r="E102" s="2393"/>
      <c r="F102" s="2393"/>
      <c r="G102" s="2394"/>
      <c r="H102" s="2393"/>
      <c r="I102" s="2394"/>
      <c r="J102" s="2393"/>
      <c r="K102" s="2393"/>
      <c r="L102" s="2394"/>
      <c r="M102" s="2393"/>
      <c r="N102" s="2393"/>
      <c r="O102" s="2394"/>
      <c r="P102" s="2393"/>
      <c r="Q102" s="2393"/>
      <c r="R102" s="2395"/>
    </row>
    <row r="103" spans="2:18" s="2366" customFormat="1">
      <c r="B103" s="2393"/>
      <c r="C103" s="2393"/>
      <c r="D103" s="2393"/>
      <c r="E103" s="2393"/>
      <c r="F103" s="2393"/>
      <c r="G103" s="2394"/>
      <c r="H103" s="2393"/>
      <c r="I103" s="2394"/>
      <c r="J103" s="2393"/>
      <c r="K103" s="2393"/>
      <c r="L103" s="2394"/>
      <c r="M103" s="2393"/>
      <c r="N103" s="2393"/>
      <c r="O103" s="2394"/>
      <c r="P103" s="2393"/>
      <c r="Q103" s="2393"/>
      <c r="R103" s="2395"/>
    </row>
    <row r="104" spans="2:18" s="2366" customFormat="1">
      <c r="B104" s="2393"/>
      <c r="C104" s="2393"/>
      <c r="D104" s="2393"/>
      <c r="E104" s="2393"/>
      <c r="F104" s="2393"/>
      <c r="G104" s="2394"/>
      <c r="H104" s="2393"/>
      <c r="I104" s="2394"/>
      <c r="J104" s="2393"/>
      <c r="K104" s="2393"/>
      <c r="L104" s="2394"/>
      <c r="M104" s="2393"/>
      <c r="N104" s="2393"/>
      <c r="O104" s="2394"/>
      <c r="P104" s="2393"/>
      <c r="Q104" s="2393"/>
      <c r="R104" s="2395"/>
    </row>
    <row r="105" spans="2:18" s="2366" customFormat="1">
      <c r="B105" s="2393"/>
      <c r="C105" s="2393"/>
      <c r="D105" s="2393"/>
      <c r="E105" s="2393"/>
      <c r="F105" s="2393"/>
      <c r="G105" s="2394"/>
      <c r="H105" s="2393"/>
      <c r="I105" s="2394"/>
      <c r="J105" s="2393"/>
      <c r="K105" s="2393"/>
      <c r="L105" s="2394"/>
      <c r="M105" s="2393"/>
      <c r="N105" s="2393"/>
      <c r="O105" s="2394"/>
      <c r="P105" s="2393"/>
      <c r="Q105" s="2393"/>
      <c r="R105" s="2395"/>
    </row>
    <row r="106" spans="2:18" s="2366" customFormat="1">
      <c r="B106" s="2393"/>
      <c r="C106" s="2393"/>
      <c r="D106" s="2393"/>
      <c r="E106" s="2393"/>
      <c r="F106" s="2393"/>
      <c r="G106" s="2394"/>
      <c r="H106" s="2393"/>
      <c r="I106" s="2394"/>
      <c r="J106" s="2393"/>
      <c r="K106" s="2393"/>
      <c r="L106" s="2394"/>
      <c r="M106" s="2393"/>
      <c r="N106" s="2393"/>
      <c r="O106" s="2394"/>
      <c r="P106" s="2393"/>
      <c r="Q106" s="2393"/>
      <c r="R106" s="2395"/>
    </row>
    <row r="107" spans="2:18" s="2366" customFormat="1">
      <c r="B107" s="2393"/>
      <c r="C107" s="2393"/>
      <c r="D107" s="2393"/>
      <c r="E107" s="2393"/>
      <c r="F107" s="2393"/>
      <c r="G107" s="2394"/>
      <c r="H107" s="2393"/>
      <c r="I107" s="2394"/>
      <c r="J107" s="2393"/>
      <c r="K107" s="2393"/>
      <c r="L107" s="2394"/>
      <c r="M107" s="2393"/>
      <c r="N107" s="2393"/>
      <c r="O107" s="2394"/>
      <c r="P107" s="2393"/>
      <c r="Q107" s="2393"/>
      <c r="R107" s="2395"/>
    </row>
    <row r="108" spans="2:18" s="2366" customFormat="1">
      <c r="B108" s="2393"/>
      <c r="C108" s="2393"/>
      <c r="D108" s="2393"/>
      <c r="E108" s="2393"/>
      <c r="F108" s="2393"/>
      <c r="G108" s="2394"/>
      <c r="H108" s="2393"/>
      <c r="I108" s="2394"/>
      <c r="J108" s="2393"/>
      <c r="K108" s="2393"/>
      <c r="L108" s="2394"/>
      <c r="M108" s="2393"/>
      <c r="N108" s="2393"/>
      <c r="O108" s="2394"/>
      <c r="P108" s="2393"/>
      <c r="Q108" s="2393"/>
      <c r="R108" s="2395"/>
    </row>
    <row r="109" spans="2:18" s="2366" customFormat="1">
      <c r="B109" s="2393"/>
      <c r="C109" s="2393"/>
      <c r="D109" s="2393"/>
      <c r="E109" s="2393"/>
      <c r="F109" s="2393"/>
      <c r="G109" s="2394"/>
      <c r="H109" s="2393"/>
      <c r="I109" s="2394"/>
      <c r="J109" s="2393"/>
      <c r="K109" s="2393"/>
      <c r="L109" s="2394"/>
      <c r="M109" s="2393"/>
      <c r="N109" s="2393"/>
      <c r="O109" s="2394"/>
      <c r="P109" s="2393"/>
      <c r="Q109" s="2393"/>
      <c r="R109" s="2395"/>
    </row>
    <row r="110" spans="2:18" s="2366" customFormat="1">
      <c r="B110" s="2393"/>
      <c r="C110" s="2393"/>
      <c r="D110" s="2393"/>
      <c r="E110" s="2393"/>
      <c r="F110" s="2393"/>
      <c r="G110" s="2394"/>
      <c r="H110" s="2393"/>
      <c r="I110" s="2394"/>
      <c r="J110" s="2393"/>
      <c r="K110" s="2393"/>
      <c r="L110" s="2394"/>
      <c r="M110" s="2393"/>
      <c r="N110" s="2393"/>
      <c r="O110" s="2394"/>
      <c r="P110" s="2393"/>
      <c r="Q110" s="2393"/>
      <c r="R110" s="2395"/>
    </row>
    <row r="111" spans="2:18" s="2366" customFormat="1">
      <c r="B111" s="2393"/>
      <c r="C111" s="2393"/>
      <c r="D111" s="2393"/>
      <c r="E111" s="2393"/>
      <c r="F111" s="2393"/>
      <c r="G111" s="2394"/>
      <c r="H111" s="2393"/>
      <c r="I111" s="2394"/>
      <c r="J111" s="2393"/>
      <c r="K111" s="2393"/>
      <c r="L111" s="2394"/>
      <c r="M111" s="2393"/>
      <c r="N111" s="2393"/>
      <c r="O111" s="2394"/>
      <c r="P111" s="2393"/>
      <c r="Q111" s="2393"/>
      <c r="R111" s="2395"/>
    </row>
    <row r="112" spans="2:18" s="2366" customFormat="1">
      <c r="B112" s="2393"/>
      <c r="C112" s="2393"/>
      <c r="D112" s="2393"/>
      <c r="E112" s="2393"/>
      <c r="F112" s="2393"/>
      <c r="G112" s="2394"/>
      <c r="H112" s="2393"/>
      <c r="I112" s="2394"/>
      <c r="J112" s="2393"/>
      <c r="K112" s="2393"/>
      <c r="L112" s="2394"/>
      <c r="M112" s="2393"/>
      <c r="N112" s="2393"/>
      <c r="O112" s="2394"/>
      <c r="P112" s="2393"/>
      <c r="Q112" s="2393"/>
      <c r="R112" s="2395"/>
    </row>
    <row r="113" spans="2:18" s="2366" customFormat="1">
      <c r="B113" s="2393"/>
      <c r="C113" s="2393"/>
      <c r="D113" s="2393"/>
      <c r="E113" s="2393"/>
      <c r="F113" s="2393"/>
      <c r="G113" s="2394"/>
      <c r="H113" s="2393"/>
      <c r="I113" s="2394"/>
      <c r="J113" s="2393"/>
      <c r="K113" s="2393"/>
      <c r="L113" s="2394"/>
      <c r="M113" s="2393"/>
      <c r="N113" s="2393"/>
      <c r="O113" s="2394"/>
      <c r="P113" s="2393"/>
      <c r="Q113" s="2393"/>
      <c r="R113" s="2395"/>
    </row>
    <row r="114" spans="2:18" s="2366" customFormat="1">
      <c r="B114" s="2393"/>
      <c r="C114" s="2393"/>
      <c r="D114" s="2393"/>
      <c r="E114" s="2393"/>
      <c r="F114" s="2393"/>
      <c r="G114" s="2394"/>
      <c r="H114" s="2393"/>
      <c r="I114" s="2394"/>
      <c r="J114" s="2393"/>
      <c r="K114" s="2393"/>
      <c r="L114" s="2394"/>
      <c r="M114" s="2393"/>
      <c r="N114" s="2393"/>
      <c r="O114" s="2394"/>
      <c r="P114" s="2393"/>
      <c r="Q114" s="2393"/>
      <c r="R114" s="2395"/>
    </row>
    <row r="115" spans="2:18" s="2366" customFormat="1">
      <c r="B115" s="2393"/>
      <c r="C115" s="2393"/>
      <c r="D115" s="2393"/>
      <c r="E115" s="2393"/>
      <c r="F115" s="2393"/>
      <c r="G115" s="2394"/>
      <c r="H115" s="2393"/>
      <c r="I115" s="2394"/>
      <c r="J115" s="2393"/>
      <c r="K115" s="2393"/>
      <c r="L115" s="2394"/>
      <c r="M115" s="2393"/>
      <c r="N115" s="2393"/>
      <c r="O115" s="2394"/>
      <c r="P115" s="2393"/>
      <c r="Q115" s="2393"/>
      <c r="R115" s="2395"/>
    </row>
    <row r="116" spans="2:18" s="2366" customFormat="1">
      <c r="B116" s="2393"/>
      <c r="C116" s="2393"/>
      <c r="D116" s="2393"/>
      <c r="E116" s="2393"/>
      <c r="F116" s="2393"/>
      <c r="G116" s="2394"/>
      <c r="H116" s="2393"/>
      <c r="I116" s="2394"/>
      <c r="J116" s="2393"/>
      <c r="K116" s="2393"/>
      <c r="L116" s="2394"/>
      <c r="M116" s="2393"/>
      <c r="N116" s="2393"/>
      <c r="O116" s="2394"/>
      <c r="P116" s="2393"/>
      <c r="Q116" s="2393"/>
      <c r="R116" s="2395"/>
    </row>
    <row r="117" spans="2:18" s="2366" customFormat="1">
      <c r="B117" s="2393"/>
      <c r="C117" s="2393"/>
      <c r="D117" s="2393"/>
      <c r="E117" s="2393"/>
      <c r="F117" s="2393"/>
      <c r="G117" s="2394"/>
      <c r="H117" s="2393"/>
      <c r="I117" s="2394"/>
      <c r="J117" s="2393"/>
      <c r="K117" s="2393"/>
      <c r="L117" s="2394"/>
      <c r="M117" s="2393"/>
      <c r="N117" s="2393"/>
      <c r="O117" s="2394"/>
      <c r="P117" s="2393"/>
      <c r="Q117" s="2393"/>
      <c r="R117" s="2395"/>
    </row>
    <row r="118" spans="2:18" s="2366" customFormat="1">
      <c r="B118" s="2393"/>
      <c r="C118" s="2393"/>
      <c r="D118" s="2393"/>
      <c r="E118" s="2393"/>
      <c r="F118" s="2393"/>
      <c r="G118" s="2394"/>
      <c r="H118" s="2393"/>
      <c r="I118" s="2394"/>
      <c r="J118" s="2393"/>
      <c r="K118" s="2393"/>
      <c r="L118" s="2394"/>
      <c r="M118" s="2393"/>
      <c r="N118" s="2393"/>
      <c r="O118" s="2394"/>
      <c r="P118" s="2393"/>
      <c r="Q118" s="2393"/>
      <c r="R118" s="2395"/>
    </row>
    <row r="119" spans="2:18" s="2366" customFormat="1">
      <c r="B119" s="2393"/>
      <c r="C119" s="2393"/>
      <c r="D119" s="2393"/>
      <c r="E119" s="2393"/>
      <c r="F119" s="2393"/>
      <c r="G119" s="2394"/>
      <c r="H119" s="2393"/>
      <c r="I119" s="2394"/>
      <c r="J119" s="2393"/>
      <c r="K119" s="2393"/>
      <c r="L119" s="2394"/>
      <c r="M119" s="2393"/>
      <c r="N119" s="2393"/>
      <c r="O119" s="2394"/>
      <c r="P119" s="2393"/>
      <c r="Q119" s="2393"/>
      <c r="R119" s="2395"/>
    </row>
    <row r="120" spans="2:18" s="2366" customFormat="1">
      <c r="B120" s="2393"/>
      <c r="C120" s="2393"/>
      <c r="D120" s="2393"/>
      <c r="E120" s="2393"/>
      <c r="F120" s="2393"/>
      <c r="G120" s="2394"/>
      <c r="H120" s="2393"/>
      <c r="I120" s="2394"/>
      <c r="J120" s="2393"/>
      <c r="K120" s="2393"/>
      <c r="L120" s="2394"/>
      <c r="M120" s="2393"/>
      <c r="N120" s="2393"/>
      <c r="O120" s="2394"/>
      <c r="P120" s="2393"/>
      <c r="Q120" s="2393"/>
      <c r="R120" s="2395"/>
    </row>
    <row r="121" spans="2:18" s="2366" customFormat="1">
      <c r="B121" s="2393"/>
      <c r="C121" s="2393"/>
      <c r="D121" s="2393"/>
      <c r="E121" s="2393"/>
      <c r="F121" s="2393"/>
      <c r="G121" s="2394"/>
      <c r="H121" s="2393"/>
      <c r="I121" s="2394"/>
      <c r="J121" s="2393"/>
      <c r="K121" s="2393"/>
      <c r="L121" s="2394"/>
      <c r="M121" s="2393"/>
      <c r="N121" s="2393"/>
      <c r="O121" s="2394"/>
      <c r="P121" s="2393"/>
      <c r="Q121" s="2393"/>
      <c r="R121" s="2395"/>
    </row>
    <row r="122" spans="2:18" s="2366" customFormat="1">
      <c r="B122" s="2393"/>
      <c r="C122" s="2393"/>
      <c r="D122" s="2393"/>
      <c r="E122" s="2393"/>
      <c r="F122" s="2393"/>
      <c r="G122" s="2394"/>
      <c r="H122" s="2393"/>
      <c r="I122" s="2394"/>
      <c r="J122" s="2393"/>
      <c r="K122" s="2393"/>
      <c r="L122" s="2394"/>
      <c r="M122" s="2393"/>
      <c r="N122" s="2393"/>
      <c r="O122" s="2394"/>
      <c r="P122" s="2393"/>
      <c r="Q122" s="2393"/>
      <c r="R122" s="2395"/>
    </row>
    <row r="123" spans="2:18" s="2366" customFormat="1">
      <c r="B123" s="2393"/>
      <c r="C123" s="2393"/>
      <c r="D123" s="2393"/>
      <c r="E123" s="2393"/>
      <c r="F123" s="2393"/>
      <c r="G123" s="2394"/>
      <c r="H123" s="2393"/>
      <c r="I123" s="2394"/>
      <c r="J123" s="2393"/>
      <c r="K123" s="2393"/>
      <c r="L123" s="2394"/>
      <c r="M123" s="2393"/>
      <c r="N123" s="2393"/>
      <c r="O123" s="2394"/>
      <c r="P123" s="2393"/>
      <c r="Q123" s="2393"/>
      <c r="R123" s="2395"/>
    </row>
    <row r="124" spans="2:18" s="2366" customFormat="1">
      <c r="B124" s="2393"/>
      <c r="C124" s="2393"/>
      <c r="D124" s="2393"/>
      <c r="E124" s="2393"/>
      <c r="F124" s="2393"/>
      <c r="G124" s="2394"/>
      <c r="H124" s="2393"/>
      <c r="I124" s="2394"/>
      <c r="J124" s="2393"/>
      <c r="K124" s="2393"/>
      <c r="L124" s="2394"/>
      <c r="M124" s="2393"/>
      <c r="N124" s="2393"/>
      <c r="O124" s="2394"/>
      <c r="P124" s="2393"/>
      <c r="Q124" s="2393"/>
      <c r="R124" s="2395"/>
    </row>
    <row r="125" spans="2:18" s="2366" customFormat="1">
      <c r="B125" s="2393"/>
      <c r="C125" s="2393"/>
      <c r="D125" s="2393"/>
      <c r="E125" s="2393"/>
      <c r="F125" s="2393"/>
      <c r="G125" s="2394"/>
      <c r="H125" s="2393"/>
      <c r="I125" s="2394"/>
      <c r="J125" s="2393"/>
      <c r="K125" s="2393"/>
      <c r="L125" s="2394"/>
      <c r="M125" s="2393"/>
      <c r="N125" s="2393"/>
      <c r="O125" s="2394"/>
      <c r="P125" s="2393"/>
      <c r="Q125" s="2393"/>
      <c r="R125" s="2395"/>
    </row>
    <row r="126" spans="2:18" s="2366" customFormat="1">
      <c r="B126" s="2393"/>
      <c r="C126" s="2393"/>
      <c r="D126" s="2393"/>
      <c r="E126" s="2393"/>
      <c r="F126" s="2393"/>
      <c r="G126" s="2394"/>
      <c r="H126" s="2393"/>
      <c r="I126" s="2394"/>
      <c r="J126" s="2393"/>
      <c r="K126" s="2393"/>
      <c r="L126" s="2394"/>
      <c r="M126" s="2393"/>
      <c r="N126" s="2393"/>
      <c r="O126" s="2394"/>
      <c r="P126" s="2393"/>
      <c r="Q126" s="2393"/>
      <c r="R126" s="2395"/>
    </row>
    <row r="127" spans="2:18" s="2366" customFormat="1">
      <c r="B127" s="2393"/>
      <c r="C127" s="2393"/>
      <c r="D127" s="2393"/>
      <c r="E127" s="2393"/>
      <c r="F127" s="2393"/>
      <c r="G127" s="2394"/>
      <c r="H127" s="2393"/>
      <c r="I127" s="2394"/>
      <c r="J127" s="2393"/>
      <c r="K127" s="2393"/>
      <c r="L127" s="2394"/>
      <c r="M127" s="2393"/>
      <c r="N127" s="2393"/>
      <c r="O127" s="2394"/>
      <c r="P127" s="2393"/>
      <c r="Q127" s="2393"/>
      <c r="R127" s="2395"/>
    </row>
    <row r="128" spans="2:18" s="2366" customFormat="1">
      <c r="B128" s="2393"/>
      <c r="C128" s="2393"/>
      <c r="D128" s="2393"/>
      <c r="E128" s="2393"/>
      <c r="F128" s="2393"/>
      <c r="G128" s="2394"/>
      <c r="H128" s="2393"/>
      <c r="I128" s="2394"/>
      <c r="J128" s="2393"/>
      <c r="K128" s="2393"/>
      <c r="L128" s="2394"/>
      <c r="M128" s="2393"/>
      <c r="N128" s="2393"/>
      <c r="O128" s="2394"/>
      <c r="P128" s="2393"/>
      <c r="Q128" s="2393"/>
      <c r="R128" s="2395"/>
    </row>
    <row r="129" spans="2:18" s="2366" customFormat="1">
      <c r="B129" s="2393"/>
      <c r="C129" s="2393"/>
      <c r="D129" s="2393"/>
      <c r="E129" s="2393"/>
      <c r="F129" s="2393"/>
      <c r="G129" s="2394"/>
      <c r="H129" s="2393"/>
      <c r="I129" s="2394"/>
      <c r="J129" s="2393"/>
      <c r="K129" s="2393"/>
      <c r="L129" s="2394"/>
      <c r="M129" s="2393"/>
      <c r="N129" s="2393"/>
      <c r="O129" s="2394"/>
      <c r="P129" s="2393"/>
      <c r="Q129" s="2393"/>
      <c r="R129" s="2395"/>
    </row>
    <row r="130" spans="2:18" s="2366" customFormat="1">
      <c r="B130" s="2393"/>
      <c r="C130" s="2393"/>
      <c r="D130" s="2393"/>
      <c r="E130" s="2393"/>
      <c r="F130" s="2393"/>
      <c r="G130" s="2394"/>
      <c r="H130" s="2393"/>
      <c r="I130" s="2394"/>
      <c r="J130" s="2393"/>
      <c r="K130" s="2393"/>
      <c r="L130" s="2394"/>
      <c r="M130" s="2393"/>
      <c r="N130" s="2393"/>
      <c r="O130" s="2394"/>
      <c r="P130" s="2393"/>
      <c r="Q130" s="2393"/>
      <c r="R130" s="2395"/>
    </row>
    <row r="131" spans="2:18" s="2366" customFormat="1">
      <c r="B131" s="2393"/>
      <c r="C131" s="2393"/>
      <c r="D131" s="2393"/>
      <c r="E131" s="2393"/>
      <c r="F131" s="2393"/>
      <c r="G131" s="2394"/>
      <c r="H131" s="2393"/>
      <c r="I131" s="2394"/>
      <c r="J131" s="2393"/>
      <c r="K131" s="2393"/>
      <c r="L131" s="2394"/>
      <c r="M131" s="2393"/>
      <c r="N131" s="2393"/>
      <c r="O131" s="2394"/>
      <c r="P131" s="2393"/>
      <c r="Q131" s="2393"/>
      <c r="R131" s="2395"/>
    </row>
    <row r="132" spans="2:18" s="2366" customFormat="1">
      <c r="B132" s="2393"/>
      <c r="C132" s="2393"/>
      <c r="D132" s="2393"/>
      <c r="E132" s="2393"/>
      <c r="F132" s="2393"/>
      <c r="G132" s="2394"/>
      <c r="H132" s="2393"/>
      <c r="I132" s="2394"/>
      <c r="J132" s="2393"/>
      <c r="K132" s="2393"/>
      <c r="L132" s="2394"/>
      <c r="M132" s="2393"/>
      <c r="N132" s="2393"/>
      <c r="O132" s="2394"/>
      <c r="P132" s="2393"/>
      <c r="Q132" s="2393"/>
      <c r="R132" s="2395"/>
    </row>
    <row r="133" spans="2:18" s="2366" customFormat="1">
      <c r="B133" s="2393"/>
      <c r="C133" s="2393"/>
      <c r="D133" s="2393"/>
      <c r="E133" s="2393"/>
      <c r="F133" s="2393"/>
      <c r="G133" s="2394"/>
      <c r="H133" s="2393"/>
      <c r="I133" s="2394"/>
      <c r="J133" s="2393"/>
      <c r="K133" s="2393"/>
      <c r="L133" s="2394"/>
      <c r="M133" s="2393"/>
      <c r="N133" s="2393"/>
      <c r="O133" s="2394"/>
      <c r="P133" s="2393"/>
      <c r="Q133" s="2393"/>
      <c r="R133" s="2395"/>
    </row>
    <row r="134" spans="2:18" s="2366" customFormat="1">
      <c r="B134" s="2393"/>
      <c r="C134" s="2393"/>
      <c r="D134" s="2393"/>
      <c r="E134" s="2393"/>
      <c r="F134" s="2393"/>
      <c r="G134" s="2394"/>
      <c r="H134" s="2393"/>
      <c r="I134" s="2394"/>
      <c r="J134" s="2393"/>
      <c r="K134" s="2393"/>
      <c r="L134" s="2394"/>
      <c r="M134" s="2393"/>
      <c r="N134" s="2393"/>
      <c r="O134" s="2394"/>
      <c r="P134" s="2393"/>
      <c r="Q134" s="2393"/>
      <c r="R134" s="2395"/>
    </row>
    <row r="135" spans="2:18" s="2366" customFormat="1">
      <c r="B135" s="2393"/>
      <c r="C135" s="2393"/>
      <c r="D135" s="2393"/>
      <c r="E135" s="2393"/>
      <c r="F135" s="2393"/>
      <c r="G135" s="2394"/>
      <c r="H135" s="2393"/>
      <c r="I135" s="2394"/>
      <c r="J135" s="2393"/>
      <c r="K135" s="2393"/>
      <c r="L135" s="2394"/>
      <c r="M135" s="2393"/>
      <c r="N135" s="2393"/>
      <c r="O135" s="2394"/>
      <c r="P135" s="2393"/>
      <c r="Q135" s="2393"/>
      <c r="R135" s="2395"/>
    </row>
    <row r="136" spans="2:18" s="2366" customFormat="1">
      <c r="B136" s="2393"/>
      <c r="C136" s="2393"/>
      <c r="D136" s="2393"/>
      <c r="E136" s="2393"/>
      <c r="F136" s="2393"/>
      <c r="G136" s="2394"/>
      <c r="H136" s="2393"/>
      <c r="I136" s="2394"/>
      <c r="J136" s="2393"/>
      <c r="K136" s="2393"/>
      <c r="L136" s="2394"/>
      <c r="M136" s="2393"/>
      <c r="N136" s="2393"/>
      <c r="O136" s="2394"/>
      <c r="P136" s="2393"/>
      <c r="Q136" s="2393"/>
      <c r="R136" s="2395"/>
    </row>
    <row r="137" spans="2:18" s="2366" customFormat="1">
      <c r="B137" s="2393"/>
      <c r="C137" s="2393"/>
      <c r="D137" s="2393"/>
      <c r="E137" s="2393"/>
      <c r="F137" s="2393"/>
      <c r="G137" s="2394"/>
      <c r="H137" s="2393"/>
      <c r="I137" s="2394"/>
      <c r="J137" s="2393"/>
      <c r="K137" s="2393"/>
      <c r="L137" s="2394"/>
      <c r="M137" s="2393"/>
      <c r="N137" s="2393"/>
      <c r="O137" s="2394"/>
      <c r="P137" s="2393"/>
      <c r="Q137" s="2393"/>
      <c r="R137" s="2395"/>
    </row>
    <row r="138" spans="2:18" s="2366" customFormat="1">
      <c r="B138" s="2393"/>
      <c r="C138" s="2393"/>
      <c r="D138" s="2393"/>
      <c r="E138" s="2393"/>
      <c r="F138" s="2393"/>
      <c r="G138" s="2394"/>
      <c r="H138" s="2393"/>
      <c r="I138" s="2394"/>
      <c r="J138" s="2393"/>
      <c r="K138" s="2393"/>
      <c r="L138" s="2394"/>
      <c r="M138" s="2393"/>
      <c r="N138" s="2393"/>
      <c r="O138" s="2394"/>
      <c r="P138" s="2393"/>
      <c r="Q138" s="2393"/>
      <c r="R138" s="2395"/>
    </row>
    <row r="139" spans="2:18" s="2366" customFormat="1">
      <c r="B139" s="2393"/>
      <c r="C139" s="2393"/>
      <c r="D139" s="2393"/>
      <c r="E139" s="2393"/>
      <c r="F139" s="2393"/>
      <c r="G139" s="2394"/>
      <c r="H139" s="2393"/>
      <c r="I139" s="2394"/>
      <c r="J139" s="2393"/>
      <c r="K139" s="2393"/>
      <c r="L139" s="2394"/>
      <c r="M139" s="2393"/>
      <c r="N139" s="2393"/>
      <c r="O139" s="2394"/>
      <c r="P139" s="2393"/>
      <c r="Q139" s="2393"/>
      <c r="R139" s="2395"/>
    </row>
    <row r="140" spans="2:18" s="2366" customFormat="1">
      <c r="B140" s="2393"/>
      <c r="C140" s="2393"/>
      <c r="D140" s="2393"/>
      <c r="E140" s="2393"/>
      <c r="F140" s="2393"/>
      <c r="G140" s="2394"/>
      <c r="H140" s="2393"/>
      <c r="I140" s="2394"/>
      <c r="J140" s="2393"/>
      <c r="K140" s="2393"/>
      <c r="L140" s="2394"/>
      <c r="M140" s="2393"/>
      <c r="N140" s="2393"/>
      <c r="O140" s="2394"/>
      <c r="P140" s="2393"/>
      <c r="Q140" s="2393"/>
      <c r="R140" s="2395"/>
    </row>
    <row r="141" spans="2:18" s="2366" customFormat="1">
      <c r="B141" s="2393"/>
      <c r="C141" s="2393"/>
      <c r="D141" s="2393"/>
      <c r="E141" s="2393"/>
      <c r="F141" s="2393"/>
      <c r="G141" s="2394"/>
      <c r="H141" s="2393"/>
      <c r="I141" s="2394"/>
      <c r="J141" s="2393"/>
      <c r="K141" s="2393"/>
      <c r="L141" s="2394"/>
      <c r="M141" s="2393"/>
      <c r="N141" s="2393"/>
      <c r="O141" s="2394"/>
      <c r="P141" s="2393"/>
      <c r="Q141" s="2393"/>
      <c r="R141" s="2395"/>
    </row>
    <row r="142" spans="2:18" s="2366" customFormat="1">
      <c r="B142" s="2393"/>
      <c r="C142" s="2393"/>
      <c r="D142" s="2393"/>
      <c r="E142" s="2393"/>
      <c r="F142" s="2393"/>
      <c r="G142" s="2394"/>
      <c r="H142" s="2393"/>
      <c r="I142" s="2394"/>
      <c r="J142" s="2393"/>
      <c r="K142" s="2393"/>
      <c r="L142" s="2394"/>
      <c r="M142" s="2393"/>
      <c r="N142" s="2393"/>
      <c r="O142" s="2394"/>
      <c r="P142" s="2393"/>
      <c r="Q142" s="2393"/>
      <c r="R142" s="2395"/>
    </row>
    <row r="143" spans="2:18" s="2366" customFormat="1">
      <c r="B143" s="2393"/>
      <c r="C143" s="2393"/>
      <c r="D143" s="2393"/>
      <c r="E143" s="2393"/>
      <c r="F143" s="2393"/>
      <c r="G143" s="2394"/>
      <c r="H143" s="2393"/>
      <c r="I143" s="2394"/>
      <c r="J143" s="2393"/>
      <c r="K143" s="2393"/>
      <c r="L143" s="2394"/>
      <c r="M143" s="2393"/>
      <c r="N143" s="2393"/>
      <c r="O143" s="2394"/>
      <c r="P143" s="2393"/>
      <c r="Q143" s="2393"/>
      <c r="R143" s="2395"/>
    </row>
    <row r="144" spans="2:18" s="2366" customFormat="1">
      <c r="B144" s="2393"/>
      <c r="C144" s="2393"/>
      <c r="D144" s="2393"/>
      <c r="E144" s="2393"/>
      <c r="F144" s="2393"/>
      <c r="G144" s="2394"/>
      <c r="H144" s="2393"/>
      <c r="I144" s="2394"/>
      <c r="J144" s="2393"/>
      <c r="K144" s="2393"/>
      <c r="L144" s="2394"/>
      <c r="M144" s="2393"/>
      <c r="N144" s="2393"/>
      <c r="O144" s="2394"/>
      <c r="P144" s="2393"/>
      <c r="Q144" s="2393"/>
      <c r="R144" s="2395"/>
    </row>
    <row r="145" spans="2:18" s="2366" customFormat="1">
      <c r="B145" s="2393"/>
      <c r="C145" s="2393"/>
      <c r="D145" s="2393"/>
      <c r="E145" s="2393"/>
      <c r="F145" s="2393"/>
      <c r="G145" s="2394"/>
      <c r="H145" s="2393"/>
      <c r="I145" s="2394"/>
      <c r="J145" s="2393"/>
      <c r="K145" s="2393"/>
      <c r="L145" s="2394"/>
      <c r="M145" s="2393"/>
      <c r="N145" s="2393"/>
      <c r="O145" s="2394"/>
      <c r="P145" s="2393"/>
      <c r="Q145" s="2393"/>
      <c r="R145" s="2395"/>
    </row>
    <row r="146" spans="2:18" s="2366" customFormat="1">
      <c r="B146" s="2393"/>
      <c r="C146" s="2393"/>
      <c r="D146" s="2393"/>
      <c r="E146" s="2393"/>
      <c r="F146" s="2393"/>
      <c r="G146" s="2394"/>
      <c r="H146" s="2393"/>
      <c r="I146" s="2394"/>
      <c r="J146" s="2393"/>
      <c r="K146" s="2393"/>
      <c r="L146" s="2394"/>
      <c r="M146" s="2393"/>
      <c r="N146" s="2393"/>
      <c r="O146" s="2394"/>
      <c r="P146" s="2393"/>
      <c r="Q146" s="2393"/>
      <c r="R146" s="2395"/>
    </row>
    <row r="147" spans="2:18" s="2366" customFormat="1">
      <c r="B147" s="2393"/>
      <c r="C147" s="2393"/>
      <c r="D147" s="2393"/>
      <c r="E147" s="2393"/>
      <c r="F147" s="2393"/>
      <c r="G147" s="2394"/>
      <c r="H147" s="2393"/>
      <c r="I147" s="2394"/>
      <c r="J147" s="2393"/>
      <c r="K147" s="2393"/>
      <c r="L147" s="2394"/>
      <c r="M147" s="2393"/>
      <c r="N147" s="2393"/>
      <c r="O147" s="2394"/>
      <c r="P147" s="2393"/>
      <c r="Q147" s="2393"/>
      <c r="R147" s="2395"/>
    </row>
    <row r="148" spans="2:18" s="2366" customFormat="1">
      <c r="B148" s="2393"/>
      <c r="C148" s="2393"/>
      <c r="D148" s="2393"/>
      <c r="E148" s="2393"/>
      <c r="F148" s="2393"/>
      <c r="G148" s="2394"/>
      <c r="H148" s="2393"/>
      <c r="I148" s="2394"/>
      <c r="J148" s="2393"/>
      <c r="K148" s="2393"/>
      <c r="L148" s="2394"/>
      <c r="M148" s="2393"/>
      <c r="N148" s="2393"/>
      <c r="O148" s="2394"/>
      <c r="P148" s="2393"/>
      <c r="Q148" s="2393"/>
      <c r="R148" s="2395"/>
    </row>
    <row r="149" spans="2:18" s="2366" customFormat="1">
      <c r="B149" s="2393"/>
      <c r="C149" s="2393"/>
      <c r="D149" s="2393"/>
      <c r="E149" s="2393"/>
      <c r="F149" s="2393"/>
      <c r="G149" s="2394"/>
      <c r="H149" s="2393"/>
      <c r="I149" s="2394"/>
      <c r="J149" s="2393"/>
      <c r="K149" s="2393"/>
      <c r="L149" s="2394"/>
      <c r="M149" s="2393"/>
      <c r="N149" s="2393"/>
      <c r="O149" s="2394"/>
      <c r="P149" s="2393"/>
      <c r="Q149" s="2393"/>
      <c r="R149" s="2395"/>
    </row>
    <row r="150" spans="2:18" s="2366" customFormat="1">
      <c r="B150" s="2393"/>
      <c r="C150" s="2393"/>
      <c r="D150" s="2393"/>
      <c r="E150" s="2393"/>
      <c r="F150" s="2393"/>
      <c r="G150" s="2394"/>
      <c r="H150" s="2393"/>
      <c r="I150" s="2394"/>
      <c r="J150" s="2393"/>
      <c r="K150" s="2393"/>
      <c r="L150" s="2394"/>
      <c r="M150" s="2393"/>
      <c r="N150" s="2393"/>
      <c r="O150" s="2394"/>
      <c r="P150" s="2393"/>
      <c r="Q150" s="2393"/>
      <c r="R150" s="2395"/>
    </row>
    <row r="151" spans="2:18" s="2366" customFormat="1">
      <c r="B151" s="2393"/>
      <c r="C151" s="2393"/>
      <c r="D151" s="2393"/>
      <c r="E151" s="2393"/>
      <c r="F151" s="2393"/>
      <c r="G151" s="2394"/>
      <c r="H151" s="2393"/>
      <c r="I151" s="2394"/>
      <c r="J151" s="2393"/>
      <c r="K151" s="2393"/>
      <c r="L151" s="2394"/>
      <c r="M151" s="2393"/>
      <c r="N151" s="2393"/>
      <c r="O151" s="2394"/>
      <c r="P151" s="2393"/>
      <c r="Q151" s="2393"/>
      <c r="R151" s="2395"/>
    </row>
    <row r="152" spans="2:18" s="2366" customFormat="1">
      <c r="B152" s="2393"/>
      <c r="C152" s="2393"/>
      <c r="D152" s="2393"/>
      <c r="E152" s="2393"/>
      <c r="F152" s="2393"/>
      <c r="G152" s="2394"/>
      <c r="H152" s="2393"/>
      <c r="I152" s="2394"/>
      <c r="J152" s="2393"/>
      <c r="K152" s="2393"/>
      <c r="L152" s="2394"/>
      <c r="M152" s="2393"/>
      <c r="N152" s="2393"/>
      <c r="O152" s="2394"/>
      <c r="P152" s="2393"/>
      <c r="Q152" s="2393"/>
      <c r="R152" s="2395"/>
    </row>
    <row r="153" spans="2:18" s="2366" customFormat="1">
      <c r="B153" s="2393"/>
      <c r="C153" s="2393"/>
      <c r="D153" s="2393"/>
      <c r="E153" s="2393"/>
      <c r="F153" s="2393"/>
      <c r="G153" s="2394"/>
      <c r="H153" s="2393"/>
      <c r="I153" s="2394"/>
      <c r="J153" s="2393"/>
      <c r="K153" s="2393"/>
      <c r="L153" s="2394"/>
      <c r="M153" s="2393"/>
      <c r="N153" s="2393"/>
      <c r="O153" s="2394"/>
      <c r="P153" s="2393"/>
      <c r="Q153" s="2393"/>
      <c r="R153" s="2395"/>
    </row>
    <row r="154" spans="2:18" s="2366" customFormat="1">
      <c r="B154" s="2393"/>
      <c r="C154" s="2393"/>
      <c r="D154" s="2393"/>
      <c r="E154" s="2393"/>
      <c r="F154" s="2393"/>
      <c r="G154" s="2394"/>
      <c r="H154" s="2393"/>
      <c r="I154" s="2394"/>
      <c r="J154" s="2393"/>
      <c r="K154" s="2393"/>
      <c r="L154" s="2394"/>
      <c r="M154" s="2393"/>
      <c r="N154" s="2393"/>
      <c r="O154" s="2394"/>
      <c r="P154" s="2393"/>
      <c r="Q154" s="2393"/>
      <c r="R154" s="2395"/>
    </row>
    <row r="155" spans="2:18" s="2366" customFormat="1">
      <c r="B155" s="2393"/>
      <c r="C155" s="2393"/>
      <c r="D155" s="2393"/>
      <c r="E155" s="2393"/>
      <c r="F155" s="2393"/>
      <c r="G155" s="2394"/>
      <c r="H155" s="2393"/>
      <c r="I155" s="2394"/>
      <c r="J155" s="2393"/>
      <c r="K155" s="2393"/>
      <c r="L155" s="2394"/>
      <c r="M155" s="2393"/>
      <c r="N155" s="2393"/>
      <c r="O155" s="2394"/>
      <c r="P155" s="2393"/>
      <c r="Q155" s="2393"/>
      <c r="R155" s="2395"/>
    </row>
    <row r="156" spans="2:18" s="2366" customFormat="1">
      <c r="B156" s="2393"/>
      <c r="C156" s="2393"/>
      <c r="D156" s="2393"/>
      <c r="E156" s="2393"/>
      <c r="F156" s="2393"/>
      <c r="G156" s="2394"/>
      <c r="H156" s="2393"/>
      <c r="I156" s="2394"/>
      <c r="J156" s="2393"/>
      <c r="K156" s="2393"/>
      <c r="L156" s="2394"/>
      <c r="M156" s="2393"/>
      <c r="N156" s="2393"/>
      <c r="O156" s="2394"/>
      <c r="P156" s="2393"/>
      <c r="Q156" s="2393"/>
      <c r="R156" s="2395"/>
    </row>
    <row r="157" spans="2:18" s="2366" customFormat="1">
      <c r="B157" s="2393"/>
      <c r="C157" s="2393"/>
      <c r="D157" s="2393"/>
      <c r="E157" s="2393"/>
      <c r="F157" s="2393"/>
      <c r="G157" s="2394"/>
      <c r="H157" s="2393"/>
      <c r="I157" s="2394"/>
      <c r="J157" s="2393"/>
      <c r="K157" s="2393"/>
      <c r="L157" s="2394"/>
      <c r="M157" s="2393"/>
      <c r="N157" s="2393"/>
      <c r="O157" s="2394"/>
      <c r="P157" s="2393"/>
      <c r="Q157" s="2393"/>
      <c r="R157" s="2395"/>
    </row>
    <row r="158" spans="2:18" s="2366" customFormat="1">
      <c r="B158" s="2393"/>
      <c r="C158" s="2393"/>
      <c r="D158" s="2393"/>
      <c r="E158" s="2393"/>
      <c r="F158" s="2393"/>
      <c r="G158" s="2394"/>
      <c r="H158" s="2393"/>
      <c r="I158" s="2394"/>
      <c r="J158" s="2393"/>
      <c r="K158" s="2393"/>
      <c r="L158" s="2394"/>
      <c r="M158" s="2393"/>
      <c r="N158" s="2393"/>
      <c r="O158" s="2394"/>
      <c r="P158" s="2393"/>
      <c r="Q158" s="2393"/>
      <c r="R158" s="2395"/>
    </row>
    <row r="159" spans="2:18" s="2366" customFormat="1">
      <c r="B159" s="2393"/>
      <c r="C159" s="2393"/>
      <c r="D159" s="2393"/>
      <c r="E159" s="2393"/>
      <c r="F159" s="2393"/>
      <c r="G159" s="2394"/>
      <c r="H159" s="2393"/>
      <c r="I159" s="2394"/>
      <c r="J159" s="2393"/>
      <c r="K159" s="2393"/>
      <c r="L159" s="2394"/>
      <c r="M159" s="2393"/>
      <c r="N159" s="2393"/>
      <c r="O159" s="2394"/>
      <c r="P159" s="2393"/>
      <c r="Q159" s="2393"/>
      <c r="R159" s="2395"/>
    </row>
    <row r="160" spans="2:18" s="2366" customFormat="1">
      <c r="B160" s="2393"/>
      <c r="C160" s="2393"/>
      <c r="D160" s="2393"/>
      <c r="E160" s="2393"/>
      <c r="F160" s="2393"/>
      <c r="G160" s="2394"/>
      <c r="H160" s="2393"/>
      <c r="I160" s="2394"/>
      <c r="J160" s="2393"/>
      <c r="K160" s="2393"/>
      <c r="L160" s="2394"/>
      <c r="M160" s="2393"/>
      <c r="N160" s="2393"/>
      <c r="O160" s="2394"/>
      <c r="P160" s="2393"/>
      <c r="Q160" s="2393"/>
      <c r="R160" s="2395"/>
    </row>
    <row r="161" spans="2:18" s="2366" customFormat="1">
      <c r="B161" s="2393"/>
      <c r="C161" s="2393"/>
      <c r="D161" s="2393"/>
      <c r="E161" s="2393"/>
      <c r="F161" s="2393"/>
      <c r="G161" s="2394"/>
      <c r="H161" s="2393"/>
      <c r="I161" s="2394"/>
      <c r="J161" s="2393"/>
      <c r="K161" s="2393"/>
      <c r="L161" s="2394"/>
      <c r="M161" s="2393"/>
      <c r="N161" s="2393"/>
      <c r="O161" s="2394"/>
      <c r="P161" s="2393"/>
      <c r="Q161" s="2393"/>
      <c r="R161" s="2395"/>
    </row>
    <row r="162" spans="2:18" s="2366" customFormat="1">
      <c r="B162" s="2393"/>
      <c r="C162" s="2393"/>
      <c r="D162" s="2393"/>
      <c r="E162" s="2393"/>
      <c r="F162" s="2393"/>
      <c r="G162" s="2394"/>
      <c r="H162" s="2393"/>
      <c r="I162" s="2394"/>
      <c r="J162" s="2393"/>
      <c r="K162" s="2393"/>
      <c r="L162" s="2394"/>
      <c r="M162" s="2393"/>
      <c r="N162" s="2393"/>
      <c r="O162" s="2394"/>
      <c r="P162" s="2393"/>
      <c r="Q162" s="2393"/>
      <c r="R162" s="2395"/>
    </row>
    <row r="163" spans="2:18" s="2366" customFormat="1">
      <c r="B163" s="2393"/>
      <c r="C163" s="2393"/>
      <c r="D163" s="2393"/>
      <c r="E163" s="2393"/>
      <c r="F163" s="2393"/>
      <c r="G163" s="2394"/>
      <c r="H163" s="2393"/>
      <c r="I163" s="2394"/>
      <c r="J163" s="2393"/>
      <c r="K163" s="2393"/>
      <c r="L163" s="2394"/>
      <c r="M163" s="2393"/>
      <c r="N163" s="2393"/>
      <c r="O163" s="2394"/>
      <c r="P163" s="2393"/>
      <c r="Q163" s="2393"/>
      <c r="R163" s="2395"/>
    </row>
    <row r="164" spans="2:18" s="2366" customFormat="1">
      <c r="B164" s="2393"/>
      <c r="C164" s="2393"/>
      <c r="D164" s="2393"/>
      <c r="E164" s="2393"/>
      <c r="F164" s="2393"/>
      <c r="G164" s="2394"/>
      <c r="H164" s="2393"/>
      <c r="I164" s="2394"/>
      <c r="J164" s="2393"/>
      <c r="K164" s="2393"/>
      <c r="L164" s="2394"/>
      <c r="M164" s="2393"/>
      <c r="N164" s="2393"/>
      <c r="O164" s="2394"/>
      <c r="P164" s="2393"/>
      <c r="Q164" s="2393"/>
      <c r="R164" s="2395"/>
    </row>
    <row r="165" spans="2:18" s="2366" customFormat="1">
      <c r="B165" s="2393"/>
      <c r="C165" s="2393"/>
      <c r="D165" s="2393"/>
      <c r="E165" s="2393"/>
      <c r="F165" s="2393"/>
      <c r="G165" s="2394"/>
      <c r="H165" s="2393"/>
      <c r="I165" s="2394"/>
      <c r="J165" s="2393"/>
      <c r="K165" s="2393"/>
      <c r="L165" s="2394"/>
      <c r="M165" s="2393"/>
      <c r="N165" s="2393"/>
      <c r="O165" s="2394"/>
      <c r="P165" s="2393"/>
      <c r="Q165" s="2393"/>
      <c r="R165" s="2395"/>
    </row>
    <row r="166" spans="2:18" s="2366" customFormat="1">
      <c r="B166" s="2393"/>
      <c r="C166" s="2393"/>
      <c r="D166" s="2393"/>
      <c r="E166" s="2393"/>
      <c r="F166" s="2393"/>
      <c r="G166" s="2394"/>
      <c r="H166" s="2393"/>
      <c r="I166" s="2394"/>
      <c r="J166" s="2393"/>
      <c r="K166" s="2393"/>
      <c r="L166" s="2394"/>
      <c r="M166" s="2393"/>
      <c r="N166" s="2393"/>
      <c r="O166" s="2394"/>
      <c r="P166" s="2393"/>
      <c r="Q166" s="2393"/>
      <c r="R166" s="2395"/>
    </row>
    <row r="167" spans="2:18" s="2366" customFormat="1">
      <c r="B167" s="2393"/>
      <c r="C167" s="2393"/>
      <c r="D167" s="2393"/>
      <c r="E167" s="2393"/>
      <c r="F167" s="2393"/>
      <c r="G167" s="2394"/>
      <c r="H167" s="2393"/>
      <c r="I167" s="2394"/>
      <c r="J167" s="2393"/>
      <c r="K167" s="2393"/>
      <c r="L167" s="2394"/>
      <c r="M167" s="2393"/>
      <c r="N167" s="2393"/>
      <c r="O167" s="2394"/>
      <c r="P167" s="2393"/>
      <c r="Q167" s="2393"/>
      <c r="R167" s="2395"/>
    </row>
    <row r="168" spans="2:18" s="2366" customFormat="1">
      <c r="B168" s="2393"/>
      <c r="C168" s="2393"/>
      <c r="D168" s="2393"/>
      <c r="E168" s="2393"/>
      <c r="F168" s="2393"/>
      <c r="G168" s="2394"/>
      <c r="H168" s="2393"/>
      <c r="I168" s="2394"/>
      <c r="J168" s="2393"/>
      <c r="K168" s="2393"/>
      <c r="L168" s="2394"/>
      <c r="M168" s="2393"/>
      <c r="N168" s="2393"/>
      <c r="O168" s="2394"/>
      <c r="P168" s="2393"/>
      <c r="Q168" s="2393"/>
      <c r="R168" s="2395"/>
    </row>
    <row r="169" spans="2:18" s="2366" customFormat="1">
      <c r="B169" s="2393"/>
      <c r="C169" s="2393"/>
      <c r="D169" s="2393"/>
      <c r="E169" s="2393"/>
      <c r="F169" s="2393"/>
      <c r="G169" s="2394"/>
      <c r="H169" s="2393"/>
      <c r="I169" s="2394"/>
      <c r="J169" s="2393"/>
      <c r="K169" s="2393"/>
      <c r="L169" s="2394"/>
      <c r="M169" s="2393"/>
      <c r="N169" s="2393"/>
      <c r="O169" s="2394"/>
      <c r="P169" s="2393"/>
      <c r="Q169" s="2393"/>
      <c r="R169" s="2395"/>
    </row>
    <row r="170" spans="2:18" s="2366" customFormat="1">
      <c r="B170" s="2393"/>
      <c r="C170" s="2393"/>
      <c r="D170" s="2393"/>
      <c r="E170" s="2393"/>
      <c r="F170" s="2393"/>
      <c r="G170" s="2394"/>
      <c r="H170" s="2393"/>
      <c r="I170" s="2394"/>
      <c r="J170" s="2393"/>
      <c r="K170" s="2393"/>
      <c r="L170" s="2394"/>
      <c r="M170" s="2393"/>
      <c r="N170" s="2393"/>
      <c r="O170" s="2394"/>
      <c r="P170" s="2393"/>
      <c r="Q170" s="2393"/>
      <c r="R170" s="2395"/>
    </row>
    <row r="171" spans="2:18" s="2366" customFormat="1">
      <c r="B171" s="2393"/>
      <c r="C171" s="2393"/>
      <c r="D171" s="2393"/>
      <c r="E171" s="2393"/>
      <c r="F171" s="2393"/>
      <c r="G171" s="2394"/>
      <c r="H171" s="2393"/>
      <c r="I171" s="2394"/>
      <c r="J171" s="2393"/>
      <c r="K171" s="2393"/>
      <c r="L171" s="2394"/>
      <c r="M171" s="2393"/>
      <c r="N171" s="2393"/>
      <c r="O171" s="2394"/>
      <c r="P171" s="2393"/>
      <c r="Q171" s="2393"/>
      <c r="R171" s="2395"/>
    </row>
    <row r="172" spans="2:18" s="2366" customFormat="1">
      <c r="B172" s="2393"/>
      <c r="C172" s="2393"/>
      <c r="D172" s="2393"/>
      <c r="E172" s="2393"/>
      <c r="F172" s="2393"/>
      <c r="G172" s="2394"/>
      <c r="H172" s="2393"/>
      <c r="I172" s="2394"/>
      <c r="J172" s="2393"/>
      <c r="K172" s="2393"/>
      <c r="L172" s="2394"/>
      <c r="M172" s="2393"/>
      <c r="N172" s="2393"/>
      <c r="O172" s="2394"/>
      <c r="P172" s="2393"/>
      <c r="Q172" s="2393"/>
      <c r="R172" s="2395"/>
    </row>
    <row r="173" spans="2:18" s="2366" customFormat="1">
      <c r="B173" s="2393"/>
      <c r="C173" s="2393"/>
      <c r="D173" s="2393"/>
      <c r="E173" s="2393"/>
      <c r="F173" s="2393"/>
      <c r="G173" s="2394"/>
      <c r="H173" s="2393"/>
      <c r="I173" s="2394"/>
      <c r="J173" s="2393"/>
      <c r="K173" s="2393"/>
      <c r="L173" s="2394"/>
      <c r="M173" s="2393"/>
      <c r="N173" s="2393"/>
      <c r="O173" s="2394"/>
      <c r="P173" s="2393"/>
      <c r="Q173" s="2393"/>
      <c r="R173" s="2395"/>
    </row>
    <row r="174" spans="2:18" s="2366" customFormat="1">
      <c r="B174" s="2393"/>
      <c r="C174" s="2393"/>
      <c r="D174" s="2393"/>
      <c r="E174" s="2393"/>
      <c r="F174" s="2393"/>
      <c r="G174" s="2394"/>
      <c r="H174" s="2393"/>
      <c r="I174" s="2394"/>
      <c r="J174" s="2393"/>
      <c r="K174" s="2393"/>
      <c r="L174" s="2394"/>
      <c r="M174" s="2393"/>
      <c r="N174" s="2393"/>
      <c r="O174" s="2394"/>
      <c r="P174" s="2393"/>
      <c r="Q174" s="2393"/>
      <c r="R174" s="2395"/>
    </row>
    <row r="175" spans="2:18" s="2366" customFormat="1">
      <c r="B175" s="2393"/>
      <c r="C175" s="2393"/>
      <c r="D175" s="2393"/>
      <c r="E175" s="2393"/>
      <c r="F175" s="2393"/>
      <c r="G175" s="2394"/>
      <c r="H175" s="2393"/>
      <c r="I175" s="2394"/>
      <c r="J175" s="2393"/>
      <c r="K175" s="2393"/>
      <c r="L175" s="2394"/>
      <c r="M175" s="2393"/>
      <c r="N175" s="2393"/>
      <c r="O175" s="2394"/>
      <c r="P175" s="2393"/>
      <c r="Q175" s="2393"/>
      <c r="R175" s="2395"/>
    </row>
    <row r="176" spans="2:18" s="2366" customFormat="1">
      <c r="B176" s="2393"/>
      <c r="C176" s="2393"/>
      <c r="D176" s="2393"/>
      <c r="E176" s="2393"/>
      <c r="F176" s="2393"/>
      <c r="G176" s="2394"/>
      <c r="H176" s="2393"/>
      <c r="I176" s="2394"/>
      <c r="J176" s="2393"/>
      <c r="K176" s="2393"/>
      <c r="L176" s="2394"/>
      <c r="M176" s="2393"/>
      <c r="N176" s="2393"/>
      <c r="O176" s="2394"/>
      <c r="P176" s="2393"/>
      <c r="Q176" s="2393"/>
      <c r="R176" s="2395"/>
    </row>
    <row r="177" spans="1:18" s="2366" customFormat="1">
      <c r="B177" s="2393"/>
      <c r="C177" s="2393"/>
      <c r="D177" s="2393"/>
      <c r="E177" s="2393"/>
      <c r="F177" s="2393"/>
      <c r="G177" s="2394"/>
      <c r="H177" s="2393"/>
      <c r="I177" s="2394"/>
      <c r="J177" s="2393"/>
      <c r="K177" s="2393"/>
      <c r="L177" s="2394"/>
      <c r="M177" s="2393"/>
      <c r="N177" s="2393"/>
      <c r="O177" s="2394"/>
      <c r="P177" s="2393"/>
      <c r="Q177" s="2393"/>
      <c r="R177" s="2395"/>
    </row>
    <row r="178" spans="1:18" s="2366" customFormat="1">
      <c r="B178" s="2393"/>
      <c r="C178" s="2393"/>
      <c r="D178" s="2393"/>
      <c r="E178" s="2393"/>
      <c r="F178" s="2393"/>
      <c r="G178" s="2394"/>
      <c r="H178" s="2393"/>
      <c r="I178" s="2394"/>
      <c r="J178" s="2393"/>
      <c r="K178" s="2393"/>
      <c r="L178" s="2394"/>
      <c r="M178" s="2393"/>
      <c r="N178" s="2393"/>
      <c r="O178" s="2394"/>
      <c r="P178" s="2393"/>
      <c r="Q178" s="2393"/>
      <c r="R178" s="2395"/>
    </row>
    <row r="179" spans="1:18" s="2366" customFormat="1">
      <c r="B179" s="2393"/>
      <c r="C179" s="2393"/>
      <c r="D179" s="2393"/>
      <c r="E179" s="2393"/>
      <c r="F179" s="2393"/>
      <c r="G179" s="2394"/>
      <c r="H179" s="2393"/>
      <c r="I179" s="2394"/>
      <c r="J179" s="2393"/>
      <c r="K179" s="2393"/>
      <c r="L179" s="2394"/>
      <c r="M179" s="2393"/>
      <c r="N179" s="2393"/>
      <c r="O179" s="2394"/>
      <c r="P179" s="2393"/>
      <c r="Q179" s="2393"/>
      <c r="R179" s="2395"/>
    </row>
    <row r="180" spans="1:18" s="2366" customFormat="1">
      <c r="B180" s="2393"/>
      <c r="C180" s="2393"/>
      <c r="D180" s="2393"/>
      <c r="E180" s="2393"/>
      <c r="F180" s="2393"/>
      <c r="G180" s="2394"/>
      <c r="H180" s="2393"/>
      <c r="I180" s="2394"/>
      <c r="J180" s="2393"/>
      <c r="K180" s="2393"/>
      <c r="L180" s="2394"/>
      <c r="M180" s="2393"/>
      <c r="N180" s="2393"/>
      <c r="O180" s="2394"/>
      <c r="P180" s="2393"/>
      <c r="Q180" s="2393"/>
      <c r="R180" s="2395"/>
    </row>
    <row r="181" spans="1:18" s="2366" customFormat="1">
      <c r="B181" s="2393"/>
      <c r="C181" s="2393"/>
      <c r="D181" s="2393"/>
      <c r="E181" s="2393"/>
      <c r="F181" s="2393"/>
      <c r="G181" s="2394"/>
      <c r="H181" s="2393"/>
      <c r="I181" s="2394"/>
      <c r="J181" s="2393"/>
      <c r="K181" s="2393"/>
      <c r="L181" s="2394"/>
      <c r="M181" s="2393"/>
      <c r="N181" s="2393"/>
      <c r="O181" s="2394"/>
      <c r="P181" s="2393"/>
      <c r="Q181" s="2393"/>
      <c r="R181" s="2395"/>
    </row>
    <row r="182" spans="1:18" s="2366" customFormat="1">
      <c r="B182" s="2393"/>
      <c r="C182" s="2393"/>
      <c r="D182" s="2393"/>
      <c r="E182" s="2393"/>
      <c r="F182" s="2393"/>
      <c r="G182" s="2394"/>
      <c r="H182" s="2393"/>
      <c r="I182" s="2394"/>
      <c r="J182" s="2393"/>
      <c r="K182" s="2393"/>
      <c r="L182" s="2394"/>
      <c r="M182" s="2393"/>
      <c r="N182" s="2393"/>
      <c r="O182" s="2394"/>
      <c r="P182" s="2393"/>
      <c r="Q182" s="2393"/>
      <c r="R182" s="2395"/>
    </row>
    <row r="183" spans="1:18" s="2366" customFormat="1">
      <c r="B183" s="2393"/>
      <c r="C183" s="2393"/>
      <c r="D183" s="2393"/>
      <c r="E183" s="2393"/>
      <c r="F183" s="2393"/>
      <c r="G183" s="2394"/>
      <c r="H183" s="2393"/>
      <c r="I183" s="2394"/>
      <c r="J183" s="2393"/>
      <c r="K183" s="2393"/>
      <c r="L183" s="2394"/>
      <c r="M183" s="2393"/>
      <c r="N183" s="2393"/>
      <c r="O183" s="2394"/>
      <c r="P183" s="2393"/>
      <c r="Q183" s="2393"/>
      <c r="R183" s="2395"/>
    </row>
    <row r="184" spans="1:18" s="2366" customFormat="1">
      <c r="B184" s="2393"/>
      <c r="C184" s="2393"/>
      <c r="D184" s="2393"/>
      <c r="E184" s="2393"/>
      <c r="F184" s="2393"/>
      <c r="G184" s="2394"/>
      <c r="H184" s="2393"/>
      <c r="I184" s="2394"/>
      <c r="J184" s="2393"/>
      <c r="K184" s="2393"/>
      <c r="L184" s="2394"/>
      <c r="M184" s="2393"/>
      <c r="N184" s="2393"/>
      <c r="O184" s="2394"/>
      <c r="P184" s="2393"/>
      <c r="Q184" s="2393"/>
      <c r="R184" s="2395"/>
    </row>
    <row r="185" spans="1:18" s="2366"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6"/>
      <c r="B186" s="2393"/>
      <c r="C186" s="2393"/>
      <c r="E186" s="2393"/>
      <c r="F186" s="2393"/>
      <c r="G186" s="2394"/>
    </row>
    <row r="187" spans="1:18">
      <c r="A187" s="2366"/>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0" sqref="D20"/>
    </sheetView>
  </sheetViews>
  <sheetFormatPr defaultColWidth="9" defaultRowHeight="14.4"/>
  <cols>
    <col min="1" max="1" width="23.33203125" style="1737" customWidth="1"/>
    <col min="2" max="9" width="15.77734375" style="1737" customWidth="1"/>
    <col min="10" max="16384" width="9" style="1737"/>
  </cols>
  <sheetData>
    <row r="1" spans="1:10" ht="16.2">
      <c r="A1" s="1742" t="s">
        <v>1357</v>
      </c>
      <c r="B1" s="1742">
        <f>SUM(B14:B23)</f>
        <v>158483.76</v>
      </c>
      <c r="C1" s="1741"/>
      <c r="D1" s="1741"/>
      <c r="E1" s="1741"/>
      <c r="F1" s="1741"/>
      <c r="G1" s="1739"/>
    </row>
    <row r="2" spans="1:10" ht="16.2">
      <c r="A2" s="1742" t="s">
        <v>1345</v>
      </c>
      <c r="B2" s="1742">
        <f>SUM(C14:C23)</f>
        <v>43059.18</v>
      </c>
      <c r="C2" s="1741"/>
      <c r="D2" s="1741"/>
      <c r="E2" s="1741"/>
      <c r="F2" s="1741"/>
      <c r="G2" s="1739"/>
    </row>
    <row r="3" spans="1:10" ht="15.6">
      <c r="A3" s="1742" t="s">
        <v>1354</v>
      </c>
      <c r="B3" s="1743">
        <f>项目基本情况!D3</f>
        <v>43685</v>
      </c>
      <c r="C3" s="1741"/>
      <c r="D3" s="1741"/>
      <c r="E3" s="1741"/>
      <c r="F3" s="1741"/>
      <c r="G3" s="1739"/>
    </row>
    <row r="4" spans="1:10" ht="31.2">
      <c r="A4" s="1742" t="s">
        <v>1353</v>
      </c>
      <c r="B4" s="1742" t="s">
        <v>1352</v>
      </c>
      <c r="C4" s="1742" t="s">
        <v>1351</v>
      </c>
      <c r="D4" s="1742" t="s">
        <v>1350</v>
      </c>
      <c r="E4" s="1741"/>
      <c r="F4" s="1739"/>
      <c r="G4" s="1739"/>
    </row>
    <row r="5" spans="1:10" ht="15.6">
      <c r="A5" s="1742" t="s">
        <v>1349</v>
      </c>
      <c r="B5" s="1742">
        <f ca="1">SUM(D14:D23)</f>
        <v>25029</v>
      </c>
      <c r="C5" s="1742">
        <f ca="1">ROUND(B5*10000/$B$1,0)</f>
        <v>1579</v>
      </c>
      <c r="D5" s="1742">
        <f ca="1">ROUND(B5*10000/$B$2,0)</f>
        <v>5813</v>
      </c>
      <c r="E5" s="1741"/>
      <c r="F5" s="1739"/>
      <c r="G5" s="1739"/>
    </row>
    <row r="6" spans="1:10" ht="15.6">
      <c r="A6" s="1742" t="s">
        <v>1348</v>
      </c>
      <c r="B6" s="1742">
        <f ca="1">SUM(G14:G23)</f>
        <v>25029</v>
      </c>
      <c r="C6" s="1742">
        <f ca="1">ROUND(B6*10000/$B$1,0)</f>
        <v>1579</v>
      </c>
      <c r="D6" s="1742">
        <f ca="1">ROUND(B6*10000/$B$2,0)</f>
        <v>5813</v>
      </c>
      <c r="E6" s="1741"/>
      <c r="F6" s="1739"/>
      <c r="G6" s="1739"/>
    </row>
    <row r="7" spans="1:10" ht="15.6">
      <c r="A7" s="1742" t="s">
        <v>1356</v>
      </c>
      <c r="B7" s="1742">
        <f>SUM(H14:H23)</f>
        <v>0</v>
      </c>
      <c r="C7" s="1742">
        <f>ROUND(B7*10000/$B$1,0)</f>
        <v>0</v>
      </c>
      <c r="D7" s="1742">
        <f>ROUND(B7*10000/$B$2,0)</f>
        <v>0</v>
      </c>
      <c r="E7" s="1741"/>
      <c r="F7" s="1739"/>
      <c r="G7" s="1739"/>
    </row>
    <row r="8" spans="1:10" ht="15.6">
      <c r="A8" s="1742" t="s">
        <v>1277</v>
      </c>
      <c r="B8" s="1742">
        <f>SUM(I14:I23)</f>
        <v>0</v>
      </c>
      <c r="C8" s="1742">
        <f>ROUND(B8*10000/$B$1,0)</f>
        <v>0</v>
      </c>
      <c r="D8" s="1742">
        <f>ROUND(B8*10000/$B$2,0)</f>
        <v>0</v>
      </c>
      <c r="E8" s="1741"/>
      <c r="F8" s="1739"/>
      <c r="G8" s="1739"/>
    </row>
    <row r="9" spans="1:10" ht="15.6">
      <c r="A9" s="1742" t="s">
        <v>1347</v>
      </c>
      <c r="B9" s="1744"/>
      <c r="C9" s="1741"/>
      <c r="D9" s="1741"/>
      <c r="E9" s="1741"/>
      <c r="F9" s="1739"/>
      <c r="G9" s="1739"/>
    </row>
    <row r="10" spans="1:10" ht="15.6">
      <c r="A10" s="1742" t="s">
        <v>1346</v>
      </c>
      <c r="B10" s="1744"/>
      <c r="C10" s="1741"/>
      <c r="D10" s="1741"/>
      <c r="E10" s="1741"/>
      <c r="F10" s="1739"/>
      <c r="G10" s="1739"/>
    </row>
    <row r="11" spans="1:10" ht="15.6">
      <c r="A11" s="1742" t="s">
        <v>1362</v>
      </c>
      <c r="B11" s="1744"/>
      <c r="C11" s="1741"/>
      <c r="D11" s="1741"/>
      <c r="E11" s="1741"/>
      <c r="F11" s="1739"/>
      <c r="G11" s="1739"/>
    </row>
    <row r="12" spans="1:10" ht="15.6">
      <c r="A12" s="1741"/>
      <c r="B12" s="1741"/>
      <c r="C12" s="1741"/>
      <c r="D12" s="1741"/>
      <c r="E12" s="1741"/>
      <c r="F12" s="1739"/>
      <c r="G12" s="1739"/>
    </row>
    <row r="13" spans="1:10" ht="31.8">
      <c r="A13" s="1747" t="s">
        <v>1361</v>
      </c>
      <c r="B13" s="1740" t="s">
        <v>1358</v>
      </c>
      <c r="C13" s="1740" t="s">
        <v>1360</v>
      </c>
      <c r="D13" s="1740" t="s">
        <v>1359</v>
      </c>
      <c r="E13" s="1742" t="s">
        <v>1351</v>
      </c>
      <c r="F13" s="1742" t="s">
        <v>1350</v>
      </c>
      <c r="G13" s="1740" t="s">
        <v>1344</v>
      </c>
      <c r="H13" s="1740" t="s">
        <v>1355</v>
      </c>
      <c r="I13" s="1740" t="s">
        <v>1343</v>
      </c>
      <c r="J13" s="1739"/>
    </row>
    <row r="14" spans="1:10" ht="15.6">
      <c r="A14" s="1738" t="s">
        <v>1342</v>
      </c>
      <c r="B14" s="1740">
        <f>结果表!B118</f>
        <v>75681.680000000008</v>
      </c>
      <c r="C14" s="1740">
        <f>结果表!C118</f>
        <v>26957.93</v>
      </c>
      <c r="D14" s="1740">
        <f ca="1">结果表!H118</f>
        <v>21446</v>
      </c>
      <c r="E14" s="1740">
        <f ca="1">ROUND(D14*10000/B14,0)</f>
        <v>2834</v>
      </c>
      <c r="F14" s="1740">
        <f ca="1">ROUND(D14*10000/C14,0)</f>
        <v>7955</v>
      </c>
      <c r="G14" s="1740">
        <f ca="1">结果表!D122</f>
        <v>21446</v>
      </c>
      <c r="H14" s="1740" t="str">
        <f>结果表!D124</f>
        <v>——</v>
      </c>
      <c r="I14" s="1740" t="str">
        <f>结果表!D126</f>
        <v>——</v>
      </c>
      <c r="J14" s="1739"/>
    </row>
    <row r="15" spans="1:10" ht="15.6">
      <c r="A15" s="1738" t="s">
        <v>1341</v>
      </c>
      <c r="B15" s="1745">
        <f>[2]系统读取表!$B$14</f>
        <v>82802.080000000002</v>
      </c>
      <c r="C15" s="1745">
        <f>[2]系统读取表!$C$14</f>
        <v>16101.25</v>
      </c>
      <c r="D15" s="1745">
        <f ca="1">[2]系统读取表!$D$14</f>
        <v>3583</v>
      </c>
      <c r="E15" s="1740">
        <f t="shared" ref="E15:E23" ca="1" si="0">ROUND(D15*10000/B15,0)</f>
        <v>433</v>
      </c>
      <c r="F15" s="1740">
        <f t="shared" ref="F15:F23" ca="1" si="1">ROUND(D15*10000/C15,0)</f>
        <v>2225</v>
      </c>
      <c r="G15" s="1746">
        <f ca="1">D15</f>
        <v>3583</v>
      </c>
      <c r="H15" s="1746"/>
      <c r="I15" s="1745"/>
      <c r="J15" s="1739"/>
    </row>
    <row r="16" spans="1:10" ht="15.6">
      <c r="A16" s="1738" t="s">
        <v>1340</v>
      </c>
      <c r="B16" s="1745"/>
      <c r="C16" s="1745"/>
      <c r="D16" s="1745"/>
      <c r="E16" s="1740" t="e">
        <f t="shared" si="0"/>
        <v>#DIV/0!</v>
      </c>
      <c r="F16" s="1740" t="e">
        <f t="shared" si="1"/>
        <v>#DIV/0!</v>
      </c>
      <c r="G16" s="1746"/>
      <c r="H16" s="1746"/>
      <c r="I16" s="1745"/>
    </row>
    <row r="17" spans="1:9" ht="15.6">
      <c r="A17" s="1738" t="s">
        <v>1339</v>
      </c>
      <c r="B17" s="1745"/>
      <c r="C17" s="1745"/>
      <c r="D17" s="1745"/>
      <c r="E17" s="1740" t="e">
        <f t="shared" si="0"/>
        <v>#DIV/0!</v>
      </c>
      <c r="F17" s="1740" t="e">
        <f t="shared" si="1"/>
        <v>#DIV/0!</v>
      </c>
      <c r="G17" s="1746"/>
      <c r="H17" s="1746"/>
      <c r="I17" s="1745"/>
    </row>
    <row r="18" spans="1:9" ht="15.6">
      <c r="A18" s="1738" t="s">
        <v>1338</v>
      </c>
      <c r="B18" s="1745"/>
      <c r="C18" s="1745"/>
      <c r="D18" s="1745"/>
      <c r="E18" s="1740" t="e">
        <f t="shared" si="0"/>
        <v>#DIV/0!</v>
      </c>
      <c r="F18" s="1740" t="e">
        <f t="shared" si="1"/>
        <v>#DIV/0!</v>
      </c>
      <c r="G18" s="1745"/>
      <c r="H18" s="1745"/>
      <c r="I18" s="1745"/>
    </row>
    <row r="19" spans="1:9" ht="15.6">
      <c r="A19" s="1738" t="s">
        <v>1337</v>
      </c>
      <c r="B19" s="1745"/>
      <c r="C19" s="1745"/>
      <c r="D19" s="1745"/>
      <c r="E19" s="1740" t="e">
        <f t="shared" si="0"/>
        <v>#DIV/0!</v>
      </c>
      <c r="F19" s="1740" t="e">
        <f t="shared" si="1"/>
        <v>#DIV/0!</v>
      </c>
      <c r="G19" s="1745"/>
      <c r="H19" s="1745"/>
      <c r="I19" s="1745"/>
    </row>
    <row r="20" spans="1:9" ht="15.6">
      <c r="A20" s="1738" t="s">
        <v>1336</v>
      </c>
      <c r="B20" s="1745"/>
      <c r="C20" s="1745"/>
      <c r="D20" s="1745"/>
      <c r="E20" s="1740" t="e">
        <f t="shared" si="0"/>
        <v>#DIV/0!</v>
      </c>
      <c r="F20" s="1740" t="e">
        <f t="shared" si="1"/>
        <v>#DIV/0!</v>
      </c>
      <c r="G20" s="1745"/>
      <c r="H20" s="1745"/>
      <c r="I20" s="1745"/>
    </row>
    <row r="21" spans="1:9" ht="15.6">
      <c r="A21" s="1738" t="s">
        <v>1335</v>
      </c>
      <c r="B21" s="1745"/>
      <c r="C21" s="1745"/>
      <c r="D21" s="1745"/>
      <c r="E21" s="1740" t="e">
        <f t="shared" si="0"/>
        <v>#DIV/0!</v>
      </c>
      <c r="F21" s="1740" t="e">
        <f t="shared" si="1"/>
        <v>#DIV/0!</v>
      </c>
      <c r="G21" s="1745"/>
      <c r="H21" s="1745"/>
      <c r="I21" s="1745"/>
    </row>
    <row r="22" spans="1:9" ht="15.6">
      <c r="A22" s="1738" t="s">
        <v>1334</v>
      </c>
      <c r="B22" s="1745"/>
      <c r="C22" s="1745"/>
      <c r="D22" s="1745"/>
      <c r="E22" s="1740" t="e">
        <f t="shared" si="0"/>
        <v>#DIV/0!</v>
      </c>
      <c r="F22" s="1740" t="e">
        <f t="shared" si="1"/>
        <v>#DIV/0!</v>
      </c>
      <c r="G22" s="1745"/>
      <c r="H22" s="1745"/>
      <c r="I22" s="1745"/>
    </row>
    <row r="23" spans="1:9" ht="15.6">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I118" sqref="D118:I118"/>
    </sheetView>
  </sheetViews>
  <sheetFormatPr defaultColWidth="12.6640625" defaultRowHeight="21.75" customHeight="1"/>
  <cols>
    <col min="1" max="2" width="12.6640625" style="2422"/>
    <col min="3" max="4" width="12.6640625" style="2422" customWidth="1"/>
    <col min="5" max="9" width="12.6640625" style="2422"/>
    <col min="10" max="11" width="12.6640625" style="795" customWidth="1"/>
    <col min="12" max="12" width="12.6640625" style="795"/>
    <col min="13" max="13" width="14.109375" style="795" bestFit="1" customWidth="1"/>
    <col min="14" max="26" width="12.6640625" style="795"/>
    <col min="27" max="35" width="12.6640625" style="2421"/>
    <col min="36" max="16384" width="12.6640625" style="2422"/>
  </cols>
  <sheetData>
    <row r="1" spans="1:12" ht="21.75" customHeight="1" thickBot="1">
      <c r="A1" s="2224" t="s">
        <v>2073</v>
      </c>
      <c r="B1" s="2416"/>
      <c r="C1" s="2417"/>
      <c r="D1" s="2416"/>
      <c r="E1" s="2416"/>
      <c r="F1" s="2418" t="s">
        <v>2074</v>
      </c>
      <c r="G1" s="2069" t="s">
        <v>2075</v>
      </c>
      <c r="H1" s="2419" t="str">
        <f>IF(G1="现房","——","估价对象范围")</f>
        <v>估价对象范围</v>
      </c>
      <c r="I1" s="2420"/>
    </row>
    <row r="2" spans="1:12" ht="21.75" customHeight="1" thickBot="1">
      <c r="A2" s="3637" t="str">
        <f>项目基本情况!S2</f>
        <v>出让国有建设用地使用权及在建建筑物房地产</v>
      </c>
      <c r="B2" s="3638"/>
      <c r="C2" s="3638"/>
      <c r="D2" s="3638"/>
      <c r="E2" s="3638"/>
      <c r="F2" s="3638"/>
      <c r="G2" s="3638"/>
      <c r="H2" s="3638"/>
      <c r="I2" s="3639"/>
    </row>
    <row r="3" spans="1:12" ht="13.2">
      <c r="A3" s="3640" t="s">
        <v>2076</v>
      </c>
      <c r="B3" s="3641"/>
      <c r="C3" s="3641"/>
      <c r="D3" s="3641"/>
      <c r="E3" s="3641"/>
      <c r="F3" s="3641"/>
      <c r="G3" s="3641"/>
      <c r="H3" s="3641"/>
      <c r="I3" s="3641"/>
    </row>
    <row r="4" spans="1:12" ht="14.4">
      <c r="A4" s="2423" t="s">
        <v>2077</v>
      </c>
      <c r="B4" s="2424" t="s">
        <v>2078</v>
      </c>
      <c r="C4" s="2425" t="s">
        <v>3172</v>
      </c>
      <c r="D4" s="2425" t="s">
        <v>3173</v>
      </c>
      <c r="E4" s="3621" t="s">
        <v>2079</v>
      </c>
      <c r="F4" s="3634"/>
      <c r="G4" s="3634"/>
      <c r="H4" s="3634"/>
      <c r="I4" s="362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3.2">
      <c r="A5" s="3612" t="s">
        <v>2080</v>
      </c>
      <c r="B5" s="3538">
        <v>25</v>
      </c>
      <c r="C5" s="3642"/>
      <c r="D5" s="3630"/>
      <c r="E5" s="140" t="s">
        <v>2081</v>
      </c>
      <c r="F5" s="2427"/>
      <c r="G5" s="2427"/>
      <c r="H5" s="2427"/>
      <c r="I5" s="1830"/>
    </row>
    <row r="6" spans="1:12" ht="13.2">
      <c r="A6" s="3612"/>
      <c r="B6" s="3538"/>
      <c r="C6" s="3644"/>
      <c r="D6" s="3630"/>
      <c r="E6" s="140" t="s">
        <v>2082</v>
      </c>
      <c r="F6" s="2427"/>
      <c r="G6" s="2427"/>
      <c r="H6" s="2427"/>
      <c r="I6" s="1830"/>
    </row>
    <row r="7" spans="1:12" ht="13.2">
      <c r="A7" s="3612"/>
      <c r="B7" s="3538"/>
      <c r="C7" s="3643"/>
      <c r="D7" s="3630"/>
      <c r="E7" s="140" t="s">
        <v>2083</v>
      </c>
      <c r="F7" s="2427"/>
      <c r="G7" s="2427"/>
      <c r="H7" s="2427"/>
      <c r="I7" s="1830"/>
    </row>
    <row r="8" spans="1:12" ht="13.2">
      <c r="A8" s="3612" t="s">
        <v>2084</v>
      </c>
      <c r="B8" s="3538">
        <v>15</v>
      </c>
      <c r="C8" s="3642"/>
      <c r="D8" s="3630"/>
      <c r="E8" s="140" t="s">
        <v>2085</v>
      </c>
      <c r="F8" s="2427"/>
      <c r="G8" s="2427"/>
      <c r="H8" s="2427"/>
      <c r="I8" s="1830"/>
    </row>
    <row r="9" spans="1:12" ht="13.2">
      <c r="A9" s="3612"/>
      <c r="B9" s="3538"/>
      <c r="C9" s="3643"/>
      <c r="D9" s="3630"/>
      <c r="E9" s="140" t="s">
        <v>2086</v>
      </c>
      <c r="F9" s="2427"/>
      <c r="G9" s="2427"/>
      <c r="H9" s="2427"/>
      <c r="I9" s="1830"/>
    </row>
    <row r="10" spans="1:12" ht="13.2">
      <c r="A10" s="3612" t="s">
        <v>2087</v>
      </c>
      <c r="B10" s="3538">
        <v>15</v>
      </c>
      <c r="C10" s="3642"/>
      <c r="D10" s="3630"/>
      <c r="E10" s="140" t="s">
        <v>2088</v>
      </c>
      <c r="F10" s="2427"/>
      <c r="G10" s="2427"/>
      <c r="H10" s="2427"/>
      <c r="I10" s="1830"/>
    </row>
    <row r="11" spans="1:12" ht="13.2">
      <c r="A11" s="3612"/>
      <c r="B11" s="3538"/>
      <c r="C11" s="3643"/>
      <c r="D11" s="3630"/>
      <c r="E11" s="140" t="s">
        <v>2089</v>
      </c>
      <c r="F11" s="2427"/>
      <c r="G11" s="2427"/>
      <c r="H11" s="2427"/>
      <c r="I11" s="1830"/>
    </row>
    <row r="12" spans="1:12" ht="13.2">
      <c r="A12" s="3612" t="s">
        <v>2090</v>
      </c>
      <c r="B12" s="3538">
        <v>15</v>
      </c>
      <c r="C12" s="3642"/>
      <c r="D12" s="3630"/>
      <c r="E12" s="140" t="s">
        <v>2091</v>
      </c>
      <c r="F12" s="2427"/>
      <c r="G12" s="2427"/>
      <c r="H12" s="2427"/>
      <c r="I12" s="1830"/>
    </row>
    <row r="13" spans="1:12" ht="13.2">
      <c r="A13" s="3612"/>
      <c r="B13" s="3538"/>
      <c r="C13" s="3643"/>
      <c r="D13" s="3630"/>
      <c r="E13" s="140" t="s">
        <v>2092</v>
      </c>
      <c r="F13" s="2427"/>
      <c r="G13" s="2427"/>
      <c r="H13" s="2427"/>
      <c r="I13" s="1830"/>
    </row>
    <row r="14" spans="1:12" ht="13.2">
      <c r="A14" s="3612" t="s">
        <v>2093</v>
      </c>
      <c r="B14" s="3538">
        <v>30</v>
      </c>
      <c r="C14" s="3642">
        <v>5</v>
      </c>
      <c r="D14" s="3630">
        <v>5</v>
      </c>
      <c r="E14" s="140" t="s">
        <v>2094</v>
      </c>
      <c r="F14" s="2427"/>
      <c r="G14" s="2427"/>
      <c r="H14" s="2427"/>
      <c r="I14" s="1830"/>
    </row>
    <row r="15" spans="1:12" ht="13.2">
      <c r="A15" s="3612"/>
      <c r="B15" s="3538"/>
      <c r="C15" s="3644"/>
      <c r="D15" s="3630"/>
      <c r="E15" s="140" t="s">
        <v>2095</v>
      </c>
      <c r="F15" s="2427"/>
      <c r="G15" s="2427"/>
      <c r="H15" s="2427"/>
      <c r="I15" s="1830"/>
    </row>
    <row r="16" spans="1:12" ht="13.2">
      <c r="A16" s="3612"/>
      <c r="B16" s="3538"/>
      <c r="C16" s="3643"/>
      <c r="D16" s="3630"/>
      <c r="E16" s="140" t="s">
        <v>2096</v>
      </c>
      <c r="F16" s="2427"/>
      <c r="G16" s="2427"/>
      <c r="H16" s="2427"/>
      <c r="I16" s="1830"/>
    </row>
    <row r="17" spans="1:35" ht="14.4">
      <c r="A17" s="2428" t="s">
        <v>2097</v>
      </c>
      <c r="B17" s="64"/>
      <c r="C17" s="141">
        <f>SUM(C5:C16)</f>
        <v>5</v>
      </c>
      <c r="D17" s="141">
        <f>SUM(D5:D16)</f>
        <v>5</v>
      </c>
      <c r="E17" s="138"/>
      <c r="F17" s="138"/>
      <c r="G17" s="138"/>
      <c r="H17" s="138"/>
      <c r="I17" s="138"/>
      <c r="K17" s="2426"/>
      <c r="L17" s="2429" t="s">
        <v>2098</v>
      </c>
      <c r="M17" s="2429" t="s">
        <v>2099</v>
      </c>
    </row>
    <row r="18" spans="1:35" ht="15" thickBot="1">
      <c r="A18" s="2430" t="s">
        <v>2100</v>
      </c>
      <c r="B18" s="2431"/>
      <c r="C18" s="142">
        <f>ROUND(C17/SUM(C17:D17),2)</f>
        <v>0.5</v>
      </c>
      <c r="D18" s="142">
        <f>1-C18</f>
        <v>0.5</v>
      </c>
      <c r="E18" s="138"/>
      <c r="F18" s="138"/>
      <c r="G18" s="138"/>
      <c r="H18" s="138"/>
      <c r="I18" s="138"/>
      <c r="K18" s="2426" t="s">
        <v>2101</v>
      </c>
      <c r="L18" s="2426">
        <f>IF(C1="",'数据-汇总表'!E3,SUMIF(项目类型,C1,'数据-汇总表'!E17:E26)+SUMIF(项目类型,C1,'数据-汇总表'!I17:I26))</f>
        <v>75681.680000000008</v>
      </c>
      <c r="M18" s="2426">
        <f>IF(C1="",'数据-汇总表'!E3,SUMIF(项目类型,C1,'数据-汇总表'!E17:E26))</f>
        <v>75681.680000000008</v>
      </c>
    </row>
    <row r="19" spans="1:35" ht="14.4">
      <c r="A19" s="2432" t="s">
        <v>2102</v>
      </c>
      <c r="B19" s="2433" t="s">
        <v>2103</v>
      </c>
      <c r="C19" s="143">
        <f ca="1">SUMIF(INDIRECT("'"&amp;C4&amp;"'"&amp;"!A:A"),结果表!B19,INDIRECT("'"&amp;C4&amp;"'"&amp;"!B:B"))</f>
        <v>21791</v>
      </c>
      <c r="D19" s="144">
        <f ca="1">SUMIF(INDIRECT("'"&amp;D4&amp;"'"&amp;"!A:A"),结果表!B19,INDIRECT("'"&amp;D4&amp;"'"&amp;"!B:B"))</f>
        <v>21100</v>
      </c>
      <c r="E19" s="2432" t="s">
        <v>2104</v>
      </c>
      <c r="F19" s="2433" t="s">
        <v>2103</v>
      </c>
      <c r="G19" s="145">
        <f ca="1">ROUND(C19*$C$18+D19*$D$18,0)</f>
        <v>21446</v>
      </c>
      <c r="H19" s="2434" t="s">
        <v>2105</v>
      </c>
      <c r="I19" s="138"/>
      <c r="K19" s="2426" t="s">
        <v>2106</v>
      </c>
      <c r="L19" s="2426">
        <f>IF(C1="",'数据-汇总表'!D3,SUMIF(项目类型,C1,'数据-汇总表'!D17:D26)+SUMIF(项目类型,C1,'数据-汇总表'!H17:H27))</f>
        <v>26957.93</v>
      </c>
      <c r="M19" s="2426">
        <f>IF(C1="",'数据-汇总表'!D3,SUMIF(项目类型,C1,'数据-汇总表'!D17:D26))</f>
        <v>26957.93</v>
      </c>
    </row>
    <row r="20" spans="1:35" ht="14.4">
      <c r="A20" s="2435"/>
      <c r="B20" s="1246" t="s">
        <v>2107</v>
      </c>
      <c r="C20" s="146">
        <f ca="1">SUMIF(INDIRECT("'"&amp;C4&amp;"'"&amp;"!A:A"),结果表!B20,INDIRECT("'"&amp;C4&amp;"'"&amp;"!B:B"))</f>
        <v>2879</v>
      </c>
      <c r="D20" s="147">
        <f ca="1">SUMIF(INDIRECT("'"&amp;D4&amp;"'"&amp;"!A:A"),结果表!B20,INDIRECT("'"&amp;D4&amp;"'"&amp;"!B:B"))</f>
        <v>2788</v>
      </c>
      <c r="E20" s="2435"/>
      <c r="F20" s="1246" t="s">
        <v>2107</v>
      </c>
      <c r="G20" s="148">
        <f ca="1">ROUND(C20*$C$18+D20*$D$18,0)</f>
        <v>2834</v>
      </c>
      <c r="H20" s="979" t="s">
        <v>2108</v>
      </c>
      <c r="I20" s="138"/>
    </row>
    <row r="21" spans="1:35" ht="15" customHeight="1" thickBot="1">
      <c r="A21" s="999"/>
      <c r="B21" s="2436" t="s">
        <v>2109</v>
      </c>
      <c r="C21" s="789">
        <f ca="1">ROUND(C19*10000/L19,0)</f>
        <v>8083</v>
      </c>
      <c r="D21" s="790">
        <f ca="1">ROUND(D19*10000/L19,0)</f>
        <v>7827</v>
      </c>
      <c r="E21" s="999"/>
      <c r="F21" s="2436" t="s">
        <v>2109</v>
      </c>
      <c r="G21" s="149">
        <f ca="1">ROUND(G19*10000/L19,0)</f>
        <v>7955</v>
      </c>
      <c r="H21" s="2437" t="s">
        <v>2108</v>
      </c>
      <c r="I21" s="138"/>
    </row>
    <row r="22" spans="1:35" ht="15" thickBot="1">
      <c r="A22" s="2279" t="s">
        <v>2110</v>
      </c>
      <c r="B22" s="2438"/>
      <c r="C22" s="2439"/>
      <c r="D22" s="791">
        <f ca="1">IF(C19&lt;D19,D19/C19-1,C19/D19-1)</f>
        <v>3.2748815165876799E-2</v>
      </c>
      <c r="E22" s="138"/>
      <c r="F22" s="138"/>
      <c r="G22" s="138"/>
      <c r="H22" s="138"/>
      <c r="I22" s="138"/>
    </row>
    <row r="23" spans="1:35" ht="13.8" thickBot="1">
      <c r="A23" s="2416"/>
      <c r="B23" s="2416"/>
      <c r="C23" s="2416"/>
      <c r="D23" s="2416"/>
      <c r="E23" s="138"/>
      <c r="F23" s="138"/>
      <c r="G23" s="138"/>
      <c r="H23" s="138"/>
      <c r="I23" s="138"/>
    </row>
    <row r="24" spans="1:35" ht="14.4">
      <c r="A24" s="3651" t="s">
        <v>2111</v>
      </c>
      <c r="B24" s="2433" t="s">
        <v>2103</v>
      </c>
      <c r="C24" s="145">
        <f>IF(B30=0,0,D30)</f>
        <v>0</v>
      </c>
      <c r="D24" s="2440"/>
      <c r="E24" s="138"/>
      <c r="F24" s="138"/>
      <c r="G24" s="138"/>
      <c r="H24" s="138"/>
      <c r="I24" s="138"/>
    </row>
    <row r="25" spans="1:35" ht="14.4">
      <c r="A25" s="3652"/>
      <c r="B25" s="1246" t="s">
        <v>2107</v>
      </c>
      <c r="C25" s="150">
        <f>IF(B30=0,0,C30)</f>
        <v>0</v>
      </c>
      <c r="D25" s="2441"/>
      <c r="E25" s="138"/>
      <c r="F25" s="138"/>
      <c r="G25" s="138"/>
      <c r="H25" s="138"/>
      <c r="I25" s="138"/>
    </row>
    <row r="26" spans="1:35" ht="13.5" customHeight="1">
      <c r="A26" s="2442" t="s">
        <v>2112</v>
      </c>
      <c r="B26" s="151" t="s">
        <v>2113</v>
      </c>
      <c r="C26" s="151" t="s">
        <v>2114</v>
      </c>
      <c r="D26" s="152" t="s">
        <v>2115</v>
      </c>
      <c r="E26" s="138"/>
      <c r="F26" s="138"/>
      <c r="G26" s="138"/>
      <c r="H26" s="138"/>
      <c r="I26" s="138"/>
    </row>
    <row r="27" spans="1:35" ht="13.8">
      <c r="A27" s="2442"/>
      <c r="B27" s="151">
        <v>0</v>
      </c>
      <c r="C27" s="151">
        <v>0</v>
      </c>
      <c r="D27" s="152">
        <f>ROUND(C27*B27/10000,0)</f>
        <v>0</v>
      </c>
      <c r="E27" s="138"/>
      <c r="F27" s="138"/>
      <c r="G27" s="138"/>
      <c r="H27" s="138"/>
      <c r="I27" s="138"/>
    </row>
    <row r="28" spans="1:35" ht="13.8">
      <c r="A28" s="2442"/>
      <c r="B28" s="151"/>
      <c r="C28" s="151"/>
      <c r="D28" s="152"/>
      <c r="E28" s="138"/>
      <c r="F28" s="138"/>
      <c r="G28" s="138"/>
      <c r="H28" s="138"/>
      <c r="I28" s="138"/>
    </row>
    <row r="29" spans="1:35" ht="13.8">
      <c r="A29" s="2442"/>
      <c r="B29" s="151"/>
      <c r="C29" s="151"/>
      <c r="D29" s="152"/>
      <c r="E29" s="138"/>
      <c r="F29" s="138"/>
      <c r="G29" s="138"/>
      <c r="H29" s="138"/>
      <c r="I29" s="138"/>
    </row>
    <row r="30" spans="1:35" ht="14.4">
      <c r="A30" s="151" t="s">
        <v>2116</v>
      </c>
      <c r="B30" s="151"/>
      <c r="C30" s="151"/>
      <c r="D30" s="151"/>
      <c r="E30" s="2915" t="s">
        <v>2989</v>
      </c>
      <c r="F30" s="138"/>
      <c r="G30" s="138"/>
      <c r="H30" s="138"/>
      <c r="I30" s="138"/>
    </row>
    <row r="31" spans="1:35" s="2444" customFormat="1" ht="14.4"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 thickBot="1">
      <c r="A32" s="2445" t="s">
        <v>2117</v>
      </c>
      <c r="B32" s="2446"/>
      <c r="C32" s="153">
        <f ca="1">IF(D32="总价",G19-C24,G20-C25)</f>
        <v>21446</v>
      </c>
      <c r="D32" s="2447" t="s">
        <v>2118</v>
      </c>
      <c r="E32" s="138"/>
      <c r="F32" s="138"/>
      <c r="G32" s="138"/>
      <c r="H32" s="138"/>
      <c r="I32" s="138"/>
    </row>
    <row r="33" spans="1:15" ht="14.4">
      <c r="A33" s="956" t="s">
        <v>2119</v>
      </c>
      <c r="B33" s="2448"/>
      <c r="C33" s="2449" t="s">
        <v>3174</v>
      </c>
      <c r="D33" s="2450" t="s">
        <v>3172</v>
      </c>
      <c r="E33" s="2451" t="s">
        <v>2120</v>
      </c>
      <c r="F33" s="2452" t="str">
        <f>IF(D32="楼面单价","取值（单价）","取值（总价）")</f>
        <v>取值（总价）</v>
      </c>
      <c r="G33" s="138"/>
      <c r="H33" s="138"/>
      <c r="I33" s="138"/>
    </row>
    <row r="34" spans="1:15" ht="14.4">
      <c r="A34" s="2453"/>
      <c r="B34" s="2454" t="s">
        <v>2121</v>
      </c>
      <c r="C34" s="157">
        <f ca="1">IF(C33="自定义",F34,C32-C35)</f>
        <v>15334</v>
      </c>
      <c r="D34" s="1054">
        <f ca="1">IF(C33="自定义",ROUND(C34/C32,3),IF(C33="收益比率",SUMIF(INDIRECT("'"&amp;D33&amp;"'"&amp;"!b:b"),"土地收益比率",INDIRECT("'"&amp;D33&amp;"'"&amp;"!c:c")),SUMIF(INDIRECT("'"&amp;D33&amp;"'"&amp;"!b:b"),"土地成本比率",INDIRECT("'"&amp;D33&amp;"'"&amp;"!c:c"))))</f>
        <v>0.71500000000000008</v>
      </c>
      <c r="E34" s="2455" t="s">
        <v>2122</v>
      </c>
      <c r="F34" s="1735"/>
      <c r="G34" s="138"/>
      <c r="H34" s="138"/>
      <c r="I34" s="138"/>
    </row>
    <row r="35" spans="1:15" ht="15" thickBot="1">
      <c r="A35" s="2456"/>
      <c r="B35" s="2457" t="s">
        <v>2123</v>
      </c>
      <c r="C35" s="1440">
        <f ca="1">IF(C33="自定义",F35,ROUND(C32*D35,0))</f>
        <v>6112</v>
      </c>
      <c r="D35" s="1441">
        <f ca="1">IF(C33="自定义",ROUND(C35/C32,3),IF(C33="收益比率",SUMIF(INDIRECT("'"&amp;D33&amp;"'"&amp;"!b:b"),"建筑物收益比率",INDIRECT("'"&amp;D33&amp;"'"&amp;"!c:c")),SUMIF(INDIRECT("'"&amp;D33&amp;"'"&amp;"!b:b"),"建筑物成本比率",INDIRECT("'"&amp;D33&amp;"'"&amp;"!c:c"))))</f>
        <v>0.28499999999999998</v>
      </c>
      <c r="E35" s="2458" t="s">
        <v>2124</v>
      </c>
      <c r="F35" s="163"/>
      <c r="G35" s="138"/>
      <c r="H35" s="138"/>
      <c r="I35" s="138"/>
    </row>
    <row r="36" spans="1:15" ht="15" thickBot="1">
      <c r="A36" s="3631" t="s">
        <v>2125</v>
      </c>
      <c r="B36" s="2459" t="s">
        <v>2126</v>
      </c>
      <c r="C36" s="154"/>
      <c r="D36" s="2460"/>
      <c r="E36" s="2461"/>
      <c r="F36" s="2462"/>
      <c r="G36" s="138"/>
      <c r="H36" s="138"/>
      <c r="I36" s="138"/>
    </row>
    <row r="37" spans="1:15" ht="15" thickBot="1">
      <c r="A37" s="3632"/>
      <c r="B37" s="2265" t="s">
        <v>2127</v>
      </c>
      <c r="C37" s="156"/>
      <c r="D37" s="1391"/>
      <c r="E37" s="1391"/>
      <c r="F37" s="2462"/>
      <c r="G37" s="138"/>
      <c r="H37" s="138"/>
      <c r="I37" s="138"/>
    </row>
    <row r="38" spans="1:15" ht="15" thickBot="1">
      <c r="A38" s="3633"/>
      <c r="B38" s="2463" t="s">
        <v>2128</v>
      </c>
      <c r="C38" s="727"/>
      <c r="D38" s="2464" t="s">
        <v>2129</v>
      </c>
      <c r="E38" s="1391"/>
      <c r="F38" s="2462"/>
      <c r="G38" s="138"/>
      <c r="H38" s="138"/>
      <c r="I38" s="138"/>
    </row>
    <row r="39" spans="1:15" ht="14.4">
      <c r="A39" s="2435" t="s">
        <v>2130</v>
      </c>
      <c r="B39" s="2465" t="s">
        <v>2131</v>
      </c>
      <c r="C39" s="2466" t="s">
        <v>2132</v>
      </c>
      <c r="D39" s="2466" t="s">
        <v>2133</v>
      </c>
      <c r="E39" s="2467" t="s">
        <v>2134</v>
      </c>
      <c r="F39" s="2462"/>
      <c r="G39" s="138"/>
      <c r="H39" s="138"/>
      <c r="I39" s="138"/>
    </row>
    <row r="40" spans="1:15" ht="13.8">
      <c r="A40" s="2468" t="s">
        <v>2135</v>
      </c>
      <c r="B40" s="158"/>
      <c r="C40" s="159"/>
      <c r="D40" s="159"/>
      <c r="E40" s="160"/>
      <c r="F40" s="2462"/>
      <c r="G40" s="138"/>
      <c r="H40" s="138"/>
      <c r="I40" s="138"/>
    </row>
    <row r="41" spans="1:15" ht="13.8">
      <c r="A41" s="2468" t="s">
        <v>2136</v>
      </c>
      <c r="B41" s="158"/>
      <c r="C41" s="159"/>
      <c r="D41" s="159"/>
      <c r="E41" s="160"/>
      <c r="F41" s="2462"/>
      <c r="G41" s="138"/>
      <c r="H41" s="138"/>
      <c r="I41" s="138"/>
    </row>
    <row r="42" spans="1:15" ht="14.4" thickBot="1">
      <c r="A42" s="2469"/>
      <c r="B42" s="161"/>
      <c r="C42" s="162"/>
      <c r="D42" s="162"/>
      <c r="E42" s="163"/>
      <c r="F42" s="2462"/>
      <c r="G42" s="138"/>
      <c r="H42" s="138"/>
      <c r="I42" s="138"/>
    </row>
    <row r="43" spans="1:15" ht="13.2">
      <c r="A43" s="2164"/>
      <c r="B43" s="2164"/>
      <c r="C43" s="2164"/>
      <c r="D43" s="2164"/>
      <c r="E43" s="2164"/>
      <c r="F43" s="2470"/>
      <c r="G43" s="2470"/>
      <c r="H43" s="2470"/>
      <c r="I43" s="2471"/>
    </row>
    <row r="44" spans="1:15" ht="17.399999999999999">
      <c r="A44" s="2472" t="s">
        <v>2137</v>
      </c>
      <c r="B44" s="2473"/>
      <c r="C44" s="2473"/>
      <c r="D44" s="2474"/>
      <c r="E44" s="2474"/>
      <c r="F44" s="2475"/>
      <c r="G44" s="2475"/>
      <c r="H44" s="2475"/>
      <c r="I44" s="2475"/>
      <c r="J44" s="2476" t="s">
        <v>2138</v>
      </c>
      <c r="K44" s="2477"/>
      <c r="L44" s="2477"/>
      <c r="M44" s="2477"/>
      <c r="N44" s="2477"/>
      <c r="O44" s="2477"/>
    </row>
    <row r="45" spans="1:15" ht="14.25" customHeight="1" thickBot="1">
      <c r="A45" s="3648" t="s">
        <v>2139</v>
      </c>
      <c r="B45" s="3649"/>
      <c r="C45" s="3650"/>
      <c r="D45" s="164">
        <f ca="1">ROUND(H101*F45,0)</f>
        <v>21446</v>
      </c>
      <c r="E45" s="165" t="s">
        <v>2140</v>
      </c>
      <c r="F45" s="166">
        <v>1</v>
      </c>
      <c r="G45" s="167" t="s">
        <v>2141</v>
      </c>
      <c r="H45" s="138"/>
      <c r="I45" s="138"/>
      <c r="J45" s="3567" t="s">
        <v>2142</v>
      </c>
      <c r="K45" s="3567"/>
      <c r="L45" s="3567"/>
      <c r="M45" s="3567"/>
      <c r="N45" s="3567"/>
      <c r="O45" s="3567"/>
    </row>
    <row r="46" spans="1:15" ht="14.25" customHeight="1">
      <c r="A46" s="3645" t="s">
        <v>2143</v>
      </c>
      <c r="B46" s="3646"/>
      <c r="C46" s="3646"/>
      <c r="D46" s="3646"/>
      <c r="E46" s="3646"/>
      <c r="F46" s="3646"/>
      <c r="G46" s="3647"/>
      <c r="H46" s="2478"/>
      <c r="I46" s="168"/>
      <c r="J46" s="1808">
        <v>1</v>
      </c>
      <c r="K46" s="3567" t="s">
        <v>2144</v>
      </c>
      <c r="L46" s="3567"/>
      <c r="M46" s="3568"/>
      <c r="N46" s="3568"/>
      <c r="O46" s="3568"/>
    </row>
    <row r="47" spans="1:15" ht="12" customHeight="1">
      <c r="A47" s="169" t="s">
        <v>2145</v>
      </c>
      <c r="B47" s="170"/>
      <c r="C47" s="171"/>
      <c r="D47" s="172" t="s">
        <v>2146</v>
      </c>
      <c r="E47" s="24" t="s">
        <v>2147</v>
      </c>
      <c r="F47" s="173" t="s">
        <v>2148</v>
      </c>
      <c r="G47" s="174" t="s">
        <v>2149</v>
      </c>
      <c r="H47" s="2478"/>
      <c r="I47" s="168"/>
      <c r="J47" s="1808">
        <v>2</v>
      </c>
      <c r="K47" s="3567" t="s">
        <v>2150</v>
      </c>
      <c r="L47" s="3567"/>
      <c r="M47" s="3569">
        <f>'数据-取费表'!B2</f>
        <v>43685</v>
      </c>
      <c r="N47" s="3569"/>
      <c r="O47" s="3569"/>
    </row>
    <row r="48" spans="1:15" ht="26.4">
      <c r="A48" s="3635" t="s">
        <v>2151</v>
      </c>
      <c r="B48" s="3636"/>
      <c r="C48" s="3636"/>
      <c r="D48" s="140">
        <f>IF(H48="情况1",0,IF(H48="情况2",D52,IF(H48="情况3",D53,IF(H48="情况4",D54))))</f>
        <v>0</v>
      </c>
      <c r="E48" s="1797" t="str">
        <f>IF(H48="情况4","(销售额-原购置价)×税（费）率","销售额×税（费）率")</f>
        <v>销售额×税（费）率</v>
      </c>
      <c r="F48" s="175" t="str">
        <f>IF(H48="情况1","免征",'数据-取费表'!B41)</f>
        <v>免征</v>
      </c>
      <c r="G48" s="2479" t="s">
        <v>2152</v>
      </c>
      <c r="H48" s="2480" t="s">
        <v>2153</v>
      </c>
      <c r="I48" s="2478"/>
      <c r="J48" s="1808">
        <v>3</v>
      </c>
      <c r="K48" s="3567" t="s">
        <v>2154</v>
      </c>
      <c r="L48" s="3567"/>
      <c r="M48" s="3570">
        <f ca="1">H101</f>
        <v>21446</v>
      </c>
      <c r="N48" s="3570"/>
      <c r="O48" s="3570"/>
    </row>
    <row r="49" spans="1:35" ht="25.5" customHeight="1">
      <c r="A49" s="176" t="s">
        <v>2155</v>
      </c>
      <c r="B49" s="3615" t="s">
        <v>2156</v>
      </c>
      <c r="C49" s="3615"/>
      <c r="D49" s="177">
        <v>0</v>
      </c>
      <c r="E49" s="23" t="s">
        <v>2157</v>
      </c>
      <c r="F49" s="28" t="s">
        <v>34</v>
      </c>
      <c r="G49" s="3596"/>
      <c r="H49" s="138"/>
      <c r="I49" s="2481"/>
      <c r="J49" s="1808">
        <v>4</v>
      </c>
      <c r="K49" s="3567" t="str">
        <f>IF(项目基本情况!E8="房地产抵押价值","房地产抵押价值","抵押担保权已注销时的房地产抵押价值")</f>
        <v>抵押担保权已注销时的房地产抵押价值</v>
      </c>
      <c r="L49" s="3567"/>
      <c r="M49" s="3570" t="str">
        <f>IF(项目基本情况!E8="房地产抵押价值",H107,H109)</f>
        <v>——</v>
      </c>
      <c r="N49" s="3570"/>
      <c r="O49" s="3570"/>
    </row>
    <row r="50" spans="1:35" ht="25.5" customHeight="1">
      <c r="A50" s="178"/>
      <c r="B50" s="3615" t="s">
        <v>2158</v>
      </c>
      <c r="C50" s="3615"/>
      <c r="D50" s="179"/>
      <c r="E50" s="31"/>
      <c r="F50" s="180"/>
      <c r="G50" s="3597"/>
      <c r="H50" s="138"/>
      <c r="I50" s="2481"/>
      <c r="J50" s="3567" t="s">
        <v>2159</v>
      </c>
      <c r="K50" s="3567"/>
      <c r="L50" s="3567"/>
      <c r="M50" s="3567"/>
      <c r="N50" s="3567"/>
      <c r="O50" s="3567"/>
    </row>
    <row r="51" spans="1:35" ht="12" customHeight="1">
      <c r="A51" s="181"/>
      <c r="B51" s="3615" t="s">
        <v>2160</v>
      </c>
      <c r="C51" s="3615"/>
      <c r="D51" s="182"/>
      <c r="E51" s="30"/>
      <c r="F51" s="180"/>
      <c r="G51" s="3598"/>
      <c r="H51" s="138"/>
      <c r="I51" s="2481"/>
      <c r="J51" s="2482" t="s">
        <v>2161</v>
      </c>
      <c r="K51" s="3567" t="s">
        <v>2162</v>
      </c>
      <c r="L51" s="3567"/>
      <c r="M51" s="2482" t="s">
        <v>2163</v>
      </c>
      <c r="N51" s="2482" t="s">
        <v>2164</v>
      </c>
      <c r="O51" s="2482" t="s">
        <v>2165</v>
      </c>
    </row>
    <row r="52" spans="1:35" ht="24" customHeight="1">
      <c r="A52" s="183" t="s">
        <v>2166</v>
      </c>
      <c r="B52" s="3615" t="s">
        <v>2167</v>
      </c>
      <c r="C52" s="3615"/>
      <c r="D52" s="182">
        <f ca="1">ROUND(D45*'数据-取费表'!B41/(1+'数据-取费表'!C42),0)</f>
        <v>1123</v>
      </c>
      <c r="E52" s="11" t="s">
        <v>2168</v>
      </c>
      <c r="F52" s="184">
        <f>'数据-取费表'!B41</f>
        <v>5.5000000000000007E-2</v>
      </c>
      <c r="G52" s="2483"/>
      <c r="H52" s="138"/>
      <c r="I52" s="2481"/>
      <c r="J52" s="1808">
        <v>1</v>
      </c>
      <c r="K52" s="3590" t="s">
        <v>2169</v>
      </c>
      <c r="L52" s="3590"/>
      <c r="M52" s="1750">
        <f>D48</f>
        <v>0</v>
      </c>
      <c r="N52" s="1808" t="str">
        <f>E48</f>
        <v>销售额×税（费）率</v>
      </c>
      <c r="O52" s="1751" t="str">
        <f>F48</f>
        <v>免征</v>
      </c>
    </row>
    <row r="53" spans="1:35" ht="12" customHeight="1">
      <c r="A53" s="183" t="s">
        <v>2170</v>
      </c>
      <c r="B53" s="3616" t="s">
        <v>2171</v>
      </c>
      <c r="C53" s="3617"/>
      <c r="D53" s="182">
        <f ca="1">ROUND(D45*'数据-取费表'!B41/(1+'数据-取费表'!C42),0)</f>
        <v>1123</v>
      </c>
      <c r="E53" s="11" t="s">
        <v>2168</v>
      </c>
      <c r="F53" s="184">
        <f>'数据-取费表'!B41</f>
        <v>5.5000000000000007E-2</v>
      </c>
      <c r="G53" s="2483"/>
      <c r="H53" s="138"/>
      <c r="I53" s="2481"/>
      <c r="J53" s="1808">
        <v>2</v>
      </c>
      <c r="K53" s="3590" t="s">
        <v>2172</v>
      </c>
      <c r="L53" s="3590"/>
      <c r="M53" s="1750">
        <f t="shared" ref="M53:O54" ca="1" si="0">D55</f>
        <v>11</v>
      </c>
      <c r="N53" s="1808" t="str">
        <f t="shared" si="0"/>
        <v>销售额×税（费）率</v>
      </c>
      <c r="O53" s="1751">
        <f t="shared" si="0"/>
        <v>5.0000000000000001E-4</v>
      </c>
    </row>
    <row r="54" spans="1:35" ht="12" customHeight="1">
      <c r="A54" s="183" t="s">
        <v>2173</v>
      </c>
      <c r="B54" s="3616" t="s">
        <v>2174</v>
      </c>
      <c r="C54" s="3617"/>
      <c r="D54" s="182">
        <f ca="1">C68</f>
        <v>1123</v>
      </c>
      <c r="E54" s="30" t="s">
        <v>2175</v>
      </c>
      <c r="F54" s="184">
        <f>'数据-取费表'!B41</f>
        <v>5.5000000000000007E-2</v>
      </c>
      <c r="G54" s="2483"/>
      <c r="H54" s="2484"/>
      <c r="I54" s="2481"/>
      <c r="J54" s="1808">
        <v>3</v>
      </c>
      <c r="K54" s="3590" t="s">
        <v>2176</v>
      </c>
      <c r="L54" s="3590"/>
      <c r="M54" s="1750">
        <f t="shared" ca="1" si="0"/>
        <v>12158</v>
      </c>
      <c r="N54" s="1808" t="str">
        <f t="shared" si="0"/>
        <v>增值额×税（费）率</v>
      </c>
      <c r="O54" s="1752" t="str">
        <f t="shared" si="0"/>
        <v>——</v>
      </c>
    </row>
    <row r="55" spans="1:35" ht="24" customHeight="1">
      <c r="A55" s="3654" t="s">
        <v>2177</v>
      </c>
      <c r="B55" s="3636"/>
      <c r="C55" s="3636"/>
      <c r="D55" s="185">
        <f ca="1">IF(H55="个人住宅",0,ROUND(D45*I55,0))</f>
        <v>11</v>
      </c>
      <c r="E55" s="11" t="s">
        <v>2178</v>
      </c>
      <c r="F55" s="184">
        <f>IF(H55="正常",I55,"免征")</f>
        <v>5.0000000000000001E-4</v>
      </c>
      <c r="G55" s="2483"/>
      <c r="H55" s="2480" t="s">
        <v>2179</v>
      </c>
      <c r="I55" s="186">
        <f>'数据-取费表'!B49</f>
        <v>5.0000000000000001E-4</v>
      </c>
      <c r="J55" s="1808" t="str">
        <f>IF(H59="非个人房产","",4)</f>
        <v/>
      </c>
      <c r="K55" s="3590" t="str">
        <f>IF(H59="非个人房产","——","个人所得税")</f>
        <v>——</v>
      </c>
      <c r="L55" s="3590"/>
      <c r="M55" s="1753" t="str">
        <f>D59</f>
        <v>——</v>
      </c>
      <c r="N55" s="1806" t="str">
        <f>E59</f>
        <v>——</v>
      </c>
      <c r="O55" s="1754" t="str">
        <f>F59</f>
        <v>——</v>
      </c>
    </row>
    <row r="56" spans="1:35" ht="25.2">
      <c r="A56" s="3654" t="s">
        <v>2180</v>
      </c>
      <c r="B56" s="3636"/>
      <c r="C56" s="3636"/>
      <c r="D56" s="185">
        <f ca="1">IF(H56="个人住宅",D57,D58)</f>
        <v>12158</v>
      </c>
      <c r="E56" s="11" t="s">
        <v>2181</v>
      </c>
      <c r="F56" s="184" t="str">
        <f>IF(H56="正常",F58,"免征")</f>
        <v>——</v>
      </c>
      <c r="G56" s="2485" t="s">
        <v>2182</v>
      </c>
      <c r="H56" s="2486" t="s">
        <v>2179</v>
      </c>
      <c r="I56" s="2487"/>
      <c r="J56" s="1808" t="str">
        <f>IF(项目基本情况!K6="上海银行",IF(J55="",4,J55+1),"")</f>
        <v/>
      </c>
      <c r="K56" s="3573" t="str">
        <f>IF(项目基本情况!K6="上海银行","其他处置费用","")</f>
        <v/>
      </c>
      <c r="L56" s="3574"/>
      <c r="M56" s="1750" t="str">
        <f>IF(项目基本情况!K6="上海银行",M69,"")</f>
        <v/>
      </c>
      <c r="N56" s="3576" t="str">
        <f>IF(项目基本情况!K6="上海银行","包含处置中涉及的律师、诉讼、拍卖、评估等费用","")</f>
        <v/>
      </c>
      <c r="O56" s="3577"/>
    </row>
    <row r="57" spans="1:35" ht="13.2">
      <c r="A57" s="183" t="s">
        <v>2155</v>
      </c>
      <c r="B57" s="3621" t="s">
        <v>2183</v>
      </c>
      <c r="C57" s="3622"/>
      <c r="D57" s="187">
        <v>0</v>
      </c>
      <c r="E57" s="23" t="s">
        <v>2157</v>
      </c>
      <c r="F57" s="155"/>
      <c r="G57" s="2483"/>
      <c r="H57" s="2487"/>
      <c r="I57" s="2487"/>
      <c r="J57" s="3590">
        <f>IF(AND(J55="",J56=""),4,IF(项目基本情况!K6="上海银行",结果表!J56+1,结果表!J55+1))</f>
        <v>4</v>
      </c>
      <c r="K57" s="3590" t="s">
        <v>2184</v>
      </c>
      <c r="L57" s="2488" t="s">
        <v>2185</v>
      </c>
      <c r="M57" s="1755"/>
      <c r="N57" s="1756">
        <f ca="1">SUMIF(M52:M56,"&lt;9e307")</f>
        <v>12169</v>
      </c>
      <c r="O57" s="2489"/>
      <c r="P57" s="1749" t="e">
        <f ca="1">N57/M49</f>
        <v>#VALUE!</v>
      </c>
    </row>
    <row r="58" spans="1:35" ht="25.2">
      <c r="A58" s="183" t="s">
        <v>2166</v>
      </c>
      <c r="B58" s="3621" t="s">
        <v>2186</v>
      </c>
      <c r="C58" s="3634"/>
      <c r="D58" s="185">
        <f ca="1">IF(H58="转让取得",C81,C97)</f>
        <v>12158</v>
      </c>
      <c r="E58" s="11" t="s">
        <v>2181</v>
      </c>
      <c r="F58" s="24" t="s">
        <v>34</v>
      </c>
      <c r="G58" s="2483"/>
      <c r="H58" s="2486" t="s">
        <v>2187</v>
      </c>
      <c r="I58" s="2487"/>
      <c r="J58" s="3590"/>
      <c r="K58" s="3590"/>
      <c r="L58" s="2488" t="s">
        <v>2188</v>
      </c>
      <c r="M58" s="1757"/>
      <c r="N58" s="2490" t="str">
        <f ca="1">NUMBERSTRING(INT(N57*10000),2)&amp;"元整"</f>
        <v>壹亿贰仟壹佰陆拾玖万元整</v>
      </c>
      <c r="O58" s="2491"/>
    </row>
    <row r="59" spans="1:35" ht="24.6" thickBot="1">
      <c r="A59" s="3594" t="s">
        <v>2189</v>
      </c>
      <c r="B59" s="3595"/>
      <c r="C59" s="3595"/>
      <c r="D59" s="188" t="str">
        <f>IF(H59="非个人房产","——",IF(H59="个人住宅",0,ROUND(D45*I59,0)))</f>
        <v>——</v>
      </c>
      <c r="E59" s="189" t="str">
        <f>IF(H59="非个人房产","——","销售额×税（费）率")</f>
        <v>——</v>
      </c>
      <c r="F59" s="190" t="str">
        <f>IF(H59="非个人房产","——",IF(H59="个人住宅","免征",I59))</f>
        <v>——</v>
      </c>
      <c r="G59" s="2492" t="s">
        <v>2182</v>
      </c>
      <c r="H59" s="2486" t="s">
        <v>2190</v>
      </c>
      <c r="I59" s="191">
        <v>0.01</v>
      </c>
      <c r="J59" s="3592">
        <f>J57+1</f>
        <v>5</v>
      </c>
      <c r="K59" s="3590" t="s">
        <v>2191</v>
      </c>
      <c r="L59" s="1808" t="s">
        <v>2185</v>
      </c>
      <c r="M59" s="1758"/>
      <c r="N59" s="1759" t="e">
        <f ca="1">M49-N57</f>
        <v>#VALUE!</v>
      </c>
      <c r="O59" s="2493"/>
    </row>
    <row r="60" spans="1:35" ht="12" customHeight="1">
      <c r="A60" s="2494"/>
      <c r="B60" s="2416"/>
      <c r="C60" s="2416"/>
      <c r="D60" s="2416"/>
      <c r="E60" s="2165"/>
      <c r="F60" s="2487"/>
      <c r="G60" s="2487"/>
      <c r="H60" s="2495"/>
      <c r="I60" s="138"/>
      <c r="J60" s="3593"/>
      <c r="K60" s="3590"/>
      <c r="L60" s="2488" t="s">
        <v>2188</v>
      </c>
      <c r="M60" s="1757"/>
      <c r="N60" s="2490" t="e">
        <f ca="1">NUMBERSTRING(INT(N59*10000),2)&amp;"元整"</f>
        <v>#VALUE!</v>
      </c>
      <c r="O60" s="2491"/>
    </row>
    <row r="61" spans="1:35" ht="13.8" thickBot="1">
      <c r="A61" s="3653" t="s">
        <v>2192</v>
      </c>
      <c r="B61" s="3653"/>
      <c r="C61" s="3653"/>
      <c r="D61" s="3653"/>
      <c r="E61" s="3653"/>
      <c r="F61" s="2487"/>
      <c r="G61" s="2487"/>
      <c r="H61" s="2495"/>
      <c r="I61" s="138"/>
      <c r="J61" s="1808">
        <f>J59+1</f>
        <v>6</v>
      </c>
      <c r="K61" s="3590" t="s">
        <v>2193</v>
      </c>
      <c r="L61" s="3590"/>
      <c r="M61" s="1760"/>
      <c r="N61" s="1761" t="e">
        <f ca="1">ROUND(N59*10000/'数据-汇总表'!E3,0)</f>
        <v>#VALUE!</v>
      </c>
      <c r="O61" s="2496"/>
    </row>
    <row r="62" spans="1:35" ht="13.2">
      <c r="A62" s="3610" t="s">
        <v>2194</v>
      </c>
      <c r="B62" s="3611"/>
      <c r="C62" s="1800"/>
      <c r="D62" s="1800" t="s">
        <v>2195</v>
      </c>
      <c r="E62" s="192" t="s">
        <v>2196</v>
      </c>
      <c r="F62" s="2487"/>
      <c r="G62" s="2487"/>
      <c r="H62" s="2495"/>
      <c r="I62" s="138"/>
    </row>
    <row r="63" spans="1:35" ht="13.2">
      <c r="A63" s="203" t="s">
        <v>774</v>
      </c>
      <c r="B63" s="193" t="s">
        <v>2197</v>
      </c>
      <c r="C63" s="194">
        <f ca="1">ROUND((C64+C65)/(1+'数据-取费表'!C42),0)</f>
        <v>20425</v>
      </c>
      <c r="D63" s="195"/>
      <c r="E63" s="196"/>
      <c r="F63" s="2487"/>
      <c r="G63" s="2487"/>
      <c r="H63" s="2495"/>
      <c r="I63" s="138"/>
      <c r="J63" s="3575" t="s">
        <v>2198</v>
      </c>
      <c r="K63" s="2497" t="s">
        <v>2199</v>
      </c>
      <c r="L63" s="1748" t="e">
        <f>IF(M49&gt;10000,M49*0.5%,IF(AND(M49&gt;1000,M49&lt;=10000),M49*1%,IF(AND(M49&gt;100,M49&lt;=1000),M49*3%,IF(AND(M49&gt;10,M49&lt;=100),M49*5%,M49*8%))))</f>
        <v>#VALUE!</v>
      </c>
      <c r="M63" s="24" t="e">
        <f>ROUND(L63,1)</f>
        <v>#VALUE!</v>
      </c>
      <c r="Z63" s="2421"/>
      <c r="AI63" s="2422"/>
    </row>
    <row r="64" spans="1:35" ht="14.25" customHeight="1">
      <c r="A64" s="197" t="s">
        <v>769</v>
      </c>
      <c r="B64" s="198" t="s">
        <v>2200</v>
      </c>
      <c r="C64" s="199">
        <f ca="1">D45</f>
        <v>21446</v>
      </c>
      <c r="D64" s="200" t="s">
        <v>32</v>
      </c>
      <c r="E64" s="201"/>
      <c r="F64" s="2487"/>
      <c r="G64" s="2487"/>
      <c r="H64" s="2495"/>
      <c r="I64" s="138"/>
      <c r="J64" s="3575"/>
      <c r="K64" s="2497" t="s">
        <v>2201</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2202</v>
      </c>
      <c r="Z64" s="2421"/>
      <c r="AI64" s="2422"/>
    </row>
    <row r="65" spans="1:35" ht="14.25" customHeight="1">
      <c r="A65" s="197" t="s">
        <v>770</v>
      </c>
      <c r="B65" s="198" t="s">
        <v>2203</v>
      </c>
      <c r="C65" s="202"/>
      <c r="D65" s="200"/>
      <c r="E65" s="201"/>
      <c r="F65" s="2487"/>
      <c r="G65" s="2487"/>
      <c r="H65" s="2495"/>
      <c r="I65" s="138"/>
      <c r="J65" s="3575"/>
      <c r="K65" s="2497" t="s">
        <v>2204</v>
      </c>
      <c r="L65" s="1748" t="e">
        <f>IF(M49&gt;1000,M49*0.1%,IF(AND(M49&gt;500,M49&lt;=1000),M49*0.5%,IF(AND(M49&gt;50,M49&lt;=500),M49*1%,IF(AND(M49&gt;1,M49&lt;=50),M49*1.5%))))</f>
        <v>#VALUE!</v>
      </c>
      <c r="M65" s="24" t="e">
        <f t="shared" si="1"/>
        <v>#VALUE!</v>
      </c>
      <c r="N65" s="138" t="s">
        <v>2202</v>
      </c>
      <c r="Z65" s="2421"/>
      <c r="AI65" s="2422"/>
    </row>
    <row r="66" spans="1:35" ht="14.25" customHeight="1">
      <c r="A66" s="203" t="s">
        <v>771</v>
      </c>
      <c r="B66" s="204" t="s">
        <v>2205</v>
      </c>
      <c r="C66" s="205"/>
      <c r="D66" s="206" t="s">
        <v>32</v>
      </c>
      <c r="E66" s="1772" t="s">
        <v>1363</v>
      </c>
      <c r="F66" s="2487"/>
      <c r="G66" s="2487"/>
      <c r="H66" s="2495"/>
      <c r="I66" s="138"/>
      <c r="J66" s="3575"/>
      <c r="K66" s="2497" t="s">
        <v>2206</v>
      </c>
      <c r="L66" s="1748" t="e">
        <f>M49*0.5%</f>
        <v>#VALUE!</v>
      </c>
      <c r="M66" s="24" t="e">
        <f>IF(L66&gt;0.5,0.5,ROUND(L66,0))</f>
        <v>#VALUE!</v>
      </c>
      <c r="N66" s="138" t="s">
        <v>2207</v>
      </c>
      <c r="Z66" s="2421"/>
      <c r="AI66" s="2422"/>
    </row>
    <row r="67" spans="1:35" ht="14.25" customHeight="1">
      <c r="A67" s="203" t="s">
        <v>772</v>
      </c>
      <c r="B67" s="204" t="s">
        <v>2208</v>
      </c>
      <c r="C67" s="207">
        <f ca="1">C63-C66</f>
        <v>20425</v>
      </c>
      <c r="D67" s="200" t="s">
        <v>32</v>
      </c>
      <c r="E67" s="201"/>
      <c r="F67" s="2487"/>
      <c r="G67" s="2487"/>
      <c r="H67" s="2495"/>
      <c r="I67" s="138"/>
      <c r="J67" s="3575"/>
      <c r="K67" s="2497" t="s">
        <v>2209</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773</v>
      </c>
      <c r="B68" s="209" t="s">
        <v>2210</v>
      </c>
      <c r="C68" s="210">
        <f ca="1">IF(C67&lt;=0,0,ROUND(C67*D68,0))</f>
        <v>1123</v>
      </c>
      <c r="D68" s="211">
        <f>'数据-取费表'!B41</f>
        <v>5.5000000000000007E-2</v>
      </c>
      <c r="E68" s="212"/>
      <c r="F68" s="2487"/>
      <c r="G68" s="2487"/>
      <c r="H68" s="2495"/>
      <c r="I68" s="138"/>
      <c r="J68" s="3575"/>
      <c r="K68" s="2497" t="s">
        <v>2211</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575"/>
      <c r="K69" s="2497" t="s">
        <v>2212</v>
      </c>
      <c r="L69" s="2503"/>
      <c r="M69" s="24" t="e">
        <f>ROUND(SUM(M63:M68),0)</f>
        <v>#VALUE!</v>
      </c>
      <c r="N69" s="1749"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4.4" thickBot="1">
      <c r="A70" s="3619" t="s">
        <v>2213</v>
      </c>
      <c r="B70" s="3620"/>
      <c r="C70" s="3620"/>
      <c r="D70" s="3620"/>
      <c r="E70" s="3620"/>
      <c r="F70" s="3620"/>
      <c r="G70" s="3620"/>
      <c r="H70" s="362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3.8">
      <c r="A71" s="3610" t="s">
        <v>2194</v>
      </c>
      <c r="B71" s="3611"/>
      <c r="C71" s="1800"/>
      <c r="D71" s="1800" t="s">
        <v>2195</v>
      </c>
      <c r="E71" s="213" t="s">
        <v>2196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3.8">
      <c r="A72" s="203" t="s">
        <v>774</v>
      </c>
      <c r="B72" s="204" t="s">
        <v>2214</v>
      </c>
      <c r="C72" s="207">
        <f ca="1">ROUND(D45/(1+'数据-取费表'!C42),0)</f>
        <v>20425</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3.8">
      <c r="A73" s="203" t="s">
        <v>771</v>
      </c>
      <c r="B73" s="173" t="s">
        <v>2215</v>
      </c>
      <c r="C73" s="207">
        <f ca="1">C74+C78</f>
        <v>102</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769</v>
      </c>
      <c r="B74" s="198" t="s">
        <v>2216</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28.8">
      <c r="A75" s="217" t="s">
        <v>775</v>
      </c>
      <c r="B75" s="198" t="s">
        <v>2217</v>
      </c>
      <c r="C75" s="218"/>
      <c r="D75" s="200" t="s">
        <v>32</v>
      </c>
      <c r="E75" s="219" t="s">
        <v>2218</v>
      </c>
      <c r="F75" s="2509" t="s">
        <v>2219</v>
      </c>
      <c r="G75" s="219" t="s">
        <v>2220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776</v>
      </c>
      <c r="B76" s="221" t="s">
        <v>2221</v>
      </c>
      <c r="C76" s="200">
        <f>IF(F75="购房发票",ROUND(C75*H75*D76,0),0)</f>
        <v>0</v>
      </c>
      <c r="D76" s="222">
        <v>0.05</v>
      </c>
      <c r="E76" s="3616" t="s">
        <v>2222</v>
      </c>
      <c r="F76" s="3615"/>
      <c r="G76" s="3615"/>
      <c r="H76" s="361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777</v>
      </c>
      <c r="B77" s="198" t="s">
        <v>2223</v>
      </c>
      <c r="C77" s="200">
        <f>ROUND(IF(G77="个人住宅",0,IF(G77="2016年5月1日前购买",C75*D77,C75*D77/(1+'数据-取费表'!C42))),0)</f>
        <v>0</v>
      </c>
      <c r="D77" s="223">
        <f>'数据-取费表'!B48+'数据-取费表'!B49</f>
        <v>4.0500000000000001E-2</v>
      </c>
      <c r="E77" s="15" t="s">
        <v>2224</v>
      </c>
      <c r="F77" s="224"/>
      <c r="G77" s="2511" t="s">
        <v>2225</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770</v>
      </c>
      <c r="B78" s="198" t="s">
        <v>2226</v>
      </c>
      <c r="C78" s="225">
        <f ca="1">ROUND(D45*D78/(1+'数据-取费表'!C42),0)</f>
        <v>102</v>
      </c>
      <c r="D78" s="226">
        <f>'数据-取费表'!B43</f>
        <v>5.000000000000001E-3</v>
      </c>
      <c r="E78" s="3607" t="s">
        <v>2227</v>
      </c>
      <c r="F78" s="3608"/>
      <c r="G78" s="3608"/>
      <c r="H78" s="360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3.8">
      <c r="A79" s="2513" t="s">
        <v>778</v>
      </c>
      <c r="B79" s="204" t="s">
        <v>2228</v>
      </c>
      <c r="C79" s="207">
        <f ca="1">C72-C73</f>
        <v>20323</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779</v>
      </c>
      <c r="B80" s="204" t="s">
        <v>2229</v>
      </c>
      <c r="C80" s="227">
        <f ca="1">IF(C79&lt;=0,0,C79/C73)</f>
        <v>199.24509803921569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6" thickBot="1">
      <c r="A81" s="2514" t="s">
        <v>780</v>
      </c>
      <c r="B81" s="209" t="s">
        <v>2230</v>
      </c>
      <c r="C81" s="228">
        <f ca="1">ROUND(IF(C79&lt;=0,0,IF(C80&gt;=200%,C79*60%-C73*35%,IF(C80&gt;=100%,C79*50%-C73*15%,IF(C80&gt;=50%,C79*40%-C73*5%,IF(C80&lt;50%,C79*30%,0))))),0)</f>
        <v>12158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4" thickBot="1">
      <c r="A83" s="3619" t="s">
        <v>2231</v>
      </c>
      <c r="B83" s="3620"/>
      <c r="C83" s="3620"/>
      <c r="D83" s="3620"/>
      <c r="E83" s="3620"/>
      <c r="F83" s="3620"/>
      <c r="G83" s="3620"/>
      <c r="H83" s="362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3.8">
      <c r="A84" s="3610" t="s">
        <v>2194</v>
      </c>
      <c r="B84" s="3611"/>
      <c r="C84" s="1800"/>
      <c r="D84" s="1800" t="s">
        <v>2195</v>
      </c>
      <c r="E84" s="213" t="s">
        <v>2196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3.8">
      <c r="A85" s="203" t="s">
        <v>774</v>
      </c>
      <c r="B85" s="204" t="s">
        <v>2214</v>
      </c>
      <c r="C85" s="207">
        <f ca="1">ROUND(D45/(1+'数据-取费表'!C42),0)</f>
        <v>20425</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3.8">
      <c r="A86" s="203" t="s">
        <v>771</v>
      </c>
      <c r="B86" s="173" t="s">
        <v>2215</v>
      </c>
      <c r="C86" s="207">
        <f ca="1">IF(H88="仅含出让金",C87+C90+C91+C92+C93+C94,C87+C91+C92+C93+C94)</f>
        <v>102</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3.8">
      <c r="A87" s="217" t="s">
        <v>769</v>
      </c>
      <c r="B87" s="198" t="s">
        <v>2232</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3.8">
      <c r="A88" s="217" t="s">
        <v>775</v>
      </c>
      <c r="B88" s="198" t="s">
        <v>2233</v>
      </c>
      <c r="C88" s="236"/>
      <c r="D88" s="226"/>
      <c r="E88" s="237" t="s">
        <v>2234</v>
      </c>
      <c r="F88" s="1796"/>
      <c r="G88" s="238" t="s">
        <v>2235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3.8">
      <c r="A89" s="217" t="s">
        <v>776</v>
      </c>
      <c r="B89" s="198" t="s">
        <v>2223</v>
      </c>
      <c r="C89" s="225">
        <f>ROUND(C88*D89,0)</f>
        <v>0</v>
      </c>
      <c r="D89" s="226">
        <f>'数据-取费表'!B48+'数据-取费表'!B49</f>
        <v>4.0500000000000001E-2</v>
      </c>
      <c r="E89" s="237" t="s">
        <v>2236</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3.8">
      <c r="A90" s="217" t="s">
        <v>770</v>
      </c>
      <c r="B90" s="198" t="s">
        <v>2237</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2238</v>
      </c>
      <c r="B91" s="198" t="s">
        <v>2239</v>
      </c>
      <c r="C91" s="225">
        <f>IF(H91="——",成本法!C33,I91)</f>
        <v>0</v>
      </c>
      <c r="D91" s="226"/>
      <c r="E91" s="3607" t="s">
        <v>2240</v>
      </c>
      <c r="F91" s="3608"/>
      <c r="G91" s="3608"/>
      <c r="H91" s="2516" t="s">
        <v>2241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2242</v>
      </c>
      <c r="B92" s="198" t="s">
        <v>2243</v>
      </c>
      <c r="C92" s="225">
        <f>ROUND((C87+C90+C91)*D92,0)</f>
        <v>0</v>
      </c>
      <c r="D92" s="226">
        <v>0.1</v>
      </c>
      <c r="E92" s="3607" t="s">
        <v>2244</v>
      </c>
      <c r="F92" s="3608"/>
      <c r="G92" s="3608"/>
      <c r="H92" s="360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2245</v>
      </c>
      <c r="B93" s="198" t="s">
        <v>2226</v>
      </c>
      <c r="C93" s="225">
        <f ca="1">ROUND(D45*D93/(1+'数据-取费表'!C42),0)</f>
        <v>102</v>
      </c>
      <c r="D93" s="226">
        <f>'数据-取费表'!B43</f>
        <v>5.000000000000001E-3</v>
      </c>
      <c r="E93" s="3607" t="s">
        <v>2227</v>
      </c>
      <c r="F93" s="3608"/>
      <c r="G93" s="3608"/>
      <c r="H93" s="360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2246</v>
      </c>
      <c r="B94" s="198" t="s">
        <v>2247</v>
      </c>
      <c r="C94" s="236">
        <f>ROUND((C87+C90+C91)*D94,0)</f>
        <v>0</v>
      </c>
      <c r="D94" s="226">
        <v>0.2</v>
      </c>
      <c r="E94" s="3655" t="s">
        <v>2248</v>
      </c>
      <c r="F94" s="3656"/>
      <c r="G94" s="3656"/>
      <c r="H94" s="365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3.8">
      <c r="A95" s="2513" t="s">
        <v>778</v>
      </c>
      <c r="B95" s="204" t="s">
        <v>2228</v>
      </c>
      <c r="C95" s="207">
        <f ca="1">ROUND(C85-C86,0)</f>
        <v>20323</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779</v>
      </c>
      <c r="B96" s="204" t="s">
        <v>2229</v>
      </c>
      <c r="C96" s="227">
        <f ca="1">IF(C95&lt;=0,0,C95/C86)</f>
        <v>199.24509803921569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6" thickBot="1">
      <c r="A97" s="2514" t="s">
        <v>780</v>
      </c>
      <c r="B97" s="209" t="s">
        <v>2230</v>
      </c>
      <c r="C97" s="228">
        <f ca="1">ROUND(IF(C95&lt;=0,0,IF(C96&gt;=200%,C95*60%-C86*35%,IF(C96&gt;=100%,C95*50%-C86*15%,IF(C96&gt;=50%,C95*40%-C86*5%,IF(C96&lt;50%,C95*30%,0))))),0)</f>
        <v>12158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2249</v>
      </c>
      <c r="B99" s="2416"/>
      <c r="C99" s="2416"/>
      <c r="D99" s="2416"/>
      <c r="E99" s="2165"/>
      <c r="F99" s="2165"/>
      <c r="G99" s="2165"/>
      <c r="H99" s="2164"/>
      <c r="I99" s="138"/>
    </row>
    <row r="100" spans="1:35" ht="18.75" customHeight="1">
      <c r="A100" s="3557" t="s">
        <v>2250</v>
      </c>
      <c r="B100" s="3558"/>
      <c r="C100" s="3558"/>
      <c r="D100" s="3591"/>
      <c r="E100" s="3558" t="s">
        <v>2251</v>
      </c>
      <c r="F100" s="3558"/>
      <c r="G100" s="3558"/>
      <c r="H100" s="3591"/>
      <c r="I100" s="138"/>
    </row>
    <row r="101" spans="1:35" ht="18.75" customHeight="1">
      <c r="A101" s="3599" t="s">
        <v>2252</v>
      </c>
      <c r="B101" s="3600"/>
      <c r="C101" s="736" t="str">
        <f>C4</f>
        <v>成本法</v>
      </c>
      <c r="D101" s="737" t="str">
        <f>D4</f>
        <v>假设开发法</v>
      </c>
      <c r="E101" s="3571" t="s">
        <v>2253</v>
      </c>
      <c r="F101" s="3572"/>
      <c r="G101" s="2518" t="s">
        <v>2254</v>
      </c>
      <c r="H101" s="1044">
        <f ca="1">H118</f>
        <v>21446</v>
      </c>
      <c r="I101" s="138"/>
    </row>
    <row r="102" spans="1:35" ht="18.75" customHeight="1">
      <c r="A102" s="3601" t="s">
        <v>2255</v>
      </c>
      <c r="B102" s="2518" t="s">
        <v>2254</v>
      </c>
      <c r="C102" s="736">
        <f ca="1">C19</f>
        <v>21791</v>
      </c>
      <c r="D102" s="737">
        <f ca="1">D19</f>
        <v>21100</v>
      </c>
      <c r="E102" s="3571"/>
      <c r="F102" s="3572"/>
      <c r="G102" s="2518" t="s">
        <v>2256</v>
      </c>
      <c r="H102" s="371">
        <f ca="1">I118</f>
        <v>2834</v>
      </c>
      <c r="I102" s="138"/>
    </row>
    <row r="103" spans="1:35" ht="42.75" customHeight="1">
      <c r="A103" s="3601"/>
      <c r="B103" s="2518" t="s">
        <v>2256</v>
      </c>
      <c r="C103" s="738">
        <f ca="1">C20</f>
        <v>2879</v>
      </c>
      <c r="D103" s="739">
        <f ca="1">D20</f>
        <v>2788</v>
      </c>
      <c r="E103" s="3565" t="s">
        <v>2257</v>
      </c>
      <c r="F103" s="3566"/>
      <c r="G103" s="2519" t="s">
        <v>2258</v>
      </c>
      <c r="H103" s="1044">
        <f>IF(D36="正常操作",H104+H105+H106,H105+H106)</f>
        <v>0</v>
      </c>
      <c r="I103" s="138"/>
    </row>
    <row r="104" spans="1:35" ht="18.75" customHeight="1">
      <c r="A104" s="3601" t="s">
        <v>2259</v>
      </c>
      <c r="B104" s="2520" t="s">
        <v>2254</v>
      </c>
      <c r="C104" s="740">
        <f ca="1">H118</f>
        <v>21446</v>
      </c>
      <c r="D104" s="741"/>
      <c r="E104" s="2265" t="s">
        <v>2260</v>
      </c>
      <c r="F104" s="2257"/>
      <c r="G104" s="2519" t="s">
        <v>2258</v>
      </c>
      <c r="H104" s="1045">
        <f>IF(D36="同一抵押权人同一抵押物续贷",C36&amp;"（未扣减，详见特别提示）",C36)</f>
        <v>0</v>
      </c>
      <c r="I104" s="138"/>
    </row>
    <row r="105" spans="1:35" ht="18.75" customHeight="1" thickBot="1">
      <c r="A105" s="3613"/>
      <c r="B105" s="2521" t="s">
        <v>2256</v>
      </c>
      <c r="C105" s="742">
        <f ca="1">I118</f>
        <v>2834</v>
      </c>
      <c r="D105" s="743"/>
      <c r="E105" s="2265" t="s">
        <v>2261</v>
      </c>
      <c r="F105" s="2257"/>
      <c r="G105" s="2519" t="s">
        <v>2258</v>
      </c>
      <c r="H105" s="1045">
        <f>C37</f>
        <v>0</v>
      </c>
      <c r="I105" s="138"/>
    </row>
    <row r="106" spans="1:35" ht="18.75" customHeight="1">
      <c r="A106" s="2416" t="s">
        <v>2262</v>
      </c>
      <c r="B106" s="2416"/>
      <c r="C106" s="2416"/>
      <c r="D106" s="2416"/>
      <c r="E106" s="2522" t="s">
        <v>2263</v>
      </c>
      <c r="F106" s="2257"/>
      <c r="G106" s="2519" t="s">
        <v>2258</v>
      </c>
      <c r="H106" s="1045">
        <f>C38</f>
        <v>0</v>
      </c>
      <c r="I106" s="138"/>
    </row>
    <row r="107" spans="1:35" ht="18.75" customHeight="1">
      <c r="A107" s="138"/>
      <c r="B107" s="138"/>
      <c r="C107" s="138"/>
      <c r="D107" s="138"/>
      <c r="E107" s="3602" t="str">
        <f>IF(项目基本情况!E8="已注销","——","3.房地产抵押价值")</f>
        <v>3.房地产抵押价值</v>
      </c>
      <c r="F107" s="3572"/>
      <c r="G107" s="2518" t="s">
        <v>2254</v>
      </c>
      <c r="H107" s="1044">
        <f ca="1">IF(E107="——","——",H101-H103)</f>
        <v>21446</v>
      </c>
      <c r="I107" s="138"/>
    </row>
    <row r="108" spans="1:35" ht="18.75" customHeight="1">
      <c r="A108" s="138"/>
      <c r="B108" s="138"/>
      <c r="C108" s="138"/>
      <c r="D108" s="138"/>
      <c r="E108" s="3602"/>
      <c r="F108" s="3572"/>
      <c r="G108" s="2518" t="s">
        <v>2256</v>
      </c>
      <c r="H108" s="371">
        <f ca="1">ROUND(H107*10000/'数据-汇总表'!E3,0)</f>
        <v>2834</v>
      </c>
      <c r="I108" s="138"/>
    </row>
    <row r="109" spans="1:35" ht="18.75" customHeight="1">
      <c r="A109" s="138"/>
      <c r="B109" s="138"/>
      <c r="C109" s="138"/>
      <c r="D109" s="138"/>
      <c r="E109" s="3602" t="str">
        <f>IF(项目基本情况!E8="已注销及未注销","4.抵押担保权已注销时的房地产抵押价值",IF(项目基本情况!E8="已注销","3.抵押担保权已注销时的房地产抵押价值","——"))</f>
        <v>——</v>
      </c>
      <c r="F109" s="3572"/>
      <c r="G109" s="2518" t="s">
        <v>2254</v>
      </c>
      <c r="H109" s="348" t="str">
        <f>IF(E109="——","——",H101-H105-H106)</f>
        <v>——</v>
      </c>
      <c r="I109" s="138"/>
    </row>
    <row r="110" spans="1:35" ht="18.75" customHeight="1">
      <c r="A110" s="138"/>
      <c r="B110" s="138"/>
      <c r="C110" s="138"/>
      <c r="D110" s="138"/>
      <c r="E110" s="3602"/>
      <c r="F110" s="3572"/>
      <c r="G110" s="2518" t="s">
        <v>2256</v>
      </c>
      <c r="H110" s="371" t="str">
        <f>IF(H109="——","——",ROUND(H109*10000/'数据-汇总表'!E3,0))</f>
        <v>——</v>
      </c>
      <c r="I110" s="138"/>
    </row>
    <row r="111" spans="1:35" ht="18.75" customHeight="1">
      <c r="A111" s="138"/>
      <c r="B111" s="138"/>
      <c r="C111" s="138"/>
      <c r="D111" s="138"/>
      <c r="E111" s="3603" t="str">
        <f>IF(项目基本情况!E9="抵押净值",IF(OR(项目基本情况!E8="已注销",项目基本情况!E8="房地产抵押价值"),"4.抵押净值","5.抵押净值"),"——")</f>
        <v>——</v>
      </c>
      <c r="F111" s="3604"/>
      <c r="G111" s="2518" t="s">
        <v>2254</v>
      </c>
      <c r="H111" s="1044" t="str">
        <f>IF(E111="——","——",N59)</f>
        <v>——</v>
      </c>
      <c r="I111" s="138"/>
    </row>
    <row r="112" spans="1:35" ht="18.75" customHeight="1" thickBot="1">
      <c r="A112" s="138"/>
      <c r="B112" s="138"/>
      <c r="C112" s="138"/>
      <c r="D112" s="138"/>
      <c r="E112" s="3605"/>
      <c r="F112" s="3606"/>
      <c r="G112" s="2523" t="s">
        <v>2256</v>
      </c>
      <c r="H112" s="790" t="str">
        <f>IF(E111="——","——",N61)</f>
        <v>——</v>
      </c>
      <c r="I112" s="138"/>
    </row>
    <row r="113" spans="1:11" ht="18.75" customHeight="1">
      <c r="A113" s="138"/>
      <c r="B113" s="138"/>
      <c r="C113" s="138"/>
      <c r="D113" s="138"/>
      <c r="E113" s="3614" t="s">
        <v>2262</v>
      </c>
      <c r="F113" s="3614"/>
      <c r="G113" s="3614"/>
      <c r="H113" s="3614"/>
      <c r="I113" s="138"/>
    </row>
    <row r="114" spans="1:11" ht="3.75" customHeight="1">
      <c r="A114" s="2416"/>
      <c r="B114" s="2416"/>
      <c r="C114" s="2416"/>
      <c r="D114" s="2416"/>
      <c r="E114" s="2494"/>
      <c r="F114" s="2494"/>
      <c r="G114" s="2494"/>
      <c r="H114" s="2494"/>
      <c r="I114" s="2416"/>
    </row>
    <row r="115" spans="1:11" ht="18.75" customHeight="1">
      <c r="A115" s="3627" t="s">
        <v>2264</v>
      </c>
      <c r="B115" s="3628"/>
      <c r="C115" s="3628"/>
      <c r="D115" s="3628"/>
      <c r="E115" s="3628"/>
      <c r="F115" s="3628"/>
      <c r="G115" s="3628"/>
      <c r="H115" s="3628"/>
      <c r="I115" s="3629"/>
    </row>
    <row r="116" spans="1:11" ht="27" customHeight="1">
      <c r="A116" s="3538" t="s">
        <v>2265</v>
      </c>
      <c r="B116" s="3581" t="s">
        <v>2266</v>
      </c>
      <c r="C116" s="3581" t="s">
        <v>2267</v>
      </c>
      <c r="D116" s="3587" t="s">
        <v>2268</v>
      </c>
      <c r="E116" s="3588"/>
      <c r="F116" s="3623" t="s">
        <v>2269</v>
      </c>
      <c r="G116" s="3623"/>
      <c r="H116" s="3538" t="s">
        <v>2270</v>
      </c>
      <c r="I116" s="3538"/>
    </row>
    <row r="117" spans="1:11" ht="18.75" customHeight="1">
      <c r="A117" s="3538"/>
      <c r="B117" s="3582"/>
      <c r="C117" s="3582"/>
      <c r="D117" s="1794" t="s">
        <v>2271</v>
      </c>
      <c r="E117" s="1794" t="s">
        <v>2272</v>
      </c>
      <c r="F117" s="1794" t="s">
        <v>2271</v>
      </c>
      <c r="G117" s="1794" t="s">
        <v>2273</v>
      </c>
      <c r="H117" s="1794" t="s">
        <v>2271</v>
      </c>
      <c r="I117" s="1794" t="s">
        <v>2273</v>
      </c>
    </row>
    <row r="118" spans="1:11" ht="24.75" customHeight="1">
      <c r="A118" s="2524" t="str">
        <f>项目基本情况!S2</f>
        <v>出让国有建设用地使用权及在建建筑物房地产</v>
      </c>
      <c r="B118" s="1794">
        <f>M18</f>
        <v>75681.680000000008</v>
      </c>
      <c r="C118" s="1794">
        <f>M19</f>
        <v>26957.93</v>
      </c>
      <c r="D118" s="1794">
        <f ca="1">ROUND(IF(D32="总价",C34,E118*B118/10000),0)</f>
        <v>15334</v>
      </c>
      <c r="E118" s="1794">
        <f ca="1">ROUND(IF(C33="自定义",IF(D32="楼面单价",C34,D118*10000/B118),I118-G118),0)</f>
        <v>2026</v>
      </c>
      <c r="F118" s="1794">
        <f ca="1">ROUND(IF(D32="总价",C35,G118*B118/10000),0)</f>
        <v>6112</v>
      </c>
      <c r="G118" s="1794">
        <f ca="1">ROUND(IF(D32="楼面单价",C35,F118*10000/B118),0)</f>
        <v>808</v>
      </c>
      <c r="H118" s="1794">
        <f ca="1">ROUND(IF(D32="总价",C32,I118*B118/10000),0)</f>
        <v>21446</v>
      </c>
      <c r="I118" s="1794">
        <f ca="1">ROUND(IF(D32="楼面单价",C32,H118*10000/B118),0)</f>
        <v>2834</v>
      </c>
      <c r="J118" s="795">
        <f ca="1">D118/'数据-汇总表'!F31*10000</f>
        <v>3841.0293778379064</v>
      </c>
    </row>
    <row r="119" spans="1:11" ht="18.75" customHeight="1">
      <c r="A119" s="3538" t="s">
        <v>2274</v>
      </c>
      <c r="B119" s="3538"/>
      <c r="C119" s="3538"/>
      <c r="D119" s="3583" t="str">
        <f ca="1">NUMBERSTRING(INT(D118*10000),2)&amp;"元整"</f>
        <v>壹亿伍仟叁佰叁拾肆万元整</v>
      </c>
      <c r="E119" s="3584"/>
      <c r="F119" s="3583" t="str">
        <f ca="1">NUMBERSTRING(INT(F118*10000),2)&amp;"元整"</f>
        <v>陆仟壹佰壹拾贰万元整</v>
      </c>
      <c r="G119" s="3584"/>
      <c r="H119" s="3583" t="str">
        <f ca="1">NUMBERSTRING(INT(H118*10000),2)&amp;"元整"</f>
        <v>贰亿壹仟肆佰肆拾陆万元整</v>
      </c>
      <c r="I119" s="3584"/>
    </row>
    <row r="120" spans="1:11" ht="18.75" customHeight="1">
      <c r="A120" s="3578" t="str">
        <f>IF(项目基本情况!B9="房地产市场价值","",MID(E103,3,LEN(E103)-2))</f>
        <v>估价师知悉的法定优先受偿款</v>
      </c>
      <c r="B120" s="3579"/>
      <c r="C120" s="3580"/>
      <c r="D120" s="3578">
        <f>H103</f>
        <v>0</v>
      </c>
      <c r="E120" s="3579"/>
      <c r="F120" s="3579"/>
      <c r="G120" s="3579"/>
      <c r="H120" s="3579"/>
      <c r="I120" s="3580"/>
      <c r="K120" s="2421" t="str">
        <f>IF(D120=0,"故，本次评估不存在"&amp;A120,"故，本次评估"&amp;A120&amp;"为人民币"&amp;D120&amp;"万元整。")</f>
        <v>故，本次评估不存在估价师知悉的法定优先受偿款</v>
      </c>
    </row>
    <row r="121" spans="1:11" ht="18.75" customHeight="1">
      <c r="A121" s="3624" t="s">
        <v>2274</v>
      </c>
      <c r="B121" s="3625"/>
      <c r="C121" s="3626"/>
      <c r="D121" s="3583" t="str">
        <f>IF(D120=0,"零元整",NUMBERSTRING(INT(D120*10000),2)&amp;"元整")</f>
        <v>零元整</v>
      </c>
      <c r="E121" s="3585"/>
      <c r="F121" s="3585"/>
      <c r="G121" s="3585"/>
      <c r="H121" s="3585"/>
      <c r="I121" s="3584"/>
    </row>
    <row r="122" spans="1:11" ht="18.75" customHeight="1">
      <c r="A122" s="3589" t="str">
        <f>IF(项目基本情况!B9="房地产市场价值","",MID(E107,3,LEN(E107)-2))</f>
        <v>房地产抵押价值</v>
      </c>
      <c r="B122" s="3589"/>
      <c r="C122" s="3589"/>
      <c r="D122" s="3578">
        <f ca="1">H107</f>
        <v>21446</v>
      </c>
      <c r="E122" s="3579"/>
      <c r="F122" s="3579"/>
      <c r="G122" s="3579"/>
      <c r="H122" s="3579"/>
      <c r="I122" s="3580"/>
    </row>
    <row r="123" spans="1:11" ht="18.75" customHeight="1">
      <c r="A123" s="3538" t="s">
        <v>2274</v>
      </c>
      <c r="B123" s="3538"/>
      <c r="C123" s="3538"/>
      <c r="D123" s="3583" t="str">
        <f ca="1">NUMBERSTRING(INT(D122*10000),2)&amp;"元整"</f>
        <v>贰亿壹仟肆佰肆拾陆万元整</v>
      </c>
      <c r="E123" s="3585"/>
      <c r="F123" s="3585"/>
      <c r="G123" s="3585"/>
      <c r="H123" s="3585"/>
      <c r="I123" s="3584"/>
    </row>
    <row r="124" spans="1:11" ht="18.75" customHeight="1">
      <c r="A124" s="3589" t="str">
        <f>IF(项目基本情况!B9="房地产市场价值","",MID(E109,3,LEN(E109)-2))</f>
        <v/>
      </c>
      <c r="B124" s="3589"/>
      <c r="C124" s="3589"/>
      <c r="D124" s="3578" t="str">
        <f>H109</f>
        <v>——</v>
      </c>
      <c r="E124" s="3579"/>
      <c r="F124" s="3579"/>
      <c r="G124" s="3579"/>
      <c r="H124" s="3579"/>
      <c r="I124" s="3580"/>
    </row>
    <row r="125" spans="1:11" ht="18.75" customHeight="1">
      <c r="A125" s="3538" t="s">
        <v>2274</v>
      </c>
      <c r="B125" s="3538"/>
      <c r="C125" s="3538"/>
      <c r="D125" s="3583" t="e">
        <f>NUMBERSTRING(INT(D124*10000),2)&amp;"元整"</f>
        <v>#VALUE!</v>
      </c>
      <c r="E125" s="3585"/>
      <c r="F125" s="3585"/>
      <c r="G125" s="3585"/>
      <c r="H125" s="3585"/>
      <c r="I125" s="3584"/>
    </row>
    <row r="126" spans="1:11" ht="18.75" customHeight="1">
      <c r="A126" s="3589" t="str">
        <f>IF(项目基本情况!B9="房地产市场价值","",MID(E111,3,LEN(E111)-2))</f>
        <v/>
      </c>
      <c r="B126" s="3589"/>
      <c r="C126" s="3589"/>
      <c r="D126" s="3578" t="str">
        <f>H111</f>
        <v>——</v>
      </c>
      <c r="E126" s="3579"/>
      <c r="F126" s="3579"/>
      <c r="G126" s="3579"/>
      <c r="H126" s="3579"/>
      <c r="I126" s="3580"/>
    </row>
    <row r="127" spans="1:11" ht="18.75" customHeight="1">
      <c r="A127" s="3538" t="s">
        <v>2274</v>
      </c>
      <c r="B127" s="3538"/>
      <c r="C127" s="3538"/>
      <c r="D127" s="3583" t="e">
        <f>NUMBERSTRING(INT(D126*10000),2)&amp;"元整"</f>
        <v>#VALUE!</v>
      </c>
      <c r="E127" s="3585"/>
      <c r="F127" s="3585"/>
      <c r="G127" s="3585"/>
      <c r="H127" s="3585"/>
      <c r="I127" s="3584"/>
    </row>
    <row r="128" spans="1:11" ht="21.75" customHeight="1">
      <c r="A128" s="3586" t="s">
        <v>2275</v>
      </c>
      <c r="B128" s="3586"/>
      <c r="C128" s="3586"/>
      <c r="D128" s="3586"/>
      <c r="E128" s="3586"/>
      <c r="F128" s="3586"/>
      <c r="G128" s="3586"/>
      <c r="H128" s="3586"/>
      <c r="I128" s="3586"/>
    </row>
    <row r="129" spans="1:35" ht="21.75" customHeight="1">
      <c r="A129" s="2525" t="s">
        <v>2276</v>
      </c>
      <c r="B129" s="2526"/>
      <c r="C129" s="2527" t="s">
        <v>2277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2278</v>
      </c>
      <c r="G135" s="2542"/>
      <c r="H135" s="2542"/>
      <c r="I135" s="2543" t="s">
        <v>2279</v>
      </c>
    </row>
    <row r="136" spans="1:35" ht="21.75" customHeight="1">
      <c r="A136" s="795"/>
      <c r="B136" s="2544" t="s">
        <v>2280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2281</v>
      </c>
    </row>
    <row r="139" spans="1:35" ht="21.75" customHeight="1">
      <c r="A139" s="795"/>
      <c r="B139" s="2544" t="s">
        <v>2282</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2281</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2283</v>
      </c>
      <c r="B1" s="1935"/>
      <c r="C1" s="2553" t="s">
        <v>2385</v>
      </c>
      <c r="D1" s="242"/>
      <c r="E1" s="242"/>
      <c r="F1" s="242"/>
      <c r="G1" s="1378">
        <f>MATCH(B1,'数据-取费表'!A6:A16,0)+5</f>
        <v>10</v>
      </c>
      <c r="H1" s="1281" t="str">
        <f>IF(ISERROR(FIND("住宅",B1)),"非住宅","住宅")</f>
        <v>非住宅</v>
      </c>
    </row>
    <row r="2" spans="1:8" s="244" customFormat="1" ht="18" customHeight="1">
      <c r="A2" s="245" t="s">
        <v>2284</v>
      </c>
      <c r="B2" s="246">
        <f ca="1">ROUND(IF(D2="——",C52/10000,C52/10000-E2),0)</f>
        <v>22719</v>
      </c>
      <c r="C2" s="243" t="s">
        <v>2285</v>
      </c>
      <c r="D2" s="2547" t="s">
        <v>70</v>
      </c>
      <c r="E2" s="1439" t="e">
        <f ca="1">SUMIF(INDIRECT("'"&amp;G2&amp;"'"&amp;"!A:A"),"承租人权益价值",INDIRECT("'"&amp;G2&amp;"'"&amp;"!c:c"))</f>
        <v>#REF!</v>
      </c>
      <c r="F2" s="2548" t="s">
        <v>2285</v>
      </c>
      <c r="G2" s="2549"/>
    </row>
    <row r="3" spans="1:8" s="244" customFormat="1" ht="18" customHeight="1" thickBot="1">
      <c r="A3" s="247" t="s">
        <v>2286</v>
      </c>
      <c r="B3" s="248">
        <f ca="1">ROUND(B2*10000/(IF(B1="",'数据-汇总表'!E3,INDIRECT("'数据-取费表'!k"&amp;$G$1))),0)</f>
        <v>3002</v>
      </c>
      <c r="C3" s="243" t="s">
        <v>2287</v>
      </c>
      <c r="D3" s="243"/>
      <c r="E3" s="243"/>
      <c r="F3" s="243"/>
      <c r="G3" s="243"/>
    </row>
    <row r="4" spans="1:8" s="252" customFormat="1" ht="16.2">
      <c r="A4" s="249" t="s">
        <v>2288</v>
      </c>
      <c r="B4" s="250"/>
      <c r="C4" s="250"/>
      <c r="D4" s="250"/>
      <c r="E4" s="250"/>
      <c r="F4" s="250"/>
      <c r="G4" s="251"/>
    </row>
    <row r="5" spans="1:8" s="258" customFormat="1" ht="13.5" customHeight="1">
      <c r="A5" s="299" t="s">
        <v>2289</v>
      </c>
      <c r="B5" s="254" t="s">
        <v>2290</v>
      </c>
      <c r="C5" s="255">
        <f ca="1">C6+C7+C8</f>
        <v>5131350</v>
      </c>
      <c r="D5" s="255" t="s">
        <v>2291</v>
      </c>
      <c r="E5" s="256" t="s">
        <v>2292</v>
      </c>
      <c r="F5" s="256" t="s">
        <v>2293</v>
      </c>
      <c r="G5" s="257"/>
    </row>
    <row r="6" spans="1:8" s="258" customFormat="1" ht="13.5" customHeight="1">
      <c r="A6" s="948" t="s">
        <v>2294</v>
      </c>
      <c r="B6" s="259" t="s">
        <v>2295</v>
      </c>
      <c r="C6" s="260"/>
      <c r="D6" s="261"/>
      <c r="E6" s="262"/>
      <c r="F6" s="262"/>
      <c r="G6" s="263"/>
    </row>
    <row r="7" spans="1:8" s="258" customFormat="1" ht="13.5" customHeight="1">
      <c r="A7" s="948" t="s">
        <v>2296</v>
      </c>
      <c r="B7" s="259" t="s">
        <v>2297</v>
      </c>
      <c r="C7" s="264">
        <f>ROUND(C6*F7,0)</f>
        <v>0</v>
      </c>
      <c r="D7" s="264"/>
      <c r="E7" s="262"/>
      <c r="F7" s="265">
        <f>IF(项目基本情况!B8="出让",0,'数据-取费表'!B48+'数据-取费表'!B49)</f>
        <v>4.0500000000000001E-2</v>
      </c>
      <c r="G7" s="263"/>
    </row>
    <row r="8" spans="1:8" s="267" customFormat="1">
      <c r="A8" s="948" t="s">
        <v>2298</v>
      </c>
      <c r="B8" s="259" t="s">
        <v>2299</v>
      </c>
      <c r="C8" s="264">
        <f ca="1">IF(G8="已包含在土地购买价格中",0,C9+C10)</f>
        <v>5131350</v>
      </c>
      <c r="D8" s="266"/>
      <c r="E8" s="264"/>
      <c r="F8" s="265"/>
      <c r="G8" s="2550"/>
    </row>
    <row r="9" spans="1:8" s="258" customFormat="1" ht="13.5" customHeight="1">
      <c r="A9" s="949" t="s">
        <v>799</v>
      </c>
      <c r="B9" s="268" t="s">
        <v>2300</v>
      </c>
      <c r="C9" s="269">
        <f ca="1">ROUND(D9*E9,0)</f>
        <v>2765863</v>
      </c>
      <c r="D9" s="1031">
        <f ca="1">IF(B1="",'数据-汇总表'!E5,IF(INDIRECT("'数据-取费表'!c"&amp;$G$1)="住宅",INDIRECT("'数据-取费表'!k"&amp;$G$1),0))</f>
        <v>37528.670000000006</v>
      </c>
      <c r="E9" s="269">
        <f>'数据-取费表'!B27</f>
        <v>73.7</v>
      </c>
      <c r="F9" s="265"/>
      <c r="G9" s="270"/>
    </row>
    <row r="10" spans="1:8" s="258" customFormat="1" ht="13.5" customHeight="1">
      <c r="A10" s="949" t="s">
        <v>800</v>
      </c>
      <c r="B10" s="268" t="s">
        <v>2302</v>
      </c>
      <c r="C10" s="269">
        <f ca="1">ROUND(D10*E10,0)</f>
        <v>2365487</v>
      </c>
      <c r="D10" s="1031">
        <f ca="1">IF(B1="",'数据-汇总表'!E6,IF(INDIRECT("'数据-取费表'!c"&amp;$G$1)="住宅",INDIRECT("'数据-取费表'!s"&amp;$G$1),INDIRECT("'数据-取费表'!k"&amp;$G$1)+INDIRECT("'数据-取费表'!s"&amp;$G$1)))</f>
        <v>38153.01</v>
      </c>
      <c r="E10" s="269">
        <f>'数据-取费表'!B28</f>
        <v>62</v>
      </c>
      <c r="F10" s="265"/>
      <c r="G10" s="270"/>
    </row>
    <row r="11" spans="1:8" s="258" customFormat="1" ht="13.5" hidden="1" customHeight="1">
      <c r="A11" s="271" t="s">
        <v>7</v>
      </c>
      <c r="B11" s="259" t="s">
        <v>2303</v>
      </c>
      <c r="C11" s="255"/>
      <c r="D11" s="1033"/>
      <c r="E11" s="262"/>
      <c r="F11" s="262"/>
      <c r="G11" s="263"/>
    </row>
    <row r="12" spans="1:8" s="258" customFormat="1" ht="13.5" hidden="1" customHeight="1">
      <c r="A12" s="271" t="s">
        <v>8</v>
      </c>
      <c r="B12" s="259" t="s">
        <v>2386</v>
      </c>
      <c r="C12" s="255">
        <v>0</v>
      </c>
      <c r="D12" s="1033"/>
      <c r="E12" s="272"/>
      <c r="F12" s="265">
        <v>3.0499999999999999E-2</v>
      </c>
      <c r="G12" s="263"/>
    </row>
    <row r="13" spans="1:8" s="258" customFormat="1" ht="13.5" hidden="1" customHeight="1">
      <c r="A13" s="271" t="s">
        <v>9</v>
      </c>
      <c r="B13" s="259" t="s">
        <v>2387</v>
      </c>
      <c r="C13" s="255"/>
      <c r="D13" s="1033"/>
      <c r="E13" s="262"/>
      <c r="F13" s="262"/>
      <c r="G13" s="263"/>
    </row>
    <row r="14" spans="1:8" s="258" customFormat="1" ht="13.5" hidden="1" customHeight="1">
      <c r="A14" s="271" t="s">
        <v>10</v>
      </c>
      <c r="B14" s="259" t="s">
        <v>2299</v>
      </c>
      <c r="C14" s="255"/>
      <c r="D14" s="1033"/>
      <c r="E14" s="262"/>
      <c r="F14" s="262"/>
      <c r="G14" s="263" t="s">
        <v>2388</v>
      </c>
    </row>
    <row r="15" spans="1:8" s="258" customFormat="1" ht="13.5" hidden="1" customHeight="1">
      <c r="A15" s="271" t="s">
        <v>11</v>
      </c>
      <c r="B15" s="259" t="s">
        <v>2389</v>
      </c>
      <c r="C15" s="264"/>
      <c r="D15" s="1033"/>
      <c r="E15" s="262"/>
      <c r="F15" s="262"/>
      <c r="G15" s="263" t="s">
        <v>2390</v>
      </c>
    </row>
    <row r="16" spans="1:8" s="258" customFormat="1" ht="13.5" hidden="1" customHeight="1">
      <c r="A16" s="271" t="s">
        <v>12</v>
      </c>
      <c r="B16" s="259" t="s">
        <v>2299</v>
      </c>
      <c r="C16" s="264"/>
      <c r="D16" s="1033"/>
      <c r="E16" s="262"/>
      <c r="F16" s="262"/>
      <c r="G16" s="263"/>
    </row>
    <row r="17" spans="1:7" s="258" customFormat="1" ht="13.5" hidden="1" customHeight="1">
      <c r="A17" s="271" t="s">
        <v>13</v>
      </c>
      <c r="B17" s="259" t="s">
        <v>2391</v>
      </c>
      <c r="C17" s="273"/>
      <c r="D17" s="1034"/>
      <c r="E17" s="273"/>
      <c r="F17" s="273"/>
      <c r="G17" s="263" t="s">
        <v>2390</v>
      </c>
    </row>
    <row r="18" spans="1:7" s="258" customFormat="1" ht="13.5" hidden="1" customHeight="1">
      <c r="A18" s="271" t="s">
        <v>14</v>
      </c>
      <c r="B18" s="259" t="s">
        <v>2392</v>
      </c>
      <c r="C18" s="264">
        <v>0</v>
      </c>
      <c r="D18" s="1033"/>
      <c r="E18" s="262"/>
      <c r="F18" s="265">
        <v>3.0499999999999999E-2</v>
      </c>
      <c r="G18" s="263" t="s">
        <v>2393</v>
      </c>
    </row>
    <row r="19" spans="1:7" s="267" customFormat="1" ht="13.5" customHeight="1">
      <c r="A19" s="299" t="s">
        <v>2394</v>
      </c>
      <c r="B19" s="254" t="s">
        <v>2395</v>
      </c>
      <c r="C19" s="255">
        <f ca="1">IF(G19="已包含在土地取得成本中","0",ROUND(D19*E19,0))</f>
        <v>0</v>
      </c>
      <c r="D19" s="1035">
        <f ca="1">D9+D10</f>
        <v>75681.680000000008</v>
      </c>
      <c r="E19" s="255">
        <f>'数据-取费表'!B31</f>
        <v>0</v>
      </c>
      <c r="F19" s="275"/>
      <c r="G19" s="2550"/>
    </row>
    <row r="20" spans="1:7" s="258" customFormat="1" ht="13.5" customHeight="1">
      <c r="A20" s="299" t="s">
        <v>2396</v>
      </c>
      <c r="B20" s="254" t="s">
        <v>2397</v>
      </c>
      <c r="C20" s="276">
        <f ca="1">ROUND((C5+C19)*F20,0)</f>
        <v>102627</v>
      </c>
      <c r="D20" s="276"/>
      <c r="E20" s="276"/>
      <c r="F20" s="277">
        <f>'数据-取费表'!B37</f>
        <v>0.02</v>
      </c>
      <c r="G20" s="278" t="s">
        <v>2398</v>
      </c>
    </row>
    <row r="21" spans="1:7" s="258" customFormat="1" ht="13.5" customHeight="1">
      <c r="A21" s="299" t="s">
        <v>2399</v>
      </c>
      <c r="B21" s="254" t="s">
        <v>2400</v>
      </c>
      <c r="C21" s="279">
        <f>F21</f>
        <v>0.02</v>
      </c>
      <c r="D21" s="280" t="s">
        <v>2401</v>
      </c>
      <c r="E21" s="276"/>
      <c r="F21" s="277">
        <f>'数据-取费表'!B38</f>
        <v>0.02</v>
      </c>
      <c r="G21" s="278" t="s">
        <v>2402</v>
      </c>
    </row>
    <row r="22" spans="1:7" s="258" customFormat="1" ht="13.5" customHeight="1">
      <c r="A22" s="299" t="s">
        <v>2403</v>
      </c>
      <c r="B22" s="254" t="s">
        <v>2404</v>
      </c>
      <c r="C22" s="1379">
        <f ca="1">ROUND(SUM(C23:C25),0)</f>
        <v>503931</v>
      </c>
      <c r="D22" s="279">
        <f ca="1">C26</f>
        <v>1E-3</v>
      </c>
      <c r="E22" s="280" t="s">
        <v>2401</v>
      </c>
      <c r="F22" s="281">
        <f ca="1">'数据-取费表'!B40</f>
        <v>4.7500000000000001E-2</v>
      </c>
      <c r="G22" s="278" t="str">
        <f>IF('数据-取费表'!B22&lt;=1,"单利计息","复利计息")</f>
        <v>复利计息</v>
      </c>
    </row>
    <row r="23" spans="1:7" s="258" customFormat="1" ht="13.5" customHeight="1">
      <c r="A23" s="950" t="s">
        <v>2294</v>
      </c>
      <c r="B23" s="259" t="s">
        <v>2405</v>
      </c>
      <c r="C23" s="1380">
        <f ca="1">ROUND(IF('数据-取费表'!B22&lt;=1,C5*F22*'数据-取费表'!B22,C5*(POWER((1+F22),'数据-取费表'!B22)-1)),0)</f>
        <v>499056</v>
      </c>
      <c r="D23" s="282"/>
      <c r="E23" s="282"/>
      <c r="F23" s="283"/>
      <c r="G23" s="284" t="s">
        <v>2406</v>
      </c>
    </row>
    <row r="24" spans="1:7" s="258" customFormat="1" ht="13.5" customHeight="1">
      <c r="A24" s="950" t="s">
        <v>2296</v>
      </c>
      <c r="B24" s="259" t="s">
        <v>2407</v>
      </c>
      <c r="C24" s="1380">
        <f ca="1">ROUND(IF('数据-取费表'!B22&lt;=1,C19*F22*('数据-取费表'!B19/2+'数据-取费表'!B20),C19*(POWER((1+F22),('数据-取费表'!B19/2+'数据-取费表'!B20))-1)),0)</f>
        <v>0</v>
      </c>
      <c r="D24" s="282"/>
      <c r="E24" s="282"/>
      <c r="F24" s="283"/>
      <c r="G24" s="284" t="s">
        <v>2408</v>
      </c>
    </row>
    <row r="25" spans="1:7" s="258" customFormat="1" ht="24">
      <c r="A25" s="950" t="s">
        <v>2298</v>
      </c>
      <c r="B25" s="259" t="s">
        <v>2409</v>
      </c>
      <c r="C25" s="1380">
        <f ca="1">ROUND(IF('数据-取费表'!B22&lt;=1,C20*F22*'数据-取费表'!B22/2,C20*(POWER((1+F22),'数据-取费表'!B22/2)-1)),0)</f>
        <v>4875</v>
      </c>
      <c r="D25" s="282"/>
      <c r="E25" s="285"/>
      <c r="F25" s="283"/>
      <c r="G25" s="286" t="s">
        <v>2410</v>
      </c>
    </row>
    <row r="26" spans="1:7" s="258" customFormat="1">
      <c r="A26" s="950" t="s">
        <v>794</v>
      </c>
      <c r="B26" s="259" t="s">
        <v>2333</v>
      </c>
      <c r="C26" s="282">
        <f ca="1">ROUND(IF('数据-取费表'!B22&lt;=1,F21*F22*'数据-取费表'!B22/2,F21*(POWER((1+F22),'数据-取费表'!B22/2)-1)),4)</f>
        <v>1E-3</v>
      </c>
      <c r="D26" s="282"/>
      <c r="E26" s="285"/>
      <c r="F26" s="283"/>
      <c r="G26" s="287"/>
    </row>
    <row r="27" spans="1:7" s="258" customFormat="1" ht="26.4">
      <c r="A27" s="299" t="s">
        <v>2334</v>
      </c>
      <c r="B27" s="288" t="s">
        <v>2335</v>
      </c>
      <c r="C27" s="289">
        <f ca="1">C28</f>
        <v>575737</v>
      </c>
      <c r="D27" s="279">
        <f ca="1">C29</f>
        <v>2.2000000000000001E-3</v>
      </c>
      <c r="E27" s="280" t="s">
        <v>2336</v>
      </c>
      <c r="F27" s="290">
        <f ca="1">IF(B1="",'数据-取费表'!Q16,INDIRECT("'数据-取费表'!q"&amp;$G$1))</f>
        <v>0.11</v>
      </c>
      <c r="G27" s="291" t="s">
        <v>2337</v>
      </c>
    </row>
    <row r="28" spans="1:7" s="258" customFormat="1" ht="13.5" customHeight="1">
      <c r="A28" s="950" t="s">
        <v>790</v>
      </c>
      <c r="B28" s="292" t="s">
        <v>2338</v>
      </c>
      <c r="C28" s="293">
        <f ca="1">ROUND((C5+C19+C20)*F27,0)</f>
        <v>575737</v>
      </c>
      <c r="D28" s="279"/>
      <c r="E28" s="280"/>
      <c r="F28" s="290"/>
      <c r="G28" s="291"/>
    </row>
    <row r="29" spans="1:7" s="258" customFormat="1" ht="13.5" customHeight="1">
      <c r="A29" s="950" t="s">
        <v>791</v>
      </c>
      <c r="B29" s="292" t="s">
        <v>2339</v>
      </c>
      <c r="C29" s="282">
        <f ca="1">ROUND(C21*F27,4)</f>
        <v>2.2000000000000001E-3</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6829992</v>
      </c>
      <c r="D31" s="274"/>
      <c r="E31" s="255"/>
      <c r="F31" s="294"/>
      <c r="G31" s="278" t="s">
        <v>2344</v>
      </c>
    </row>
    <row r="32" spans="1:7" s="252" customFormat="1" ht="16.2">
      <c r="A32" s="296" t="s">
        <v>2411</v>
      </c>
      <c r="B32" s="297"/>
      <c r="C32" s="297"/>
      <c r="D32" s="297"/>
      <c r="E32" s="297"/>
      <c r="F32" s="297"/>
      <c r="G32" s="298"/>
    </row>
    <row r="33" spans="1:7" s="258" customFormat="1" ht="13.5" customHeight="1">
      <c r="A33" s="299" t="s">
        <v>781</v>
      </c>
      <c r="B33" s="254" t="s">
        <v>2412</v>
      </c>
      <c r="C33" s="300">
        <f ca="1">SUM(C34:C38)</f>
        <v>172529257</v>
      </c>
      <c r="D33" s="276"/>
      <c r="E33" s="256"/>
      <c r="F33" s="285"/>
      <c r="G33" s="278"/>
    </row>
    <row r="34" spans="1:7" s="302" customFormat="1" ht="13.5" customHeight="1">
      <c r="A34" s="950" t="s">
        <v>790</v>
      </c>
      <c r="B34" s="259" t="s">
        <v>2347</v>
      </c>
      <c r="C34" s="264">
        <f ca="1">ROUND(IF(B1="",SUMPRODUCT('数据-取费表'!K6:K14,'数据-取费表'!L6:L14),INDIRECT("'数据-取费表'!l"&amp;$G$1)*INDIRECT("'数据-取费表'!k"&amp;$G$1)+'数据-取费表'!L14*INDIRECT("'数据-取费表'!S"&amp;$G$1)),0)</f>
        <v>151363360</v>
      </c>
      <c r="D34" s="261"/>
      <c r="E34" s="264"/>
      <c r="F34" s="301"/>
      <c r="G34" s="263"/>
    </row>
    <row r="35" spans="1:7" ht="13.5" customHeight="1">
      <c r="A35" s="950" t="s">
        <v>795</v>
      </c>
      <c r="B35" s="259" t="s">
        <v>2349</v>
      </c>
      <c r="C35" s="264">
        <f ca="1">ROUND(C34*F35,0)</f>
        <v>4540901</v>
      </c>
      <c r="D35" s="264"/>
      <c r="E35" s="264"/>
      <c r="F35" s="303">
        <f>'数据-取费表'!B33</f>
        <v>0.03</v>
      </c>
      <c r="G35" s="263" t="s">
        <v>2350</v>
      </c>
    </row>
    <row r="36" spans="1:7" ht="24">
      <c r="A36" s="950" t="s">
        <v>796</v>
      </c>
      <c r="B36" s="259" t="s">
        <v>2351</v>
      </c>
      <c r="C36" s="264">
        <f ca="1">ROUND(IF(B1="",SUM('数据-取费表'!AP6:AP13)*F36,IF(INDIRECT("'数据-取费表'!c"&amp;$G$1)="住宅",INDIRECT("'数据-取费表'!k"&amp;$G$1)*INDIRECT("'数据-取费表'!l"&amp;$G$1)*F36,0)),0)</f>
        <v>3002294</v>
      </c>
      <c r="D36" s="264"/>
      <c r="E36" s="264"/>
      <c r="F36" s="303">
        <f>'数据-取费表'!B34</f>
        <v>0.04</v>
      </c>
      <c r="G36" s="304" t="s">
        <v>2352</v>
      </c>
    </row>
    <row r="37" spans="1:7" s="302" customFormat="1" ht="13.5" customHeight="1">
      <c r="A37" s="950" t="s">
        <v>797</v>
      </c>
      <c r="B37" s="259" t="s">
        <v>2353</v>
      </c>
      <c r="C37" s="293">
        <f ca="1">ROUND(E37*D37,0)</f>
        <v>11352252</v>
      </c>
      <c r="D37" s="261">
        <f ca="1">D19</f>
        <v>75681.680000000008</v>
      </c>
      <c r="E37" s="293">
        <f>'数据-取费表'!B35</f>
        <v>150</v>
      </c>
      <c r="F37" s="303"/>
      <c r="G37" s="305"/>
    </row>
    <row r="38" spans="1:7" ht="13.5" customHeight="1">
      <c r="A38" s="950" t="s">
        <v>798</v>
      </c>
      <c r="B38" s="259" t="s">
        <v>2355</v>
      </c>
      <c r="C38" s="264">
        <f ca="1">ROUND(C34*F38,0)</f>
        <v>2270450</v>
      </c>
      <c r="D38" s="264"/>
      <c r="E38" s="264"/>
      <c r="F38" s="303">
        <f>'数据-取费表'!B36</f>
        <v>1.4999999999999999E-2</v>
      </c>
      <c r="G38" s="263" t="s">
        <v>2350</v>
      </c>
    </row>
    <row r="39" spans="1:7" s="258" customFormat="1" ht="13.5" customHeight="1">
      <c r="A39" s="299" t="s">
        <v>2356</v>
      </c>
      <c r="B39" s="254" t="s">
        <v>2357</v>
      </c>
      <c r="C39" s="276">
        <f ca="1">ROUND(C33*F20,0)</f>
        <v>3450585</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8359043</v>
      </c>
      <c r="D41" s="279">
        <f ca="1">C44</f>
        <v>1E-3</v>
      </c>
      <c r="E41" s="280" t="s">
        <v>2361</v>
      </c>
      <c r="F41" s="281"/>
      <c r="G41" s="278" t="str">
        <f>IF('数据-取费表'!B22&lt;=1,"单利计息","复利计息")</f>
        <v>复利计息</v>
      </c>
    </row>
    <row r="42" spans="1:7" ht="13.5" customHeight="1">
      <c r="A42" s="950" t="s">
        <v>790</v>
      </c>
      <c r="B42" s="259" t="s">
        <v>2365</v>
      </c>
      <c r="C42" s="282">
        <f ca="1">ROUND(IF('数据-取费表'!B22&lt;=1,C33*F22*'数据-取费表'!B20/2,C33*(POWER((1+F22),'数据-取费表'!B20/2)-1)),0)</f>
        <v>8195140</v>
      </c>
      <c r="D42" s="282"/>
      <c r="E42" s="282"/>
      <c r="F42" s="283"/>
      <c r="G42" s="3658" t="s">
        <v>2413</v>
      </c>
    </row>
    <row r="43" spans="1:7" ht="13.5" customHeight="1">
      <c r="A43" s="950" t="s">
        <v>791</v>
      </c>
      <c r="B43" s="259" t="s">
        <v>2367</v>
      </c>
      <c r="C43" s="282">
        <f ca="1">ROUND(IF('数据-取费表'!B22&lt;=1,C39*F22*'数据-取费表'!B20/2,C39*(POWER((1+F22),'数据-取费表'!B20/2)-1)),0)</f>
        <v>163903</v>
      </c>
      <c r="D43" s="282"/>
      <c r="E43" s="282"/>
      <c r="F43" s="283"/>
      <c r="G43" s="3659"/>
    </row>
    <row r="44" spans="1:7" ht="13.5" customHeight="1">
      <c r="A44" s="950" t="s">
        <v>792</v>
      </c>
      <c r="B44" s="259" t="s">
        <v>2368</v>
      </c>
      <c r="C44" s="282">
        <f ca="1">ROUND(IF('数据-取费表'!B22&lt;=1,C40*F22*'数据-取费表'!B20/2,C40*(POWER((1+F22),'数据-取费表'!B20/2)-1)),4)</f>
        <v>1E-3</v>
      </c>
      <c r="D44" s="282"/>
      <c r="E44" s="282"/>
      <c r="F44" s="283"/>
      <c r="G44" s="3660"/>
    </row>
    <row r="45" spans="1:7" s="258" customFormat="1" ht="13.5" customHeight="1">
      <c r="A45" s="299" t="s">
        <v>2369</v>
      </c>
      <c r="B45" s="288" t="s">
        <v>2335</v>
      </c>
      <c r="C45" s="289">
        <f ca="1">C46</f>
        <v>19357783</v>
      </c>
      <c r="D45" s="279">
        <f ca="1">C47</f>
        <v>2.2000000000000001E-3</v>
      </c>
      <c r="E45" s="280" t="s">
        <v>2361</v>
      </c>
      <c r="F45" s="290"/>
      <c r="G45" s="291" t="s">
        <v>2370</v>
      </c>
    </row>
    <row r="46" spans="1:7" s="258" customFormat="1" ht="13.5" customHeight="1">
      <c r="A46" s="950" t="s">
        <v>790</v>
      </c>
      <c r="B46" s="292" t="s">
        <v>2371</v>
      </c>
      <c r="C46" s="293">
        <f ca="1">ROUND((C33+C39)*F27,0)</f>
        <v>19357783</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306">
        <f>ROUND(F30/(1+'数据-取费表'!C42),4)</f>
        <v>5.2400000000000002E-2</v>
      </c>
      <c r="D48" s="280" t="s">
        <v>2361</v>
      </c>
      <c r="E48" s="276"/>
      <c r="F48" s="281"/>
      <c r="G48" s="278" t="s">
        <v>2374</v>
      </c>
    </row>
    <row r="49" spans="1:7" ht="16.5" customHeight="1">
      <c r="A49" s="299" t="s">
        <v>2340</v>
      </c>
      <c r="B49" s="254" t="s">
        <v>2414</v>
      </c>
      <c r="C49" s="276">
        <f ca="1">ROUND((C33+C39+C41+C45)/(1-C40-D41-D45-C48),0)</f>
        <v>220355547</v>
      </c>
      <c r="D49" s="276"/>
      <c r="E49" s="276"/>
      <c r="F49" s="308"/>
      <c r="G49" s="278" t="s">
        <v>2376</v>
      </c>
    </row>
    <row r="50" spans="1:7" s="302" customFormat="1">
      <c r="A50" s="299" t="s">
        <v>2377</v>
      </c>
      <c r="B50" s="254" t="s">
        <v>2378</v>
      </c>
      <c r="C50" s="276"/>
      <c r="D50" s="276"/>
      <c r="E50" s="276"/>
      <c r="F50" s="308">
        <f>IF('数据-取费表'!B24=0,'数据-取费表'!N16,1)</f>
        <v>1</v>
      </c>
      <c r="G50" s="291"/>
    </row>
    <row r="51" spans="1:7" ht="16.5" customHeight="1">
      <c r="A51" s="299" t="s">
        <v>2380</v>
      </c>
      <c r="B51" s="254" t="s">
        <v>2415</v>
      </c>
      <c r="C51" s="276">
        <f ca="1">ROUND(C49*F50,0)</f>
        <v>220355547</v>
      </c>
      <c r="D51" s="276"/>
      <c r="E51" s="276"/>
      <c r="F51" s="308"/>
      <c r="G51" s="278" t="s">
        <v>2382</v>
      </c>
    </row>
    <row r="52" spans="1:7" s="252" customFormat="1" ht="16.8" thickBot="1">
      <c r="A52" s="309" t="s">
        <v>2383</v>
      </c>
      <c r="B52" s="310"/>
      <c r="C52" s="311">
        <f ca="1">C31+C51</f>
        <v>227185539</v>
      </c>
      <c r="D52" s="310"/>
      <c r="E52" s="310"/>
      <c r="F52" s="310"/>
      <c r="G52" s="312"/>
    </row>
    <row r="55" spans="1:7" ht="15">
      <c r="B55" s="314" t="s">
        <v>2384</v>
      </c>
      <c r="C55" s="315"/>
    </row>
    <row r="56" spans="1:7">
      <c r="B56" s="317" t="s">
        <v>1504</v>
      </c>
      <c r="C56" s="319">
        <f ca="1">1-C57</f>
        <v>3.0000000000000027E-2</v>
      </c>
    </row>
    <row r="57" spans="1:7">
      <c r="B57" s="317" t="s">
        <v>1505</v>
      </c>
      <c r="C57" s="318">
        <f ca="1">ROUND(C51/C52,3)</f>
        <v>0.97</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817</v>
      </c>
      <c r="B36" s="1013" t="s">
        <v>818</v>
      </c>
    </row>
    <row r="37" spans="1:9" ht="27.75" customHeight="1">
      <c r="A37" s="1013"/>
      <c r="B37" s="3472" t="str">
        <f>项目基本情况!B1</f>
        <v>出让国有建设用地使用权及在建建筑物预评估</v>
      </c>
      <c r="C37" s="3472"/>
      <c r="D37" s="3472"/>
      <c r="E37" s="3472"/>
      <c r="F37" s="3472"/>
      <c r="G37" s="3472"/>
      <c r="H37" s="3472"/>
      <c r="I37" s="3472"/>
    </row>
    <row r="38" spans="1:9">
      <c r="A38" s="1015"/>
      <c r="B38" s="1015"/>
    </row>
    <row r="39" spans="1:9">
      <c r="A39" s="1013" t="s">
        <v>817</v>
      </c>
      <c r="B39" s="1013" t="s">
        <v>819</v>
      </c>
    </row>
    <row r="40" spans="1:9">
      <c r="A40" s="1013"/>
      <c r="B40" s="1940">
        <f>项目基本情况!B5</f>
        <v>0</v>
      </c>
    </row>
    <row r="41" spans="1:9">
      <c r="A41" s="1013"/>
      <c r="B41" s="1013"/>
    </row>
    <row r="42" spans="1:9">
      <c r="A42" s="1013" t="s">
        <v>817</v>
      </c>
      <c r="B42" s="1013" t="s">
        <v>820</v>
      </c>
    </row>
    <row r="43" spans="1:9">
      <c r="A43" s="1013"/>
      <c r="B43" s="1940" t="s">
        <v>821</v>
      </c>
    </row>
    <row r="44" spans="1:9">
      <c r="A44" s="1013"/>
      <c r="B44" s="1013"/>
    </row>
    <row r="45" spans="1:9">
      <c r="A45" s="1013" t="s">
        <v>817</v>
      </c>
      <c r="B45" s="1013" t="s">
        <v>822</v>
      </c>
    </row>
    <row r="46" spans="1:9" s="1013" customFormat="1">
      <c r="B46" s="1940" t="str">
        <f ca="1">项目基本情况!K4</f>
        <v>郑燚（注册号：1120070131)、（注册号：0)</v>
      </c>
    </row>
    <row r="47" spans="1:9">
      <c r="A47" s="1013"/>
      <c r="B47" s="1013" t="str">
        <f>项目基本情况!K5</f>
        <v/>
      </c>
    </row>
    <row r="48" spans="1:9">
      <c r="A48" s="1013" t="s">
        <v>817</v>
      </c>
      <c r="B48" s="1013"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opLeftCell="A31" zoomScale="95" zoomScaleNormal="95" zoomScaleSheetLayoutView="80" workbookViewId="0">
      <selection activeCell="G49" sqref="G49"/>
    </sheetView>
  </sheetViews>
  <sheetFormatPr defaultColWidth="9" defaultRowHeight="13.8"/>
  <cols>
    <col min="1" max="2" width="15.6640625" style="2993" customWidth="1"/>
    <col min="3" max="3" width="15.21875" style="2993" customWidth="1"/>
    <col min="4" max="4" width="12.21875" style="2993" customWidth="1"/>
    <col min="5" max="5" width="16.109375" style="2993" customWidth="1"/>
    <col min="6" max="6" width="12.21875" style="2993" customWidth="1"/>
    <col min="7" max="7" width="15.6640625" style="2993" customWidth="1"/>
    <col min="8" max="8" width="12.21875" style="2993" customWidth="1"/>
    <col min="9" max="9" width="15.6640625" style="2993" customWidth="1"/>
    <col min="10" max="10" width="12.21875" style="2993" customWidth="1"/>
    <col min="11" max="11" width="12.21875" style="3330" customWidth="1"/>
    <col min="12" max="12" width="12.21875" style="3331" customWidth="1"/>
    <col min="13" max="15" width="12.21875" style="2993" customWidth="1"/>
    <col min="16" max="16" width="4.77734375" style="2993" customWidth="1"/>
    <col min="17" max="17" width="19.44140625" style="2993" customWidth="1"/>
    <col min="18" max="22" width="6.109375" style="2993" customWidth="1"/>
    <col min="23" max="23" width="5.77734375" style="2993" customWidth="1"/>
    <col min="24" max="24" width="4.21875" style="2993" customWidth="1"/>
    <col min="25" max="25" width="3.44140625" style="2993" customWidth="1"/>
    <col min="26" max="26" width="19.77734375" style="2993" customWidth="1"/>
    <col min="27" max="28" width="9.33203125" style="2993" customWidth="1"/>
    <col min="29" max="16384" width="9" style="2993"/>
  </cols>
  <sheetData>
    <row r="1" spans="1:30" s="2970" customFormat="1" ht="28.5" customHeight="1">
      <c r="A1" s="2958" t="s">
        <v>3050</v>
      </c>
      <c r="B1" s="2959"/>
      <c r="C1" s="2960" t="s">
        <v>3051</v>
      </c>
      <c r="D1" s="2961" t="s">
        <v>3052</v>
      </c>
      <c r="E1" s="2962"/>
      <c r="F1" s="2963"/>
      <c r="G1" s="2962"/>
      <c r="H1" s="2962"/>
      <c r="I1" s="2962"/>
      <c r="J1" s="2962"/>
      <c r="K1" s="2964"/>
      <c r="L1" s="2965"/>
      <c r="M1" s="2966"/>
      <c r="N1" s="2966"/>
      <c r="O1" s="2966"/>
      <c r="P1" s="2967"/>
      <c r="Q1" s="2967"/>
      <c r="R1" s="2967"/>
      <c r="S1" s="2967"/>
      <c r="T1" s="2967"/>
      <c r="U1" s="2967"/>
      <c r="V1" s="2967"/>
      <c r="W1" s="2967"/>
      <c r="X1" s="2967"/>
      <c r="Y1" s="2967"/>
      <c r="Z1" s="2967"/>
      <c r="AA1" s="2967"/>
      <c r="AB1" s="2967"/>
      <c r="AC1" s="2968"/>
      <c r="AD1" s="2969"/>
    </row>
    <row r="2" spans="1:30" s="2970" customFormat="1" ht="28.5" customHeight="1">
      <c r="A2" s="245" t="s">
        <v>3053</v>
      </c>
      <c r="B2" s="2971">
        <f>F68</f>
        <v>12830</v>
      </c>
      <c r="C2" s="2972"/>
      <c r="D2" s="2972"/>
      <c r="E2" s="2973"/>
      <c r="F2" s="2974"/>
      <c r="G2" s="2973"/>
      <c r="H2" s="2973"/>
      <c r="I2" s="2973"/>
      <c r="J2" s="2973"/>
      <c r="K2" s="2975"/>
      <c r="L2" s="2976"/>
      <c r="M2" s="2977"/>
      <c r="N2" s="2977"/>
      <c r="O2" s="2977"/>
      <c r="P2" s="2967"/>
      <c r="Q2" s="2967"/>
      <c r="R2" s="2967"/>
      <c r="S2" s="2967"/>
      <c r="T2" s="2967"/>
      <c r="U2" s="2967"/>
      <c r="V2" s="2967"/>
      <c r="W2" s="2967"/>
      <c r="X2" s="2967"/>
      <c r="Y2" s="2967"/>
      <c r="Z2" s="2967"/>
      <c r="AA2" s="2967"/>
      <c r="AB2" s="2967"/>
      <c r="AC2" s="2968"/>
      <c r="AD2" s="2969"/>
    </row>
    <row r="3" spans="1:30" s="2970" customFormat="1" ht="28.5" customHeight="1">
      <c r="A3" s="2978" t="s">
        <v>3054</v>
      </c>
      <c r="B3" s="2979">
        <f>ROUND(B2*10000/'[1]数据-汇总表'!E3,0)</f>
        <v>1442</v>
      </c>
      <c r="C3" s="2980"/>
      <c r="D3" s="2981"/>
      <c r="E3" s="2980"/>
      <c r="F3" s="2980"/>
      <c r="G3" s="2973"/>
      <c r="H3" s="2973"/>
      <c r="I3" s="2973"/>
      <c r="J3" s="2973"/>
      <c r="K3" s="2975"/>
      <c r="L3" s="2976"/>
      <c r="M3" s="2977"/>
      <c r="N3" s="2977"/>
      <c r="O3" s="2977"/>
      <c r="P3" s="2967"/>
      <c r="Q3" s="2967"/>
      <c r="R3" s="2967"/>
      <c r="S3" s="2967"/>
      <c r="T3" s="2967"/>
      <c r="U3" s="2967"/>
      <c r="V3" s="2967"/>
      <c r="W3" s="2967"/>
      <c r="X3" s="2967"/>
      <c r="Y3" s="2967"/>
      <c r="Z3" s="2967"/>
      <c r="AA3" s="2967"/>
      <c r="AB3" s="2982"/>
      <c r="AC3" s="2963"/>
    </row>
    <row r="4" spans="1:30" s="2970" customFormat="1" ht="28.5" customHeight="1">
      <c r="A4" s="2983" t="s">
        <v>3055</v>
      </c>
      <c r="B4" s="2984">
        <f>IF(B48="单位面积地价",C50,ROUND(B2*10000/'[1]数据-汇总表'!D3,0))</f>
        <v>4049</v>
      </c>
      <c r="C4" s="2980"/>
      <c r="D4" s="2981"/>
      <c r="E4" s="2980"/>
      <c r="F4" s="2980"/>
      <c r="G4" s="2973"/>
      <c r="H4" s="2973"/>
      <c r="I4" s="2973"/>
      <c r="J4" s="2973"/>
      <c r="K4" s="2975"/>
      <c r="L4" s="2976"/>
      <c r="M4" s="2977"/>
      <c r="N4" s="2977"/>
      <c r="O4" s="2977"/>
      <c r="P4" s="2967"/>
      <c r="Q4" s="2967"/>
      <c r="R4" s="2967"/>
      <c r="S4" s="2967"/>
      <c r="T4" s="2967"/>
      <c r="U4" s="2967"/>
      <c r="V4" s="2967"/>
      <c r="W4" s="2967"/>
      <c r="X4" s="2967"/>
      <c r="Y4" s="2967"/>
      <c r="Z4" s="2967"/>
      <c r="AA4" s="2967"/>
      <c r="AB4" s="2967"/>
      <c r="AC4" s="2963"/>
    </row>
    <row r="5" spans="1:30" s="2970" customFormat="1" ht="28.5" customHeight="1" thickBot="1">
      <c r="A5" s="243"/>
      <c r="B5" s="2985">
        <f>ROUND(B2/('[1]数据-汇总表'!D3/666.67),0)</f>
        <v>270</v>
      </c>
      <c r="C5" s="2986" t="s">
        <v>3056</v>
      </c>
      <c r="D5" s="2980"/>
      <c r="E5" s="2980"/>
      <c r="F5" s="2980"/>
      <c r="G5" s="2973"/>
      <c r="H5" s="2973"/>
      <c r="I5" s="2973"/>
      <c r="J5" s="2973"/>
      <c r="K5" s="2975"/>
      <c r="L5" s="2976"/>
      <c r="M5" s="2977"/>
      <c r="N5" s="2977"/>
      <c r="O5" s="2977"/>
      <c r="P5" s="2967"/>
      <c r="Q5" s="2967"/>
      <c r="R5" s="2967"/>
      <c r="S5" s="2967"/>
      <c r="T5" s="2967"/>
      <c r="U5" s="2967"/>
      <c r="V5" s="2967"/>
      <c r="W5" s="2967"/>
      <c r="X5" s="2967"/>
      <c r="Y5" s="2967"/>
      <c r="Z5" s="2967"/>
      <c r="AA5" s="2967"/>
      <c r="AB5" s="2967"/>
      <c r="AC5" s="2963"/>
    </row>
    <row r="6" spans="1:30" ht="21">
      <c r="A6" s="2987" t="s">
        <v>3057</v>
      </c>
      <c r="B6" s="2988"/>
      <c r="C6" s="3664" t="s">
        <v>3058</v>
      </c>
      <c r="D6" s="3665"/>
      <c r="E6" s="3664" t="s">
        <v>3059</v>
      </c>
      <c r="F6" s="3665"/>
      <c r="G6" s="3664" t="s">
        <v>3060</v>
      </c>
      <c r="H6" s="3665"/>
      <c r="I6" s="3664" t="s">
        <v>3061</v>
      </c>
      <c r="J6" s="3665"/>
      <c r="K6" s="2989" t="s">
        <v>3062</v>
      </c>
      <c r="L6" s="2990"/>
      <c r="M6" s="2977"/>
      <c r="N6" s="2977"/>
      <c r="O6" s="2991"/>
      <c r="P6" s="3666" t="s">
        <v>3063</v>
      </c>
      <c r="Q6" s="3667"/>
      <c r="R6" s="3672" t="s">
        <v>3064</v>
      </c>
      <c r="S6" s="3673"/>
      <c r="T6" s="3672" t="s">
        <v>3065</v>
      </c>
      <c r="U6" s="3673"/>
      <c r="V6" s="3684" t="s">
        <v>3066</v>
      </c>
      <c r="W6" s="3684"/>
      <c r="X6" s="2992"/>
      <c r="Y6" s="3672" t="s">
        <v>3063</v>
      </c>
      <c r="Z6" s="3673"/>
      <c r="AA6" s="3661" t="s">
        <v>3064</v>
      </c>
      <c r="AB6" s="3662" t="s">
        <v>3065</v>
      </c>
      <c r="AC6" s="3661" t="s">
        <v>3066</v>
      </c>
    </row>
    <row r="7" spans="1:30" ht="21">
      <c r="A7" s="2994"/>
      <c r="B7" s="2995"/>
      <c r="C7" s="3676" t="s">
        <v>3067</v>
      </c>
      <c r="D7" s="3677"/>
      <c r="E7" s="3676" t="str">
        <f>[1]Sheet1!A13</f>
        <v>同期商业地块南侧,站南街西侧,同期居住地块北侧,规划路东侧。</v>
      </c>
      <c r="F7" s="3677"/>
      <c r="G7" s="3676" t="str">
        <f>土地案例!B17</f>
        <v>同期居住地块南侧,站南街西侧,双井西路北侧,规划路东侧。</v>
      </c>
      <c r="H7" s="3677"/>
      <c r="I7" s="3676" t="str">
        <f>[1]Sheet1!A17</f>
        <v>北临南街村地,西临廉法胡同,东临南街村地,南临南街村地。</v>
      </c>
      <c r="J7" s="3677"/>
      <c r="K7" s="2989"/>
      <c r="L7" s="2990"/>
      <c r="M7" s="2977"/>
      <c r="N7" s="2977"/>
      <c r="O7" s="2991"/>
      <c r="P7" s="3668"/>
      <c r="Q7" s="3669"/>
      <c r="R7" s="3674"/>
      <c r="S7" s="3675"/>
      <c r="T7" s="3674"/>
      <c r="U7" s="3675"/>
      <c r="V7" s="3684"/>
      <c r="W7" s="3684"/>
      <c r="X7" s="2992"/>
      <c r="Y7" s="3674"/>
      <c r="Z7" s="3675"/>
      <c r="AA7" s="3662"/>
      <c r="AB7" s="3662"/>
      <c r="AC7" s="3662"/>
    </row>
    <row r="8" spans="1:30" ht="21.6" thickBot="1">
      <c r="A8" s="2994"/>
      <c r="B8" s="2995"/>
      <c r="C8" s="3678" t="s">
        <v>3068</v>
      </c>
      <c r="D8" s="3679"/>
      <c r="E8" s="3678" t="s">
        <v>3068</v>
      </c>
      <c r="F8" s="3679"/>
      <c r="G8" s="3680" t="s">
        <v>3068</v>
      </c>
      <c r="H8" s="3681"/>
      <c r="I8" s="3680" t="s">
        <v>3068</v>
      </c>
      <c r="J8" s="3681"/>
      <c r="K8" s="2989" t="s">
        <v>3069</v>
      </c>
      <c r="L8" s="2990"/>
      <c r="M8" s="2977"/>
      <c r="N8" s="2977"/>
      <c r="O8" s="2991"/>
      <c r="P8" s="3670"/>
      <c r="Q8" s="3671"/>
      <c r="R8" s="3674"/>
      <c r="S8" s="3675"/>
      <c r="T8" s="3682"/>
      <c r="U8" s="3683"/>
      <c r="V8" s="3684"/>
      <c r="W8" s="3684"/>
      <c r="X8" s="2992"/>
      <c r="Y8" s="3682"/>
      <c r="Z8" s="3683"/>
      <c r="AA8" s="3663"/>
      <c r="AB8" s="3663"/>
      <c r="AC8" s="3663"/>
    </row>
    <row r="9" spans="1:30" s="3010" customFormat="1" ht="21.6" thickBot="1">
      <c r="A9" s="2996"/>
      <c r="B9" s="2997" t="s">
        <v>3070</v>
      </c>
      <c r="C9" s="2998">
        <f>'[1]数据-取费表'!B2</f>
        <v>43672</v>
      </c>
      <c r="D9" s="2999">
        <v>100</v>
      </c>
      <c r="E9" s="3000" t="str">
        <f>[1]Sheet1!H13</f>
        <v>2017-12-28</v>
      </c>
      <c r="F9" s="3001">
        <f>SUMIF(72:72,YEAR(E9)&amp;"-"&amp;INT((MONTH(E9)+2)/3),73:73)</f>
        <v>93</v>
      </c>
      <c r="G9" s="3002" t="str">
        <f>土地案例!I17</f>
        <v>2017-12-28</v>
      </c>
      <c r="H9" s="2999">
        <f>SUMIF(72:72,YEAR(G9)&amp;"-"&amp;INT((MONTH(G9)+2)/3),73:73)</f>
        <v>93</v>
      </c>
      <c r="I9" s="3002" t="str">
        <f>[1]Sheet1!H17</f>
        <v>2017-06-28</v>
      </c>
      <c r="J9" s="2999">
        <f>SUMIF(72:72,YEAR(I9)&amp;"-"&amp;INT((MONTH(I9)+2)/3),73:73)</f>
        <v>91</v>
      </c>
      <c r="K9" s="3003"/>
      <c r="L9" s="3004"/>
      <c r="M9" s="2977"/>
      <c r="N9" s="2977"/>
      <c r="O9" s="3005"/>
      <c r="P9" s="3685" t="s">
        <v>3071</v>
      </c>
      <c r="Q9" s="3686"/>
      <c r="R9" s="3006" t="s">
        <v>3072</v>
      </c>
      <c r="S9" s="3007">
        <f t="shared" ref="S9:S17" si="0">F9</f>
        <v>93</v>
      </c>
      <c r="T9" s="3006" t="s">
        <v>3072</v>
      </c>
      <c r="U9" s="3007">
        <f t="shared" ref="U9:U17" si="1">H9</f>
        <v>93</v>
      </c>
      <c r="V9" s="3006" t="s">
        <v>3072</v>
      </c>
      <c r="W9" s="3007">
        <f t="shared" ref="W9:W17" si="2">J9</f>
        <v>91</v>
      </c>
      <c r="X9" s="3008"/>
      <c r="Y9" s="3685" t="s">
        <v>3071</v>
      </c>
      <c r="Z9" s="3687"/>
      <c r="AA9" s="3009">
        <f>D9/F9</f>
        <v>1.075268817204301</v>
      </c>
      <c r="AB9" s="3009">
        <f>D9/H9</f>
        <v>1.075268817204301</v>
      </c>
      <c r="AC9" s="3009">
        <f>D9/J9</f>
        <v>1.098901098901099</v>
      </c>
    </row>
    <row r="10" spans="1:30" s="3010" customFormat="1" ht="21.6" thickBot="1">
      <c r="A10" s="3011"/>
      <c r="B10" s="3012" t="s">
        <v>3073</v>
      </c>
      <c r="C10" s="3013" t="s">
        <v>3074</v>
      </c>
      <c r="D10" s="2999">
        <v>100</v>
      </c>
      <c r="E10" s="3013" t="s">
        <v>3074</v>
      </c>
      <c r="F10" s="3001">
        <f>SUMIF(75:75,E10,76:76)-SUMIF(75:75,C10,76:76)+100</f>
        <v>100</v>
      </c>
      <c r="G10" s="3013" t="s">
        <v>3074</v>
      </c>
      <c r="H10" s="2999">
        <f>SUMIF(75:75,G10,76:76)-SUMIF(75:75,C10,76:76)+100</f>
        <v>100</v>
      </c>
      <c r="I10" s="3013" t="s">
        <v>3074</v>
      </c>
      <c r="J10" s="2999">
        <f>SUMIF(75:75,I10,76:76)-SUMIF(75:75,C10,76:76)+100</f>
        <v>100</v>
      </c>
      <c r="K10" s="3003"/>
      <c r="L10" s="3004"/>
      <c r="M10" s="2977"/>
      <c r="N10" s="2977"/>
      <c r="O10" s="3005"/>
      <c r="P10" s="3685" t="s">
        <v>3075</v>
      </c>
      <c r="Q10" s="3687"/>
      <c r="R10" s="3006" t="s">
        <v>20</v>
      </c>
      <c r="S10" s="3007">
        <f t="shared" si="0"/>
        <v>100</v>
      </c>
      <c r="T10" s="3006" t="s">
        <v>20</v>
      </c>
      <c r="U10" s="3007">
        <f t="shared" si="1"/>
        <v>100</v>
      </c>
      <c r="V10" s="3006" t="s">
        <v>20</v>
      </c>
      <c r="W10" s="3007">
        <f t="shared" si="2"/>
        <v>100</v>
      </c>
      <c r="X10" s="3008"/>
      <c r="Y10" s="3685" t="s">
        <v>3075</v>
      </c>
      <c r="Z10" s="3687"/>
      <c r="AA10" s="3009">
        <f t="shared" ref="AA10:AA47" si="3">D10/F10</f>
        <v>1</v>
      </c>
      <c r="AB10" s="3009">
        <f t="shared" ref="AB10:AB47" si="4">D10/H10</f>
        <v>1</v>
      </c>
      <c r="AC10" s="3009">
        <f t="shared" ref="AC10:AC47" si="5">D10/J10</f>
        <v>1</v>
      </c>
    </row>
    <row r="11" spans="1:30" s="3010" customFormat="1" ht="21">
      <c r="A11" s="3014"/>
      <c r="B11" s="3015" t="s">
        <v>3076</v>
      </c>
      <c r="C11" s="3016"/>
      <c r="D11" s="3017">
        <v>100</v>
      </c>
      <c r="E11" s="3018"/>
      <c r="F11" s="3017">
        <f>SUMIF(77:77,E11,78:78)-SUMIF(77:77,C11,78:78)+100</f>
        <v>100</v>
      </c>
      <c r="G11" s="3018"/>
      <c r="H11" s="3017">
        <f>SUMIF(77:77,G11,78:78)-SUMIF(77:77,C11,78:78)+100</f>
        <v>100</v>
      </c>
      <c r="I11" s="3018"/>
      <c r="J11" s="3017">
        <f>SUMIF(77:77,I11,78:78)-SUMIF(77:77,C11,78:78)+100</f>
        <v>100</v>
      </c>
      <c r="K11" s="3003"/>
      <c r="L11" s="3004"/>
      <c r="M11" s="2977"/>
      <c r="N11" s="2977"/>
      <c r="O11" s="3019"/>
      <c r="P11" s="3688" t="s">
        <v>3077</v>
      </c>
      <c r="Q11" s="3020" t="str">
        <f t="shared" ref="Q11:Q17" si="6">B11</f>
        <v>用途</v>
      </c>
      <c r="R11" s="3006" t="s">
        <v>20</v>
      </c>
      <c r="S11" s="3007">
        <f t="shared" si="0"/>
        <v>100</v>
      </c>
      <c r="T11" s="3006" t="s">
        <v>20</v>
      </c>
      <c r="U11" s="3007">
        <f t="shared" si="1"/>
        <v>100</v>
      </c>
      <c r="V11" s="3006" t="s">
        <v>20</v>
      </c>
      <c r="W11" s="3007">
        <f t="shared" si="2"/>
        <v>100</v>
      </c>
      <c r="X11" s="3008"/>
      <c r="Y11" s="3689" t="s">
        <v>3078</v>
      </c>
      <c r="Z11" s="3021" t="str">
        <f t="shared" ref="Z11:Z17" si="7">Q11</f>
        <v>用途</v>
      </c>
      <c r="AA11" s="3009">
        <f t="shared" si="3"/>
        <v>1</v>
      </c>
      <c r="AB11" s="3009">
        <f t="shared" si="4"/>
        <v>1</v>
      </c>
      <c r="AC11" s="3009">
        <f t="shared" si="5"/>
        <v>1</v>
      </c>
    </row>
    <row r="12" spans="1:30" s="3030" customFormat="1" ht="28.8">
      <c r="A12" s="3022"/>
      <c r="B12" s="3012" t="s">
        <v>3079</v>
      </c>
      <c r="C12" s="3023"/>
      <c r="D12" s="3024">
        <v>100</v>
      </c>
      <c r="E12" s="3025"/>
      <c r="F12" s="3024">
        <f>ROUND(100/'[1]数据-取费表'!G16,0)</f>
        <v>101</v>
      </c>
      <c r="G12" s="3026"/>
      <c r="H12" s="3024">
        <f>ROUND(100/'[1]数据-取费表'!G16,0)</f>
        <v>101</v>
      </c>
      <c r="I12" s="3026"/>
      <c r="J12" s="3024">
        <f>ROUND(100/'[1]数据-取费表'!G16,0)</f>
        <v>101</v>
      </c>
      <c r="K12" s="3027"/>
      <c r="L12" s="3028"/>
      <c r="M12" s="2977"/>
      <c r="N12" s="2977"/>
      <c r="O12" s="3029"/>
      <c r="P12" s="3688"/>
      <c r="Q12" s="3020" t="str">
        <f t="shared" si="6"/>
        <v>土地使用年限（年）</v>
      </c>
      <c r="R12" s="3006" t="s">
        <v>3072</v>
      </c>
      <c r="S12" s="3007">
        <f t="shared" si="0"/>
        <v>101</v>
      </c>
      <c r="T12" s="3006" t="s">
        <v>3072</v>
      </c>
      <c r="U12" s="3007">
        <f t="shared" si="1"/>
        <v>101</v>
      </c>
      <c r="V12" s="3006" t="s">
        <v>3072</v>
      </c>
      <c r="W12" s="3007">
        <f t="shared" si="2"/>
        <v>101</v>
      </c>
      <c r="X12" s="3008"/>
      <c r="Y12" s="3689"/>
      <c r="Z12" s="3021" t="str">
        <f t="shared" si="7"/>
        <v>土地使用年限（年）</v>
      </c>
      <c r="AA12" s="3009">
        <f t="shared" si="3"/>
        <v>0.99009900990099009</v>
      </c>
      <c r="AB12" s="3009">
        <f t="shared" si="4"/>
        <v>0.99009900990099009</v>
      </c>
      <c r="AC12" s="3009">
        <f t="shared" si="5"/>
        <v>0.99009900990099009</v>
      </c>
    </row>
    <row r="13" spans="1:30" ht="21">
      <c r="A13" s="3031"/>
      <c r="B13" s="3012" t="s">
        <v>3080</v>
      </c>
      <c r="C13" s="3032">
        <f>'数据-汇总表'!I4</f>
        <v>2</v>
      </c>
      <c r="D13" s="3024">
        <v>100</v>
      </c>
      <c r="E13" s="3033">
        <v>2</v>
      </c>
      <c r="F13" s="3024">
        <f>LOOKUP(E13,82:82,83:83)-LOOKUP(C13,82:82,83:83)+100</f>
        <v>100</v>
      </c>
      <c r="G13" s="3032">
        <v>2</v>
      </c>
      <c r="H13" s="3024">
        <f>LOOKUP(G13,82:82,83:83)-LOOKUP(C13,82:82,83:83)+100</f>
        <v>100</v>
      </c>
      <c r="I13" s="3033">
        <v>1.66</v>
      </c>
      <c r="J13" s="3024">
        <f>LOOKUP(I13,82:82,83:83)-LOOKUP(C13,82:82,83:83)+100</f>
        <v>102</v>
      </c>
      <c r="K13" s="3034">
        <v>2</v>
      </c>
      <c r="L13" s="3035"/>
      <c r="M13" s="2977"/>
      <c r="N13" s="2977"/>
      <c r="O13" s="3036"/>
      <c r="P13" s="3688"/>
      <c r="Q13" s="3020" t="str">
        <f t="shared" si="6"/>
        <v>容积率</v>
      </c>
      <c r="R13" s="3006" t="s">
        <v>3072</v>
      </c>
      <c r="S13" s="3007">
        <f t="shared" si="0"/>
        <v>100</v>
      </c>
      <c r="T13" s="3006" t="s">
        <v>3072</v>
      </c>
      <c r="U13" s="3007">
        <f t="shared" si="1"/>
        <v>100</v>
      </c>
      <c r="V13" s="3006" t="s">
        <v>3072</v>
      </c>
      <c r="W13" s="3007">
        <f t="shared" si="2"/>
        <v>102</v>
      </c>
      <c r="X13" s="3008"/>
      <c r="Y13" s="3689"/>
      <c r="Z13" s="3021" t="str">
        <f t="shared" si="7"/>
        <v>容积率</v>
      </c>
      <c r="AA13" s="3009">
        <f t="shared" si="3"/>
        <v>1</v>
      </c>
      <c r="AB13" s="3009">
        <f t="shared" si="4"/>
        <v>1</v>
      </c>
      <c r="AC13" s="3009">
        <f t="shared" si="5"/>
        <v>0.98039215686274506</v>
      </c>
    </row>
    <row r="14" spans="1:30" s="3010" customFormat="1" ht="21">
      <c r="A14" s="3011"/>
      <c r="B14" s="3037" t="s">
        <v>3081</v>
      </c>
      <c r="C14" s="3038"/>
      <c r="D14" s="3039">
        <v>100</v>
      </c>
      <c r="E14" s="3040"/>
      <c r="F14" s="3024">
        <f>SUMIF(84:84,E14,85:85)-SUMIF(84:84,C14,85:85)+100</f>
        <v>100</v>
      </c>
      <c r="G14" s="3026"/>
      <c r="H14" s="3024">
        <f>SUMIF(84:84,G14,85:85)-SUMIF(84:84,C14,85:85)+100</f>
        <v>100</v>
      </c>
      <c r="I14" s="3025"/>
      <c r="J14" s="3024">
        <f>SUMIF(84:84,I14,85:85)-SUMIF(84:84,C14,85:85)+100</f>
        <v>100</v>
      </c>
      <c r="K14" s="3027"/>
      <c r="L14" s="3004"/>
      <c r="M14" s="2977"/>
      <c r="N14" s="2977"/>
      <c r="O14" s="3019"/>
      <c r="P14" s="3688"/>
      <c r="Q14" s="3020" t="str">
        <f t="shared" si="6"/>
        <v>配建</v>
      </c>
      <c r="R14" s="3006" t="s">
        <v>3072</v>
      </c>
      <c r="S14" s="3007">
        <f t="shared" si="0"/>
        <v>100</v>
      </c>
      <c r="T14" s="3006" t="s">
        <v>3072</v>
      </c>
      <c r="U14" s="3007">
        <f t="shared" si="1"/>
        <v>100</v>
      </c>
      <c r="V14" s="3006" t="s">
        <v>3072</v>
      </c>
      <c r="W14" s="3007">
        <f t="shared" si="2"/>
        <v>100</v>
      </c>
      <c r="X14" s="3008"/>
      <c r="Y14" s="3689"/>
      <c r="Z14" s="3021" t="str">
        <f t="shared" si="7"/>
        <v>配建</v>
      </c>
      <c r="AA14" s="3009">
        <f>D14/F14</f>
        <v>1</v>
      </c>
      <c r="AB14" s="3009">
        <f>D14/H14</f>
        <v>1</v>
      </c>
      <c r="AC14" s="3009">
        <f>D14/J14</f>
        <v>1</v>
      </c>
    </row>
    <row r="15" spans="1:30" ht="21">
      <c r="A15" s="3041"/>
      <c r="B15" s="3042"/>
      <c r="C15" s="3043"/>
      <c r="D15" s="3044">
        <v>100</v>
      </c>
      <c r="E15" s="3045"/>
      <c r="F15" s="3024">
        <f>SUMIF(86:86,E15,87:87)-SUMIF(86:86,C15,87:87)+100</f>
        <v>100</v>
      </c>
      <c r="G15" s="3046"/>
      <c r="H15" s="3044">
        <f>SUMIF(86:86,G15,87:87)-SUMIF(86:86,C15,87:87)+100</f>
        <v>100</v>
      </c>
      <c r="I15" s="3046"/>
      <c r="J15" s="3044">
        <f>SUMIF(86:86,I15,87:87)-SUMIF(86:86,C15,87:87)+100</f>
        <v>100</v>
      </c>
      <c r="K15" s="3027"/>
      <c r="L15" s="3047"/>
      <c r="M15" s="2977"/>
      <c r="N15" s="2977"/>
      <c r="O15" s="3036"/>
      <c r="P15" s="3688"/>
      <c r="Q15" s="3020">
        <f t="shared" si="6"/>
        <v>0</v>
      </c>
      <c r="R15" s="3006" t="s">
        <v>3072</v>
      </c>
      <c r="S15" s="3007">
        <f t="shared" si="0"/>
        <v>100</v>
      </c>
      <c r="T15" s="3006" t="s">
        <v>3072</v>
      </c>
      <c r="U15" s="3007">
        <f t="shared" si="1"/>
        <v>100</v>
      </c>
      <c r="V15" s="3006" t="s">
        <v>3072</v>
      </c>
      <c r="W15" s="3007">
        <f t="shared" si="2"/>
        <v>100</v>
      </c>
      <c r="X15" s="3008"/>
      <c r="Y15" s="3689"/>
      <c r="Z15" s="3021">
        <f t="shared" si="7"/>
        <v>0</v>
      </c>
      <c r="AA15" s="3009">
        <f>D15/F15</f>
        <v>1</v>
      </c>
      <c r="AB15" s="3009">
        <f>D15/H15</f>
        <v>1</v>
      </c>
      <c r="AC15" s="3009">
        <f>D15/J15</f>
        <v>1</v>
      </c>
    </row>
    <row r="16" spans="1:30" ht="21.6" thickBot="1">
      <c r="A16" s="3048"/>
      <c r="B16" s="3049"/>
      <c r="C16" s="3050"/>
      <c r="D16" s="3051">
        <v>100</v>
      </c>
      <c r="E16" s="3045"/>
      <c r="F16" s="3051">
        <f>SUMIF(88:88,E16,89:89)-SUMIF(88:88,C16,89:89)+100</f>
        <v>100</v>
      </c>
      <c r="G16" s="3046"/>
      <c r="H16" s="3051">
        <f>SUMIF(88:88,G16,89:89)-SUMIF(88:88,C16,89:89)+100</f>
        <v>100</v>
      </c>
      <c r="I16" s="3046"/>
      <c r="J16" s="3051">
        <f>SUMIF(88:88,I16,89:89)-SUMIF(88:88,C16,89:89)+100</f>
        <v>100</v>
      </c>
      <c r="K16" s="3027"/>
      <c r="L16" s="3047"/>
      <c r="M16" s="2977"/>
      <c r="N16" s="2977"/>
      <c r="O16" s="3036"/>
      <c r="P16" s="3688"/>
      <c r="Q16" s="3020">
        <f t="shared" si="6"/>
        <v>0</v>
      </c>
      <c r="R16" s="3006" t="s">
        <v>3072</v>
      </c>
      <c r="S16" s="3007">
        <f t="shared" si="0"/>
        <v>100</v>
      </c>
      <c r="T16" s="3006" t="s">
        <v>3072</v>
      </c>
      <c r="U16" s="3007">
        <f t="shared" si="1"/>
        <v>100</v>
      </c>
      <c r="V16" s="3006" t="s">
        <v>3072</v>
      </c>
      <c r="W16" s="3007">
        <f t="shared" si="2"/>
        <v>100</v>
      </c>
      <c r="X16" s="3008"/>
      <c r="Y16" s="3689"/>
      <c r="Z16" s="3021">
        <f t="shared" si="7"/>
        <v>0</v>
      </c>
      <c r="AA16" s="3009">
        <f>D16/F16</f>
        <v>1</v>
      </c>
      <c r="AB16" s="3009">
        <f>D16/H16</f>
        <v>1</v>
      </c>
      <c r="AC16" s="3009">
        <f>D16/J16</f>
        <v>1</v>
      </c>
    </row>
    <row r="17" spans="1:29" ht="96.6">
      <c r="A17" s="3052" t="s">
        <v>3082</v>
      </c>
      <c r="B17" s="3053" t="s">
        <v>3083</v>
      </c>
      <c r="C17" s="3054" t="str">
        <f>[1]估价对象房地状况!C15</f>
        <v>估价对象周边居住用地比例、居住小区规模和社区发展完善程度，综合评价居住社区成熟度一般</v>
      </c>
      <c r="D17" s="3055">
        <v>100</v>
      </c>
      <c r="E17" s="3056" t="s">
        <v>3395</v>
      </c>
      <c r="F17" s="3057">
        <f>SUMIF(90:90,E18,91:91)-SUMIF(90:90,C18,91:91)+100</f>
        <v>100</v>
      </c>
      <c r="G17" s="3056" t="s">
        <v>3395</v>
      </c>
      <c r="H17" s="3057">
        <f>SUMIF(90:90,G18,91:91)-SUMIF(90:90,C18,91:91)+100</f>
        <v>100</v>
      </c>
      <c r="I17" s="3056" t="s">
        <v>3395</v>
      </c>
      <c r="J17" s="3057">
        <f>SUMIF(90:90,I18,91:91)-SUMIF(90:90,C18,91:91)+100</f>
        <v>100</v>
      </c>
      <c r="K17" s="3034">
        <v>1</v>
      </c>
      <c r="L17" s="3047"/>
      <c r="M17" s="2977"/>
      <c r="N17" s="2977"/>
      <c r="O17" s="3036"/>
      <c r="P17" s="3690" t="s">
        <v>3084</v>
      </c>
      <c r="Q17" s="3058" t="str">
        <f t="shared" si="6"/>
        <v>居住社区成熟度</v>
      </c>
      <c r="R17" s="3059" t="s">
        <v>3072</v>
      </c>
      <c r="S17" s="3060">
        <f t="shared" si="0"/>
        <v>100</v>
      </c>
      <c r="T17" s="3059" t="s">
        <v>3072</v>
      </c>
      <c r="U17" s="3060">
        <f t="shared" si="1"/>
        <v>100</v>
      </c>
      <c r="V17" s="3059" t="s">
        <v>3072</v>
      </c>
      <c r="W17" s="3060">
        <f t="shared" si="2"/>
        <v>100</v>
      </c>
      <c r="X17" s="2992"/>
      <c r="Y17" s="3690" t="s">
        <v>3084</v>
      </c>
      <c r="Z17" s="3061" t="str">
        <f t="shared" si="7"/>
        <v>居住社区成熟度</v>
      </c>
      <c r="AA17" s="3062">
        <f t="shared" si="3"/>
        <v>1</v>
      </c>
      <c r="AB17" s="3062">
        <f t="shared" si="4"/>
        <v>1</v>
      </c>
      <c r="AC17" s="3062">
        <f t="shared" si="5"/>
        <v>1</v>
      </c>
    </row>
    <row r="18" spans="1:29" ht="21">
      <c r="A18" s="3063"/>
      <c r="B18" s="3064"/>
      <c r="C18" s="3065"/>
      <c r="D18" s="3066"/>
      <c r="E18" s="3067"/>
      <c r="F18" s="3068"/>
      <c r="G18" s="3067"/>
      <c r="H18" s="3069"/>
      <c r="I18" s="3067"/>
      <c r="J18" s="3068"/>
      <c r="K18" s="3027"/>
      <c r="L18" s="3047"/>
      <c r="M18" s="2977"/>
      <c r="N18" s="2977"/>
      <c r="O18" s="3036"/>
      <c r="P18" s="3691"/>
      <c r="Q18" s="3058"/>
      <c r="R18" s="3059"/>
      <c r="S18" s="3060"/>
      <c r="T18" s="3059"/>
      <c r="U18" s="3060"/>
      <c r="V18" s="3059"/>
      <c r="W18" s="3060"/>
      <c r="X18" s="2992"/>
      <c r="Y18" s="3691"/>
      <c r="Z18" s="3061"/>
      <c r="AA18" s="3062">
        <v>1</v>
      </c>
      <c r="AB18" s="3062">
        <v>1</v>
      </c>
      <c r="AC18" s="3062">
        <v>1</v>
      </c>
    </row>
    <row r="19" spans="1:29" ht="69">
      <c r="A19" s="3063"/>
      <c r="B19" s="3070" t="s">
        <v>3085</v>
      </c>
      <c r="C19" s="3071" t="str">
        <f>[1]估价对象房地状况!C16</f>
        <v>估价对象位于XX商圈，周边商业氛围成熟，人流量大，商业繁华度好</v>
      </c>
      <c r="D19" s="3072">
        <v>100</v>
      </c>
      <c r="E19" s="3073" t="s">
        <v>3396</v>
      </c>
      <c r="F19" s="3069">
        <f>SUMIF(92:92,E20,93:93)-SUMIF(92:92,C20,93:93)+100</f>
        <v>100</v>
      </c>
      <c r="G19" s="3073" t="s">
        <v>3396</v>
      </c>
      <c r="H19" s="3075">
        <f>SUMIF(92:92,G20,93:93)-SUMIF(92:92,C20,93:93)+100</f>
        <v>100</v>
      </c>
      <c r="I19" s="3073" t="s">
        <v>3396</v>
      </c>
      <c r="J19" s="3075">
        <f>SUMIF(92:92,I20,93:93)-SUMIF(92:92,C20,93:93)+100</f>
        <v>100</v>
      </c>
      <c r="K19" s="3034">
        <v>1</v>
      </c>
      <c r="L19" s="3047"/>
      <c r="M19" s="2977"/>
      <c r="N19" s="2977"/>
      <c r="O19" s="3036"/>
      <c r="P19" s="3691"/>
      <c r="Q19" s="3058" t="str">
        <f>B19</f>
        <v>商业繁华度</v>
      </c>
      <c r="R19" s="3059" t="s">
        <v>3072</v>
      </c>
      <c r="S19" s="3060">
        <f>F19</f>
        <v>100</v>
      </c>
      <c r="T19" s="3059" t="s">
        <v>3072</v>
      </c>
      <c r="U19" s="3060">
        <f>H19</f>
        <v>100</v>
      </c>
      <c r="V19" s="3059" t="s">
        <v>3072</v>
      </c>
      <c r="W19" s="3060">
        <f>J19</f>
        <v>100</v>
      </c>
      <c r="X19" s="2992"/>
      <c r="Y19" s="3691"/>
      <c r="Z19" s="3061" t="str">
        <f>Q19</f>
        <v>商业繁华度</v>
      </c>
      <c r="AA19" s="3062">
        <f t="shared" si="3"/>
        <v>1</v>
      </c>
      <c r="AB19" s="3062">
        <f t="shared" si="4"/>
        <v>1</v>
      </c>
      <c r="AC19" s="3062">
        <f t="shared" si="5"/>
        <v>1</v>
      </c>
    </row>
    <row r="20" spans="1:29" ht="21">
      <c r="A20" s="3063"/>
      <c r="B20" s="3076"/>
      <c r="C20" s="3077"/>
      <c r="D20" s="3072"/>
      <c r="E20" s="3078"/>
      <c r="F20" s="3069"/>
      <c r="G20" s="3078"/>
      <c r="H20" s="3068"/>
      <c r="I20" s="3078"/>
      <c r="J20" s="3068"/>
      <c r="K20" s="3027"/>
      <c r="L20" s="3047"/>
      <c r="M20" s="2977"/>
      <c r="N20" s="2977"/>
      <c r="O20" s="3036"/>
      <c r="P20" s="3691"/>
      <c r="Q20" s="3058"/>
      <c r="R20" s="3059"/>
      <c r="S20" s="3060"/>
      <c r="T20" s="3059"/>
      <c r="U20" s="3060"/>
      <c r="V20" s="3059"/>
      <c r="W20" s="3060"/>
      <c r="X20" s="2992"/>
      <c r="Y20" s="3691"/>
      <c r="Z20" s="3061"/>
      <c r="AA20" s="3062">
        <v>1</v>
      </c>
      <c r="AB20" s="3062">
        <v>1</v>
      </c>
      <c r="AC20" s="3062">
        <v>1</v>
      </c>
    </row>
    <row r="21" spans="1:29" ht="69">
      <c r="A21" s="3063"/>
      <c r="B21" s="3070" t="s">
        <v>3086</v>
      </c>
      <c r="C21" s="3071" t="str">
        <f>[1]估价对象房地状况!C17</f>
        <v>估价对象位于XX商圈，周边办公楼项目较多，入驻率高，办公集聚程度较好</v>
      </c>
      <c r="D21" s="3079">
        <v>100</v>
      </c>
      <c r="E21" s="3080" t="s">
        <v>3397</v>
      </c>
      <c r="F21" s="3075">
        <f>SUMIF(94:94,E22,95:95)-SUMIF(94:94,C22,95:95)+100</f>
        <v>100</v>
      </c>
      <c r="G21" s="3080" t="s">
        <v>3397</v>
      </c>
      <c r="H21" s="3069">
        <f>SUMIF(94:94,G22,95:95)-SUMIF(94:94,C22,95:95)+100</f>
        <v>100</v>
      </c>
      <c r="I21" s="3080" t="s">
        <v>3397</v>
      </c>
      <c r="J21" s="3069">
        <f>SUMIF(94:94,I22,95:95)-SUMIF(94:94,C22,95:95)+100</f>
        <v>100</v>
      </c>
      <c r="K21" s="3034">
        <v>1</v>
      </c>
      <c r="L21" s="3047"/>
      <c r="M21" s="2977"/>
      <c r="N21" s="2977"/>
      <c r="O21" s="3036"/>
      <c r="P21" s="3691"/>
      <c r="Q21" s="3058" t="str">
        <f>B21</f>
        <v>办公集聚程度</v>
      </c>
      <c r="R21" s="3059" t="s">
        <v>3072</v>
      </c>
      <c r="S21" s="3060">
        <f>F21</f>
        <v>100</v>
      </c>
      <c r="T21" s="3059" t="s">
        <v>3072</v>
      </c>
      <c r="U21" s="3060">
        <f>H21</f>
        <v>100</v>
      </c>
      <c r="V21" s="3059" t="s">
        <v>3072</v>
      </c>
      <c r="W21" s="3060">
        <f>J21</f>
        <v>100</v>
      </c>
      <c r="X21" s="2992"/>
      <c r="Y21" s="3691"/>
      <c r="Z21" s="3061" t="str">
        <f>Q21</f>
        <v>办公集聚程度</v>
      </c>
      <c r="AA21" s="3062">
        <f t="shared" si="3"/>
        <v>1</v>
      </c>
      <c r="AB21" s="3062">
        <f t="shared" si="4"/>
        <v>1</v>
      </c>
      <c r="AC21" s="3062">
        <f t="shared" si="5"/>
        <v>1</v>
      </c>
    </row>
    <row r="22" spans="1:29" ht="21">
      <c r="A22" s="3063"/>
      <c r="B22" s="3076"/>
      <c r="C22" s="3065"/>
      <c r="D22" s="3066"/>
      <c r="E22" s="3067"/>
      <c r="F22" s="3068"/>
      <c r="G22" s="3067"/>
      <c r="H22" s="3068"/>
      <c r="I22" s="3067"/>
      <c r="J22" s="3068"/>
      <c r="K22" s="3027"/>
      <c r="L22" s="3047"/>
      <c r="M22" s="2977"/>
      <c r="N22" s="2977"/>
      <c r="O22" s="3036"/>
      <c r="P22" s="3691"/>
      <c r="Q22" s="3058"/>
      <c r="R22" s="3059"/>
      <c r="S22" s="3060"/>
      <c r="T22" s="3059"/>
      <c r="U22" s="3060"/>
      <c r="V22" s="3059"/>
      <c r="W22" s="3060"/>
      <c r="X22" s="2992"/>
      <c r="Y22" s="3691"/>
      <c r="Z22" s="3061"/>
      <c r="AA22" s="3062">
        <v>1</v>
      </c>
      <c r="AB22" s="3062">
        <v>1</v>
      </c>
      <c r="AC22" s="3062">
        <v>1</v>
      </c>
    </row>
    <row r="23" spans="1:29" ht="82.8">
      <c r="A23" s="3063"/>
      <c r="B23" s="3070" t="s">
        <v>3087</v>
      </c>
      <c r="C23" s="3081" t="str">
        <f>[1]估价对象房地状况!C18</f>
        <v>估价对象周边道路状况、公共交通通达情况、停车便捷程度，综合评价交通便捷度较好</v>
      </c>
      <c r="D23" s="3072">
        <v>100</v>
      </c>
      <c r="E23" s="3073" t="s">
        <v>3398</v>
      </c>
      <c r="F23" s="3075">
        <f>SUMIF(96:96,E24,97:97)-SUMIF(96:96,C24,97:97)+100</f>
        <v>100</v>
      </c>
      <c r="G23" s="3073" t="s">
        <v>3398</v>
      </c>
      <c r="H23" s="3069">
        <f>SUMIF(96:96,G24,97:97)-SUMIF(96:96,C24,97:97)+100</f>
        <v>100</v>
      </c>
      <c r="I23" s="3073" t="s">
        <v>3398</v>
      </c>
      <c r="J23" s="3069">
        <f>SUMIF(96:96,I24,97:97)-SUMIF(96:96,C24,97:97)+100</f>
        <v>100</v>
      </c>
      <c r="K23" s="3034">
        <v>1</v>
      </c>
      <c r="L23" s="3047"/>
      <c r="M23" s="2977"/>
      <c r="N23" s="2977"/>
      <c r="O23" s="3036"/>
      <c r="P23" s="3691"/>
      <c r="Q23" s="3058" t="str">
        <f>B23</f>
        <v>交通便捷度</v>
      </c>
      <c r="R23" s="3059" t="s">
        <v>3072</v>
      </c>
      <c r="S23" s="3060">
        <f>F23</f>
        <v>100</v>
      </c>
      <c r="T23" s="3059" t="s">
        <v>3072</v>
      </c>
      <c r="U23" s="3060">
        <f>H23</f>
        <v>100</v>
      </c>
      <c r="V23" s="3059" t="s">
        <v>3072</v>
      </c>
      <c r="W23" s="3060">
        <f>J23</f>
        <v>100</v>
      </c>
      <c r="X23" s="2992"/>
      <c r="Y23" s="3691"/>
      <c r="Z23" s="3061" t="str">
        <f>Q23</f>
        <v>交通便捷度</v>
      </c>
      <c r="AA23" s="3062">
        <f t="shared" si="3"/>
        <v>1</v>
      </c>
      <c r="AB23" s="3062">
        <f t="shared" si="4"/>
        <v>1</v>
      </c>
      <c r="AC23" s="3062">
        <f t="shared" si="5"/>
        <v>1</v>
      </c>
    </row>
    <row r="24" spans="1:29" ht="21">
      <c r="A24" s="3063"/>
      <c r="B24" s="3053"/>
      <c r="C24" s="3065"/>
      <c r="D24" s="3066"/>
      <c r="E24" s="3067"/>
      <c r="F24" s="3068"/>
      <c r="G24" s="3067"/>
      <c r="H24" s="3068"/>
      <c r="I24" s="3067"/>
      <c r="J24" s="3068"/>
      <c r="K24" s="3027"/>
      <c r="L24" s="3047"/>
      <c r="M24" s="2977"/>
      <c r="N24" s="2977"/>
      <c r="O24" s="3036"/>
      <c r="P24" s="3691"/>
      <c r="Q24" s="3058"/>
      <c r="R24" s="3059"/>
      <c r="S24" s="3060"/>
      <c r="T24" s="3059"/>
      <c r="U24" s="3060"/>
      <c r="V24" s="3059"/>
      <c r="W24" s="3060"/>
      <c r="X24" s="2992"/>
      <c r="Y24" s="3691"/>
      <c r="Z24" s="3061"/>
      <c r="AA24" s="3062">
        <v>1</v>
      </c>
      <c r="AB24" s="3062">
        <v>1</v>
      </c>
      <c r="AC24" s="3062">
        <v>1</v>
      </c>
    </row>
    <row r="25" spans="1:29" ht="28.8">
      <c r="A25" s="2994"/>
      <c r="B25" s="3082" t="s">
        <v>3088</v>
      </c>
      <c r="C25" s="3081">
        <f>[1]估价对象房地状况!C19</f>
        <v>0</v>
      </c>
      <c r="D25" s="3072">
        <v>100</v>
      </c>
      <c r="E25" s="3073">
        <v>0</v>
      </c>
      <c r="F25" s="3075">
        <f>SUMIF(98:98,E26,99:99)-SUMIF(98:98,C26,99:99)+100</f>
        <v>100</v>
      </c>
      <c r="G25" s="3073">
        <v>0</v>
      </c>
      <c r="H25" s="3069">
        <f>SUMIF(98:98,G26,99:99)-SUMIF(98:98,C26,99:99)+100</f>
        <v>100</v>
      </c>
      <c r="I25" s="3073">
        <v>0</v>
      </c>
      <c r="J25" s="3069">
        <f>SUMIF(98:98,I26,99:99)-SUMIF(98:98,C26,99:99)+100</f>
        <v>100</v>
      </c>
      <c r="K25" s="3034">
        <v>1</v>
      </c>
      <c r="L25" s="3047"/>
      <c r="M25" s="2977"/>
      <c r="N25" s="2977"/>
      <c r="O25" s="3036"/>
      <c r="P25" s="3691"/>
      <c r="Q25" s="3058" t="str">
        <f t="shared" ref="Q25:Q39" si="8">B25</f>
        <v>区域土地利用方向</v>
      </c>
      <c r="R25" s="3059" t="s">
        <v>3072</v>
      </c>
      <c r="S25" s="3060">
        <f>F25</f>
        <v>100</v>
      </c>
      <c r="T25" s="3059" t="s">
        <v>3072</v>
      </c>
      <c r="U25" s="3060">
        <f>H25</f>
        <v>100</v>
      </c>
      <c r="V25" s="3059" t="s">
        <v>3072</v>
      </c>
      <c r="W25" s="3060">
        <f>J25</f>
        <v>100</v>
      </c>
      <c r="X25" s="2992"/>
      <c r="Y25" s="3691"/>
      <c r="Z25" s="3061" t="str">
        <f>Q25</f>
        <v>区域土地利用方向</v>
      </c>
      <c r="AA25" s="3062">
        <f t="shared" si="3"/>
        <v>1</v>
      </c>
      <c r="AB25" s="3062">
        <f t="shared" si="4"/>
        <v>1</v>
      </c>
      <c r="AC25" s="3062">
        <f t="shared" si="5"/>
        <v>1</v>
      </c>
    </row>
    <row r="26" spans="1:29" ht="21">
      <c r="A26" s="2994"/>
      <c r="B26" s="3083"/>
      <c r="C26" s="3065"/>
      <c r="D26" s="3066"/>
      <c r="E26" s="3067"/>
      <c r="F26" s="3068"/>
      <c r="G26" s="3067"/>
      <c r="H26" s="3068"/>
      <c r="I26" s="3067"/>
      <c r="J26" s="3068"/>
      <c r="K26" s="3027"/>
      <c r="L26" s="3047"/>
      <c r="M26" s="2977"/>
      <c r="N26" s="2977"/>
      <c r="O26" s="3036"/>
      <c r="P26" s="3691"/>
      <c r="Q26" s="3058"/>
      <c r="R26" s="3059"/>
      <c r="S26" s="3060"/>
      <c r="T26" s="3059"/>
      <c r="U26" s="3060"/>
      <c r="V26" s="3059"/>
      <c r="W26" s="3060"/>
      <c r="X26" s="2992"/>
      <c r="Y26" s="3691"/>
      <c r="Z26" s="3061"/>
      <c r="AA26" s="3062"/>
      <c r="AB26" s="3062"/>
      <c r="AC26" s="3062"/>
    </row>
    <row r="27" spans="1:29" ht="55.2">
      <c r="A27" s="2994"/>
      <c r="B27" s="3053" t="s">
        <v>3089</v>
      </c>
      <c r="C27" s="3071" t="str">
        <f>[1]估价对象房地状况!C20</f>
        <v>区域自然环境：；人文环境；综合评价环境状况一般</v>
      </c>
      <c r="D27" s="3072">
        <v>100</v>
      </c>
      <c r="E27" s="3073" t="s">
        <v>3399</v>
      </c>
      <c r="F27" s="3069">
        <f>SUMIF(100:100,E28,101:101)-SUMIF(100:100,C28,101:101)+100</f>
        <v>100</v>
      </c>
      <c r="G27" s="3073" t="s">
        <v>3399</v>
      </c>
      <c r="H27" s="3069">
        <f>SUMIF(100:100,G28,101:101)-SUMIF(100:100,C28,101:101)+100</f>
        <v>100</v>
      </c>
      <c r="I27" s="3073" t="s">
        <v>3399</v>
      </c>
      <c r="J27" s="3069">
        <f>SUMIF(100:100,I28,101:101)-SUMIF(100:100,C28,101:101)+100</f>
        <v>100</v>
      </c>
      <c r="K27" s="3034">
        <v>1</v>
      </c>
      <c r="L27" s="3047"/>
      <c r="M27" s="2977"/>
      <c r="N27" s="2977"/>
      <c r="O27" s="3036"/>
      <c r="P27" s="3691"/>
      <c r="Q27" s="3058" t="str">
        <f t="shared" si="8"/>
        <v>自然及人文环境状况</v>
      </c>
      <c r="R27" s="3059" t="s">
        <v>3072</v>
      </c>
      <c r="S27" s="3060">
        <f>F27</f>
        <v>100</v>
      </c>
      <c r="T27" s="3059" t="s">
        <v>3072</v>
      </c>
      <c r="U27" s="3060">
        <f>H27</f>
        <v>100</v>
      </c>
      <c r="V27" s="3059" t="s">
        <v>3072</v>
      </c>
      <c r="W27" s="3060">
        <f>J27</f>
        <v>100</v>
      </c>
      <c r="X27" s="2992"/>
      <c r="Y27" s="3691"/>
      <c r="Z27" s="3061" t="str">
        <f>Q27</f>
        <v>自然及人文环境状况</v>
      </c>
      <c r="AA27" s="3062">
        <f t="shared" si="3"/>
        <v>1</v>
      </c>
      <c r="AB27" s="3062">
        <f t="shared" si="4"/>
        <v>1</v>
      </c>
      <c r="AC27" s="3062">
        <f t="shared" si="5"/>
        <v>1</v>
      </c>
    </row>
    <row r="28" spans="1:29" ht="21">
      <c r="A28" s="2994"/>
      <c r="B28" s="3076"/>
      <c r="C28" s="3065"/>
      <c r="D28" s="3066"/>
      <c r="E28" s="3084"/>
      <c r="F28" s="3068"/>
      <c r="G28" s="3084"/>
      <c r="H28" s="3068"/>
      <c r="I28" s="3084"/>
      <c r="J28" s="3068"/>
      <c r="K28" s="3027"/>
      <c r="L28" s="3047"/>
      <c r="M28" s="2977"/>
      <c r="N28" s="2977"/>
      <c r="O28" s="3036"/>
      <c r="P28" s="3691"/>
      <c r="Q28" s="3058"/>
      <c r="R28" s="3059"/>
      <c r="S28" s="3060"/>
      <c r="T28" s="3059"/>
      <c r="U28" s="3060"/>
      <c r="V28" s="3059"/>
      <c r="W28" s="3060"/>
      <c r="X28" s="2992"/>
      <c r="Y28" s="3691"/>
      <c r="Z28" s="3061"/>
      <c r="AA28" s="3062">
        <v>1</v>
      </c>
      <c r="AB28" s="3062">
        <v>1</v>
      </c>
      <c r="AC28" s="3062">
        <v>1</v>
      </c>
    </row>
    <row r="29" spans="1:29" s="3010" customFormat="1" ht="41.4">
      <c r="A29" s="3085"/>
      <c r="B29" s="3086" t="s">
        <v>3090</v>
      </c>
      <c r="C29" s="3081" t="str">
        <f>[1]估价对象房地状况!C21</f>
        <v>估价对象所在区域公共配套设施齐备情况</v>
      </c>
      <c r="D29" s="3072">
        <v>100</v>
      </c>
      <c r="E29" s="3073" t="s">
        <v>3400</v>
      </c>
      <c r="F29" s="3069">
        <f>SUMIF(102:102,E30,103:103)-SUMIF(102:102,C30,103:103)+100</f>
        <v>100</v>
      </c>
      <c r="G29" s="3073" t="s">
        <v>3400</v>
      </c>
      <c r="H29" s="3069">
        <f>SUMIF(102:102,G30,103:103)-SUMIF(102:102,C30,103:103)+100</f>
        <v>100</v>
      </c>
      <c r="I29" s="3073" t="s">
        <v>3400</v>
      </c>
      <c r="J29" s="3069">
        <f>SUMIF(102:102,I30,103:103)-SUMIF(102:102,C30,103:103)+100</f>
        <v>100</v>
      </c>
      <c r="K29" s="3034">
        <v>1</v>
      </c>
      <c r="L29" s="3004"/>
      <c r="M29" s="2977"/>
      <c r="N29" s="2977"/>
      <c r="O29" s="3019"/>
      <c r="P29" s="3691"/>
      <c r="Q29" s="3020" t="str">
        <f t="shared" si="8"/>
        <v>公共配套设施</v>
      </c>
      <c r="R29" s="3006" t="s">
        <v>3072</v>
      </c>
      <c r="S29" s="3007">
        <f>F29</f>
        <v>100</v>
      </c>
      <c r="T29" s="3006" t="s">
        <v>3072</v>
      </c>
      <c r="U29" s="3007">
        <f>H29</f>
        <v>100</v>
      </c>
      <c r="V29" s="3006" t="s">
        <v>3072</v>
      </c>
      <c r="W29" s="3007">
        <f>J29</f>
        <v>100</v>
      </c>
      <c r="X29" s="3008"/>
      <c r="Y29" s="3691"/>
      <c r="Z29" s="3021" t="str">
        <f>Q29</f>
        <v>公共配套设施</v>
      </c>
      <c r="AA29" s="3062">
        <f>D29/F29</f>
        <v>1</v>
      </c>
      <c r="AB29" s="3062">
        <f>D29/H29</f>
        <v>1</v>
      </c>
      <c r="AC29" s="3062">
        <f>D29/J29</f>
        <v>1</v>
      </c>
    </row>
    <row r="30" spans="1:29" s="3010" customFormat="1" ht="21">
      <c r="A30" s="3085"/>
      <c r="B30" s="3076"/>
      <c r="C30" s="3087"/>
      <c r="D30" s="3066"/>
      <c r="E30" s="3084"/>
      <c r="F30" s="3068"/>
      <c r="G30" s="3084"/>
      <c r="H30" s="3068"/>
      <c r="I30" s="3084"/>
      <c r="J30" s="3068"/>
      <c r="K30" s="3027"/>
      <c r="L30" s="3004"/>
      <c r="M30" s="2977"/>
      <c r="N30" s="2977"/>
      <c r="O30" s="3019"/>
      <c r="P30" s="3691"/>
      <c r="Q30" s="3020"/>
      <c r="R30" s="3006"/>
      <c r="S30" s="3007"/>
      <c r="T30" s="3006"/>
      <c r="U30" s="3007"/>
      <c r="V30" s="3006"/>
      <c r="W30" s="3007"/>
      <c r="X30" s="3008"/>
      <c r="Y30" s="3691"/>
      <c r="Z30" s="3021"/>
      <c r="AA30" s="3062">
        <v>1</v>
      </c>
      <c r="AB30" s="3062">
        <v>1</v>
      </c>
      <c r="AC30" s="3062">
        <v>1</v>
      </c>
    </row>
    <row r="31" spans="1:29" s="3010" customFormat="1" ht="27.6">
      <c r="A31" s="3085"/>
      <c r="B31" s="3086" t="s">
        <v>3091</v>
      </c>
      <c r="C31" s="3081" t="str">
        <f>[1]估价对象房地状况!C22</f>
        <v>估价对象所在区域基础设施水平</v>
      </c>
      <c r="D31" s="3072">
        <v>100</v>
      </c>
      <c r="E31" s="3073" t="s">
        <v>3401</v>
      </c>
      <c r="F31" s="3069">
        <f>SUMIF(104:104,E32,105:105)-SUMIF(104:104,C32,105:105)+100</f>
        <v>100</v>
      </c>
      <c r="G31" s="3073" t="s">
        <v>3401</v>
      </c>
      <c r="H31" s="3069">
        <f>SUMIF(104:104,G32,105:105)-SUMIF(104:104,C32,105:105)+100</f>
        <v>100</v>
      </c>
      <c r="I31" s="3073" t="s">
        <v>3401</v>
      </c>
      <c r="J31" s="3069">
        <f>SUMIF(104:104,I32,105:105)-SUMIF(104:104,C32,105:105)+100</f>
        <v>100</v>
      </c>
      <c r="K31" s="3034">
        <v>1</v>
      </c>
      <c r="L31" s="3004"/>
      <c r="M31" s="2977"/>
      <c r="N31" s="2977"/>
      <c r="O31" s="3019"/>
      <c r="P31" s="3691"/>
      <c r="Q31" s="3020" t="str">
        <f t="shared" ref="Q31" si="9">B31</f>
        <v>基础设施水平</v>
      </c>
      <c r="R31" s="3006" t="s">
        <v>3072</v>
      </c>
      <c r="S31" s="3007">
        <f>F31</f>
        <v>100</v>
      </c>
      <c r="T31" s="3006" t="s">
        <v>3072</v>
      </c>
      <c r="U31" s="3007">
        <f>H31</f>
        <v>100</v>
      </c>
      <c r="V31" s="3006" t="s">
        <v>3072</v>
      </c>
      <c r="W31" s="3007">
        <f>J31</f>
        <v>100</v>
      </c>
      <c r="X31" s="3008"/>
      <c r="Y31" s="3691"/>
      <c r="Z31" s="3021" t="str">
        <f>Q31</f>
        <v>基础设施水平</v>
      </c>
      <c r="AA31" s="3062">
        <f>D31/F31</f>
        <v>1</v>
      </c>
      <c r="AB31" s="3062">
        <f>D31/H31</f>
        <v>1</v>
      </c>
      <c r="AC31" s="3062">
        <f>D31/J31</f>
        <v>1</v>
      </c>
    </row>
    <row r="32" spans="1:29" s="3010" customFormat="1" ht="21">
      <c r="A32" s="3085"/>
      <c r="B32" s="3076"/>
      <c r="C32" s="3087"/>
      <c r="D32" s="3066"/>
      <c r="E32" s="3088"/>
      <c r="F32" s="3068"/>
      <c r="G32" s="3088"/>
      <c r="H32" s="3068"/>
      <c r="I32" s="3088"/>
      <c r="J32" s="3068"/>
      <c r="K32" s="3027"/>
      <c r="L32" s="3004"/>
      <c r="M32" s="2977"/>
      <c r="N32" s="2977"/>
      <c r="O32" s="3019"/>
      <c r="P32" s="3691"/>
      <c r="Q32" s="3020"/>
      <c r="R32" s="3006"/>
      <c r="S32" s="3007"/>
      <c r="T32" s="3006"/>
      <c r="U32" s="3007"/>
      <c r="V32" s="3006"/>
      <c r="W32" s="3007"/>
      <c r="X32" s="3008"/>
      <c r="Y32" s="3691"/>
      <c r="Z32" s="3021"/>
      <c r="AA32" s="3062">
        <v>1</v>
      </c>
      <c r="AB32" s="3062">
        <v>1</v>
      </c>
      <c r="AC32" s="3062">
        <v>1</v>
      </c>
    </row>
    <row r="33" spans="1:29" ht="21">
      <c r="A33" s="3063"/>
      <c r="B33" s="3076" t="s">
        <v>3092</v>
      </c>
      <c r="C33" s="3089"/>
      <c r="D33" s="3090">
        <v>100</v>
      </c>
      <c r="E33" s="3091"/>
      <c r="F33" s="3044">
        <f>SUMIF(106:106,E33,107:107)-SUMIF(106:106,C33,107:107)+100</f>
        <v>100</v>
      </c>
      <c r="G33" s="3091"/>
      <c r="H33" s="3044">
        <f>SUMIF(106:106,G33,107:107)-SUMIF(106:106,C33,107:107)+100</f>
        <v>100</v>
      </c>
      <c r="I33" s="3091"/>
      <c r="J33" s="3044">
        <f>SUMIF(106:106,I33,107:107)-SUMIF(106:106,C33,107:107)+100</f>
        <v>100</v>
      </c>
      <c r="K33" s="3034">
        <v>1</v>
      </c>
      <c r="L33" s="3047"/>
      <c r="M33" s="2977"/>
      <c r="N33" s="2977"/>
      <c r="O33" s="3036"/>
      <c r="P33" s="3691"/>
      <c r="Q33" s="3058" t="str">
        <f t="shared" si="8"/>
        <v>临街状况</v>
      </c>
      <c r="R33" s="3059" t="s">
        <v>3072</v>
      </c>
      <c r="S33" s="3060">
        <f t="shared" ref="S33:S47" si="10">F33</f>
        <v>100</v>
      </c>
      <c r="T33" s="3059" t="s">
        <v>3072</v>
      </c>
      <c r="U33" s="3060">
        <f t="shared" ref="U33:U47" si="11">H33</f>
        <v>100</v>
      </c>
      <c r="V33" s="3059" t="s">
        <v>3072</v>
      </c>
      <c r="W33" s="3060">
        <f t="shared" ref="W33:W47" si="12">J33</f>
        <v>100</v>
      </c>
      <c r="X33" s="2992"/>
      <c r="Y33" s="3691"/>
      <c r="Z33" s="3061" t="str">
        <f t="shared" ref="Z33:Z47" si="13">Q33</f>
        <v>临街状况</v>
      </c>
      <c r="AA33" s="3062">
        <f t="shared" si="3"/>
        <v>1</v>
      </c>
      <c r="AB33" s="3062">
        <f t="shared" si="4"/>
        <v>1</v>
      </c>
      <c r="AC33" s="3062">
        <f t="shared" si="5"/>
        <v>1</v>
      </c>
    </row>
    <row r="34" spans="1:29" ht="28.8">
      <c r="A34" s="3063"/>
      <c r="B34" s="3053" t="s">
        <v>3093</v>
      </c>
      <c r="C34" s="3074"/>
      <c r="D34" s="3072">
        <v>100</v>
      </c>
      <c r="E34" s="3073"/>
      <c r="F34" s="3069">
        <f>SUMIF(108:108,E35,109:109)-SUMIF(108:108,C35,109:109)+100</f>
        <v>100</v>
      </c>
      <c r="G34" s="3073"/>
      <c r="H34" s="3069">
        <f>SUMIF(108:108,G35,109:109)-SUMIF(108:108,C35,109:109)+100</f>
        <v>100</v>
      </c>
      <c r="I34" s="3073"/>
      <c r="J34" s="3069">
        <f>SUMIF(108:108,I35,109:109)-SUMIF(108:108,C35,109:109)+100</f>
        <v>100</v>
      </c>
      <c r="K34" s="3034">
        <v>1</v>
      </c>
      <c r="L34" s="3047"/>
      <c r="M34" s="2977"/>
      <c r="N34" s="2977"/>
      <c r="O34" s="3036"/>
      <c r="P34" s="3691"/>
      <c r="Q34" s="3058" t="str">
        <f t="shared" si="8"/>
        <v>毗邻道路的类型与等级</v>
      </c>
      <c r="R34" s="3059" t="s">
        <v>20</v>
      </c>
      <c r="S34" s="3060">
        <f t="shared" si="10"/>
        <v>100</v>
      </c>
      <c r="T34" s="3059" t="s">
        <v>20</v>
      </c>
      <c r="U34" s="3060">
        <f t="shared" si="11"/>
        <v>100</v>
      </c>
      <c r="V34" s="3059" t="s">
        <v>20</v>
      </c>
      <c r="W34" s="3060">
        <f t="shared" si="12"/>
        <v>100</v>
      </c>
      <c r="X34" s="2992"/>
      <c r="Y34" s="3691"/>
      <c r="Z34" s="3061" t="str">
        <f t="shared" si="13"/>
        <v>毗邻道路的类型与等级</v>
      </c>
      <c r="AA34" s="3062">
        <f t="shared" si="3"/>
        <v>1</v>
      </c>
      <c r="AB34" s="3062">
        <f t="shared" si="4"/>
        <v>1</v>
      </c>
      <c r="AC34" s="3062">
        <f t="shared" si="5"/>
        <v>1</v>
      </c>
    </row>
    <row r="35" spans="1:29" ht="21">
      <c r="A35" s="3063"/>
      <c r="B35" s="3076"/>
      <c r="C35" s="3065"/>
      <c r="D35" s="3066"/>
      <c r="E35" s="3084"/>
      <c r="F35" s="3068"/>
      <c r="G35" s="3084"/>
      <c r="H35" s="3068"/>
      <c r="I35" s="3084"/>
      <c r="J35" s="3068"/>
      <c r="K35" s="3092"/>
      <c r="L35" s="3047"/>
      <c r="M35" s="2977"/>
      <c r="N35" s="2977"/>
      <c r="O35" s="3036"/>
      <c r="P35" s="3691"/>
      <c r="Q35" s="3058"/>
      <c r="R35" s="3059"/>
      <c r="S35" s="3060"/>
      <c r="T35" s="3059"/>
      <c r="U35" s="3060"/>
      <c r="V35" s="3059"/>
      <c r="W35" s="3060"/>
      <c r="X35" s="2992"/>
      <c r="Y35" s="3691"/>
      <c r="Z35" s="3061"/>
      <c r="AA35" s="3062">
        <v>1</v>
      </c>
      <c r="AB35" s="3062">
        <v>1</v>
      </c>
      <c r="AC35" s="3062">
        <v>1</v>
      </c>
    </row>
    <row r="36" spans="1:29" ht="21">
      <c r="A36" s="3063"/>
      <c r="B36" s="3093" t="s">
        <v>3094</v>
      </c>
      <c r="C36" s="3089"/>
      <c r="D36" s="3090">
        <v>100</v>
      </c>
      <c r="E36" s="3091"/>
      <c r="F36" s="3044">
        <f>SUMIF(110:110,E36,111:111)-SUMIF(110:110,C36,111:111)+100</f>
        <v>100</v>
      </c>
      <c r="G36" s="3091"/>
      <c r="H36" s="3044">
        <f>SUMIF(110:110,G36,111:111)-SUMIF(110:110,C36,111:111)+100</f>
        <v>100</v>
      </c>
      <c r="I36" s="3091"/>
      <c r="J36" s="3044">
        <f>SUMIF(110:110,I36,111:111)-SUMIF(110:110,C36,111:111)+100</f>
        <v>100</v>
      </c>
      <c r="K36" s="3094">
        <v>1</v>
      </c>
      <c r="L36" s="3047"/>
      <c r="M36" s="2977"/>
      <c r="N36" s="2977"/>
      <c r="O36" s="3036"/>
      <c r="P36" s="3691"/>
      <c r="Q36" s="3058" t="str">
        <f t="shared" si="8"/>
        <v>土地级别</v>
      </c>
      <c r="R36" s="3059" t="s">
        <v>3072</v>
      </c>
      <c r="S36" s="3060">
        <f t="shared" si="10"/>
        <v>100</v>
      </c>
      <c r="T36" s="3059" t="s">
        <v>3072</v>
      </c>
      <c r="U36" s="3060">
        <f t="shared" si="11"/>
        <v>100</v>
      </c>
      <c r="V36" s="3059" t="s">
        <v>3072</v>
      </c>
      <c r="W36" s="3060">
        <f t="shared" si="12"/>
        <v>100</v>
      </c>
      <c r="X36" s="2992"/>
      <c r="Y36" s="3691"/>
      <c r="Z36" s="3061" t="str">
        <f t="shared" si="13"/>
        <v>土地级别</v>
      </c>
      <c r="AA36" s="3062">
        <f t="shared" si="3"/>
        <v>1</v>
      </c>
      <c r="AB36" s="3062">
        <f t="shared" si="4"/>
        <v>1</v>
      </c>
      <c r="AC36" s="3062">
        <f t="shared" si="5"/>
        <v>1</v>
      </c>
    </row>
    <row r="37" spans="1:29" ht="21">
      <c r="A37" s="2994"/>
      <c r="B37" s="3095"/>
      <c r="C37" s="3096"/>
      <c r="D37" s="3090">
        <v>100</v>
      </c>
      <c r="E37" s="3046"/>
      <c r="F37" s="3044">
        <f>SUMIF(112:112,E37,113:113)-SUMIF(112:112,C37,113:113)+100</f>
        <v>100</v>
      </c>
      <c r="G37" s="3096"/>
      <c r="H37" s="3044">
        <f>SUMIF(112:112,G37,113:113)-SUMIF(112:112,C37,113:113)+100</f>
        <v>100</v>
      </c>
      <c r="I37" s="3046"/>
      <c r="J37" s="3044">
        <f>SUMIF(112:112,I37,113:113)-SUMIF(112:112,C37,113:113)+100</f>
        <v>100</v>
      </c>
      <c r="K37" s="3092"/>
      <c r="L37" s="3047"/>
      <c r="M37" s="2977"/>
      <c r="N37" s="2977"/>
      <c r="O37" s="3036"/>
      <c r="P37" s="3691"/>
      <c r="Q37" s="3058">
        <f t="shared" si="8"/>
        <v>0</v>
      </c>
      <c r="R37" s="3059" t="s">
        <v>3072</v>
      </c>
      <c r="S37" s="3060">
        <f t="shared" si="10"/>
        <v>100</v>
      </c>
      <c r="T37" s="3059" t="s">
        <v>3072</v>
      </c>
      <c r="U37" s="3060">
        <f t="shared" si="11"/>
        <v>100</v>
      </c>
      <c r="V37" s="3059" t="s">
        <v>3072</v>
      </c>
      <c r="W37" s="3060">
        <f t="shared" si="12"/>
        <v>100</v>
      </c>
      <c r="X37" s="2992"/>
      <c r="Y37" s="3691"/>
      <c r="Z37" s="3061">
        <f t="shared" si="13"/>
        <v>0</v>
      </c>
      <c r="AA37" s="3062">
        <f t="shared" si="3"/>
        <v>1</v>
      </c>
      <c r="AB37" s="3062">
        <f t="shared" si="4"/>
        <v>1</v>
      </c>
      <c r="AC37" s="3062">
        <f t="shared" si="5"/>
        <v>1</v>
      </c>
    </row>
    <row r="38" spans="1:29" ht="21">
      <c r="A38" s="3097"/>
      <c r="B38" s="3098"/>
      <c r="C38" s="3096"/>
      <c r="D38" s="3090">
        <v>100</v>
      </c>
      <c r="E38" s="3046"/>
      <c r="F38" s="3044">
        <f>SUMIF(114:114,E39,115:115)-SUMIF(114:114,C39,115:115)+100</f>
        <v>100</v>
      </c>
      <c r="G38" s="3096"/>
      <c r="H38" s="3044">
        <f>SUMIF(114:114,G38,115:115)-SUMIF(114:114,C38,115:115)+100</f>
        <v>100</v>
      </c>
      <c r="I38" s="3046"/>
      <c r="J38" s="3044">
        <f>SUMIF(114:114,I38,115:115)-SUMIF(114:114,C38,115:115)+100</f>
        <v>100</v>
      </c>
      <c r="K38" s="3092"/>
      <c r="L38" s="3047"/>
      <c r="M38" s="2977"/>
      <c r="N38" s="2977"/>
      <c r="O38" s="3036"/>
      <c r="P38" s="3696" t="s">
        <v>3095</v>
      </c>
      <c r="Q38" s="3058">
        <f t="shared" si="8"/>
        <v>0</v>
      </c>
      <c r="R38" s="3059" t="s">
        <v>3072</v>
      </c>
      <c r="S38" s="3060">
        <f t="shared" si="10"/>
        <v>100</v>
      </c>
      <c r="T38" s="3059" t="s">
        <v>3072</v>
      </c>
      <c r="U38" s="3060">
        <f t="shared" si="11"/>
        <v>100</v>
      </c>
      <c r="V38" s="3059" t="s">
        <v>3072</v>
      </c>
      <c r="W38" s="3060">
        <f t="shared" si="12"/>
        <v>100</v>
      </c>
      <c r="X38" s="2992"/>
      <c r="Y38" s="3697" t="s">
        <v>3095</v>
      </c>
      <c r="Z38" s="3061">
        <f t="shared" si="13"/>
        <v>0</v>
      </c>
      <c r="AA38" s="3062">
        <f t="shared" si="3"/>
        <v>1</v>
      </c>
      <c r="AB38" s="3062">
        <f t="shared" si="4"/>
        <v>1</v>
      </c>
      <c r="AC38" s="3062">
        <f t="shared" si="5"/>
        <v>1</v>
      </c>
    </row>
    <row r="39" spans="1:29" s="3110" customFormat="1" ht="21.6" thickBot="1">
      <c r="A39" s="3099"/>
      <c r="B39" s="3100"/>
      <c r="C39" s="3101"/>
      <c r="D39" s="3102">
        <v>100</v>
      </c>
      <c r="E39" s="3103"/>
      <c r="F39" s="3051">
        <f>SUMIF(116:116,E39,117:117)-SUMIF(116:116,C39,117:117)+100</f>
        <v>100</v>
      </c>
      <c r="G39" s="3104"/>
      <c r="H39" s="3051">
        <f>SUMIF(116:116,G39,117:117)-SUMIF(116:116,C39,117:117)+100</f>
        <v>100</v>
      </c>
      <c r="I39" s="3103"/>
      <c r="J39" s="3051">
        <f>SUMIF(116:116,I39,117:117)-SUMIF(116:116,C39,117:117)+100</f>
        <v>100</v>
      </c>
      <c r="K39" s="3092"/>
      <c r="L39" s="3035"/>
      <c r="M39" s="2977"/>
      <c r="N39" s="2977"/>
      <c r="O39" s="3105"/>
      <c r="P39" s="3697"/>
      <c r="Q39" s="3058">
        <f t="shared" si="8"/>
        <v>0</v>
      </c>
      <c r="R39" s="3106" t="s">
        <v>3072</v>
      </c>
      <c r="S39" s="3107">
        <f t="shared" si="10"/>
        <v>100</v>
      </c>
      <c r="T39" s="3106" t="s">
        <v>3072</v>
      </c>
      <c r="U39" s="3107">
        <f t="shared" si="11"/>
        <v>100</v>
      </c>
      <c r="V39" s="3106" t="s">
        <v>3072</v>
      </c>
      <c r="W39" s="3107">
        <f t="shared" si="12"/>
        <v>100</v>
      </c>
      <c r="X39" s="3108"/>
      <c r="Y39" s="3697"/>
      <c r="Z39" s="3109">
        <f t="shared" si="13"/>
        <v>0</v>
      </c>
      <c r="AA39" s="3062">
        <f t="shared" si="3"/>
        <v>1</v>
      </c>
      <c r="AB39" s="3062">
        <f t="shared" si="4"/>
        <v>1</v>
      </c>
      <c r="AC39" s="3062">
        <f t="shared" si="5"/>
        <v>1</v>
      </c>
    </row>
    <row r="40" spans="1:29" ht="21">
      <c r="A40" s="3111" t="s">
        <v>3096</v>
      </c>
      <c r="B40" s="3112" t="s">
        <v>3097</v>
      </c>
      <c r="C40" s="3113">
        <f>'[1]数据-汇总表'!D8</f>
        <v>18676.41</v>
      </c>
      <c r="D40" s="3114">
        <v>100</v>
      </c>
      <c r="E40" s="3113">
        <f>[1]Sheet1!D13</f>
        <v>48883.03</v>
      </c>
      <c r="F40" s="3114">
        <f>LOOKUP(E40,119:119,120:120)-LOOKUP(C40,119:119,120:120)+100</f>
        <v>102</v>
      </c>
      <c r="G40" s="3113">
        <f>土地案例!F17</f>
        <v>45605.18</v>
      </c>
      <c r="H40" s="3114">
        <f>LOOKUP(G40,119:119,120:120)-LOOKUP(C40,119:119,120:120)+100</f>
        <v>102</v>
      </c>
      <c r="I40" s="3115">
        <f>[1]Sheet1!D17</f>
        <v>14027.01</v>
      </c>
      <c r="J40" s="3114">
        <f>LOOKUP(I40,119:119,120:120)-LOOKUP(C40,119:119,120:120)+100</f>
        <v>100</v>
      </c>
      <c r="K40" s="3092"/>
      <c r="L40" s="3047"/>
      <c r="M40" s="2977"/>
      <c r="N40" s="2977"/>
      <c r="O40" s="3036"/>
      <c r="P40" s="3697"/>
      <c r="Q40" s="3058" t="str">
        <f>B40</f>
        <v>宗地面积</v>
      </c>
      <c r="R40" s="3059" t="s">
        <v>3072</v>
      </c>
      <c r="S40" s="3060">
        <f t="shared" si="10"/>
        <v>102</v>
      </c>
      <c r="T40" s="3059" t="s">
        <v>3072</v>
      </c>
      <c r="U40" s="3060">
        <f t="shared" si="11"/>
        <v>102</v>
      </c>
      <c r="V40" s="3059" t="s">
        <v>3072</v>
      </c>
      <c r="W40" s="3060">
        <f t="shared" si="12"/>
        <v>100</v>
      </c>
      <c r="X40" s="2992"/>
      <c r="Y40" s="3697"/>
      <c r="Z40" s="3061" t="str">
        <f t="shared" si="13"/>
        <v>宗地面积</v>
      </c>
      <c r="AA40" s="3062">
        <f t="shared" si="3"/>
        <v>0.98039215686274506</v>
      </c>
      <c r="AB40" s="3062">
        <f t="shared" si="4"/>
        <v>0.98039215686274506</v>
      </c>
      <c r="AC40" s="3062">
        <f t="shared" si="5"/>
        <v>1</v>
      </c>
    </row>
    <row r="41" spans="1:29" ht="21">
      <c r="A41" s="3116"/>
      <c r="B41" s="3117" t="s">
        <v>3098</v>
      </c>
      <c r="C41" s="3118" t="s">
        <v>3366</v>
      </c>
      <c r="D41" s="3044">
        <v>100</v>
      </c>
      <c r="E41" s="3118" t="s">
        <v>3366</v>
      </c>
      <c r="F41" s="3044">
        <f>SUMIF(121:121,E41,122:122)-SUMIF(121:121,C41,122:122)+100</f>
        <v>100</v>
      </c>
      <c r="G41" s="3118" t="s">
        <v>3366</v>
      </c>
      <c r="H41" s="3044">
        <f>SUMIF(121:121,G41,122:122)-SUMIF(121:121,C41,122:122)+100</f>
        <v>100</v>
      </c>
      <c r="I41" s="3118" t="s">
        <v>3366</v>
      </c>
      <c r="J41" s="3044">
        <f>SUMIF(121:121,I41,122:122)-SUMIF(121:121,C41,122:122)+100</f>
        <v>100</v>
      </c>
      <c r="K41" s="3094">
        <v>1</v>
      </c>
      <c r="L41" s="3047"/>
      <c r="M41" s="2977"/>
      <c r="N41" s="2977"/>
      <c r="O41" s="3036"/>
      <c r="P41" s="3697"/>
      <c r="Q41" s="3058" t="str">
        <f t="shared" ref="Q41:Q47" si="14">B41</f>
        <v>宗地形状</v>
      </c>
      <c r="R41" s="3059" t="s">
        <v>3072</v>
      </c>
      <c r="S41" s="3060">
        <f t="shared" si="10"/>
        <v>100</v>
      </c>
      <c r="T41" s="3059" t="s">
        <v>3072</v>
      </c>
      <c r="U41" s="3060">
        <f t="shared" si="11"/>
        <v>100</v>
      </c>
      <c r="V41" s="3059" t="s">
        <v>3072</v>
      </c>
      <c r="W41" s="3060">
        <f t="shared" si="12"/>
        <v>100</v>
      </c>
      <c r="X41" s="2992"/>
      <c r="Y41" s="3697"/>
      <c r="Z41" s="3061" t="str">
        <f t="shared" si="13"/>
        <v>宗地形状</v>
      </c>
      <c r="AA41" s="3062">
        <f t="shared" si="3"/>
        <v>1</v>
      </c>
      <c r="AB41" s="3062">
        <f t="shared" si="4"/>
        <v>1</v>
      </c>
      <c r="AC41" s="3062">
        <f t="shared" si="5"/>
        <v>1</v>
      </c>
    </row>
    <row r="42" spans="1:29" ht="21">
      <c r="A42" s="3116"/>
      <c r="B42" s="3117" t="s">
        <v>3099</v>
      </c>
      <c r="C42" s="3118" t="s">
        <v>3366</v>
      </c>
      <c r="D42" s="3044">
        <v>100</v>
      </c>
      <c r="E42" s="3118" t="s">
        <v>3366</v>
      </c>
      <c r="F42" s="3044">
        <f>SUMIF(123:123,E42,124:124)-SUMIF(123:123,C42,124:124)+100</f>
        <v>100</v>
      </c>
      <c r="G42" s="3118" t="s">
        <v>3366</v>
      </c>
      <c r="H42" s="3044">
        <f>SUMIF(123:123,G42,124:124)-SUMIF(123:123,C42,124:124)+100</f>
        <v>100</v>
      </c>
      <c r="I42" s="3118" t="s">
        <v>3366</v>
      </c>
      <c r="J42" s="3044">
        <f>SUMIF(123:123,I42,124:124)-SUMIF(123:123,C42,124:124)+100</f>
        <v>100</v>
      </c>
      <c r="K42" s="3094">
        <v>1</v>
      </c>
      <c r="L42" s="3047"/>
      <c r="M42" s="2977"/>
      <c r="N42" s="2977"/>
      <c r="O42" s="3036"/>
      <c r="P42" s="3697"/>
      <c r="Q42" s="3058" t="str">
        <f t="shared" si="14"/>
        <v>临街宽度及深度</v>
      </c>
      <c r="R42" s="3059" t="s">
        <v>3072</v>
      </c>
      <c r="S42" s="3060">
        <f t="shared" si="10"/>
        <v>100</v>
      </c>
      <c r="T42" s="3059" t="s">
        <v>3072</v>
      </c>
      <c r="U42" s="3060">
        <f t="shared" si="11"/>
        <v>100</v>
      </c>
      <c r="V42" s="3059" t="s">
        <v>3072</v>
      </c>
      <c r="W42" s="3060">
        <f t="shared" si="12"/>
        <v>100</v>
      </c>
      <c r="X42" s="2992"/>
      <c r="Y42" s="3697"/>
      <c r="Z42" s="3061" t="str">
        <f t="shared" si="13"/>
        <v>临街宽度及深度</v>
      </c>
      <c r="AA42" s="3062">
        <f t="shared" si="3"/>
        <v>1</v>
      </c>
      <c r="AB42" s="3062">
        <f t="shared" si="4"/>
        <v>1</v>
      </c>
      <c r="AC42" s="3062">
        <f t="shared" si="5"/>
        <v>1</v>
      </c>
    </row>
    <row r="43" spans="1:29" s="3010" customFormat="1" ht="21">
      <c r="A43" s="3119"/>
      <c r="B43" s="3120" t="s">
        <v>3100</v>
      </c>
      <c r="C43" s="3121" t="s">
        <v>3367</v>
      </c>
      <c r="D43" s="3024">
        <v>100</v>
      </c>
      <c r="E43" s="3121" t="s">
        <v>3367</v>
      </c>
      <c r="F43" s="3044">
        <f>SUMIF(125:125,E43,126:126)-SUMIF(125:125,C43,126:126)+100</f>
        <v>100</v>
      </c>
      <c r="G43" s="3121" t="s">
        <v>3367</v>
      </c>
      <c r="H43" s="3044">
        <f>SUMIF(125:125,G43,126:126)-SUMIF(125:125,C43,126:126)+100</f>
        <v>100</v>
      </c>
      <c r="I43" s="3121" t="s">
        <v>3367</v>
      </c>
      <c r="J43" s="3044">
        <f>SUMIF(125:125,I43,126:126)-SUMIF(125:125,C43,126:126)+100</f>
        <v>100</v>
      </c>
      <c r="K43" s="3094">
        <v>1</v>
      </c>
      <c r="L43" s="3004"/>
      <c r="M43" s="2977"/>
      <c r="N43" s="2977"/>
      <c r="O43" s="3019"/>
      <c r="P43" s="3697"/>
      <c r="Q43" s="3058" t="str">
        <f t="shared" si="14"/>
        <v>宗地开发程度</v>
      </c>
      <c r="R43" s="3006" t="s">
        <v>3072</v>
      </c>
      <c r="S43" s="3007">
        <f t="shared" si="10"/>
        <v>100</v>
      </c>
      <c r="T43" s="3006" t="s">
        <v>3072</v>
      </c>
      <c r="U43" s="3007">
        <f t="shared" si="11"/>
        <v>100</v>
      </c>
      <c r="V43" s="3006" t="s">
        <v>3072</v>
      </c>
      <c r="W43" s="3007">
        <f t="shared" si="12"/>
        <v>100</v>
      </c>
      <c r="X43" s="3008"/>
      <c r="Y43" s="3697"/>
      <c r="Z43" s="3021" t="str">
        <f t="shared" si="13"/>
        <v>宗地开发程度</v>
      </c>
      <c r="AA43" s="3009">
        <f t="shared" si="3"/>
        <v>1</v>
      </c>
      <c r="AB43" s="3009">
        <f t="shared" si="4"/>
        <v>1</v>
      </c>
      <c r="AC43" s="3009">
        <f t="shared" si="5"/>
        <v>1</v>
      </c>
    </row>
    <row r="44" spans="1:29" ht="21">
      <c r="A44" s="3116"/>
      <c r="B44" s="3117" t="s">
        <v>3101</v>
      </c>
      <c r="C44" s="3118" t="s">
        <v>3366</v>
      </c>
      <c r="D44" s="3044">
        <v>100</v>
      </c>
      <c r="E44" s="3118" t="s">
        <v>3366</v>
      </c>
      <c r="F44" s="3044">
        <f>SUMIF(127:127,E44,128:128)-SUMIF(127:127,C44,128:128)+100</f>
        <v>100</v>
      </c>
      <c r="G44" s="3118" t="s">
        <v>3366</v>
      </c>
      <c r="H44" s="3044">
        <f>SUMIF(127:127,G44,128:128)-SUMIF(127:127,C44,128:128)+100</f>
        <v>100</v>
      </c>
      <c r="I44" s="3118" t="s">
        <v>3366</v>
      </c>
      <c r="J44" s="3044">
        <f>SUMIF(127:127,I44,128:128)-SUMIF(127:127,C44,128:128)+100</f>
        <v>100</v>
      </c>
      <c r="K44" s="3094">
        <v>1</v>
      </c>
      <c r="L44" s="3047"/>
      <c r="M44" s="2977"/>
      <c r="N44" s="2977"/>
      <c r="O44" s="3036"/>
      <c r="P44" s="3697" t="s">
        <v>3095</v>
      </c>
      <c r="Q44" s="3058" t="str">
        <f t="shared" si="14"/>
        <v>工程地质条件</v>
      </c>
      <c r="R44" s="3059" t="s">
        <v>3072</v>
      </c>
      <c r="S44" s="3060">
        <f t="shared" si="10"/>
        <v>100</v>
      </c>
      <c r="T44" s="3059" t="s">
        <v>3072</v>
      </c>
      <c r="U44" s="3060">
        <f t="shared" si="11"/>
        <v>100</v>
      </c>
      <c r="V44" s="3059" t="s">
        <v>3072</v>
      </c>
      <c r="W44" s="3060">
        <f t="shared" si="12"/>
        <v>100</v>
      </c>
      <c r="X44" s="2992"/>
      <c r="Y44" s="3697" t="s">
        <v>3095</v>
      </c>
      <c r="Z44" s="3061" t="str">
        <f t="shared" si="13"/>
        <v>工程地质条件</v>
      </c>
      <c r="AA44" s="3062">
        <f t="shared" si="3"/>
        <v>1</v>
      </c>
      <c r="AB44" s="3062">
        <f t="shared" si="4"/>
        <v>1</v>
      </c>
      <c r="AC44" s="3062">
        <f t="shared" si="5"/>
        <v>1</v>
      </c>
    </row>
    <row r="45" spans="1:29" ht="21">
      <c r="A45" s="3116"/>
      <c r="B45" s="3122"/>
      <c r="C45" s="3046"/>
      <c r="D45" s="3044">
        <v>100</v>
      </c>
      <c r="E45" s="3046"/>
      <c r="F45" s="3044">
        <f>SUMIF(129:129,E45,130:130)-SUMIF(129:129,C45,130:130)+100</f>
        <v>100</v>
      </c>
      <c r="G45" s="3046"/>
      <c r="H45" s="3044">
        <f>SUMIF(129:129,G45,130:130)-SUMIF(129:129,C45,130:130)+100</f>
        <v>100</v>
      </c>
      <c r="I45" s="3045"/>
      <c r="J45" s="3044">
        <f>SUMIF(129:129,I45,130:130)-SUMIF(129:129,C45,130:130)+100</f>
        <v>100</v>
      </c>
      <c r="K45" s="3092"/>
      <c r="L45" s="3047"/>
      <c r="M45" s="2977"/>
      <c r="N45" s="2977"/>
      <c r="O45" s="3036"/>
      <c r="P45" s="3697"/>
      <c r="Q45" s="3058">
        <f t="shared" si="14"/>
        <v>0</v>
      </c>
      <c r="R45" s="3059" t="s">
        <v>3072</v>
      </c>
      <c r="S45" s="3060">
        <f t="shared" si="10"/>
        <v>100</v>
      </c>
      <c r="T45" s="3059" t="s">
        <v>3072</v>
      </c>
      <c r="U45" s="3060">
        <f t="shared" si="11"/>
        <v>100</v>
      </c>
      <c r="V45" s="3059" t="s">
        <v>3072</v>
      </c>
      <c r="W45" s="3060">
        <f t="shared" si="12"/>
        <v>100</v>
      </c>
      <c r="X45" s="2992"/>
      <c r="Y45" s="3697"/>
      <c r="Z45" s="3061">
        <f t="shared" si="13"/>
        <v>0</v>
      </c>
      <c r="AA45" s="3062">
        <f t="shared" si="3"/>
        <v>1</v>
      </c>
      <c r="AB45" s="3062">
        <f t="shared" si="4"/>
        <v>1</v>
      </c>
      <c r="AC45" s="3062">
        <f t="shared" si="5"/>
        <v>1</v>
      </c>
    </row>
    <row r="46" spans="1:29" ht="21">
      <c r="A46" s="3116"/>
      <c r="B46" s="3122"/>
      <c r="C46" s="3046"/>
      <c r="D46" s="3044">
        <v>100</v>
      </c>
      <c r="E46" s="3046"/>
      <c r="F46" s="3044">
        <f>SUMIF(131:131,E46,132:132)-SUMIF(131:131,C46,132:132)+100</f>
        <v>100</v>
      </c>
      <c r="G46" s="3046"/>
      <c r="H46" s="3044">
        <f>SUMIF(131:131,G46,132:132)-SUMIF(131:131,C46,132:132)+100</f>
        <v>100</v>
      </c>
      <c r="I46" s="3045"/>
      <c r="J46" s="3044">
        <f>SUMIF(131:131,I46,132:132)-SUMIF(131:131,C46,132:132)+100</f>
        <v>100</v>
      </c>
      <c r="K46" s="3092"/>
      <c r="L46" s="3047"/>
      <c r="M46" s="2977"/>
      <c r="N46" s="2977"/>
      <c r="O46" s="3036"/>
      <c r="P46" s="3697"/>
      <c r="Q46" s="3058">
        <f t="shared" si="14"/>
        <v>0</v>
      </c>
      <c r="R46" s="3059" t="s">
        <v>3072</v>
      </c>
      <c r="S46" s="3060">
        <f t="shared" si="10"/>
        <v>100</v>
      </c>
      <c r="T46" s="3059" t="s">
        <v>3072</v>
      </c>
      <c r="U46" s="3060">
        <f t="shared" si="11"/>
        <v>100</v>
      </c>
      <c r="V46" s="3059" t="s">
        <v>3072</v>
      </c>
      <c r="W46" s="3060">
        <f t="shared" si="12"/>
        <v>100</v>
      </c>
      <c r="X46" s="2992"/>
      <c r="Y46" s="3697"/>
      <c r="Z46" s="3061">
        <f t="shared" si="13"/>
        <v>0</v>
      </c>
      <c r="AA46" s="3062">
        <f t="shared" si="3"/>
        <v>1</v>
      </c>
      <c r="AB46" s="3062">
        <f t="shared" si="4"/>
        <v>1</v>
      </c>
      <c r="AC46" s="3062">
        <f t="shared" si="5"/>
        <v>1</v>
      </c>
    </row>
    <row r="47" spans="1:29" s="3110" customFormat="1" ht="21.6" thickBot="1">
      <c r="A47" s="3123"/>
      <c r="B47" s="3122"/>
      <c r="C47" s="3124"/>
      <c r="D47" s="3125">
        <v>100</v>
      </c>
      <c r="E47" s="3046"/>
      <c r="F47" s="3051">
        <f>SUMIF(133:133,E47,134:134)-SUMIF(133:133,C47,134:134)+100</f>
        <v>100</v>
      </c>
      <c r="G47" s="3046"/>
      <c r="H47" s="3051">
        <f>SUMIF(133:133,G47,134:134)-SUMIF(133:133,C47,134:134)+100</f>
        <v>100</v>
      </c>
      <c r="I47" s="3046"/>
      <c r="J47" s="3051">
        <f>SUMIF(133:133,I47,134:134)-SUMIF(133:133,C47,134:134)+100</f>
        <v>100</v>
      </c>
      <c r="K47" s="3126"/>
      <c r="L47" s="3035"/>
      <c r="M47" s="2977"/>
      <c r="N47" s="2977"/>
      <c r="O47" s="3105"/>
      <c r="P47" s="3697"/>
      <c r="Q47" s="3058">
        <f t="shared" si="14"/>
        <v>0</v>
      </c>
      <c r="R47" s="3106" t="s">
        <v>3072</v>
      </c>
      <c r="S47" s="3107">
        <f t="shared" si="10"/>
        <v>100</v>
      </c>
      <c r="T47" s="3106" t="s">
        <v>3072</v>
      </c>
      <c r="U47" s="3107">
        <f t="shared" si="11"/>
        <v>100</v>
      </c>
      <c r="V47" s="3106" t="s">
        <v>3072</v>
      </c>
      <c r="W47" s="3107">
        <f t="shared" si="12"/>
        <v>100</v>
      </c>
      <c r="X47" s="3108"/>
      <c r="Y47" s="3697"/>
      <c r="Z47" s="3109">
        <f t="shared" si="13"/>
        <v>0</v>
      </c>
      <c r="AA47" s="3062">
        <f t="shared" si="3"/>
        <v>1</v>
      </c>
      <c r="AB47" s="3062">
        <f t="shared" si="4"/>
        <v>1</v>
      </c>
      <c r="AC47" s="3062">
        <f t="shared" si="5"/>
        <v>1</v>
      </c>
    </row>
    <row r="48" spans="1:29" ht="21">
      <c r="A48" s="3127" t="s">
        <v>3102</v>
      </c>
      <c r="B48" s="3128" t="s">
        <v>3103</v>
      </c>
      <c r="C48" s="3129" t="s">
        <v>3104</v>
      </c>
      <c r="D48" s="3130"/>
      <c r="E48" s="3131">
        <f>ROUND([1]Sheet1!K13,0)</f>
        <v>2426</v>
      </c>
      <c r="F48" s="3132"/>
      <c r="G48" s="3133">
        <f>ROUND(土地案例!L17,0)</f>
        <v>2481</v>
      </c>
      <c r="H48" s="3134"/>
      <c r="I48" s="3131">
        <f>ROUND([1]Sheet1!K17,0)</f>
        <v>2081</v>
      </c>
      <c r="J48" s="3134"/>
      <c r="K48" s="3135"/>
      <c r="L48" s="3136"/>
      <c r="M48" s="2977"/>
      <c r="N48" s="2977"/>
      <c r="O48" s="3137"/>
      <c r="P48" s="3688" t="str">
        <f>A48</f>
        <v>成交单价</v>
      </c>
      <c r="Q48" s="3688"/>
      <c r="R48" s="3684">
        <f>E48</f>
        <v>2426</v>
      </c>
      <c r="S48" s="3684"/>
      <c r="T48" s="3684">
        <f>G48</f>
        <v>2481</v>
      </c>
      <c r="U48" s="3684"/>
      <c r="V48" s="3684">
        <f>I48</f>
        <v>2081</v>
      </c>
      <c r="W48" s="3684"/>
      <c r="X48" s="3138"/>
      <c r="Y48" s="3139"/>
      <c r="Z48" s="3138"/>
      <c r="AA48" s="3138"/>
      <c r="AB48" s="3138"/>
      <c r="AC48" s="3138"/>
    </row>
    <row r="49" spans="1:29" ht="21.6" thickBot="1">
      <c r="A49" s="3140" t="s">
        <v>3105</v>
      </c>
      <c r="B49" s="3141"/>
      <c r="C49" s="3142">
        <f>R50</f>
        <v>2447</v>
      </c>
      <c r="D49" s="3143"/>
      <c r="E49" s="3142">
        <f>R49</f>
        <v>2532</v>
      </c>
      <c r="F49" s="3144"/>
      <c r="G49" s="3145">
        <f>T49</f>
        <v>2590</v>
      </c>
      <c r="H49" s="3143"/>
      <c r="I49" s="3142">
        <f>V49</f>
        <v>2220</v>
      </c>
      <c r="J49" s="3143"/>
      <c r="K49" s="3146"/>
      <c r="L49" s="3136"/>
      <c r="M49" s="2977"/>
      <c r="N49" s="2977"/>
      <c r="O49" s="3137"/>
      <c r="P49" s="3688" t="str">
        <f>A49</f>
        <v>比较价格（元/平方米）</v>
      </c>
      <c r="Q49" s="3688"/>
      <c r="R49" s="3692">
        <f>ROUND(PRODUCT(R48,AA9:AA47),0)</f>
        <v>2532</v>
      </c>
      <c r="S49" s="3692"/>
      <c r="T49" s="3692">
        <f>ROUND(PRODUCT(T48,AB9:AB47),0)</f>
        <v>2590</v>
      </c>
      <c r="U49" s="3692"/>
      <c r="V49" s="3692">
        <f>ROUND(PRODUCT(V48,AC9:AC47),0)</f>
        <v>2220</v>
      </c>
      <c r="W49" s="3692"/>
      <c r="X49" s="3138"/>
      <c r="Y49" s="3138"/>
      <c r="Z49" s="3138"/>
      <c r="AA49" s="3138"/>
      <c r="AB49" s="3138"/>
      <c r="AC49" s="3138"/>
    </row>
    <row r="50" spans="1:29" ht="21.6" thickBot="1">
      <c r="A50" s="3147" t="s">
        <v>3106</v>
      </c>
      <c r="B50" s="3148"/>
      <c r="C50" s="3149">
        <f>R50</f>
        <v>2447</v>
      </c>
      <c r="D50" s="3149"/>
      <c r="E50" s="3149"/>
      <c r="F50" s="3149"/>
      <c r="G50" s="3149"/>
      <c r="H50" s="3149"/>
      <c r="I50" s="3149"/>
      <c r="J50" s="3149"/>
      <c r="K50" s="3150"/>
      <c r="L50" s="3136"/>
      <c r="M50" s="2977"/>
      <c r="N50" s="2977"/>
      <c r="O50" s="3137"/>
      <c r="P50" s="3693" t="str">
        <f>A50</f>
        <v>估价对象XX用房的比较价格（楼面单价，元/平方米）</v>
      </c>
      <c r="Q50" s="3694"/>
      <c r="R50" s="3695">
        <f>ROUND(AVERAGE(R49:V49),0)</f>
        <v>2447</v>
      </c>
      <c r="S50" s="3695"/>
      <c r="T50" s="3695"/>
      <c r="U50" s="3695"/>
      <c r="V50" s="3695"/>
      <c r="W50" s="3695"/>
      <c r="X50" s="3138"/>
      <c r="Y50" s="3138"/>
      <c r="Z50" s="3138"/>
      <c r="AA50" s="3138"/>
      <c r="AB50" s="3138"/>
      <c r="AC50" s="3138"/>
    </row>
    <row r="51" spans="1:29" ht="21">
      <c r="A51" s="3137"/>
      <c r="B51" s="3137"/>
      <c r="C51" s="3137"/>
      <c r="D51" s="3137"/>
      <c r="E51" s="3137"/>
      <c r="F51" s="3137"/>
      <c r="G51" s="3151"/>
      <c r="H51" s="3137"/>
      <c r="I51" s="3137"/>
      <c r="J51" s="3137"/>
      <c r="K51" s="3152"/>
      <c r="L51" s="3153"/>
      <c r="M51" s="2977"/>
      <c r="N51" s="2977"/>
      <c r="O51" s="3137"/>
      <c r="P51" s="3138"/>
      <c r="Q51" s="3137"/>
      <c r="R51" s="3137"/>
      <c r="S51" s="3137"/>
      <c r="T51" s="3137"/>
      <c r="U51" s="3137"/>
      <c r="V51" s="3137"/>
      <c r="W51" s="3137"/>
      <c r="X51" s="3137"/>
      <c r="Y51" s="3137"/>
      <c r="Z51" s="3137"/>
      <c r="AA51" s="3137"/>
      <c r="AB51" s="3137"/>
      <c r="AC51" s="3137"/>
    </row>
    <row r="52" spans="1:29" ht="21">
      <c r="A52" s="3137"/>
      <c r="B52" s="3137"/>
      <c r="C52" s="3137"/>
      <c r="D52" s="3137"/>
      <c r="E52" s="3137"/>
      <c r="F52" s="3137"/>
      <c r="G52" s="3137"/>
      <c r="H52" s="3137"/>
      <c r="I52" s="3137"/>
      <c r="J52" s="3137"/>
      <c r="K52" s="3152"/>
      <c r="L52" s="3153"/>
      <c r="M52" s="2977"/>
      <c r="N52" s="2977"/>
      <c r="O52" s="3137"/>
      <c r="P52" s="3138"/>
      <c r="Q52" s="3137"/>
      <c r="R52" s="3137"/>
      <c r="S52" s="3137"/>
      <c r="T52" s="3137"/>
      <c r="U52" s="3137"/>
      <c r="V52" s="3137"/>
      <c r="W52" s="3137"/>
      <c r="X52" s="3137"/>
      <c r="Y52" s="3137"/>
      <c r="Z52" s="3137"/>
      <c r="AA52" s="3137"/>
      <c r="AB52" s="3137"/>
      <c r="AC52" s="3137"/>
    </row>
    <row r="53" spans="1:29" ht="13.5" customHeight="1">
      <c r="A53" s="3137"/>
      <c r="B53" s="3137"/>
      <c r="C53" s="3154" t="s">
        <v>3107</v>
      </c>
      <c r="D53" s="3155"/>
      <c r="E53" s="3156">
        <f>IF(E48&lt;E49,E49/E48-1,E48/E49-1)</f>
        <v>4.3693322341302521E-2</v>
      </c>
      <c r="F53" s="3157" t="str">
        <f>IF(OR(E53&gt;=0.3,E53&lt;=-0.3),"超过30%","")</f>
        <v/>
      </c>
      <c r="G53" s="3156">
        <f>IF(G48&lt;G49,G49/G48-1,G48/G49-1)</f>
        <v>4.3933897621926565E-2</v>
      </c>
      <c r="H53" s="3157" t="str">
        <f>IF(OR(G53&gt;=0.3,G53&lt;=-0.3),"超过30%","")</f>
        <v/>
      </c>
      <c r="I53" s="3156">
        <f>IF(I48&lt;I49,I49/I48-1,I48/I49-1)</f>
        <v>6.6794810187409848E-2</v>
      </c>
      <c r="J53" s="3157" t="str">
        <f>IF(OR(I53&gt;=0.3,I53&lt;=-0.3),"超过30%","")</f>
        <v/>
      </c>
      <c r="K53" s="3152"/>
      <c r="L53" s="3153"/>
      <c r="M53" s="2977"/>
      <c r="N53" s="2977"/>
      <c r="O53" s="3137"/>
      <c r="P53" s="3138"/>
      <c r="Q53" s="3137"/>
      <c r="R53" s="3137"/>
      <c r="S53" s="3137"/>
      <c r="T53" s="3137"/>
      <c r="U53" s="3137"/>
      <c r="V53" s="3137"/>
      <c r="W53" s="3137"/>
      <c r="X53" s="3137"/>
      <c r="Y53" s="3137"/>
      <c r="Z53" s="3137"/>
      <c r="AA53" s="3137"/>
      <c r="AB53" s="3137"/>
      <c r="AC53" s="3137"/>
    </row>
    <row r="54" spans="1:29" ht="13.5" customHeight="1">
      <c r="A54" s="3137"/>
      <c r="B54" s="3137"/>
      <c r="C54" s="3154" t="s">
        <v>3108</v>
      </c>
      <c r="D54" s="3158"/>
      <c r="E54" s="3156">
        <f>IF(E49&lt;G49,G49/E49-1,E49/G49-1)</f>
        <v>2.2906793048973251E-2</v>
      </c>
      <c r="F54" s="3157" t="str">
        <f>IF(OR(E54&gt;=0.2,E54&lt;=-0.2),"超过20%","")</f>
        <v/>
      </c>
      <c r="G54" s="3156">
        <f>IF(G49&lt;I49,I49/G49-1,G49/I49-1)</f>
        <v>0.16666666666666674</v>
      </c>
      <c r="H54" s="3157" t="str">
        <f>IF(OR(G54&gt;=0.2,G54&lt;=-0.2),"超过20%","")</f>
        <v/>
      </c>
      <c r="I54" s="3156">
        <f>IF(I49&lt;E49,E49/I49-1,I49/E49-1)</f>
        <v>0.14054054054054044</v>
      </c>
      <c r="J54" s="3157" t="str">
        <f>IF(OR(I54&gt;=0.2,I54&lt;=-0.2),"超过20%","")</f>
        <v/>
      </c>
      <c r="K54" s="3152"/>
      <c r="L54" s="3153"/>
      <c r="M54" s="2977"/>
      <c r="N54" s="2977"/>
      <c r="O54" s="3137"/>
      <c r="P54" s="3138"/>
      <c r="Q54" s="3137"/>
      <c r="R54" s="3137"/>
      <c r="S54" s="3137"/>
      <c r="T54" s="3137"/>
      <c r="U54" s="3137"/>
      <c r="V54" s="3137"/>
      <c r="W54" s="3137"/>
      <c r="X54" s="3137"/>
      <c r="Y54" s="3137"/>
      <c r="Z54" s="3137"/>
      <c r="AA54" s="3137"/>
      <c r="AB54" s="3137"/>
      <c r="AC54" s="3137"/>
    </row>
    <row r="55" spans="1:29" s="3163" customFormat="1" ht="13.5" customHeight="1">
      <c r="A55" s="3159"/>
      <c r="B55" s="3159"/>
      <c r="C55" s="3154" t="s">
        <v>3109</v>
      </c>
      <c r="D55" s="3158"/>
      <c r="E55" s="3156">
        <f>IF(E48&lt;G48,G48/E48-1,E48/G48-1)</f>
        <v>2.2671063478977738E-2</v>
      </c>
      <c r="F55" s="3157" t="str">
        <f>IF(OR(E55&gt;=0.3,E55&lt;=-0.3),"超过30%","")</f>
        <v/>
      </c>
      <c r="G55" s="3156">
        <f>IF(G48&lt;I48,I48/G48-1,G48/I48-1)</f>
        <v>0.19221528111484854</v>
      </c>
      <c r="H55" s="3157" t="str">
        <f>IF(OR(G55&gt;=0.3,G55&lt;=-0.3),"超过30%","")</f>
        <v/>
      </c>
      <c r="I55" s="3156">
        <f>IF(I48&lt;E48,E48/I48-1,I48/E48-1)</f>
        <v>0.16578567996155691</v>
      </c>
      <c r="J55" s="3157" t="str">
        <f>IF(OR(I55&gt;=0.3,I55&lt;=-0.3),"超过30%","")</f>
        <v/>
      </c>
      <c r="K55" s="3160"/>
      <c r="L55" s="3161"/>
      <c r="M55" s="2977"/>
      <c r="N55" s="2977"/>
      <c r="O55" s="3159"/>
      <c r="P55" s="3162"/>
      <c r="Q55" s="3159"/>
      <c r="R55" s="3159"/>
      <c r="S55" s="3159"/>
      <c r="T55" s="3159"/>
      <c r="U55" s="3159"/>
      <c r="V55" s="3159"/>
      <c r="W55" s="3159"/>
      <c r="X55" s="3159"/>
      <c r="Y55" s="3159"/>
      <c r="Z55" s="3159"/>
      <c r="AA55" s="3159"/>
      <c r="AB55" s="3159"/>
      <c r="AC55" s="3159"/>
    </row>
    <row r="56" spans="1:29" s="3163" customFormat="1" ht="21.6" thickBot="1">
      <c r="A56" s="3159"/>
      <c r="B56" s="3164"/>
      <c r="C56" s="3165"/>
      <c r="D56" s="3159"/>
      <c r="E56" s="3159"/>
      <c r="F56" s="3159"/>
      <c r="G56" s="3159"/>
      <c r="H56" s="3159"/>
      <c r="I56" s="3159"/>
      <c r="J56" s="3159"/>
      <c r="K56" s="3160"/>
      <c r="L56" s="3161"/>
      <c r="M56" s="2977"/>
      <c r="N56" s="2977"/>
      <c r="O56" s="3159"/>
      <c r="P56" s="3162"/>
      <c r="Q56" s="3159"/>
      <c r="R56" s="3159"/>
      <c r="S56" s="3159"/>
      <c r="T56" s="3159"/>
      <c r="U56" s="3159"/>
      <c r="V56" s="3159"/>
      <c r="W56" s="3159"/>
      <c r="X56" s="3159"/>
      <c r="Y56" s="3159"/>
      <c r="Z56" s="3159"/>
      <c r="AA56" s="3159"/>
      <c r="AB56" s="3159"/>
      <c r="AC56" s="3159"/>
    </row>
    <row r="57" spans="1:29" ht="26.25" customHeight="1">
      <c r="A57" s="3166" t="s">
        <v>3110</v>
      </c>
      <c r="B57" s="3167" t="s">
        <v>3111</v>
      </c>
      <c r="C57" s="3168" t="s">
        <v>3327</v>
      </c>
      <c r="D57" s="3169" t="s">
        <v>3112</v>
      </c>
      <c r="E57" s="3170" t="s">
        <v>3113</v>
      </c>
      <c r="F57" s="3171" t="s">
        <v>3114</v>
      </c>
      <c r="G57" s="3698" t="s">
        <v>3115</v>
      </c>
      <c r="H57" s="3699"/>
      <c r="I57" s="3172" t="s">
        <v>3116</v>
      </c>
      <c r="J57" s="3172">
        <f>[1]项目基本情况!F41</f>
        <v>0</v>
      </c>
      <c r="K57" s="3173" t="s">
        <v>3117</v>
      </c>
      <c r="L57" s="3153"/>
      <c r="M57" s="3137"/>
      <c r="N57" s="3137"/>
      <c r="O57" s="3137"/>
      <c r="P57" s="3137"/>
      <c r="Q57" s="3137"/>
      <c r="R57" s="3137"/>
      <c r="S57" s="3137"/>
      <c r="T57" s="3137"/>
      <c r="U57" s="3137"/>
      <c r="V57" s="3137"/>
      <c r="W57" s="3137"/>
      <c r="X57" s="3137"/>
      <c r="Y57" s="3137"/>
      <c r="Z57" s="3137"/>
      <c r="AA57" s="3137"/>
      <c r="AB57" s="3137"/>
      <c r="AC57" s="3137"/>
    </row>
    <row r="58" spans="1:29" s="3179" customFormat="1" ht="13.2">
      <c r="A58" s="3174" t="s">
        <v>3118</v>
      </c>
      <c r="B58" s="689">
        <f>C50</f>
        <v>2447</v>
      </c>
      <c r="C58" s="3175">
        <v>1</v>
      </c>
      <c r="D58" s="3176">
        <v>1</v>
      </c>
      <c r="E58" s="3175">
        <f>'[1]数据-汇总表'!E8+'[1]数据-汇总表'!E9</f>
        <v>52432.130000000005</v>
      </c>
      <c r="F58" s="691">
        <f t="shared" ref="F58:F67" si="15">ROUND(B58*E58/10000,0)</f>
        <v>12830</v>
      </c>
      <c r="G58" s="3700"/>
      <c r="H58" s="3701"/>
      <c r="I58" s="3177">
        <v>1</v>
      </c>
      <c r="J58" s="3177">
        <v>1</v>
      </c>
      <c r="K58" s="3178"/>
      <c r="L58" s="3178"/>
      <c r="M58" s="3178"/>
      <c r="N58" s="3178"/>
      <c r="O58" s="3178"/>
      <c r="P58" s="3178"/>
      <c r="Q58" s="3178"/>
      <c r="R58" s="3178"/>
      <c r="S58" s="3178"/>
      <c r="T58" s="3178"/>
      <c r="U58" s="3178"/>
      <c r="V58" s="3178"/>
      <c r="W58" s="3178"/>
      <c r="X58" s="3178"/>
      <c r="Y58" s="3178"/>
      <c r="Z58" s="3178"/>
      <c r="AA58" s="3178"/>
      <c r="AB58" s="3178"/>
      <c r="AC58" s="3178"/>
    </row>
    <row r="59" spans="1:29" s="3179" customFormat="1" ht="13.2">
      <c r="A59" s="693" t="s">
        <v>3119</v>
      </c>
      <c r="B59" s="262">
        <f>ROUND($C$50*C59*D59,0)</f>
        <v>0</v>
      </c>
      <c r="C59" s="3180">
        <f t="shared" ref="C59:C67" si="16">IF($C$57="北京市系数",I59,J59)</f>
        <v>0</v>
      </c>
      <c r="D59" s="3181">
        <v>0.25</v>
      </c>
      <c r="E59" s="694">
        <v>0</v>
      </c>
      <c r="F59" s="691">
        <f t="shared" si="15"/>
        <v>0</v>
      </c>
      <c r="G59" s="3702" t="s">
        <v>3120</v>
      </c>
      <c r="H59" s="3182">
        <f>[1]项目基本情况!B43</f>
        <v>0</v>
      </c>
      <c r="I59" s="3177" t="e">
        <f>SUMIF([1]修正!$A$45:$A$56,H59,[1]修正!B45:B56)</f>
        <v>#VALUE!</v>
      </c>
      <c r="J59" s="3183"/>
      <c r="K59" s="3178"/>
      <c r="L59" s="3178"/>
      <c r="M59" s="3178"/>
      <c r="N59" s="3178"/>
      <c r="O59" s="3178"/>
      <c r="P59" s="3178"/>
      <c r="Q59" s="3178"/>
      <c r="R59" s="3178"/>
      <c r="S59" s="3178"/>
      <c r="T59" s="3178"/>
      <c r="U59" s="3178"/>
      <c r="V59" s="3178"/>
      <c r="W59" s="3178"/>
      <c r="X59" s="3178"/>
      <c r="Y59" s="3178"/>
      <c r="Z59" s="3178"/>
      <c r="AA59" s="3178"/>
      <c r="AB59" s="3178"/>
      <c r="AC59" s="3178"/>
    </row>
    <row r="60" spans="1:29" s="3179" customFormat="1" ht="13.2">
      <c r="A60" s="693" t="s">
        <v>3121</v>
      </c>
      <c r="B60" s="262">
        <f t="shared" ref="B60:B67" si="17">ROUND($C$50*C60*D60,0)</f>
        <v>0</v>
      </c>
      <c r="C60" s="3180">
        <f t="shared" si="16"/>
        <v>0</v>
      </c>
      <c r="D60" s="3181">
        <v>0.25</v>
      </c>
      <c r="E60" s="694">
        <v>0</v>
      </c>
      <c r="F60" s="691">
        <f t="shared" si="15"/>
        <v>0</v>
      </c>
      <c r="G60" s="3702"/>
      <c r="H60" s="3182">
        <f>[1]项目基本情况!B43</f>
        <v>0</v>
      </c>
      <c r="I60" s="3177" t="e">
        <f>SUMIF([1]修正!$A$45:$A$56,H60,[1]修正!C45:C56)</f>
        <v>#VALUE!</v>
      </c>
      <c r="J60" s="3183"/>
      <c r="K60" s="3178"/>
      <c r="L60" s="3178"/>
      <c r="M60" s="3178"/>
      <c r="N60" s="3178"/>
      <c r="O60" s="3178"/>
      <c r="P60" s="3178"/>
      <c r="Q60" s="3178"/>
      <c r="R60" s="3178"/>
      <c r="S60" s="3178"/>
      <c r="T60" s="3178"/>
      <c r="U60" s="3178"/>
      <c r="V60" s="3178"/>
      <c r="W60" s="3178"/>
      <c r="X60" s="3178"/>
      <c r="Y60" s="3178"/>
      <c r="Z60" s="3178"/>
      <c r="AA60" s="3178"/>
      <c r="AB60" s="3178"/>
      <c r="AC60" s="3178"/>
    </row>
    <row r="61" spans="1:29" s="3179" customFormat="1" ht="13.2">
      <c r="A61" s="693" t="s">
        <v>3122</v>
      </c>
      <c r="B61" s="262">
        <f t="shared" si="17"/>
        <v>0</v>
      </c>
      <c r="C61" s="3180">
        <f t="shared" si="16"/>
        <v>0</v>
      </c>
      <c r="D61" s="3181">
        <v>0.25</v>
      </c>
      <c r="E61" s="694">
        <v>0</v>
      </c>
      <c r="F61" s="691">
        <f t="shared" si="15"/>
        <v>0</v>
      </c>
      <c r="G61" s="3702"/>
      <c r="H61" s="3182">
        <f>[1]项目基本情况!B43</f>
        <v>0</v>
      </c>
      <c r="I61" s="3177" t="e">
        <f>SUMIF([1]修正!$A$45:$A$56,H61,[1]修正!D45:D56)</f>
        <v>#VALUE!</v>
      </c>
      <c r="J61" s="3183"/>
      <c r="K61" s="3178"/>
      <c r="L61" s="3178"/>
      <c r="M61" s="3178"/>
      <c r="N61" s="3178"/>
      <c r="O61" s="3178"/>
      <c r="P61" s="3178"/>
      <c r="Q61" s="3178"/>
      <c r="R61" s="3178"/>
      <c r="S61" s="3178"/>
      <c r="T61" s="3178"/>
      <c r="U61" s="3178"/>
      <c r="V61" s="3178"/>
      <c r="W61" s="3178"/>
      <c r="X61" s="3178"/>
      <c r="Y61" s="3178"/>
      <c r="Z61" s="3178"/>
      <c r="AA61" s="3178"/>
      <c r="AB61" s="3178"/>
      <c r="AC61" s="3178"/>
    </row>
    <row r="62" spans="1:29" s="3179" customFormat="1" ht="13.2">
      <c r="A62" s="693" t="s">
        <v>3123</v>
      </c>
      <c r="B62" s="262">
        <f t="shared" si="17"/>
        <v>0</v>
      </c>
      <c r="C62" s="3180">
        <f t="shared" si="16"/>
        <v>0</v>
      </c>
      <c r="D62" s="3181">
        <v>0.25</v>
      </c>
      <c r="E62" s="694">
        <v>0</v>
      </c>
      <c r="F62" s="691">
        <f t="shared" si="15"/>
        <v>0</v>
      </c>
      <c r="G62" s="3702"/>
      <c r="H62" s="3182">
        <f>[1]项目基本情况!B43</f>
        <v>0</v>
      </c>
      <c r="I62" s="3177" t="e">
        <f>SUMIF([1]修正!$A$45:$A$56,H62,[1]修正!E45:E56)</f>
        <v>#VALUE!</v>
      </c>
      <c r="J62" s="3183"/>
      <c r="K62" s="3178"/>
      <c r="L62" s="3178"/>
      <c r="M62" s="3178"/>
      <c r="N62" s="3178"/>
      <c r="O62" s="3178"/>
      <c r="P62" s="3178"/>
      <c r="Q62" s="3178"/>
      <c r="R62" s="3178"/>
      <c r="S62" s="3178"/>
      <c r="T62" s="3178"/>
      <c r="U62" s="3178"/>
      <c r="V62" s="3178"/>
      <c r="W62" s="3178"/>
      <c r="X62" s="3178"/>
      <c r="Y62" s="3178"/>
      <c r="Z62" s="3178"/>
      <c r="AA62" s="3178"/>
      <c r="AB62" s="3178"/>
      <c r="AC62" s="3178"/>
    </row>
    <row r="63" spans="1:29" s="3179" customFormat="1" ht="13.2">
      <c r="A63" s="3184" t="s">
        <v>3124</v>
      </c>
      <c r="B63" s="262">
        <f t="shared" si="17"/>
        <v>0</v>
      </c>
      <c r="C63" s="3180">
        <f t="shared" si="16"/>
        <v>0</v>
      </c>
      <c r="D63" s="3181">
        <v>0.25</v>
      </c>
      <c r="E63" s="261">
        <f>'[1]数据-汇总表'!E11</f>
        <v>0</v>
      </c>
      <c r="F63" s="691">
        <f t="shared" si="15"/>
        <v>0</v>
      </c>
      <c r="G63" s="3185" t="s">
        <v>3125</v>
      </c>
      <c r="H63" s="3182">
        <f>[1]项目基本情况!C43</f>
        <v>0</v>
      </c>
      <c r="I63" s="3177" t="e">
        <f>SUMIF([1]修正!$A$45:$A$56,H63,[1]修正!F45:F56)</f>
        <v>#VALUE!</v>
      </c>
      <c r="J63" s="3183"/>
      <c r="K63" s="3178"/>
      <c r="L63" s="3178"/>
      <c r="M63" s="3178"/>
      <c r="N63" s="3178"/>
      <c r="O63" s="3178"/>
      <c r="P63" s="3178"/>
      <c r="Q63" s="3178"/>
      <c r="R63" s="3178"/>
      <c r="S63" s="3178"/>
      <c r="T63" s="3178"/>
      <c r="U63" s="3178"/>
      <c r="V63" s="3178"/>
      <c r="W63" s="3178"/>
      <c r="X63" s="3178"/>
      <c r="Y63" s="3178"/>
      <c r="Z63" s="3178"/>
      <c r="AA63" s="3178"/>
      <c r="AB63" s="3178"/>
      <c r="AC63" s="3178"/>
    </row>
    <row r="64" spans="1:29" s="3179" customFormat="1" ht="13.2">
      <c r="A64" s="693" t="s">
        <v>3126</v>
      </c>
      <c r="B64" s="262">
        <f t="shared" si="17"/>
        <v>0</v>
      </c>
      <c r="C64" s="3180">
        <f t="shared" si="16"/>
        <v>0</v>
      </c>
      <c r="D64" s="3181">
        <v>0.25</v>
      </c>
      <c r="E64" s="261">
        <f>'[1]数据-汇总表'!E12</f>
        <v>0</v>
      </c>
      <c r="F64" s="691">
        <f t="shared" si="15"/>
        <v>0</v>
      </c>
      <c r="G64" s="3186" t="s">
        <v>27</v>
      </c>
      <c r="H64" s="3187">
        <f>IF(G64="商业",[1]项目基本情况!B43,IF(G64="办公",[1]项目基本情况!C43,IF(G64="住宅",[1]项目基本情况!D43,[1]项目基本情况!E43)))</f>
        <v>0</v>
      </c>
      <c r="I64" s="3177" t="e">
        <f>SUMIF([1]修正!$A$45:$A$56,H64,[1]修正!G45:G56)</f>
        <v>#VALUE!</v>
      </c>
      <c r="J64" s="3183"/>
      <c r="K64" s="3178"/>
      <c r="L64" s="3178"/>
      <c r="M64" s="3178"/>
      <c r="N64" s="3178"/>
      <c r="O64" s="3178"/>
      <c r="P64" s="3178"/>
      <c r="Q64" s="3178"/>
      <c r="R64" s="3178"/>
      <c r="S64" s="3178"/>
      <c r="T64" s="3178"/>
      <c r="U64" s="3178"/>
      <c r="V64" s="3178"/>
      <c r="W64" s="3178"/>
      <c r="X64" s="3178"/>
      <c r="Y64" s="3178"/>
      <c r="Z64" s="3178"/>
      <c r="AA64" s="3178"/>
      <c r="AB64" s="3178"/>
      <c r="AC64" s="3178"/>
    </row>
    <row r="65" spans="1:29" s="3179" customFormat="1" ht="13.2">
      <c r="A65" s="693" t="s">
        <v>3127</v>
      </c>
      <c r="B65" s="262">
        <f t="shared" si="17"/>
        <v>0</v>
      </c>
      <c r="C65" s="3180">
        <f t="shared" si="16"/>
        <v>0</v>
      </c>
      <c r="D65" s="3181">
        <v>0.25</v>
      </c>
      <c r="E65" s="261">
        <f>'[1]数据-汇总表'!E13</f>
        <v>28390.01</v>
      </c>
      <c r="F65" s="691">
        <f t="shared" si="15"/>
        <v>0</v>
      </c>
      <c r="G65" s="3186" t="s">
        <v>3040</v>
      </c>
      <c r="H65" s="3187">
        <f>IF(G65="商业",[1]项目基本情况!B43,IF(G65="办公",[1]项目基本情况!C43,IF(G65="住宅",[1]项目基本情况!D43,[1]项目基本情况!E43)))</f>
        <v>0</v>
      </c>
      <c r="I65" s="3177" t="e">
        <f>SUMIF([1]修正!$A$45:$A$56,H65,[1]修正!H45:H56)</f>
        <v>#VALUE!</v>
      </c>
      <c r="J65" s="3183"/>
      <c r="K65" s="3178"/>
      <c r="L65" s="3178"/>
      <c r="M65" s="3178"/>
      <c r="N65" s="3178"/>
      <c r="O65" s="3178"/>
      <c r="P65" s="3178"/>
      <c r="Q65" s="3178"/>
      <c r="R65" s="3178"/>
      <c r="S65" s="3178"/>
      <c r="T65" s="3178"/>
      <c r="U65" s="3178"/>
      <c r="V65" s="3178"/>
      <c r="W65" s="3178"/>
      <c r="X65" s="3178"/>
      <c r="Y65" s="3178"/>
      <c r="Z65" s="3178"/>
      <c r="AA65" s="3178"/>
      <c r="AB65" s="3178"/>
      <c r="AC65" s="3178"/>
    </row>
    <row r="66" spans="1:29" s="3179" customFormat="1" ht="13.2">
      <c r="A66" s="693" t="s">
        <v>3128</v>
      </c>
      <c r="B66" s="262">
        <f t="shared" si="17"/>
        <v>0</v>
      </c>
      <c r="C66" s="3180">
        <f t="shared" si="16"/>
        <v>0</v>
      </c>
      <c r="D66" s="3181">
        <v>0.25</v>
      </c>
      <c r="E66" s="261">
        <f>'[1]数据-汇总表'!E14</f>
        <v>0</v>
      </c>
      <c r="F66" s="691">
        <f t="shared" si="15"/>
        <v>0</v>
      </c>
      <c r="G66" s="3185" t="s">
        <v>3129</v>
      </c>
      <c r="H66" s="3182">
        <f>[1]项目基本情况!B43</f>
        <v>0</v>
      </c>
      <c r="I66" s="3177" t="e">
        <f>SUMIF([1]修正!$A$45:$A$56,H66,[1]修正!H45:H56)</f>
        <v>#VALUE!</v>
      </c>
      <c r="J66" s="3183"/>
      <c r="K66" s="3178"/>
      <c r="L66" s="3178"/>
      <c r="M66" s="3178"/>
      <c r="N66" s="3178"/>
      <c r="O66" s="3178"/>
      <c r="P66" s="3178"/>
      <c r="Q66" s="3178"/>
      <c r="R66" s="3178"/>
      <c r="S66" s="3178"/>
      <c r="T66" s="3178"/>
      <c r="U66" s="3178"/>
      <c r="V66" s="3178"/>
      <c r="W66" s="3178"/>
      <c r="X66" s="3178"/>
      <c r="Y66" s="3178"/>
      <c r="Z66" s="3178"/>
      <c r="AA66" s="3178"/>
      <c r="AB66" s="3178"/>
      <c r="AC66" s="3178"/>
    </row>
    <row r="67" spans="1:29" s="3179" customFormat="1" thickBot="1">
      <c r="A67" s="693" t="s">
        <v>3130</v>
      </c>
      <c r="B67" s="262">
        <f t="shared" si="17"/>
        <v>0</v>
      </c>
      <c r="C67" s="3180">
        <f t="shared" si="16"/>
        <v>0</v>
      </c>
      <c r="D67" s="3181">
        <v>0.25</v>
      </c>
      <c r="E67" s="261">
        <f>'[1]数据-汇总表'!E15</f>
        <v>0</v>
      </c>
      <c r="F67" s="691">
        <f t="shared" si="15"/>
        <v>0</v>
      </c>
      <c r="G67" s="3188" t="s">
        <v>3125</v>
      </c>
      <c r="H67" s="3189">
        <f>[1]项目基本情况!C43</f>
        <v>0</v>
      </c>
      <c r="I67" s="3177" t="e">
        <f>SUMIF([1]修正!$A$45:$A$56,H67,[1]修正!H45:H56)</f>
        <v>#VALUE!</v>
      </c>
      <c r="J67" s="3183"/>
      <c r="K67" s="3178"/>
      <c r="L67" s="3178"/>
      <c r="M67" s="3178"/>
      <c r="N67" s="3178"/>
      <c r="O67" s="3178"/>
      <c r="P67" s="3178"/>
      <c r="Q67" s="3178"/>
      <c r="R67" s="3178"/>
      <c r="S67" s="3178"/>
      <c r="T67" s="3178"/>
      <c r="U67" s="3178"/>
      <c r="V67" s="3178"/>
      <c r="W67" s="3178"/>
      <c r="X67" s="3178"/>
      <c r="Y67" s="3178"/>
      <c r="Z67" s="3178"/>
      <c r="AA67" s="3178"/>
      <c r="AB67" s="3178"/>
      <c r="AC67" s="3178"/>
    </row>
    <row r="68" spans="1:29" s="3179" customFormat="1" thickBot="1">
      <c r="A68" s="695" t="s">
        <v>3131</v>
      </c>
      <c r="B68" s="3190" t="s">
        <v>3132</v>
      </c>
      <c r="C68" s="3190" t="s">
        <v>3132</v>
      </c>
      <c r="D68" s="3190" t="s">
        <v>3132</v>
      </c>
      <c r="E68" s="3190">
        <f>IF(B48="楼面地价",SUM(E58:E67),'[1]数据-汇总表'!D3)</f>
        <v>80822.14</v>
      </c>
      <c r="F68" s="3191">
        <f>IF(B48="楼面地价",SUM(F58:F67),ROUND(C50*E68/10000,0))</f>
        <v>12830</v>
      </c>
      <c r="G68" s="3192"/>
      <c r="H68" s="3192"/>
      <c r="I68" s="3192"/>
      <c r="J68" s="3192"/>
      <c r="K68" s="3192"/>
      <c r="L68" s="3178"/>
      <c r="M68" s="3178"/>
      <c r="N68" s="3178"/>
      <c r="O68" s="3178"/>
      <c r="P68" s="3178"/>
      <c r="Q68" s="3178"/>
      <c r="R68" s="3178"/>
      <c r="S68" s="3178"/>
      <c r="T68" s="3178"/>
      <c r="U68" s="3178"/>
      <c r="V68" s="3178"/>
      <c r="W68" s="3178"/>
      <c r="X68" s="3178"/>
      <c r="Y68" s="3178"/>
      <c r="Z68" s="3178"/>
      <c r="AA68" s="3178"/>
      <c r="AB68" s="3178"/>
      <c r="AC68" s="3178"/>
    </row>
    <row r="69" spans="1:29">
      <c r="A69" s="3137"/>
      <c r="B69" s="3164"/>
      <c r="C69" s="3165"/>
      <c r="D69" s="3137"/>
      <c r="E69" s="3137"/>
      <c r="F69" s="3137"/>
      <c r="G69" s="3137"/>
      <c r="H69" s="3137"/>
      <c r="I69" s="3137"/>
      <c r="J69" s="3137"/>
      <c r="K69" s="3152"/>
      <c r="L69" s="3153"/>
      <c r="M69" s="3137"/>
      <c r="N69" s="3137"/>
      <c r="O69" s="3137"/>
      <c r="P69" s="3137"/>
      <c r="Q69" s="3137"/>
      <c r="R69" s="3137"/>
      <c r="S69" s="3137"/>
      <c r="T69" s="3137"/>
      <c r="U69" s="3137"/>
      <c r="V69" s="3137"/>
      <c r="W69" s="3137"/>
      <c r="X69" s="3137"/>
      <c r="Y69" s="3137"/>
      <c r="Z69" s="3137"/>
      <c r="AA69" s="3137"/>
      <c r="AB69" s="3137"/>
      <c r="AC69" s="3137"/>
    </row>
    <row r="70" spans="1:29">
      <c r="A70" s="3137"/>
      <c r="B70" s="3164"/>
      <c r="C70" s="3193" t="str">
        <f>YEAR(C9)&amp;"-"&amp;MONTH(C9)&amp;"-1"</f>
        <v>2019-7-1</v>
      </c>
      <c r="D70" s="3193">
        <f>EDATE(C70,-3)</f>
        <v>43556</v>
      </c>
      <c r="E70" s="3193">
        <f t="shared" ref="E70:N70" si="18">EDATE(D70,-3)</f>
        <v>43466</v>
      </c>
      <c r="F70" s="3193">
        <f t="shared" si="18"/>
        <v>43374</v>
      </c>
      <c r="G70" s="3193">
        <f t="shared" si="18"/>
        <v>43282</v>
      </c>
      <c r="H70" s="3193">
        <f t="shared" si="18"/>
        <v>43191</v>
      </c>
      <c r="I70" s="3193">
        <f t="shared" si="18"/>
        <v>43101</v>
      </c>
      <c r="J70" s="3193">
        <f t="shared" si="18"/>
        <v>43009</v>
      </c>
      <c r="K70" s="3193">
        <f t="shared" si="18"/>
        <v>42917</v>
      </c>
      <c r="L70" s="3193">
        <f t="shared" si="18"/>
        <v>42826</v>
      </c>
      <c r="M70" s="3193">
        <f t="shared" si="18"/>
        <v>42736</v>
      </c>
      <c r="N70" s="3193">
        <f t="shared" si="18"/>
        <v>42644</v>
      </c>
      <c r="O70" s="3137"/>
      <c r="P70" s="3137"/>
      <c r="Q70" s="3137"/>
      <c r="R70" s="3137"/>
      <c r="S70" s="3137"/>
      <c r="T70" s="3137"/>
      <c r="U70" s="3137"/>
      <c r="V70" s="3137"/>
      <c r="W70" s="3137"/>
      <c r="X70" s="3137"/>
      <c r="Y70" s="3137"/>
      <c r="Z70" s="3137"/>
      <c r="AA70" s="3137"/>
      <c r="AB70" s="3137"/>
      <c r="AC70" s="3137"/>
    </row>
    <row r="71" spans="1:29" ht="22.2" thickBot="1">
      <c r="A71" s="3194" t="s">
        <v>3133</v>
      </c>
      <c r="B71" s="3138"/>
      <c r="C71" s="3195"/>
      <c r="D71" s="3195"/>
      <c r="E71" s="3195"/>
      <c r="F71" s="3196"/>
      <c r="G71" s="3196"/>
      <c r="H71" s="3195"/>
      <c r="I71" s="3195"/>
      <c r="J71" s="3195"/>
      <c r="K71" s="3197"/>
      <c r="L71" s="3198"/>
      <c r="M71" s="3195"/>
      <c r="N71" s="3195"/>
      <c r="O71" s="3199"/>
      <c r="P71" s="3199"/>
      <c r="Q71" s="3200"/>
      <c r="R71" s="3137"/>
      <c r="S71" s="3137"/>
      <c r="T71" s="3137"/>
      <c r="U71" s="3137"/>
      <c r="V71" s="3137"/>
      <c r="W71" s="3137"/>
      <c r="X71" s="3137"/>
      <c r="Y71" s="3137"/>
      <c r="Z71" s="3137"/>
      <c r="AA71" s="3137"/>
      <c r="AB71" s="3137"/>
      <c r="AC71" s="3137"/>
    </row>
    <row r="72" spans="1:29" s="3207" customFormat="1" ht="14.4">
      <c r="A72" s="3201" t="s">
        <v>3134</v>
      </c>
      <c r="B72" s="3202"/>
      <c r="C72" s="3203" t="str">
        <f>YEAR(C70)&amp;"-"&amp;ROUNDUP(MONTH(C70)/3,0)</f>
        <v>2019-3</v>
      </c>
      <c r="D72" s="3203" t="str">
        <f>YEAR(D70)&amp;"-"&amp;ROUNDUP(MONTH(D70)/3,0)</f>
        <v>2019-2</v>
      </c>
      <c r="E72" s="3203" t="str">
        <f t="shared" ref="E72:N72" si="19">YEAR(E70)&amp;"-"&amp;ROUNDUP(MONTH(E70)/3,0)</f>
        <v>2019-1</v>
      </c>
      <c r="F72" s="3203" t="str">
        <f t="shared" si="19"/>
        <v>2018-4</v>
      </c>
      <c r="G72" s="3203" t="str">
        <f t="shared" si="19"/>
        <v>2018-3</v>
      </c>
      <c r="H72" s="3203" t="str">
        <f t="shared" si="19"/>
        <v>2018-2</v>
      </c>
      <c r="I72" s="3203" t="str">
        <f t="shared" si="19"/>
        <v>2018-1</v>
      </c>
      <c r="J72" s="3203" t="str">
        <f t="shared" si="19"/>
        <v>2017-4</v>
      </c>
      <c r="K72" s="3203" t="str">
        <f t="shared" si="19"/>
        <v>2017-3</v>
      </c>
      <c r="L72" s="3203" t="str">
        <f t="shared" si="19"/>
        <v>2017-2</v>
      </c>
      <c r="M72" s="3203" t="str">
        <f t="shared" si="19"/>
        <v>2017-1</v>
      </c>
      <c r="N72" s="3203" t="str">
        <f t="shared" si="19"/>
        <v>2016-4</v>
      </c>
      <c r="O72" s="3204"/>
      <c r="P72" s="3205"/>
      <c r="Q72" s="3206"/>
      <c r="R72" s="3206"/>
      <c r="S72" s="3206"/>
      <c r="T72" s="3206"/>
      <c r="U72" s="3206"/>
      <c r="V72" s="3206"/>
      <c r="W72" s="3206"/>
      <c r="X72" s="3206"/>
      <c r="Y72" s="3206"/>
      <c r="Z72" s="3206"/>
      <c r="AA72" s="3206"/>
      <c r="AB72" s="3206"/>
      <c r="AC72" s="3206"/>
    </row>
    <row r="73" spans="1:29" s="3010" customFormat="1" ht="27" customHeight="1">
      <c r="A73" s="3208" t="s">
        <v>3135</v>
      </c>
      <c r="B73" s="3209" t="e">
        <f>"北京市平均增长率"&amp;TEXT(SUMIF([1]基准地价!N21:N25,A73,[1]基准地价!P21:P25),"0.00%")</f>
        <v>#VALUE!</v>
      </c>
      <c r="C73" s="3210">
        <v>100</v>
      </c>
      <c r="D73" s="3211">
        <f>C73-1</f>
        <v>99</v>
      </c>
      <c r="E73" s="3211">
        <f t="shared" ref="E73:N73" si="20">D73-1</f>
        <v>98</v>
      </c>
      <c r="F73" s="3211">
        <f t="shared" si="20"/>
        <v>97</v>
      </c>
      <c r="G73" s="3211">
        <f t="shared" si="20"/>
        <v>96</v>
      </c>
      <c r="H73" s="3211">
        <f t="shared" si="20"/>
        <v>95</v>
      </c>
      <c r="I73" s="3211">
        <f t="shared" si="20"/>
        <v>94</v>
      </c>
      <c r="J73" s="3211">
        <f t="shared" si="20"/>
        <v>93</v>
      </c>
      <c r="K73" s="3211">
        <f t="shared" si="20"/>
        <v>92</v>
      </c>
      <c r="L73" s="3211">
        <f t="shared" si="20"/>
        <v>91</v>
      </c>
      <c r="M73" s="3211">
        <f t="shared" si="20"/>
        <v>90</v>
      </c>
      <c r="N73" s="3211">
        <f t="shared" si="20"/>
        <v>89</v>
      </c>
      <c r="O73" s="3212"/>
      <c r="P73" s="3200"/>
      <c r="Q73" s="3213"/>
      <c r="R73" s="3213"/>
      <c r="S73" s="3213"/>
      <c r="T73" s="3213"/>
      <c r="U73" s="3213"/>
      <c r="V73" s="3213"/>
      <c r="W73" s="3213"/>
      <c r="X73" s="3213"/>
      <c r="Y73" s="3213"/>
      <c r="Z73" s="3213"/>
      <c r="AA73" s="3213"/>
      <c r="AB73" s="3213"/>
      <c r="AC73" s="3213"/>
    </row>
    <row r="74" spans="1:29" s="3010" customFormat="1" ht="15" customHeight="1" thickBot="1">
      <c r="A74" s="3214" t="s">
        <v>3136</v>
      </c>
      <c r="B74" s="3215"/>
      <c r="C74" s="3216"/>
      <c r="D74" s="3217"/>
      <c r="E74" s="3217"/>
      <c r="F74" s="3217"/>
      <c r="G74" s="3217"/>
      <c r="H74" s="3217"/>
      <c r="I74" s="3217"/>
      <c r="J74" s="3217"/>
      <c r="K74" s="3217"/>
      <c r="L74" s="3217"/>
      <c r="M74" s="3217"/>
      <c r="N74" s="3217"/>
      <c r="O74" s="3212"/>
      <c r="P74" s="3200"/>
      <c r="Q74" s="3200"/>
      <c r="R74" s="3213"/>
      <c r="S74" s="3213"/>
      <c r="T74" s="3213"/>
      <c r="U74" s="3213"/>
      <c r="V74" s="3213"/>
      <c r="W74" s="3213"/>
      <c r="X74" s="3213"/>
      <c r="Y74" s="3213"/>
      <c r="Z74" s="3213"/>
      <c r="AA74" s="3213"/>
      <c r="AB74" s="3213"/>
      <c r="AC74" s="3213"/>
    </row>
    <row r="75" spans="1:29" s="3010" customFormat="1" ht="14.4">
      <c r="A75" s="3218" t="s">
        <v>3137</v>
      </c>
      <c r="B75" s="3219"/>
      <c r="C75" s="3220" t="s">
        <v>3138</v>
      </c>
      <c r="D75" s="3221"/>
      <c r="E75" s="3221"/>
      <c r="F75" s="3221"/>
      <c r="G75" s="3221"/>
      <c r="H75" s="3221"/>
      <c r="I75" s="3221"/>
      <c r="J75" s="3221"/>
      <c r="K75" s="3221"/>
      <c r="L75" s="3222"/>
      <c r="M75" s="3223"/>
      <c r="N75" s="3212"/>
      <c r="O75" s="3212"/>
      <c r="P75" s="3224"/>
      <c r="Q75" s="3200"/>
      <c r="R75" s="3213"/>
      <c r="S75" s="3213"/>
      <c r="T75" s="3213"/>
      <c r="U75" s="3213"/>
      <c r="V75" s="3213"/>
      <c r="W75" s="3213"/>
      <c r="X75" s="3213"/>
      <c r="Y75" s="3213"/>
      <c r="Z75" s="3213"/>
      <c r="AA75" s="3213"/>
      <c r="AB75" s="3213"/>
      <c r="AC75" s="3213"/>
    </row>
    <row r="76" spans="1:29" s="3010" customFormat="1" ht="14.4" thickBot="1">
      <c r="A76" s="3218"/>
      <c r="B76" s="3219"/>
      <c r="C76" s="3225">
        <v>100</v>
      </c>
      <c r="D76" s="3226"/>
      <c r="E76" s="3226"/>
      <c r="F76" s="3226"/>
      <c r="G76" s="3226"/>
      <c r="H76" s="3226"/>
      <c r="I76" s="3226"/>
      <c r="J76" s="3226"/>
      <c r="K76" s="3226"/>
      <c r="L76" s="3226"/>
      <c r="M76" s="3227"/>
      <c r="N76" s="3212"/>
      <c r="O76" s="3212"/>
      <c r="P76" s="3200"/>
      <c r="Q76" s="3200"/>
      <c r="R76" s="3213"/>
      <c r="S76" s="3213"/>
      <c r="T76" s="3213"/>
      <c r="U76" s="3213"/>
      <c r="V76" s="3213"/>
      <c r="W76" s="3213"/>
      <c r="X76" s="3213"/>
      <c r="Y76" s="3213"/>
      <c r="Z76" s="3213"/>
      <c r="AA76" s="3213"/>
      <c r="AB76" s="3213"/>
      <c r="AC76" s="3213"/>
    </row>
    <row r="77" spans="1:29" ht="14.4">
      <c r="A77" s="3228" t="s">
        <v>3139</v>
      </c>
      <c r="B77" s="3229" t="s">
        <v>3140</v>
      </c>
      <c r="C77" s="3115"/>
      <c r="D77" s="3115"/>
      <c r="E77" s="3115"/>
      <c r="F77" s="3115"/>
      <c r="G77" s="3115"/>
      <c r="H77" s="3115"/>
      <c r="I77" s="3115"/>
      <c r="J77" s="3115"/>
      <c r="K77" s="3230"/>
      <c r="L77" s="3231"/>
      <c r="M77" s="3232"/>
      <c r="N77" s="3233"/>
      <c r="O77" s="3233"/>
      <c r="P77" s="3234"/>
      <c r="Q77" s="3200"/>
      <c r="R77" s="3137"/>
      <c r="S77" s="3137"/>
      <c r="T77" s="3137"/>
      <c r="U77" s="3137"/>
      <c r="V77" s="3137"/>
      <c r="W77" s="3137"/>
      <c r="X77" s="3137"/>
      <c r="Y77" s="3137"/>
      <c r="Z77" s="3137"/>
      <c r="AA77" s="3137"/>
      <c r="AB77" s="3137"/>
      <c r="AC77" s="3137"/>
    </row>
    <row r="78" spans="1:29" ht="14.4" thickBot="1">
      <c r="A78" s="3235"/>
      <c r="B78" s="3236"/>
      <c r="C78" s="3237"/>
      <c r="D78" s="3237"/>
      <c r="E78" s="3237"/>
      <c r="F78" s="3237"/>
      <c r="G78" s="3237"/>
      <c r="H78" s="3237"/>
      <c r="I78" s="3237"/>
      <c r="J78" s="3237"/>
      <c r="K78" s="3237"/>
      <c r="L78" s="3237"/>
      <c r="M78" s="3238"/>
      <c r="N78" s="3239"/>
      <c r="O78" s="3239"/>
      <c r="P78" s="3234"/>
      <c r="Q78" s="3200"/>
      <c r="R78" s="3137"/>
      <c r="S78" s="3137"/>
      <c r="T78" s="3137"/>
      <c r="U78" s="3137"/>
      <c r="V78" s="3137"/>
      <c r="W78" s="3137"/>
      <c r="X78" s="3137"/>
      <c r="Y78" s="3137"/>
      <c r="Z78" s="3137"/>
      <c r="AA78" s="3137"/>
      <c r="AB78" s="3137"/>
      <c r="AC78" s="3137"/>
    </row>
    <row r="79" spans="1:29" ht="29.4" thickTop="1">
      <c r="A79" s="3235"/>
      <c r="B79" s="3240" t="s">
        <v>3141</v>
      </c>
      <c r="C79" s="3241"/>
      <c r="D79" s="3241"/>
      <c r="E79" s="3241"/>
      <c r="F79" s="3241"/>
      <c r="G79" s="3241"/>
      <c r="H79" s="3241"/>
      <c r="I79" s="3241"/>
      <c r="J79" s="3241"/>
      <c r="K79" s="3242"/>
      <c r="L79" s="3243"/>
      <c r="M79" s="3244"/>
      <c r="N79" s="3233"/>
      <c r="O79" s="3233"/>
      <c r="P79" s="3234"/>
      <c r="Q79" s="3200"/>
      <c r="R79" s="3137"/>
      <c r="S79" s="3137"/>
      <c r="T79" s="3137"/>
      <c r="U79" s="3137"/>
      <c r="V79" s="3137"/>
      <c r="W79" s="3137"/>
      <c r="X79" s="3137"/>
      <c r="Y79" s="3137"/>
      <c r="Z79" s="3137"/>
      <c r="AA79" s="3137"/>
      <c r="AB79" s="3137"/>
      <c r="AC79" s="3137"/>
    </row>
    <row r="80" spans="1:29" ht="14.4" thickBot="1">
      <c r="A80" s="3235"/>
      <c r="B80" s="3245"/>
      <c r="C80" s="3246"/>
      <c r="D80" s="3246"/>
      <c r="E80" s="3246"/>
      <c r="F80" s="3246"/>
      <c r="G80" s="3246"/>
      <c r="H80" s="3246"/>
      <c r="I80" s="3246"/>
      <c r="J80" s="3246"/>
      <c r="K80" s="3246"/>
      <c r="L80" s="3246"/>
      <c r="M80" s="3247"/>
      <c r="N80" s="3239"/>
      <c r="O80" s="3239"/>
      <c r="P80" s="3234"/>
      <c r="Q80" s="3200"/>
      <c r="R80" s="3137"/>
      <c r="S80" s="3137"/>
      <c r="T80" s="3137"/>
      <c r="U80" s="3137"/>
      <c r="V80" s="3137"/>
      <c r="W80" s="3137"/>
      <c r="X80" s="3137"/>
      <c r="Y80" s="3137"/>
      <c r="Z80" s="3137"/>
      <c r="AA80" s="3137"/>
      <c r="AB80" s="3137"/>
      <c r="AC80" s="3137"/>
    </row>
    <row r="81" spans="1:29" ht="15" thickTop="1">
      <c r="A81" s="3235"/>
      <c r="B81" s="3248" t="s">
        <v>3142</v>
      </c>
      <c r="C81" s="3249" t="str">
        <f>C82&amp;"（含）"&amp;"-"&amp;D82</f>
        <v>0（含）-1</v>
      </c>
      <c r="D81" s="3249" t="str">
        <f t="shared" ref="D81:L81" si="21">D82&amp;"（含）"&amp;"-"&amp;E82</f>
        <v>1（含）-2</v>
      </c>
      <c r="E81" s="3249" t="str">
        <f t="shared" si="21"/>
        <v>2（含）-3</v>
      </c>
      <c r="F81" s="3249" t="str">
        <f t="shared" si="21"/>
        <v>3（含）-</v>
      </c>
      <c r="G81" s="3249" t="str">
        <f t="shared" si="21"/>
        <v>（含）-</v>
      </c>
      <c r="H81" s="3249" t="str">
        <f t="shared" si="21"/>
        <v>（含）-</v>
      </c>
      <c r="I81" s="3249" t="str">
        <f t="shared" si="21"/>
        <v>（含）-</v>
      </c>
      <c r="J81" s="3249" t="str">
        <f t="shared" si="21"/>
        <v>（含）-</v>
      </c>
      <c r="K81" s="3249" t="str">
        <f t="shared" si="21"/>
        <v>（含）-</v>
      </c>
      <c r="L81" s="3249" t="str">
        <f t="shared" si="21"/>
        <v>（含）-</v>
      </c>
      <c r="M81" s="3068" t="str">
        <f>M82&amp;"（含）"&amp;"-"&amp;P82</f>
        <v>（含）-</v>
      </c>
      <c r="N81" s="3239"/>
      <c r="O81" s="3239"/>
      <c r="P81" s="3234"/>
      <c r="Q81" s="3200"/>
      <c r="R81" s="3137"/>
      <c r="S81" s="3137"/>
      <c r="T81" s="3137"/>
      <c r="U81" s="3137"/>
      <c r="V81" s="3137"/>
      <c r="W81" s="3137"/>
      <c r="X81" s="3137"/>
      <c r="Y81" s="3137"/>
      <c r="Z81" s="3137"/>
      <c r="AA81" s="3137"/>
      <c r="AB81" s="3137"/>
      <c r="AC81" s="3137"/>
    </row>
    <row r="82" spans="1:29">
      <c r="A82" s="3235"/>
      <c r="B82" s="3250"/>
      <c r="C82" s="3045">
        <v>0</v>
      </c>
      <c r="D82" s="3045">
        <v>1</v>
      </c>
      <c r="E82" s="3045">
        <v>2</v>
      </c>
      <c r="F82" s="3045">
        <v>3</v>
      </c>
      <c r="G82" s="3045"/>
      <c r="H82" s="3045"/>
      <c r="I82" s="3045"/>
      <c r="J82" s="3045"/>
      <c r="K82" s="3251"/>
      <c r="L82" s="3252"/>
      <c r="M82" s="3253"/>
      <c r="N82" s="3233"/>
      <c r="O82" s="3233"/>
      <c r="P82" s="3234"/>
      <c r="Q82" s="3200"/>
      <c r="R82" s="3137"/>
      <c r="S82" s="3137"/>
      <c r="T82" s="3137"/>
      <c r="U82" s="3137"/>
      <c r="V82" s="3137"/>
      <c r="W82" s="3137"/>
      <c r="X82" s="3137"/>
      <c r="Y82" s="3137"/>
      <c r="Z82" s="3137"/>
      <c r="AA82" s="3137"/>
      <c r="AB82" s="3137"/>
      <c r="AC82" s="3137"/>
    </row>
    <row r="83" spans="1:29" ht="14.4" thickBot="1">
      <c r="A83" s="3235"/>
      <c r="B83" s="3236"/>
      <c r="C83" s="3246">
        <v>100</v>
      </c>
      <c r="D83" s="3246">
        <f>IF($B$48="单位面积地价",C83+$K13,C83-$K13)</f>
        <v>98</v>
      </c>
      <c r="E83" s="3246">
        <f t="shared" ref="E83:M83" si="22">IF($B$48="单位面积地价",D83+$K13,D83-$K13)</f>
        <v>96</v>
      </c>
      <c r="F83" s="3246">
        <f t="shared" si="22"/>
        <v>94</v>
      </c>
      <c r="G83" s="3246">
        <f t="shared" si="22"/>
        <v>92</v>
      </c>
      <c r="H83" s="3246">
        <f t="shared" si="22"/>
        <v>90</v>
      </c>
      <c r="I83" s="3246">
        <f t="shared" si="22"/>
        <v>88</v>
      </c>
      <c r="J83" s="3246">
        <f t="shared" si="22"/>
        <v>86</v>
      </c>
      <c r="K83" s="3246">
        <f t="shared" si="22"/>
        <v>84</v>
      </c>
      <c r="L83" s="3246">
        <f t="shared" si="22"/>
        <v>82</v>
      </c>
      <c r="M83" s="3246">
        <f t="shared" si="22"/>
        <v>80</v>
      </c>
      <c r="N83" s="3239"/>
      <c r="O83" s="3239"/>
      <c r="P83" s="3234"/>
      <c r="Q83" s="3200"/>
      <c r="R83" s="3137"/>
      <c r="S83" s="3137"/>
      <c r="T83" s="3137"/>
      <c r="U83" s="3137"/>
      <c r="V83" s="3137"/>
      <c r="W83" s="3137"/>
      <c r="X83" s="3137"/>
      <c r="Y83" s="3137"/>
      <c r="Z83" s="3137"/>
      <c r="AA83" s="3137"/>
      <c r="AB83" s="3137"/>
      <c r="AC83" s="3137"/>
    </row>
    <row r="84" spans="1:29" s="3110" customFormat="1" ht="15" thickTop="1">
      <c r="A84" s="3254"/>
      <c r="B84" s="3240" t="str">
        <f>B14</f>
        <v>配建</v>
      </c>
      <c r="C84" s="3255"/>
      <c r="D84" s="3256"/>
      <c r="E84" s="3257"/>
      <c r="F84" s="3255"/>
      <c r="G84" s="3255"/>
      <c r="H84" s="3258"/>
      <c r="I84" s="3258"/>
      <c r="J84" s="3258"/>
      <c r="K84" s="3258"/>
      <c r="L84" s="3259"/>
      <c r="M84" s="3260"/>
      <c r="N84" s="3261"/>
      <c r="O84" s="3261"/>
      <c r="P84" s="3262"/>
      <c r="Q84" s="3263"/>
      <c r="R84" s="3264"/>
      <c r="S84" s="3264"/>
      <c r="T84" s="3264"/>
      <c r="U84" s="3264"/>
      <c r="V84" s="3264"/>
      <c r="W84" s="3264"/>
      <c r="X84" s="3264"/>
      <c r="Y84" s="3264"/>
      <c r="Z84" s="3264"/>
      <c r="AA84" s="3264"/>
      <c r="AB84" s="3264"/>
      <c r="AC84" s="3264"/>
    </row>
    <row r="85" spans="1:29" s="3110" customFormat="1" ht="14.4" thickBot="1">
      <c r="A85" s="3254"/>
      <c r="B85" s="3245"/>
      <c r="C85" s="3265"/>
      <c r="D85" s="3237"/>
      <c r="E85" s="3237"/>
      <c r="F85" s="3237"/>
      <c r="G85" s="3237"/>
      <c r="H85" s="3237"/>
      <c r="I85" s="3237"/>
      <c r="J85" s="3237"/>
      <c r="K85" s="3237"/>
      <c r="L85" s="3237"/>
      <c r="M85" s="3238"/>
      <c r="N85" s="3239"/>
      <c r="O85" s="3239"/>
      <c r="P85" s="3262"/>
      <c r="Q85" s="3263"/>
      <c r="R85" s="3264"/>
      <c r="S85" s="3264"/>
      <c r="T85" s="3264"/>
      <c r="U85" s="3264"/>
      <c r="V85" s="3264"/>
      <c r="W85" s="3264"/>
      <c r="X85" s="3264"/>
      <c r="Y85" s="3264"/>
      <c r="Z85" s="3264"/>
      <c r="AA85" s="3264"/>
      <c r="AB85" s="3264"/>
      <c r="AC85" s="3264"/>
    </row>
    <row r="86" spans="1:29" s="3110" customFormat="1" ht="14.4" thickTop="1">
      <c r="A86" s="3254"/>
      <c r="B86" s="3240">
        <f>B15</f>
        <v>0</v>
      </c>
      <c r="C86" s="3255"/>
      <c r="D86" s="3255"/>
      <c r="E86" s="3255"/>
      <c r="F86" s="3255"/>
      <c r="G86" s="3255"/>
      <c r="H86" s="3258"/>
      <c r="I86" s="3258"/>
      <c r="J86" s="3258"/>
      <c r="K86" s="3258"/>
      <c r="L86" s="3259"/>
      <c r="M86" s="3260"/>
      <c r="N86" s="3261"/>
      <c r="O86" s="3261"/>
      <c r="P86" s="3266"/>
      <c r="Q86" s="3267"/>
      <c r="R86" s="3264"/>
      <c r="S86" s="3264"/>
      <c r="T86" s="3264"/>
      <c r="U86" s="3264"/>
      <c r="V86" s="3264"/>
      <c r="W86" s="3264"/>
      <c r="X86" s="3264"/>
      <c r="Y86" s="3264"/>
      <c r="Z86" s="3264"/>
      <c r="AA86" s="3264"/>
      <c r="AB86" s="3264"/>
      <c r="AC86" s="3264"/>
    </row>
    <row r="87" spans="1:29" s="3110" customFormat="1" ht="14.4" thickBot="1">
      <c r="A87" s="3254"/>
      <c r="B87" s="3245"/>
      <c r="C87" s="3265"/>
      <c r="D87" s="3265"/>
      <c r="E87" s="3265"/>
      <c r="F87" s="3265"/>
      <c r="G87" s="3265"/>
      <c r="H87" s="3268"/>
      <c r="I87" s="3268"/>
      <c r="J87" s="3268"/>
      <c r="K87" s="3268"/>
      <c r="L87" s="3268"/>
      <c r="M87" s="3269"/>
      <c r="N87" s="3261"/>
      <c r="O87" s="3261"/>
      <c r="P87" s="3262"/>
      <c r="Q87" s="3263"/>
      <c r="R87" s="3264"/>
      <c r="S87" s="3264"/>
      <c r="T87" s="3264"/>
      <c r="U87" s="3264"/>
      <c r="V87" s="3264"/>
      <c r="W87" s="3264"/>
      <c r="X87" s="3264"/>
      <c r="Y87" s="3264"/>
      <c r="Z87" s="3264"/>
      <c r="AA87" s="3264"/>
      <c r="AB87" s="3264"/>
      <c r="AC87" s="3264"/>
    </row>
    <row r="88" spans="1:29" s="3110" customFormat="1" ht="14.4" thickTop="1">
      <c r="A88" s="3254"/>
      <c r="B88" s="3248">
        <f>B16</f>
        <v>0</v>
      </c>
      <c r="C88" s="3221"/>
      <c r="D88" s="3221"/>
      <c r="E88" s="3221"/>
      <c r="F88" s="3221"/>
      <c r="G88" s="3221"/>
      <c r="H88" s="3270"/>
      <c r="I88" s="3270"/>
      <c r="J88" s="3270"/>
      <c r="K88" s="3270"/>
      <c r="L88" s="3271"/>
      <c r="M88" s="3272"/>
      <c r="N88" s="3261"/>
      <c r="O88" s="3261"/>
      <c r="P88" s="3273"/>
      <c r="Q88" s="3263"/>
      <c r="R88" s="3264"/>
      <c r="S88" s="3264"/>
      <c r="T88" s="3264"/>
      <c r="U88" s="3264"/>
      <c r="V88" s="3264"/>
      <c r="W88" s="3264"/>
      <c r="X88" s="3264"/>
      <c r="Y88" s="3264"/>
      <c r="Z88" s="3264"/>
      <c r="AA88" s="3264"/>
      <c r="AB88" s="3264"/>
      <c r="AC88" s="3264"/>
    </row>
    <row r="89" spans="1:29" s="3110" customFormat="1" ht="14.4" thickBot="1">
      <c r="A89" s="3274"/>
      <c r="B89" s="3275"/>
      <c r="C89" s="3276"/>
      <c r="D89" s="3276"/>
      <c r="E89" s="3276"/>
      <c r="F89" s="3276"/>
      <c r="G89" s="3276"/>
      <c r="H89" s="3277"/>
      <c r="I89" s="3277"/>
      <c r="J89" s="3277"/>
      <c r="K89" s="3277"/>
      <c r="L89" s="3277"/>
      <c r="M89" s="3278"/>
      <c r="N89" s="3261"/>
      <c r="O89" s="3261"/>
      <c r="P89" s="3262"/>
      <c r="Q89" s="3263"/>
      <c r="R89" s="3264"/>
      <c r="S89" s="3264"/>
      <c r="T89" s="3264"/>
      <c r="U89" s="3264"/>
      <c r="V89" s="3264"/>
      <c r="W89" s="3264"/>
      <c r="X89" s="3264"/>
      <c r="Y89" s="3264"/>
      <c r="Z89" s="3264"/>
      <c r="AA89" s="3264"/>
      <c r="AB89" s="3264"/>
      <c r="AC89" s="3264"/>
    </row>
    <row r="90" spans="1:29" ht="14.4">
      <c r="A90" s="3228" t="s">
        <v>3143</v>
      </c>
      <c r="B90" s="3229" t="s">
        <v>3144</v>
      </c>
      <c r="C90" s="3279" t="s">
        <v>3145</v>
      </c>
      <c r="D90" s="3279" t="s">
        <v>3146</v>
      </c>
      <c r="E90" s="3279" t="s">
        <v>3147</v>
      </c>
      <c r="F90" s="3279" t="s">
        <v>3148</v>
      </c>
      <c r="G90" s="3279" t="s">
        <v>3149</v>
      </c>
      <c r="H90" s="3280"/>
      <c r="I90" s="3280"/>
      <c r="J90" s="3280"/>
      <c r="K90" s="3281"/>
      <c r="L90" s="3282"/>
      <c r="M90" s="3283"/>
      <c r="N90" s="3233"/>
      <c r="O90" s="3233"/>
      <c r="P90" s="3284"/>
      <c r="Q90" s="3200"/>
      <c r="R90" s="3137"/>
      <c r="S90" s="3137"/>
      <c r="T90" s="3137"/>
      <c r="U90" s="3137"/>
      <c r="V90" s="3137"/>
      <c r="W90" s="3137"/>
      <c r="X90" s="3137"/>
      <c r="Y90" s="3137"/>
      <c r="Z90" s="3137"/>
      <c r="AA90" s="3137"/>
      <c r="AB90" s="3137"/>
      <c r="AC90" s="3137"/>
    </row>
    <row r="91" spans="1:29" ht="14.4" thickBot="1">
      <c r="A91" s="3235"/>
      <c r="B91" s="3245"/>
      <c r="C91" s="3246">
        <v>100</v>
      </c>
      <c r="D91" s="3246">
        <f>C91-$K17</f>
        <v>99</v>
      </c>
      <c r="E91" s="3246">
        <f>D91-$K17</f>
        <v>98</v>
      </c>
      <c r="F91" s="3246">
        <f>E91-$K17</f>
        <v>97</v>
      </c>
      <c r="G91" s="3246">
        <f>F91-$K17</f>
        <v>96</v>
      </c>
      <c r="H91" s="3246"/>
      <c r="I91" s="3246"/>
      <c r="J91" s="3246"/>
      <c r="K91" s="3246"/>
      <c r="L91" s="3246"/>
      <c r="M91" s="3247"/>
      <c r="N91" s="3239"/>
      <c r="O91" s="3239"/>
      <c r="P91" s="3234"/>
      <c r="Q91" s="3200"/>
      <c r="R91" s="3137"/>
      <c r="S91" s="3137"/>
      <c r="T91" s="3137"/>
      <c r="U91" s="3137"/>
      <c r="V91" s="3137"/>
      <c r="W91" s="3137"/>
      <c r="X91" s="3137"/>
      <c r="Y91" s="3137"/>
      <c r="Z91" s="3137"/>
      <c r="AA91" s="3137"/>
      <c r="AB91" s="3137"/>
      <c r="AC91" s="3137"/>
    </row>
    <row r="92" spans="1:29" ht="15" thickTop="1">
      <c r="A92" s="3235"/>
      <c r="B92" s="3240" t="s">
        <v>3150</v>
      </c>
      <c r="C92" s="3285" t="s">
        <v>3145</v>
      </c>
      <c r="D92" s="3285" t="s">
        <v>3146</v>
      </c>
      <c r="E92" s="3285" t="s">
        <v>3147</v>
      </c>
      <c r="F92" s="3285" t="s">
        <v>3148</v>
      </c>
      <c r="G92" s="3285" t="s">
        <v>3149</v>
      </c>
      <c r="H92" s="3241"/>
      <c r="I92" s="3241"/>
      <c r="J92" s="3241"/>
      <c r="K92" s="3242"/>
      <c r="L92" s="3243"/>
      <c r="M92" s="3244"/>
      <c r="N92" s="3233"/>
      <c r="O92" s="3233"/>
      <c r="P92" s="3234"/>
      <c r="Q92" s="3200"/>
      <c r="R92" s="3137"/>
      <c r="S92" s="3137"/>
      <c r="T92" s="3137"/>
      <c r="U92" s="3137"/>
      <c r="V92" s="3137"/>
      <c r="W92" s="3137"/>
      <c r="X92" s="3137"/>
      <c r="Y92" s="3137"/>
      <c r="Z92" s="3137"/>
      <c r="AA92" s="3137"/>
      <c r="AB92" s="3137"/>
      <c r="AC92" s="3137"/>
    </row>
    <row r="93" spans="1:29" ht="14.4" thickBot="1">
      <c r="A93" s="3235"/>
      <c r="B93" s="3245"/>
      <c r="C93" s="3246">
        <v>100</v>
      </c>
      <c r="D93" s="3246">
        <f>C93-$K19</f>
        <v>99</v>
      </c>
      <c r="E93" s="3246">
        <f>D93-$K19</f>
        <v>98</v>
      </c>
      <c r="F93" s="3246">
        <f>E93-$K19</f>
        <v>97</v>
      </c>
      <c r="G93" s="3246">
        <f>F93-$K19</f>
        <v>96</v>
      </c>
      <c r="H93" s="3246"/>
      <c r="I93" s="3246"/>
      <c r="J93" s="3246"/>
      <c r="K93" s="3246"/>
      <c r="L93" s="3246"/>
      <c r="M93" s="3247"/>
      <c r="N93" s="3239"/>
      <c r="O93" s="3239"/>
      <c r="P93" s="3234"/>
      <c r="Q93" s="3200"/>
      <c r="R93" s="3137"/>
      <c r="S93" s="3137"/>
      <c r="T93" s="3137"/>
      <c r="U93" s="3137"/>
      <c r="V93" s="3137"/>
      <c r="W93" s="3137"/>
      <c r="X93" s="3137"/>
      <c r="Y93" s="3137"/>
      <c r="Z93" s="3137"/>
      <c r="AA93" s="3137"/>
      <c r="AB93" s="3137"/>
      <c r="AC93" s="3137"/>
    </row>
    <row r="94" spans="1:29" ht="15" thickTop="1">
      <c r="A94" s="3235"/>
      <c r="B94" s="3240" t="s">
        <v>3086</v>
      </c>
      <c r="C94" s="3285" t="s">
        <v>3145</v>
      </c>
      <c r="D94" s="3285" t="s">
        <v>3146</v>
      </c>
      <c r="E94" s="3285" t="s">
        <v>3147</v>
      </c>
      <c r="F94" s="3285" t="s">
        <v>3148</v>
      </c>
      <c r="G94" s="3285" t="s">
        <v>3149</v>
      </c>
      <c r="H94" s="3241"/>
      <c r="I94" s="3241"/>
      <c r="J94" s="3241"/>
      <c r="K94" s="3242"/>
      <c r="L94" s="3243"/>
      <c r="M94" s="3244"/>
      <c r="N94" s="3233"/>
      <c r="O94" s="3233"/>
      <c r="P94" s="3234"/>
      <c r="Q94" s="3200"/>
      <c r="R94" s="3137"/>
      <c r="S94" s="3137"/>
      <c r="T94" s="3137"/>
      <c r="U94" s="3137"/>
      <c r="V94" s="3137"/>
      <c r="W94" s="3137"/>
      <c r="X94" s="3137"/>
      <c r="Y94" s="3137"/>
      <c r="Z94" s="3137"/>
      <c r="AA94" s="3137"/>
      <c r="AB94" s="3137"/>
      <c r="AC94" s="3137"/>
    </row>
    <row r="95" spans="1:29" ht="14.4" thickBot="1">
      <c r="A95" s="3235"/>
      <c r="B95" s="3245"/>
      <c r="C95" s="3246">
        <v>100</v>
      </c>
      <c r="D95" s="3246">
        <f>C95-$K21</f>
        <v>99</v>
      </c>
      <c r="E95" s="3246">
        <f>D95-$K21</f>
        <v>98</v>
      </c>
      <c r="F95" s="3246">
        <f>E95-$K21</f>
        <v>97</v>
      </c>
      <c r="G95" s="3246">
        <f>F95-$K21</f>
        <v>96</v>
      </c>
      <c r="H95" s="3246"/>
      <c r="I95" s="3246"/>
      <c r="J95" s="3246"/>
      <c r="K95" s="3246"/>
      <c r="L95" s="3246"/>
      <c r="M95" s="3247"/>
      <c r="N95" s="3239"/>
      <c r="O95" s="3239"/>
      <c r="P95" s="3234"/>
      <c r="Q95" s="3200"/>
      <c r="R95" s="3137"/>
      <c r="S95" s="3137"/>
      <c r="T95" s="3137"/>
      <c r="U95" s="3137"/>
      <c r="V95" s="3137"/>
      <c r="W95" s="3137"/>
      <c r="X95" s="3137"/>
      <c r="Y95" s="3137"/>
      <c r="Z95" s="3137"/>
      <c r="AA95" s="3137"/>
      <c r="AB95" s="3137"/>
      <c r="AC95" s="3137"/>
    </row>
    <row r="96" spans="1:29" ht="15" thickTop="1">
      <c r="A96" s="3235"/>
      <c r="B96" s="3240" t="s">
        <v>3087</v>
      </c>
      <c r="C96" s="3285" t="s">
        <v>3145</v>
      </c>
      <c r="D96" s="3285" t="s">
        <v>3146</v>
      </c>
      <c r="E96" s="3285" t="s">
        <v>3147</v>
      </c>
      <c r="F96" s="3285" t="s">
        <v>3148</v>
      </c>
      <c r="G96" s="3285" t="s">
        <v>3149</v>
      </c>
      <c r="H96" s="3241"/>
      <c r="I96" s="3241"/>
      <c r="J96" s="3241"/>
      <c r="K96" s="3242"/>
      <c r="L96" s="3243"/>
      <c r="M96" s="3244"/>
      <c r="N96" s="3233"/>
      <c r="O96" s="3233"/>
      <c r="P96" s="3234"/>
      <c r="Q96" s="3200"/>
      <c r="R96" s="3137"/>
      <c r="S96" s="3137"/>
      <c r="T96" s="3137"/>
      <c r="U96" s="3137"/>
      <c r="V96" s="3137"/>
      <c r="W96" s="3137"/>
      <c r="X96" s="3137"/>
      <c r="Y96" s="3137"/>
      <c r="Z96" s="3137"/>
      <c r="AA96" s="3137"/>
      <c r="AB96" s="3137"/>
      <c r="AC96" s="3137"/>
    </row>
    <row r="97" spans="1:29" ht="14.4" thickBot="1">
      <c r="A97" s="3235"/>
      <c r="B97" s="3245"/>
      <c r="C97" s="3246">
        <v>100</v>
      </c>
      <c r="D97" s="3246">
        <f>C97-$K23</f>
        <v>99</v>
      </c>
      <c r="E97" s="3246">
        <f>D97-$K23</f>
        <v>98</v>
      </c>
      <c r="F97" s="3246">
        <f>E97-$K23</f>
        <v>97</v>
      </c>
      <c r="G97" s="3246">
        <f>F97-$K23</f>
        <v>96</v>
      </c>
      <c r="H97" s="3246"/>
      <c r="I97" s="3246"/>
      <c r="J97" s="3246"/>
      <c r="K97" s="3246"/>
      <c r="L97" s="3246"/>
      <c r="M97" s="3247"/>
      <c r="N97" s="3239"/>
      <c r="O97" s="3239"/>
      <c r="P97" s="3234"/>
      <c r="Q97" s="3200"/>
      <c r="R97" s="3137"/>
      <c r="S97" s="3137"/>
      <c r="T97" s="3137"/>
      <c r="U97" s="3137"/>
      <c r="V97" s="3137"/>
      <c r="W97" s="3137"/>
      <c r="X97" s="3137"/>
      <c r="Y97" s="3137"/>
      <c r="Z97" s="3137"/>
      <c r="AA97" s="3137"/>
      <c r="AB97" s="3137"/>
      <c r="AC97" s="3137"/>
    </row>
    <row r="98" spans="1:29" s="3010" customFormat="1" ht="29.4" thickTop="1">
      <c r="A98" s="3286"/>
      <c r="B98" s="3240" t="s">
        <v>3088</v>
      </c>
      <c r="C98" s="3285" t="s">
        <v>3145</v>
      </c>
      <c r="D98" s="3285" t="s">
        <v>3146</v>
      </c>
      <c r="E98" s="3285" t="s">
        <v>3147</v>
      </c>
      <c r="F98" s="3285" t="s">
        <v>3148</v>
      </c>
      <c r="G98" s="3285" t="s">
        <v>3149</v>
      </c>
      <c r="H98" s="3285"/>
      <c r="I98" s="3285"/>
      <c r="J98" s="3285"/>
      <c r="K98" s="3285"/>
      <c r="L98" s="3287"/>
      <c r="M98" s="3288"/>
      <c r="N98" s="3212"/>
      <c r="O98" s="3212"/>
      <c r="P98" s="3234"/>
      <c r="Q98" s="3200"/>
      <c r="R98" s="3213"/>
      <c r="S98" s="3213"/>
      <c r="T98" s="3213"/>
      <c r="U98" s="3213"/>
      <c r="V98" s="3213"/>
      <c r="W98" s="3213"/>
      <c r="X98" s="3213"/>
      <c r="Y98" s="3213"/>
      <c r="Z98" s="3213"/>
      <c r="AA98" s="3213"/>
      <c r="AB98" s="3213"/>
      <c r="AC98" s="3213"/>
    </row>
    <row r="99" spans="1:29" s="3010" customFormat="1" ht="14.4" thickBot="1">
      <c r="A99" s="3286"/>
      <c r="B99" s="3245"/>
      <c r="C99" s="3289">
        <v>100</v>
      </c>
      <c r="D99" s="3246">
        <f>C99-$K25</f>
        <v>99</v>
      </c>
      <c r="E99" s="3246">
        <f>D99-$K25</f>
        <v>98</v>
      </c>
      <c r="F99" s="3246">
        <f>E99-$K25</f>
        <v>97</v>
      </c>
      <c r="G99" s="3246">
        <f>F99-$K25</f>
        <v>96</v>
      </c>
      <c r="H99" s="3246"/>
      <c r="I99" s="3246"/>
      <c r="J99" s="3246"/>
      <c r="K99" s="3246"/>
      <c r="L99" s="3246"/>
      <c r="M99" s="3247"/>
      <c r="N99" s="3239"/>
      <c r="O99" s="3239"/>
      <c r="P99" s="3234"/>
      <c r="Q99" s="3200"/>
      <c r="R99" s="3213"/>
      <c r="S99" s="3213"/>
      <c r="T99" s="3213"/>
      <c r="U99" s="3213"/>
      <c r="V99" s="3213"/>
      <c r="W99" s="3213"/>
      <c r="X99" s="3213"/>
      <c r="Y99" s="3213"/>
      <c r="Z99" s="3213"/>
      <c r="AA99" s="3213"/>
      <c r="AB99" s="3213"/>
      <c r="AC99" s="3213"/>
    </row>
    <row r="100" spans="1:29" s="3010" customFormat="1" ht="29.4" thickTop="1">
      <c r="A100" s="3286"/>
      <c r="B100" s="3240" t="s">
        <v>3151</v>
      </c>
      <c r="C100" s="3279" t="s">
        <v>3145</v>
      </c>
      <c r="D100" s="3279" t="s">
        <v>3146</v>
      </c>
      <c r="E100" s="3279" t="s">
        <v>3147</v>
      </c>
      <c r="F100" s="3279" t="s">
        <v>3148</v>
      </c>
      <c r="G100" s="3279" t="s">
        <v>3149</v>
      </c>
      <c r="H100" s="3285"/>
      <c r="I100" s="3285"/>
      <c r="J100" s="3285"/>
      <c r="K100" s="3285"/>
      <c r="L100" s="3285"/>
      <c r="M100" s="3288"/>
      <c r="N100" s="3212"/>
      <c r="O100" s="3212"/>
      <c r="P100" s="3234"/>
      <c r="Q100" s="3200"/>
      <c r="R100" s="3213"/>
      <c r="S100" s="3213"/>
      <c r="T100" s="3213"/>
      <c r="U100" s="3213"/>
      <c r="V100" s="3213"/>
      <c r="W100" s="3213"/>
      <c r="X100" s="3213"/>
      <c r="Y100" s="3213"/>
      <c r="Z100" s="3213"/>
      <c r="AA100" s="3213"/>
      <c r="AB100" s="3213"/>
      <c r="AC100" s="3213"/>
    </row>
    <row r="101" spans="1:29" s="3010" customFormat="1" ht="14.4" thickBot="1">
      <c r="A101" s="3286"/>
      <c r="B101" s="3245"/>
      <c r="C101" s="3246">
        <v>100</v>
      </c>
      <c r="D101" s="3246">
        <f>C101-$K27</f>
        <v>99</v>
      </c>
      <c r="E101" s="3246">
        <f>D101-$K27</f>
        <v>98</v>
      </c>
      <c r="F101" s="3246">
        <f>E101-$K27</f>
        <v>97</v>
      </c>
      <c r="G101" s="3246">
        <f>F101-$K27</f>
        <v>96</v>
      </c>
      <c r="H101" s="3246"/>
      <c r="I101" s="3246"/>
      <c r="J101" s="3246"/>
      <c r="K101" s="3246"/>
      <c r="L101" s="3246"/>
      <c r="M101" s="3247"/>
      <c r="N101" s="3239"/>
      <c r="O101" s="3239"/>
      <c r="P101" s="3234"/>
      <c r="Q101" s="3200"/>
      <c r="R101" s="3213"/>
      <c r="S101" s="3213"/>
      <c r="T101" s="3213"/>
      <c r="U101" s="3213"/>
      <c r="V101" s="3213"/>
      <c r="W101" s="3213"/>
      <c r="X101" s="3213"/>
      <c r="Y101" s="3213"/>
      <c r="Z101" s="3213"/>
      <c r="AA101" s="3213"/>
      <c r="AB101" s="3213"/>
      <c r="AC101" s="3213"/>
    </row>
    <row r="102" spans="1:29" s="3110" customFormat="1" ht="15" thickTop="1">
      <c r="A102" s="3254"/>
      <c r="B102" s="3290" t="s">
        <v>3090</v>
      </c>
      <c r="C102" s="3279" t="s">
        <v>3145</v>
      </c>
      <c r="D102" s="3279" t="s">
        <v>3146</v>
      </c>
      <c r="E102" s="3279" t="s">
        <v>3147</v>
      </c>
      <c r="F102" s="3279" t="s">
        <v>3148</v>
      </c>
      <c r="G102" s="3279" t="s">
        <v>3149</v>
      </c>
      <c r="H102" s="3291"/>
      <c r="I102" s="3291"/>
      <c r="J102" s="3291"/>
      <c r="K102" s="3291"/>
      <c r="L102" s="3292"/>
      <c r="M102" s="3293"/>
      <c r="N102" s="3261"/>
      <c r="O102" s="3261"/>
      <c r="P102" s="3262"/>
      <c r="Q102" s="3263"/>
      <c r="R102" s="3264"/>
      <c r="S102" s="3264"/>
      <c r="T102" s="3264"/>
      <c r="U102" s="3264"/>
      <c r="V102" s="3264"/>
      <c r="W102" s="3264"/>
      <c r="X102" s="3264"/>
      <c r="Y102" s="3264"/>
      <c r="Z102" s="3264"/>
      <c r="AA102" s="3264"/>
      <c r="AB102" s="3264"/>
      <c r="AC102" s="3264"/>
    </row>
    <row r="103" spans="1:29" s="3110" customFormat="1" ht="14.4" thickBot="1">
      <c r="A103" s="3254"/>
      <c r="B103" s="3245"/>
      <c r="C103" s="3246">
        <v>100</v>
      </c>
      <c r="D103" s="3246">
        <f>C103-$K29</f>
        <v>99</v>
      </c>
      <c r="E103" s="3246">
        <f>D103-$K29</f>
        <v>98</v>
      </c>
      <c r="F103" s="3246">
        <f>E103-$K29</f>
        <v>97</v>
      </c>
      <c r="G103" s="3246">
        <f>F103-$K29</f>
        <v>96</v>
      </c>
      <c r="H103" s="3294"/>
      <c r="I103" s="3294"/>
      <c r="J103" s="3294"/>
      <c r="K103" s="3294"/>
      <c r="L103" s="3294"/>
      <c r="M103" s="3295"/>
      <c r="N103" s="3261"/>
      <c r="O103" s="3261"/>
      <c r="P103" s="3262"/>
      <c r="Q103" s="3263"/>
      <c r="R103" s="3264"/>
      <c r="S103" s="3264"/>
      <c r="T103" s="3264"/>
      <c r="U103" s="3264"/>
      <c r="V103" s="3264"/>
      <c r="W103" s="3264"/>
      <c r="X103" s="3264"/>
      <c r="Y103" s="3264"/>
      <c r="Z103" s="3264"/>
      <c r="AA103" s="3264"/>
      <c r="AB103" s="3264"/>
      <c r="AC103" s="3264"/>
    </row>
    <row r="104" spans="1:29" s="3110" customFormat="1" ht="15" thickTop="1">
      <c r="A104" s="3254"/>
      <c r="B104" s="3296" t="s">
        <v>3152</v>
      </c>
      <c r="C104" s="3297" t="s">
        <v>3153</v>
      </c>
      <c r="D104" s="3297" t="s">
        <v>3154</v>
      </c>
      <c r="E104" s="3297" t="s">
        <v>3155</v>
      </c>
      <c r="F104" s="3297" t="s">
        <v>3156</v>
      </c>
      <c r="G104" s="3297" t="s">
        <v>3157</v>
      </c>
      <c r="H104" s="3291"/>
      <c r="I104" s="3291"/>
      <c r="J104" s="3291"/>
      <c r="K104" s="3291"/>
      <c r="L104" s="3291"/>
      <c r="M104" s="3293"/>
      <c r="N104" s="3261"/>
      <c r="O104" s="3261"/>
      <c r="P104" s="3262"/>
      <c r="Q104" s="3263"/>
      <c r="R104" s="3264"/>
      <c r="S104" s="3264"/>
      <c r="T104" s="3264"/>
      <c r="U104" s="3264"/>
      <c r="V104" s="3264"/>
      <c r="W104" s="3264"/>
      <c r="X104" s="3264"/>
      <c r="Y104" s="3264"/>
      <c r="Z104" s="3264"/>
      <c r="AA104" s="3264"/>
      <c r="AB104" s="3264"/>
      <c r="AC104" s="3264"/>
    </row>
    <row r="105" spans="1:29" s="3110" customFormat="1" ht="14.4" thickBot="1">
      <c r="A105" s="3254"/>
      <c r="B105" s="3248"/>
      <c r="C105" s="3246">
        <v>100</v>
      </c>
      <c r="D105" s="3246">
        <f>C105-$K31</f>
        <v>99</v>
      </c>
      <c r="E105" s="3246">
        <f>D105-$K31</f>
        <v>98</v>
      </c>
      <c r="F105" s="3246">
        <f>E105-$K31</f>
        <v>97</v>
      </c>
      <c r="G105" s="3246">
        <f>F105-$K31</f>
        <v>96</v>
      </c>
      <c r="H105" s="3250"/>
      <c r="I105" s="3250"/>
      <c r="J105" s="3250"/>
      <c r="K105" s="3250"/>
      <c r="L105" s="3250"/>
      <c r="M105" s="3298"/>
      <c r="N105" s="3261"/>
      <c r="O105" s="3261"/>
      <c r="P105" s="3262"/>
      <c r="Q105" s="3263"/>
      <c r="R105" s="3264"/>
      <c r="S105" s="3264"/>
      <c r="T105" s="3264"/>
      <c r="U105" s="3264"/>
      <c r="V105" s="3264"/>
      <c r="W105" s="3264"/>
      <c r="X105" s="3264"/>
      <c r="Y105" s="3264"/>
      <c r="Z105" s="3264"/>
      <c r="AA105" s="3264"/>
      <c r="AB105" s="3264"/>
      <c r="AC105" s="3264"/>
    </row>
    <row r="106" spans="1:29" ht="15" thickTop="1">
      <c r="A106" s="3235"/>
      <c r="B106" s="3240" t="str">
        <f>B33</f>
        <v>临街状况</v>
      </c>
      <c r="C106" s="3241" t="s">
        <v>3158</v>
      </c>
      <c r="D106" s="3241" t="s">
        <v>3159</v>
      </c>
      <c r="E106" s="3241" t="s">
        <v>3160</v>
      </c>
      <c r="F106" s="3241" t="s">
        <v>3161</v>
      </c>
      <c r="G106" s="3241"/>
      <c r="H106" s="3241"/>
      <c r="I106" s="3241"/>
      <c r="J106" s="3241"/>
      <c r="K106" s="3242"/>
      <c r="L106" s="3243"/>
      <c r="M106" s="3244"/>
      <c r="N106" s="3233"/>
      <c r="O106" s="3233"/>
      <c r="P106" s="3234"/>
      <c r="Q106" s="3200"/>
      <c r="R106" s="3137"/>
      <c r="S106" s="3137"/>
      <c r="T106" s="3137"/>
      <c r="U106" s="3137"/>
      <c r="V106" s="3137"/>
      <c r="W106" s="3137"/>
      <c r="X106" s="3137"/>
      <c r="Y106" s="3137"/>
      <c r="Z106" s="3137"/>
      <c r="AA106" s="3137"/>
      <c r="AB106" s="3137"/>
      <c r="AC106" s="3137"/>
    </row>
    <row r="107" spans="1:29" ht="14.4" thickBot="1">
      <c r="A107" s="3235"/>
      <c r="B107" s="3245"/>
      <c r="C107" s="3246">
        <v>100</v>
      </c>
      <c r="D107" s="3246">
        <f>C107-$K33</f>
        <v>99</v>
      </c>
      <c r="E107" s="3246">
        <f t="shared" ref="E107:M107" si="23">D107-$K33</f>
        <v>98</v>
      </c>
      <c r="F107" s="3246">
        <f t="shared" si="23"/>
        <v>97</v>
      </c>
      <c r="G107" s="3246">
        <f t="shared" si="23"/>
        <v>96</v>
      </c>
      <c r="H107" s="3246">
        <f t="shared" si="23"/>
        <v>95</v>
      </c>
      <c r="I107" s="3246">
        <f t="shared" si="23"/>
        <v>94</v>
      </c>
      <c r="J107" s="3246">
        <f t="shared" si="23"/>
        <v>93</v>
      </c>
      <c r="K107" s="3246">
        <f t="shared" si="23"/>
        <v>92</v>
      </c>
      <c r="L107" s="3246">
        <f t="shared" si="23"/>
        <v>91</v>
      </c>
      <c r="M107" s="3246">
        <f t="shared" si="23"/>
        <v>90</v>
      </c>
      <c r="N107" s="3239"/>
      <c r="O107" s="3239"/>
      <c r="P107" s="3234"/>
      <c r="Q107" s="3200"/>
      <c r="R107" s="3137"/>
      <c r="S107" s="3137"/>
      <c r="T107" s="3137"/>
      <c r="U107" s="3137"/>
      <c r="V107" s="3137"/>
      <c r="W107" s="3137"/>
      <c r="X107" s="3137"/>
      <c r="Y107" s="3137"/>
      <c r="Z107" s="3137"/>
      <c r="AA107" s="3137"/>
      <c r="AB107" s="3137"/>
      <c r="AC107" s="3137"/>
    </row>
    <row r="108" spans="1:29" ht="29.4" thickTop="1">
      <c r="A108" s="3235"/>
      <c r="B108" s="3240" t="s">
        <v>3162</v>
      </c>
      <c r="C108" s="3257" t="s">
        <v>3388</v>
      </c>
      <c r="D108" s="3255"/>
      <c r="E108" s="3255"/>
      <c r="F108" s="3255"/>
      <c r="G108" s="3255"/>
      <c r="H108" s="3299"/>
      <c r="I108" s="3299"/>
      <c r="J108" s="3299"/>
      <c r="K108" s="3300"/>
      <c r="L108" s="3301"/>
      <c r="M108" s="3302"/>
      <c r="N108" s="3233"/>
      <c r="O108" s="3233"/>
      <c r="P108" s="3234"/>
      <c r="Q108" s="3200"/>
      <c r="R108" s="3137"/>
      <c r="S108" s="3137"/>
      <c r="T108" s="3137"/>
      <c r="U108" s="3137"/>
      <c r="V108" s="3137"/>
      <c r="W108" s="3137"/>
      <c r="X108" s="3137"/>
      <c r="Y108" s="3137"/>
      <c r="Z108" s="3137"/>
      <c r="AA108" s="3137"/>
      <c r="AB108" s="3137"/>
      <c r="AC108" s="3137"/>
    </row>
    <row r="109" spans="1:29" ht="14.4" thickBot="1">
      <c r="A109" s="3235"/>
      <c r="B109" s="3245"/>
      <c r="C109" s="3246">
        <v>100</v>
      </c>
      <c r="D109" s="3246">
        <f>C109-$K34</f>
        <v>99</v>
      </c>
      <c r="E109" s="3246">
        <f t="shared" ref="E109:M109" si="24">D109-$K34</f>
        <v>98</v>
      </c>
      <c r="F109" s="3246">
        <f t="shared" si="24"/>
        <v>97</v>
      </c>
      <c r="G109" s="3246">
        <f t="shared" si="24"/>
        <v>96</v>
      </c>
      <c r="H109" s="3246">
        <f t="shared" si="24"/>
        <v>95</v>
      </c>
      <c r="I109" s="3246">
        <f t="shared" si="24"/>
        <v>94</v>
      </c>
      <c r="J109" s="3246">
        <f t="shared" si="24"/>
        <v>93</v>
      </c>
      <c r="K109" s="3246">
        <f t="shared" si="24"/>
        <v>92</v>
      </c>
      <c r="L109" s="3246">
        <f t="shared" si="24"/>
        <v>91</v>
      </c>
      <c r="M109" s="3246">
        <f t="shared" si="24"/>
        <v>90</v>
      </c>
      <c r="N109" s="3239"/>
      <c r="O109" s="3239"/>
      <c r="P109" s="3234"/>
      <c r="Q109" s="3200"/>
      <c r="R109" s="3137"/>
      <c r="S109" s="3137"/>
      <c r="T109" s="3137"/>
      <c r="U109" s="3137"/>
      <c r="V109" s="3137"/>
      <c r="W109" s="3137"/>
      <c r="X109" s="3137"/>
      <c r="Y109" s="3137"/>
      <c r="Z109" s="3137"/>
      <c r="AA109" s="3137"/>
      <c r="AB109" s="3137"/>
      <c r="AC109" s="3137"/>
    </row>
    <row r="110" spans="1:29" ht="15" thickTop="1">
      <c r="A110" s="3235"/>
      <c r="B110" s="3240" t="s">
        <v>3163</v>
      </c>
      <c r="C110" s="3299" t="s">
        <v>3389</v>
      </c>
      <c r="D110" s="3299"/>
      <c r="E110" s="3299"/>
      <c r="F110" s="3299"/>
      <c r="G110" s="3299"/>
      <c r="H110" s="3299"/>
      <c r="I110" s="3299"/>
      <c r="J110" s="3299"/>
      <c r="K110" s="3300"/>
      <c r="L110" s="3301"/>
      <c r="M110" s="3302"/>
      <c r="N110" s="3233"/>
      <c r="O110" s="3233"/>
      <c r="P110" s="3234"/>
      <c r="Q110" s="3200"/>
      <c r="R110" s="3137"/>
      <c r="S110" s="3137"/>
      <c r="T110" s="3137"/>
      <c r="U110" s="3137"/>
      <c r="V110" s="3137"/>
      <c r="W110" s="3137"/>
      <c r="X110" s="3137"/>
      <c r="Y110" s="3137"/>
      <c r="Z110" s="3137"/>
      <c r="AA110" s="3137"/>
      <c r="AB110" s="3137"/>
      <c r="AC110" s="3137"/>
    </row>
    <row r="111" spans="1:29" ht="14.4" thickBot="1">
      <c r="A111" s="3235"/>
      <c r="B111" s="3245"/>
      <c r="C111" s="3246">
        <v>100</v>
      </c>
      <c r="D111" s="3246">
        <f>C111-$K36</f>
        <v>99</v>
      </c>
      <c r="E111" s="3246">
        <f t="shared" ref="E111:M111" si="25">D111-$K36</f>
        <v>98</v>
      </c>
      <c r="F111" s="3246">
        <f t="shared" si="25"/>
        <v>97</v>
      </c>
      <c r="G111" s="3246">
        <f t="shared" si="25"/>
        <v>96</v>
      </c>
      <c r="H111" s="3246">
        <f t="shared" si="25"/>
        <v>95</v>
      </c>
      <c r="I111" s="3246">
        <f t="shared" si="25"/>
        <v>94</v>
      </c>
      <c r="J111" s="3246">
        <f t="shared" si="25"/>
        <v>93</v>
      </c>
      <c r="K111" s="3246">
        <f t="shared" si="25"/>
        <v>92</v>
      </c>
      <c r="L111" s="3246">
        <f t="shared" si="25"/>
        <v>91</v>
      </c>
      <c r="M111" s="3246">
        <f t="shared" si="25"/>
        <v>90</v>
      </c>
      <c r="N111" s="3239"/>
      <c r="O111" s="3239"/>
      <c r="P111" s="3234"/>
      <c r="Q111" s="3200"/>
      <c r="R111" s="3137"/>
      <c r="S111" s="3137"/>
      <c r="T111" s="3137"/>
      <c r="U111" s="3137"/>
      <c r="V111" s="3137"/>
      <c r="W111" s="3137"/>
      <c r="X111" s="3137"/>
      <c r="Y111" s="3137"/>
      <c r="Z111" s="3137"/>
      <c r="AA111" s="3137"/>
      <c r="AB111" s="3137"/>
      <c r="AC111" s="3137"/>
    </row>
    <row r="112" spans="1:29" ht="14.4" thickTop="1">
      <c r="A112" s="3235"/>
      <c r="B112" s="3248">
        <f>B37</f>
        <v>0</v>
      </c>
      <c r="C112" s="3255"/>
      <c r="D112" s="3255"/>
      <c r="E112" s="3255"/>
      <c r="F112" s="3255"/>
      <c r="G112" s="3303"/>
      <c r="H112" s="3303"/>
      <c r="I112" s="3303"/>
      <c r="J112" s="3303"/>
      <c r="K112" s="3304"/>
      <c r="L112" s="3305"/>
      <c r="M112" s="3306"/>
      <c r="N112" s="3233"/>
      <c r="O112" s="3233"/>
      <c r="P112" s="3234"/>
      <c r="Q112" s="3200"/>
      <c r="R112" s="3137"/>
      <c r="S112" s="3137"/>
      <c r="T112" s="3137"/>
      <c r="U112" s="3137"/>
      <c r="V112" s="3137"/>
      <c r="W112" s="3137"/>
      <c r="X112" s="3137"/>
      <c r="Y112" s="3137"/>
      <c r="Z112" s="3137"/>
      <c r="AA112" s="3137"/>
      <c r="AB112" s="3137"/>
      <c r="AC112" s="3137"/>
    </row>
    <row r="113" spans="1:29" ht="14.4" thickBot="1">
      <c r="A113" s="3235"/>
      <c r="B113" s="3275"/>
      <c r="C113" s="3265"/>
      <c r="D113" s="3265"/>
      <c r="E113" s="3265"/>
      <c r="F113" s="3265"/>
      <c r="G113" s="3307"/>
      <c r="H113" s="3307"/>
      <c r="I113" s="3307"/>
      <c r="J113" s="3307"/>
      <c r="K113" s="3307"/>
      <c r="L113" s="3307"/>
      <c r="M113" s="3308"/>
      <c r="N113" s="3239"/>
      <c r="O113" s="3239"/>
      <c r="P113" s="3234"/>
      <c r="Q113" s="3200"/>
      <c r="R113" s="3137"/>
      <c r="S113" s="3137"/>
      <c r="T113" s="3137"/>
      <c r="U113" s="3137"/>
      <c r="V113" s="3137"/>
      <c r="W113" s="3137"/>
      <c r="X113" s="3137"/>
      <c r="Y113" s="3137"/>
      <c r="Z113" s="3137"/>
      <c r="AA113" s="3137"/>
      <c r="AB113" s="3137"/>
      <c r="AC113" s="3137"/>
    </row>
    <row r="114" spans="1:29" ht="14.4" thickTop="1">
      <c r="A114" s="3097"/>
      <c r="B114" s="3240">
        <f>B38</f>
        <v>0</v>
      </c>
      <c r="C114" s="3221"/>
      <c r="D114" s="3221"/>
      <c r="E114" s="3221"/>
      <c r="F114" s="3221"/>
      <c r="G114" s="3299"/>
      <c r="H114" s="3299"/>
      <c r="I114" s="3299"/>
      <c r="J114" s="3299"/>
      <c r="K114" s="3300"/>
      <c r="L114" s="3301"/>
      <c r="M114" s="3302"/>
      <c r="N114" s="3233"/>
      <c r="O114" s="3233"/>
      <c r="P114" s="3234"/>
      <c r="Q114" s="3200"/>
      <c r="R114" s="3137"/>
      <c r="S114" s="3137"/>
      <c r="T114" s="3137"/>
      <c r="U114" s="3137"/>
      <c r="V114" s="3137"/>
      <c r="W114" s="3137"/>
      <c r="X114" s="3137"/>
      <c r="Y114" s="3137"/>
      <c r="Z114" s="3137"/>
      <c r="AA114" s="3137"/>
      <c r="AB114" s="3137"/>
      <c r="AC114" s="3137"/>
    </row>
    <row r="115" spans="1:29" ht="14.4" thickBot="1">
      <c r="A115" s="3235"/>
      <c r="B115" s="3245"/>
      <c r="C115" s="3276"/>
      <c r="D115" s="3276"/>
      <c r="E115" s="3276"/>
      <c r="F115" s="3276"/>
      <c r="G115" s="3237"/>
      <c r="H115" s="3237"/>
      <c r="I115" s="3237"/>
      <c r="J115" s="3237"/>
      <c r="K115" s="3237"/>
      <c r="L115" s="3237"/>
      <c r="M115" s="3238"/>
      <c r="N115" s="3239"/>
      <c r="O115" s="3239"/>
      <c r="P115" s="3234"/>
      <c r="Q115" s="3200"/>
      <c r="R115" s="3137"/>
      <c r="S115" s="3137"/>
      <c r="T115" s="3137"/>
      <c r="U115" s="3137"/>
      <c r="V115" s="3137"/>
      <c r="W115" s="3137"/>
      <c r="X115" s="3137"/>
      <c r="Y115" s="3137"/>
      <c r="Z115" s="3137"/>
      <c r="AA115" s="3137"/>
      <c r="AB115" s="3137"/>
      <c r="AC115" s="3137"/>
    </row>
    <row r="116" spans="1:29" s="3110" customFormat="1" ht="14.4" thickTop="1">
      <c r="A116" s="3309"/>
      <c r="B116" s="3310">
        <f>B39</f>
        <v>0</v>
      </c>
      <c r="C116" s="3211"/>
      <c r="D116" s="3211"/>
      <c r="E116" s="3211"/>
      <c r="F116" s="3211"/>
      <c r="G116" s="3211"/>
      <c r="H116" s="3211"/>
      <c r="I116" s="3211"/>
      <c r="J116" s="3311"/>
      <c r="K116" s="3311"/>
      <c r="L116" s="3312"/>
      <c r="M116" s="3313"/>
      <c r="N116" s="3261"/>
      <c r="O116" s="3261"/>
      <c r="P116" s="3262"/>
      <c r="Q116" s="3263"/>
      <c r="R116" s="3264"/>
      <c r="S116" s="3264"/>
      <c r="T116" s="3264"/>
      <c r="U116" s="3264"/>
      <c r="V116" s="3264"/>
      <c r="W116" s="3264"/>
      <c r="X116" s="3264"/>
      <c r="Y116" s="3264"/>
      <c r="Z116" s="3264"/>
      <c r="AA116" s="3264"/>
      <c r="AB116" s="3264"/>
      <c r="AC116" s="3264"/>
    </row>
    <row r="117" spans="1:29" s="3110" customFormat="1" ht="14.4" thickBot="1">
      <c r="A117" s="3254"/>
      <c r="B117" s="3248"/>
      <c r="C117" s="3226"/>
      <c r="D117" s="3314"/>
      <c r="E117" s="3314"/>
      <c r="F117" s="3314"/>
      <c r="G117" s="3314"/>
      <c r="H117" s="3314"/>
      <c r="I117" s="3314"/>
      <c r="J117" s="3314"/>
      <c r="K117" s="3314"/>
      <c r="L117" s="3314"/>
      <c r="M117" s="3315"/>
      <c r="N117" s="3239"/>
      <c r="O117" s="3239"/>
      <c r="P117" s="3262"/>
      <c r="Q117" s="3263"/>
      <c r="R117" s="3264"/>
      <c r="S117" s="3264"/>
      <c r="T117" s="3264"/>
      <c r="U117" s="3264"/>
      <c r="V117" s="3264"/>
      <c r="W117" s="3264"/>
      <c r="X117" s="3264"/>
      <c r="Y117" s="3264"/>
      <c r="Z117" s="3264"/>
      <c r="AA117" s="3264"/>
      <c r="AB117" s="3264"/>
      <c r="AC117" s="3264"/>
    </row>
    <row r="118" spans="1:29" ht="27.6">
      <c r="A118" s="3228" t="s">
        <v>3164</v>
      </c>
      <c r="B118" s="3229" t="s">
        <v>3097</v>
      </c>
      <c r="C118" s="3280" t="str">
        <f t="shared" ref="C118:L118" si="26">C119&amp;"(含)"&amp;"-"&amp;D119</f>
        <v>0(含)-10000</v>
      </c>
      <c r="D118" s="3280" t="str">
        <f t="shared" si="26"/>
        <v>10000(含)-30000</v>
      </c>
      <c r="E118" s="3280" t="str">
        <f t="shared" si="26"/>
        <v>30000(含)-50000</v>
      </c>
      <c r="F118" s="3280" t="str">
        <f t="shared" si="26"/>
        <v>50000(含)-100000</v>
      </c>
      <c r="G118" s="3280" t="str">
        <f t="shared" si="26"/>
        <v>100000(含)-</v>
      </c>
      <c r="H118" s="3280" t="str">
        <f t="shared" si="26"/>
        <v>(含)-</v>
      </c>
      <c r="I118" s="3280" t="str">
        <f t="shared" si="26"/>
        <v>(含)-</v>
      </c>
      <c r="J118" s="3316" t="str">
        <f t="shared" si="26"/>
        <v>(含)-</v>
      </c>
      <c r="K118" s="3316" t="str">
        <f t="shared" si="26"/>
        <v>(含)-</v>
      </c>
      <c r="L118" s="3317" t="str">
        <f t="shared" si="26"/>
        <v>(含)-</v>
      </c>
      <c r="M118" s="3318" t="str">
        <f>M119&amp;"(含)"&amp;"-"&amp;P119</f>
        <v>(含)-</v>
      </c>
      <c r="N118" s="3233"/>
      <c r="O118" s="3233"/>
      <c r="P118" s="3234"/>
      <c r="Q118" s="3200"/>
      <c r="R118" s="3137"/>
      <c r="S118" s="3137"/>
      <c r="T118" s="3137"/>
      <c r="U118" s="3137"/>
      <c r="V118" s="3137"/>
      <c r="W118" s="3137"/>
      <c r="X118" s="3137"/>
      <c r="Y118" s="3137"/>
      <c r="Z118" s="3137"/>
      <c r="AA118" s="3137"/>
      <c r="AB118" s="3137"/>
      <c r="AC118" s="3137"/>
    </row>
    <row r="119" spans="1:29">
      <c r="A119" s="3235"/>
      <c r="B119" s="3248"/>
      <c r="C119" s="3211">
        <v>0</v>
      </c>
      <c r="D119" s="3211">
        <v>10000</v>
      </c>
      <c r="E119" s="3211">
        <v>30000</v>
      </c>
      <c r="F119" s="3211">
        <v>50000</v>
      </c>
      <c r="G119" s="3211">
        <v>100000</v>
      </c>
      <c r="H119" s="3211"/>
      <c r="I119" s="3211"/>
      <c r="J119" s="3319"/>
      <c r="K119" s="3319"/>
      <c r="L119" s="3320"/>
      <c r="M119" s="3321"/>
      <c r="N119" s="3233"/>
      <c r="O119" s="3233"/>
      <c r="P119" s="3234"/>
      <c r="Q119" s="3200"/>
      <c r="R119" s="3137"/>
      <c r="S119" s="3137"/>
      <c r="T119" s="3137"/>
      <c r="U119" s="3137"/>
      <c r="V119" s="3137"/>
      <c r="W119" s="3137"/>
      <c r="X119" s="3137"/>
      <c r="Y119" s="3137"/>
      <c r="Z119" s="3137"/>
      <c r="AA119" s="3137"/>
      <c r="AB119" s="3137"/>
      <c r="AC119" s="3137"/>
    </row>
    <row r="120" spans="1:29" ht="14.4" thickBot="1">
      <c r="A120" s="3235"/>
      <c r="B120" s="3245"/>
      <c r="C120" s="3276">
        <v>96</v>
      </c>
      <c r="D120" s="3307">
        <v>98</v>
      </c>
      <c r="E120" s="3307">
        <v>100</v>
      </c>
      <c r="F120" s="3307">
        <v>98</v>
      </c>
      <c r="G120" s="3307">
        <v>96</v>
      </c>
      <c r="H120" s="3307"/>
      <c r="I120" s="3307"/>
      <c r="J120" s="3307"/>
      <c r="K120" s="3307"/>
      <c r="L120" s="3307"/>
      <c r="M120" s="3308"/>
      <c r="N120" s="3239"/>
      <c r="O120" s="3239"/>
      <c r="P120" s="3234"/>
      <c r="Q120" s="3200"/>
      <c r="R120" s="3137"/>
      <c r="S120" s="3137"/>
      <c r="T120" s="3137"/>
      <c r="U120" s="3137"/>
      <c r="V120" s="3137"/>
      <c r="W120" s="3137"/>
      <c r="X120" s="3137"/>
      <c r="Y120" s="3137"/>
      <c r="Z120" s="3137"/>
      <c r="AA120" s="3137"/>
      <c r="AB120" s="3137"/>
      <c r="AC120" s="3137"/>
    </row>
    <row r="121" spans="1:29" ht="15" thickTop="1">
      <c r="A121" s="3322"/>
      <c r="B121" s="3240" t="s">
        <v>3098</v>
      </c>
      <c r="C121" s="3452" t="s">
        <v>3390</v>
      </c>
      <c r="D121" s="3299"/>
      <c r="E121" s="3299"/>
      <c r="F121" s="3299"/>
      <c r="G121" s="3299"/>
      <c r="H121" s="3299"/>
      <c r="I121" s="3299"/>
      <c r="J121" s="3299"/>
      <c r="K121" s="3300"/>
      <c r="L121" s="3301"/>
      <c r="M121" s="3302"/>
      <c r="N121" s="3233"/>
      <c r="O121" s="3233"/>
      <c r="P121" s="3234"/>
      <c r="Q121" s="3200"/>
      <c r="R121" s="3137"/>
      <c r="S121" s="3137"/>
      <c r="T121" s="3137"/>
      <c r="U121" s="3137"/>
      <c r="V121" s="3137"/>
      <c r="W121" s="3137"/>
      <c r="X121" s="3137"/>
      <c r="Y121" s="3137"/>
      <c r="Z121" s="3137"/>
      <c r="AA121" s="3137"/>
      <c r="AB121" s="3137"/>
      <c r="AC121" s="3137"/>
    </row>
    <row r="122" spans="1:29" ht="14.4" thickBot="1">
      <c r="A122" s="3235"/>
      <c r="B122" s="3245"/>
      <c r="C122" s="3246">
        <v>100</v>
      </c>
      <c r="D122" s="3246">
        <f t="shared" ref="D122:M122" si="27">C122-$K41</f>
        <v>99</v>
      </c>
      <c r="E122" s="3246">
        <f t="shared" si="27"/>
        <v>98</v>
      </c>
      <c r="F122" s="3246">
        <f t="shared" si="27"/>
        <v>97</v>
      </c>
      <c r="G122" s="3246">
        <f t="shared" si="27"/>
        <v>96</v>
      </c>
      <c r="H122" s="3246">
        <f t="shared" si="27"/>
        <v>95</v>
      </c>
      <c r="I122" s="3246">
        <f t="shared" si="27"/>
        <v>94</v>
      </c>
      <c r="J122" s="3246">
        <f t="shared" si="27"/>
        <v>93</v>
      </c>
      <c r="K122" s="3246">
        <f t="shared" si="27"/>
        <v>92</v>
      </c>
      <c r="L122" s="3246">
        <f t="shared" si="27"/>
        <v>91</v>
      </c>
      <c r="M122" s="3247">
        <f t="shared" si="27"/>
        <v>90</v>
      </c>
      <c r="N122" s="3239"/>
      <c r="O122" s="3239"/>
      <c r="P122" s="3234"/>
      <c r="Q122" s="3200"/>
      <c r="R122" s="3137"/>
      <c r="S122" s="3137"/>
      <c r="T122" s="3137"/>
      <c r="U122" s="3137"/>
      <c r="V122" s="3137"/>
      <c r="W122" s="3137"/>
      <c r="X122" s="3137"/>
      <c r="Y122" s="3137"/>
      <c r="Z122" s="3137"/>
      <c r="AA122" s="3137"/>
      <c r="AB122" s="3137"/>
      <c r="AC122" s="3137"/>
    </row>
    <row r="123" spans="1:29" ht="15" thickTop="1">
      <c r="A123" s="3322"/>
      <c r="B123" s="3240" t="s">
        <v>3099</v>
      </c>
      <c r="C123" s="3257" t="s">
        <v>3390</v>
      </c>
      <c r="D123" s="3255"/>
      <c r="E123" s="3255"/>
      <c r="F123" s="3299"/>
      <c r="G123" s="3299"/>
      <c r="H123" s="3299"/>
      <c r="I123" s="3299"/>
      <c r="J123" s="3299"/>
      <c r="K123" s="3300"/>
      <c r="L123" s="3301"/>
      <c r="M123" s="3302"/>
      <c r="N123" s="3233"/>
      <c r="O123" s="3233"/>
      <c r="P123" s="3234"/>
      <c r="Q123" s="3200"/>
      <c r="R123" s="3137"/>
      <c r="S123" s="3137"/>
      <c r="T123" s="3137"/>
      <c r="U123" s="3137"/>
      <c r="V123" s="3137"/>
      <c r="W123" s="3137"/>
      <c r="X123" s="3137"/>
      <c r="Y123" s="3137"/>
      <c r="Z123" s="3137"/>
      <c r="AA123" s="3137"/>
      <c r="AB123" s="3137"/>
      <c r="AC123" s="3137"/>
    </row>
    <row r="124" spans="1:29" ht="14.4" thickBot="1">
      <c r="A124" s="3235"/>
      <c r="B124" s="3245"/>
      <c r="C124" s="3246">
        <v>100</v>
      </c>
      <c r="D124" s="3246">
        <f t="shared" ref="D124:M124" si="28">C124-$K42</f>
        <v>99</v>
      </c>
      <c r="E124" s="3246">
        <f t="shared" si="28"/>
        <v>98</v>
      </c>
      <c r="F124" s="3246">
        <f t="shared" si="28"/>
        <v>97</v>
      </c>
      <c r="G124" s="3246">
        <f t="shared" si="28"/>
        <v>96</v>
      </c>
      <c r="H124" s="3246">
        <f t="shared" si="28"/>
        <v>95</v>
      </c>
      <c r="I124" s="3246">
        <f t="shared" si="28"/>
        <v>94</v>
      </c>
      <c r="J124" s="3246">
        <f t="shared" si="28"/>
        <v>93</v>
      </c>
      <c r="K124" s="3246">
        <f t="shared" si="28"/>
        <v>92</v>
      </c>
      <c r="L124" s="3246">
        <f t="shared" si="28"/>
        <v>91</v>
      </c>
      <c r="M124" s="3247">
        <f t="shared" si="28"/>
        <v>90</v>
      </c>
      <c r="N124" s="3239"/>
      <c r="O124" s="3239"/>
      <c r="P124" s="3234"/>
      <c r="Q124" s="3200"/>
      <c r="R124" s="3137"/>
      <c r="S124" s="3137"/>
      <c r="T124" s="3137"/>
      <c r="U124" s="3137"/>
      <c r="V124" s="3137"/>
      <c r="W124" s="3137"/>
      <c r="X124" s="3137"/>
      <c r="Y124" s="3137"/>
      <c r="Z124" s="3137"/>
      <c r="AA124" s="3137"/>
      <c r="AB124" s="3137"/>
      <c r="AC124" s="3137"/>
    </row>
    <row r="125" spans="1:29" s="3110" customFormat="1" ht="15" thickTop="1">
      <c r="A125" s="3309"/>
      <c r="B125" s="3290" t="s">
        <v>3100</v>
      </c>
      <c r="C125" s="3256" t="s">
        <v>3367</v>
      </c>
      <c r="D125" s="3256" t="s">
        <v>3391</v>
      </c>
      <c r="E125" s="3256" t="s">
        <v>3392</v>
      </c>
      <c r="F125" s="3256" t="s">
        <v>3393</v>
      </c>
      <c r="G125" s="3256" t="s">
        <v>3394</v>
      </c>
      <c r="H125" s="3299"/>
      <c r="I125" s="3299"/>
      <c r="J125" s="3299"/>
      <c r="K125" s="3300"/>
      <c r="L125" s="3301"/>
      <c r="M125" s="3302"/>
      <c r="N125" s="3261"/>
      <c r="O125" s="3261"/>
      <c r="P125" s="3262"/>
      <c r="Q125" s="3263"/>
      <c r="R125" s="3264"/>
      <c r="S125" s="3264"/>
      <c r="T125" s="3264"/>
      <c r="U125" s="3264"/>
      <c r="V125" s="3264"/>
      <c r="W125" s="3264"/>
      <c r="X125" s="3264"/>
      <c r="Y125" s="3264"/>
      <c r="Z125" s="3264"/>
      <c r="AA125" s="3264"/>
      <c r="AB125" s="3264"/>
      <c r="AC125" s="3264"/>
    </row>
    <row r="126" spans="1:29" s="3110" customFormat="1" ht="14.4" thickBot="1">
      <c r="A126" s="3254"/>
      <c r="B126" s="3245"/>
      <c r="C126" s="3246">
        <v>100</v>
      </c>
      <c r="D126" s="3246">
        <f>C126-$K43</f>
        <v>99</v>
      </c>
      <c r="E126" s="3246">
        <f t="shared" ref="E126:M126" si="29">D126-$K43</f>
        <v>98</v>
      </c>
      <c r="F126" s="3246">
        <f t="shared" si="29"/>
        <v>97</v>
      </c>
      <c r="G126" s="3246">
        <f t="shared" si="29"/>
        <v>96</v>
      </c>
      <c r="H126" s="3246">
        <f t="shared" si="29"/>
        <v>95</v>
      </c>
      <c r="I126" s="3246">
        <f t="shared" si="29"/>
        <v>94</v>
      </c>
      <c r="J126" s="3246">
        <f t="shared" si="29"/>
        <v>93</v>
      </c>
      <c r="K126" s="3246">
        <f t="shared" si="29"/>
        <v>92</v>
      </c>
      <c r="L126" s="3246">
        <f t="shared" si="29"/>
        <v>91</v>
      </c>
      <c r="M126" s="3247">
        <f t="shared" si="29"/>
        <v>90</v>
      </c>
      <c r="N126" s="3261"/>
      <c r="O126" s="3261"/>
      <c r="P126" s="3262"/>
      <c r="Q126" s="3263"/>
      <c r="R126" s="3264"/>
      <c r="S126" s="3264"/>
      <c r="T126" s="3264"/>
      <c r="U126" s="3264"/>
      <c r="V126" s="3264"/>
      <c r="W126" s="3264"/>
      <c r="X126" s="3264"/>
      <c r="Y126" s="3264"/>
      <c r="Z126" s="3264"/>
      <c r="AA126" s="3264"/>
      <c r="AB126" s="3264"/>
      <c r="AC126" s="3264"/>
    </row>
    <row r="127" spans="1:29" ht="15" thickTop="1">
      <c r="A127" s="3322"/>
      <c r="B127" s="3240" t="s">
        <v>3101</v>
      </c>
      <c r="C127" s="3257" t="s">
        <v>3390</v>
      </c>
      <c r="D127" s="3255"/>
      <c r="E127" s="3299"/>
      <c r="F127" s="3299"/>
      <c r="G127" s="3299"/>
      <c r="H127" s="3299"/>
      <c r="I127" s="3299"/>
      <c r="J127" s="3299"/>
      <c r="K127" s="3300"/>
      <c r="L127" s="3301"/>
      <c r="M127" s="3302"/>
      <c r="N127" s="3233"/>
      <c r="O127" s="3233"/>
      <c r="P127" s="3234"/>
      <c r="Q127" s="3200"/>
      <c r="R127" s="3137"/>
      <c r="S127" s="3137"/>
      <c r="T127" s="3137"/>
      <c r="U127" s="3137"/>
      <c r="V127" s="3137"/>
      <c r="W127" s="3137"/>
      <c r="X127" s="3137"/>
      <c r="Y127" s="3137"/>
      <c r="Z127" s="3137"/>
      <c r="AA127" s="3137"/>
      <c r="AB127" s="3137"/>
      <c r="AC127" s="3137"/>
    </row>
    <row r="128" spans="1:29" ht="14.4" thickBot="1">
      <c r="A128" s="3235"/>
      <c r="B128" s="3245"/>
      <c r="C128" s="3246">
        <v>100</v>
      </c>
      <c r="D128" s="3246">
        <f t="shared" ref="D128:M128" si="30">C128-$K44</f>
        <v>99</v>
      </c>
      <c r="E128" s="3246">
        <f t="shared" si="30"/>
        <v>98</v>
      </c>
      <c r="F128" s="3246">
        <f t="shared" si="30"/>
        <v>97</v>
      </c>
      <c r="G128" s="3246">
        <f t="shared" si="30"/>
        <v>96</v>
      </c>
      <c r="H128" s="3246">
        <f t="shared" si="30"/>
        <v>95</v>
      </c>
      <c r="I128" s="3246">
        <f t="shared" si="30"/>
        <v>94</v>
      </c>
      <c r="J128" s="3246">
        <f t="shared" si="30"/>
        <v>93</v>
      </c>
      <c r="K128" s="3246">
        <f t="shared" si="30"/>
        <v>92</v>
      </c>
      <c r="L128" s="3246">
        <f t="shared" si="30"/>
        <v>91</v>
      </c>
      <c r="M128" s="3247">
        <f t="shared" si="30"/>
        <v>90</v>
      </c>
      <c r="N128" s="3239"/>
      <c r="O128" s="3239"/>
      <c r="P128" s="3234"/>
      <c r="Q128" s="3200"/>
      <c r="R128" s="3137"/>
      <c r="S128" s="3137"/>
      <c r="T128" s="3137"/>
      <c r="U128" s="3137"/>
      <c r="V128" s="3137"/>
      <c r="W128" s="3137"/>
      <c r="X128" s="3137"/>
      <c r="Y128" s="3137"/>
      <c r="Z128" s="3137"/>
      <c r="AA128" s="3137"/>
      <c r="AB128" s="3137"/>
      <c r="AC128" s="3137"/>
    </row>
    <row r="129" spans="1:29" ht="14.4" thickTop="1">
      <c r="A129" s="3322"/>
      <c r="B129" s="3240">
        <f>B45</f>
        <v>0</v>
      </c>
      <c r="C129" s="3255"/>
      <c r="D129" s="3255"/>
      <c r="E129" s="3255"/>
      <c r="F129" s="3255"/>
      <c r="G129" s="3255"/>
      <c r="H129" s="3299"/>
      <c r="I129" s="3299"/>
      <c r="J129" s="3299"/>
      <c r="K129" s="3300"/>
      <c r="L129" s="3301"/>
      <c r="M129" s="3302"/>
      <c r="N129" s="3233"/>
      <c r="O129" s="3233"/>
      <c r="P129" s="3234"/>
      <c r="Q129" s="3200"/>
      <c r="R129" s="3137"/>
      <c r="S129" s="3137"/>
      <c r="T129" s="3137"/>
      <c r="U129" s="3137"/>
      <c r="V129" s="3137"/>
      <c r="W129" s="3137"/>
      <c r="X129" s="3137"/>
      <c r="Y129" s="3137"/>
      <c r="Z129" s="3137"/>
      <c r="AA129" s="3137"/>
      <c r="AB129" s="3137"/>
      <c r="AC129" s="3137"/>
    </row>
    <row r="130" spans="1:29" ht="14.4" thickBot="1">
      <c r="A130" s="3235"/>
      <c r="B130" s="3245"/>
      <c r="C130" s="3265"/>
      <c r="D130" s="3265"/>
      <c r="E130" s="3265"/>
      <c r="F130" s="3265"/>
      <c r="G130" s="3237"/>
      <c r="H130" s="3237"/>
      <c r="I130" s="3237"/>
      <c r="J130" s="3237"/>
      <c r="K130" s="3237"/>
      <c r="L130" s="3237"/>
      <c r="M130" s="3238"/>
      <c r="N130" s="3239"/>
      <c r="O130" s="3239"/>
      <c r="P130" s="3234"/>
      <c r="Q130" s="3200"/>
      <c r="R130" s="3137"/>
      <c r="S130" s="3137"/>
      <c r="T130" s="3137"/>
      <c r="U130" s="3137"/>
      <c r="V130" s="3137"/>
      <c r="W130" s="3137"/>
      <c r="X130" s="3137"/>
      <c r="Y130" s="3137"/>
      <c r="Z130" s="3137"/>
      <c r="AA130" s="3137"/>
      <c r="AB130" s="3137"/>
      <c r="AC130" s="3137"/>
    </row>
    <row r="131" spans="1:29" ht="14.4" thickTop="1">
      <c r="A131" s="3322"/>
      <c r="B131" s="3240">
        <f>B46</f>
        <v>0</v>
      </c>
      <c r="C131" s="3221"/>
      <c r="D131" s="3221"/>
      <c r="E131" s="3221"/>
      <c r="F131" s="3221"/>
      <c r="G131" s="3299"/>
      <c r="H131" s="3299"/>
      <c r="I131" s="3299"/>
      <c r="J131" s="3299"/>
      <c r="K131" s="3300"/>
      <c r="L131" s="3301"/>
      <c r="M131" s="3302"/>
      <c r="N131" s="3233"/>
      <c r="O131" s="3233"/>
      <c r="P131" s="3234"/>
      <c r="Q131" s="3200"/>
      <c r="R131" s="3137"/>
      <c r="S131" s="3137"/>
      <c r="T131" s="3137"/>
      <c r="U131" s="3137"/>
      <c r="V131" s="3137"/>
      <c r="W131" s="3137"/>
      <c r="X131" s="3137"/>
      <c r="Y131" s="3137"/>
      <c r="Z131" s="3137"/>
      <c r="AA131" s="3137"/>
      <c r="AB131" s="3137"/>
      <c r="AC131" s="3137"/>
    </row>
    <row r="132" spans="1:29" ht="14.4" thickBot="1">
      <c r="A132" s="3235"/>
      <c r="B132" s="3245"/>
      <c r="C132" s="3276"/>
      <c r="D132" s="3276"/>
      <c r="E132" s="3276"/>
      <c r="F132" s="3276"/>
      <c r="G132" s="3237"/>
      <c r="H132" s="3237"/>
      <c r="I132" s="3237"/>
      <c r="J132" s="3237"/>
      <c r="K132" s="3237"/>
      <c r="L132" s="3237"/>
      <c r="M132" s="3238"/>
      <c r="N132" s="3239"/>
      <c r="O132" s="3239"/>
      <c r="P132" s="3234"/>
      <c r="Q132" s="3200"/>
      <c r="R132" s="3137"/>
      <c r="S132" s="3137"/>
      <c r="T132" s="3137"/>
      <c r="U132" s="3137"/>
      <c r="V132" s="3137"/>
      <c r="W132" s="3137"/>
      <c r="X132" s="3137"/>
      <c r="Y132" s="3137"/>
      <c r="Z132" s="3137"/>
      <c r="AA132" s="3137"/>
      <c r="AB132" s="3137"/>
      <c r="AC132" s="3137"/>
    </row>
    <row r="133" spans="1:29" s="3110" customFormat="1" ht="14.4" thickTop="1">
      <c r="A133" s="3309"/>
      <c r="B133" s="3240">
        <f>B47</f>
        <v>0</v>
      </c>
      <c r="C133" s="3221"/>
      <c r="D133" s="3221"/>
      <c r="E133" s="3221"/>
      <c r="F133" s="3221"/>
      <c r="G133" s="3258"/>
      <c r="H133" s="3258"/>
      <c r="I133" s="3258"/>
      <c r="J133" s="3258"/>
      <c r="K133" s="3258"/>
      <c r="L133" s="3259"/>
      <c r="M133" s="3260"/>
      <c r="N133" s="3261"/>
      <c r="O133" s="3261"/>
      <c r="P133" s="3262"/>
      <c r="Q133" s="3263"/>
      <c r="R133" s="3264"/>
      <c r="S133" s="3264"/>
      <c r="T133" s="3264"/>
      <c r="U133" s="3264"/>
      <c r="V133" s="3264"/>
      <c r="W133" s="3264"/>
      <c r="X133" s="3264"/>
      <c r="Y133" s="3264"/>
      <c r="Z133" s="3264"/>
      <c r="AA133" s="3264"/>
      <c r="AB133" s="3264"/>
      <c r="AC133" s="3264"/>
    </row>
    <row r="134" spans="1:29" s="3110" customFormat="1" ht="14.4" thickBot="1">
      <c r="A134" s="3274"/>
      <c r="B134" s="3323"/>
      <c r="C134" s="3276"/>
      <c r="D134" s="3276"/>
      <c r="E134" s="3276"/>
      <c r="F134" s="3276"/>
      <c r="G134" s="3307"/>
      <c r="H134" s="3307"/>
      <c r="I134" s="3307"/>
      <c r="J134" s="3307"/>
      <c r="K134" s="3307"/>
      <c r="L134" s="3307"/>
      <c r="M134" s="3308"/>
      <c r="N134" s="3261"/>
      <c r="O134" s="3261"/>
      <c r="P134" s="3262"/>
      <c r="Q134" s="3263"/>
      <c r="R134" s="3264"/>
      <c r="S134" s="3264"/>
      <c r="T134" s="3264"/>
      <c r="U134" s="3264"/>
      <c r="V134" s="3264"/>
      <c r="W134" s="3264"/>
      <c r="X134" s="3264"/>
      <c r="Y134" s="3264"/>
      <c r="Z134" s="3264"/>
      <c r="AA134" s="3264"/>
      <c r="AB134" s="3264"/>
      <c r="AC134" s="3264"/>
    </row>
    <row r="135" spans="1:29" s="3327" customFormat="1">
      <c r="A135" s="3324"/>
      <c r="B135" s="3324"/>
      <c r="C135" s="3324"/>
      <c r="D135" s="3324"/>
      <c r="E135" s="3324"/>
      <c r="F135" s="3324"/>
      <c r="G135" s="3324"/>
      <c r="H135" s="3324"/>
      <c r="I135" s="3324"/>
      <c r="J135" s="3324"/>
      <c r="K135" s="3325"/>
      <c r="L135" s="3326"/>
      <c r="M135" s="3324"/>
      <c r="N135" s="3324"/>
      <c r="O135" s="3324"/>
      <c r="P135" s="3324"/>
      <c r="Q135" s="3324"/>
      <c r="R135" s="3324"/>
      <c r="S135" s="3324"/>
      <c r="T135" s="3324"/>
      <c r="U135" s="3324"/>
      <c r="V135" s="3324"/>
      <c r="W135" s="3324"/>
      <c r="X135" s="3324"/>
      <c r="Y135" s="3324"/>
      <c r="Z135" s="3324"/>
      <c r="AA135" s="3324"/>
      <c r="AB135" s="3324"/>
      <c r="AC135" s="3324"/>
    </row>
    <row r="136" spans="1:29" s="3327" customFormat="1">
      <c r="A136" s="3324"/>
      <c r="B136" s="3324"/>
      <c r="C136" s="3324"/>
      <c r="D136" s="3324"/>
      <c r="E136" s="3324"/>
      <c r="F136" s="3324"/>
      <c r="G136" s="3324"/>
      <c r="H136" s="3324"/>
      <c r="I136" s="3324"/>
      <c r="J136" s="3324"/>
      <c r="K136" s="3325"/>
      <c r="L136" s="3326"/>
      <c r="M136" s="3324"/>
      <c r="N136" s="3324"/>
      <c r="O136" s="3324"/>
      <c r="P136" s="3324"/>
      <c r="Q136" s="3324"/>
      <c r="R136" s="3324"/>
      <c r="S136" s="3324"/>
      <c r="T136" s="3324"/>
      <c r="U136" s="3324"/>
      <c r="V136" s="3324"/>
      <c r="W136" s="3324"/>
      <c r="X136" s="3324"/>
      <c r="Y136" s="3324"/>
      <c r="Z136" s="3324"/>
      <c r="AA136" s="3324"/>
      <c r="AB136" s="3324"/>
      <c r="AC136" s="3324"/>
    </row>
    <row r="137" spans="1:29" s="3327" customFormat="1">
      <c r="A137" s="3324"/>
      <c r="B137" s="3324"/>
      <c r="C137" s="3324"/>
      <c r="D137" s="3324"/>
      <c r="E137" s="3324"/>
      <c r="F137" s="3324"/>
      <c r="G137" s="3324"/>
      <c r="H137" s="3324"/>
      <c r="I137" s="3324"/>
      <c r="J137" s="3324"/>
      <c r="K137" s="3325"/>
      <c r="L137" s="3326"/>
      <c r="M137" s="3324"/>
      <c r="N137" s="3324"/>
      <c r="O137" s="3324"/>
      <c r="P137" s="3324"/>
      <c r="Q137" s="3324"/>
      <c r="R137" s="3324"/>
      <c r="S137" s="3324"/>
      <c r="T137" s="3324"/>
      <c r="U137" s="3324"/>
      <c r="V137" s="3324"/>
      <c r="W137" s="3324"/>
      <c r="X137" s="3324"/>
      <c r="Y137" s="3324"/>
      <c r="Z137" s="3324"/>
      <c r="AA137" s="3324"/>
      <c r="AB137" s="3324"/>
      <c r="AC137" s="3324"/>
    </row>
    <row r="138" spans="1:29" s="3327" customFormat="1">
      <c r="A138" s="3324"/>
      <c r="B138" s="3324"/>
      <c r="C138" s="3324"/>
      <c r="D138" s="3324"/>
      <c r="E138" s="3324"/>
      <c r="F138" s="3324"/>
      <c r="G138" s="3324"/>
      <c r="H138" s="3324"/>
      <c r="I138" s="3324"/>
      <c r="J138" s="3324"/>
      <c r="K138" s="3325"/>
      <c r="L138" s="3326"/>
      <c r="M138" s="3324"/>
      <c r="N138" s="3324"/>
      <c r="O138" s="3324"/>
      <c r="P138" s="3324"/>
      <c r="Q138" s="3324"/>
      <c r="R138" s="3324"/>
      <c r="S138" s="3324"/>
      <c r="T138" s="3324"/>
      <c r="U138" s="3324"/>
      <c r="V138" s="3324"/>
      <c r="W138" s="3324"/>
      <c r="X138" s="3324"/>
      <c r="Y138" s="3324"/>
      <c r="Z138" s="3324"/>
      <c r="AA138" s="3324"/>
      <c r="AB138" s="3324"/>
      <c r="AC138" s="3324"/>
    </row>
    <row r="139" spans="1:29" s="3327" customFormat="1">
      <c r="A139" s="3324"/>
      <c r="B139" s="3324"/>
      <c r="C139" s="3324"/>
      <c r="D139" s="3324"/>
      <c r="E139" s="3324"/>
      <c r="F139" s="3324"/>
      <c r="G139" s="3324"/>
      <c r="H139" s="3324"/>
      <c r="I139" s="3324"/>
      <c r="J139" s="3324"/>
      <c r="K139" s="3325"/>
      <c r="L139" s="3326"/>
      <c r="M139" s="3324"/>
      <c r="N139" s="3324"/>
      <c r="O139" s="3324"/>
      <c r="P139" s="3324"/>
      <c r="Q139" s="3324"/>
      <c r="R139" s="3324"/>
      <c r="S139" s="3324"/>
      <c r="T139" s="3324"/>
      <c r="U139" s="3324"/>
      <c r="V139" s="3324"/>
      <c r="W139" s="3324"/>
      <c r="X139" s="3324"/>
      <c r="Y139" s="3324"/>
      <c r="Z139" s="3324"/>
      <c r="AA139" s="3324"/>
      <c r="AB139" s="3324"/>
      <c r="AC139" s="3324"/>
    </row>
    <row r="140" spans="1:29" s="3327" customFormat="1">
      <c r="A140" s="3324"/>
      <c r="B140" s="3324"/>
      <c r="C140" s="3324"/>
      <c r="D140" s="3324"/>
      <c r="E140" s="3324"/>
      <c r="F140" s="3324"/>
      <c r="G140" s="3324"/>
      <c r="H140" s="3324"/>
      <c r="I140" s="3324"/>
      <c r="J140" s="3324"/>
      <c r="K140" s="3325"/>
      <c r="L140" s="3326"/>
      <c r="M140" s="3324"/>
      <c r="N140" s="3324"/>
      <c r="O140" s="3324"/>
      <c r="P140" s="3324"/>
      <c r="Q140" s="3324"/>
      <c r="R140" s="3324"/>
      <c r="S140" s="3324"/>
      <c r="T140" s="3324"/>
      <c r="U140" s="3324"/>
      <c r="V140" s="3324"/>
      <c r="W140" s="3324"/>
      <c r="X140" s="3324"/>
      <c r="Y140" s="3324"/>
      <c r="Z140" s="3324"/>
      <c r="AA140" s="3324"/>
      <c r="AB140" s="3324"/>
      <c r="AC140" s="3324"/>
    </row>
    <row r="141" spans="1:29" s="3327" customFormat="1">
      <c r="A141" s="3324"/>
      <c r="B141" s="3324"/>
      <c r="C141" s="3324"/>
      <c r="D141" s="3324"/>
      <c r="E141" s="3324"/>
      <c r="F141" s="3324"/>
      <c r="G141" s="3324"/>
      <c r="H141" s="3324"/>
      <c r="I141" s="3324"/>
      <c r="J141" s="3324"/>
      <c r="K141" s="3325"/>
      <c r="L141" s="3326"/>
      <c r="M141" s="3324"/>
      <c r="N141" s="3324"/>
      <c r="O141" s="3324"/>
      <c r="P141" s="3324"/>
      <c r="Q141" s="3324"/>
      <c r="R141" s="3324"/>
      <c r="S141" s="3324"/>
      <c r="T141" s="3324"/>
      <c r="U141" s="3324"/>
      <c r="V141" s="3324"/>
      <c r="W141" s="3324"/>
      <c r="X141" s="3324"/>
      <c r="Y141" s="3324"/>
      <c r="Z141" s="3324"/>
      <c r="AA141" s="3324"/>
      <c r="AB141" s="3324"/>
      <c r="AC141" s="3324"/>
    </row>
    <row r="142" spans="1:29" s="3327" customFormat="1">
      <c r="A142" s="3324"/>
      <c r="B142" s="3324"/>
      <c r="C142" s="3324"/>
      <c r="D142" s="3324"/>
      <c r="E142" s="3324"/>
      <c r="F142" s="3324"/>
      <c r="G142" s="3324"/>
      <c r="H142" s="3324"/>
      <c r="I142" s="3324"/>
      <c r="J142" s="3324"/>
      <c r="K142" s="3325"/>
      <c r="L142" s="3326"/>
      <c r="M142" s="3324"/>
      <c r="N142" s="3324"/>
      <c r="O142" s="3324"/>
      <c r="P142" s="3324"/>
      <c r="Q142" s="3324"/>
      <c r="R142" s="3324"/>
      <c r="S142" s="3324"/>
      <c r="T142" s="3324"/>
      <c r="U142" s="3324"/>
      <c r="V142" s="3324"/>
      <c r="W142" s="3324"/>
      <c r="X142" s="3324"/>
      <c r="Y142" s="3324"/>
      <c r="Z142" s="3324"/>
      <c r="AA142" s="3324"/>
      <c r="AB142" s="3324"/>
      <c r="AC142" s="3324"/>
    </row>
    <row r="143" spans="1:29" s="3327" customFormat="1">
      <c r="A143" s="3324"/>
      <c r="B143" s="3324"/>
      <c r="C143" s="3324"/>
      <c r="D143" s="3324"/>
      <c r="E143" s="3324"/>
      <c r="F143" s="3324"/>
      <c r="G143" s="3324"/>
      <c r="H143" s="3324"/>
      <c r="I143" s="3324"/>
      <c r="J143" s="3324"/>
      <c r="K143" s="3325"/>
      <c r="L143" s="3326"/>
      <c r="M143" s="3324"/>
      <c r="N143" s="3324"/>
      <c r="O143" s="3324"/>
      <c r="P143" s="3324"/>
      <c r="Q143" s="3324"/>
      <c r="R143" s="3324"/>
      <c r="S143" s="3324"/>
      <c r="T143" s="3324"/>
      <c r="U143" s="3324"/>
      <c r="V143" s="3324"/>
      <c r="W143" s="3324"/>
      <c r="X143" s="3324"/>
      <c r="Y143" s="3324"/>
      <c r="Z143" s="3324"/>
      <c r="AA143" s="3324"/>
      <c r="AB143" s="3324"/>
      <c r="AC143" s="3324"/>
    </row>
    <row r="144" spans="1:29" s="3327" customFormat="1">
      <c r="A144" s="3324"/>
      <c r="B144" s="3324"/>
      <c r="C144" s="3324"/>
      <c r="D144" s="3324"/>
      <c r="E144" s="3324"/>
      <c r="F144" s="3324"/>
      <c r="G144" s="3324"/>
      <c r="H144" s="3324"/>
      <c r="I144" s="3324"/>
      <c r="J144" s="3324"/>
      <c r="K144" s="3325"/>
      <c r="L144" s="3326"/>
      <c r="M144" s="3324"/>
      <c r="N144" s="3324"/>
      <c r="O144" s="3324"/>
      <c r="P144" s="3324"/>
      <c r="Q144" s="3324"/>
      <c r="R144" s="3324"/>
      <c r="S144" s="3324"/>
      <c r="T144" s="3324"/>
      <c r="U144" s="3324"/>
      <c r="V144" s="3324"/>
      <c r="W144" s="3324"/>
      <c r="X144" s="3324"/>
      <c r="Y144" s="3324"/>
      <c r="Z144" s="3324"/>
      <c r="AA144" s="3324"/>
      <c r="AB144" s="3324"/>
      <c r="AC144" s="3324"/>
    </row>
    <row r="145" spans="1:29" s="3327" customFormat="1">
      <c r="A145" s="3324"/>
      <c r="B145" s="3324"/>
      <c r="C145" s="3324"/>
      <c r="D145" s="3324"/>
      <c r="E145" s="3324"/>
      <c r="F145" s="3324"/>
      <c r="G145" s="3324"/>
      <c r="H145" s="3324"/>
      <c r="I145" s="3324"/>
      <c r="J145" s="3324"/>
      <c r="K145" s="3325"/>
      <c r="L145" s="3326"/>
      <c r="M145" s="3324"/>
      <c r="N145" s="3324"/>
      <c r="O145" s="3324"/>
      <c r="P145" s="3324"/>
      <c r="Q145" s="3324"/>
      <c r="R145" s="3324"/>
      <c r="S145" s="3324"/>
      <c r="T145" s="3324"/>
      <c r="U145" s="3324"/>
      <c r="V145" s="3324"/>
      <c r="W145" s="3324"/>
      <c r="X145" s="3324"/>
      <c r="Y145" s="3324"/>
      <c r="Z145" s="3324"/>
      <c r="AA145" s="3324"/>
      <c r="AB145" s="3324"/>
      <c r="AC145" s="3324"/>
    </row>
    <row r="146" spans="1:29" s="3327" customFormat="1">
      <c r="A146" s="3324"/>
      <c r="B146" s="3324"/>
      <c r="C146" s="3324"/>
      <c r="D146" s="3324"/>
      <c r="E146" s="3324"/>
      <c r="F146" s="3324"/>
      <c r="G146" s="3324"/>
      <c r="H146" s="3324"/>
      <c r="I146" s="3324"/>
      <c r="J146" s="3324"/>
      <c r="K146" s="3325"/>
      <c r="L146" s="3326"/>
      <c r="M146" s="3324"/>
      <c r="N146" s="3324"/>
      <c r="O146" s="3324"/>
      <c r="P146" s="3324"/>
      <c r="Q146" s="3324"/>
      <c r="R146" s="3324"/>
      <c r="S146" s="3324"/>
      <c r="T146" s="3324"/>
      <c r="U146" s="3324"/>
      <c r="V146" s="3324"/>
      <c r="W146" s="3324"/>
      <c r="X146" s="3324"/>
      <c r="Y146" s="3324"/>
      <c r="Z146" s="3324"/>
      <c r="AA146" s="3324"/>
      <c r="AB146" s="3324"/>
      <c r="AC146" s="3324"/>
    </row>
    <row r="147" spans="1:29" s="3327" customFormat="1">
      <c r="A147" s="3324"/>
      <c r="B147" s="3324"/>
      <c r="C147" s="3324"/>
      <c r="D147" s="3324"/>
      <c r="E147" s="3324"/>
      <c r="F147" s="3324"/>
      <c r="G147" s="3324"/>
      <c r="H147" s="3324"/>
      <c r="I147" s="3324"/>
      <c r="J147" s="3324"/>
      <c r="K147" s="3325"/>
      <c r="L147" s="3326"/>
      <c r="M147" s="3324"/>
      <c r="N147" s="3324"/>
      <c r="O147" s="3324"/>
      <c r="P147" s="3324"/>
      <c r="Q147" s="3324"/>
      <c r="R147" s="3324"/>
      <c r="S147" s="3324"/>
      <c r="T147" s="3324"/>
      <c r="U147" s="3324"/>
      <c r="V147" s="3324"/>
      <c r="W147" s="3324"/>
      <c r="X147" s="3324"/>
      <c r="Y147" s="3324"/>
      <c r="Z147" s="3324"/>
      <c r="AA147" s="3324"/>
      <c r="AB147" s="3324"/>
      <c r="AC147" s="3324"/>
    </row>
    <row r="148" spans="1:29" s="3327" customFormat="1">
      <c r="A148" s="3324"/>
      <c r="B148" s="3324"/>
      <c r="C148" s="3324"/>
      <c r="D148" s="3324"/>
      <c r="E148" s="3324"/>
      <c r="F148" s="3324"/>
      <c r="G148" s="3324"/>
      <c r="H148" s="3324"/>
      <c r="I148" s="3324"/>
      <c r="J148" s="3324"/>
      <c r="K148" s="3325"/>
      <c r="L148" s="3326"/>
      <c r="M148" s="3324"/>
      <c r="N148" s="3324"/>
      <c r="O148" s="3324"/>
      <c r="P148" s="3324"/>
      <c r="Q148" s="3324"/>
      <c r="R148" s="3324"/>
      <c r="S148" s="3324"/>
      <c r="T148" s="3324"/>
      <c r="U148" s="3324"/>
      <c r="V148" s="3324"/>
      <c r="W148" s="3324"/>
      <c r="X148" s="3324"/>
      <c r="Y148" s="3324"/>
      <c r="Z148" s="3324"/>
      <c r="AA148" s="3324"/>
      <c r="AB148" s="3324"/>
      <c r="AC148" s="3324"/>
    </row>
    <row r="149" spans="1:29" s="3327" customFormat="1">
      <c r="A149" s="3324"/>
      <c r="B149" s="3324"/>
      <c r="C149" s="3324"/>
      <c r="D149" s="3324"/>
      <c r="E149" s="3324"/>
      <c r="F149" s="3324"/>
      <c r="G149" s="3324"/>
      <c r="H149" s="3324"/>
      <c r="I149" s="3324"/>
      <c r="J149" s="3324"/>
      <c r="K149" s="3325"/>
      <c r="L149" s="3326"/>
      <c r="M149" s="3324"/>
      <c r="N149" s="3324"/>
      <c r="O149" s="3324"/>
      <c r="P149" s="3324"/>
      <c r="Q149" s="3324"/>
      <c r="R149" s="3324"/>
      <c r="S149" s="3324"/>
      <c r="T149" s="3324"/>
      <c r="U149" s="3324"/>
      <c r="V149" s="3324"/>
      <c r="W149" s="3324"/>
      <c r="X149" s="3324"/>
      <c r="Y149" s="3324"/>
      <c r="Z149" s="3324"/>
      <c r="AA149" s="3324"/>
      <c r="AB149" s="3324"/>
      <c r="AC149" s="3324"/>
    </row>
    <row r="150" spans="1:29" s="3327" customFormat="1">
      <c r="A150" s="3324"/>
      <c r="B150" s="3324"/>
      <c r="C150" s="3324"/>
      <c r="D150" s="3324"/>
      <c r="E150" s="3324"/>
      <c r="F150" s="3324"/>
      <c r="G150" s="3324"/>
      <c r="H150" s="3324"/>
      <c r="I150" s="3324"/>
      <c r="J150" s="3324"/>
      <c r="K150" s="3325"/>
      <c r="L150" s="3326"/>
      <c r="M150" s="3324"/>
      <c r="N150" s="3324"/>
      <c r="O150" s="3324"/>
      <c r="P150" s="3324"/>
      <c r="Q150" s="3324"/>
      <c r="R150" s="3324"/>
      <c r="S150" s="3324"/>
      <c r="T150" s="3324"/>
      <c r="U150" s="3324"/>
      <c r="V150" s="3324"/>
      <c r="W150" s="3324"/>
      <c r="X150" s="3324"/>
      <c r="Y150" s="3324"/>
      <c r="Z150" s="3324"/>
      <c r="AA150" s="3324"/>
      <c r="AB150" s="3324"/>
      <c r="AC150" s="3324"/>
    </row>
    <row r="151" spans="1:29" s="3327" customFormat="1">
      <c r="A151" s="3324"/>
      <c r="B151" s="3324"/>
      <c r="C151" s="3324"/>
      <c r="D151" s="3324"/>
      <c r="E151" s="3324"/>
      <c r="F151" s="3324"/>
      <c r="G151" s="3324"/>
      <c r="H151" s="3324"/>
      <c r="I151" s="3324"/>
      <c r="J151" s="3324"/>
      <c r="K151" s="3325"/>
      <c r="L151" s="3326"/>
      <c r="M151" s="3324"/>
      <c r="N151" s="3324"/>
      <c r="O151" s="3324"/>
      <c r="P151" s="3324"/>
      <c r="Q151" s="3324"/>
      <c r="R151" s="3324"/>
      <c r="S151" s="3324"/>
      <c r="T151" s="3324"/>
      <c r="U151" s="3324"/>
      <c r="V151" s="3324"/>
      <c r="W151" s="3324"/>
      <c r="X151" s="3324"/>
      <c r="Y151" s="3324"/>
      <c r="Z151" s="3324"/>
      <c r="AA151" s="3324"/>
      <c r="AB151" s="3324"/>
      <c r="AC151" s="3324"/>
    </row>
    <row r="152" spans="1:29" s="3327" customFormat="1">
      <c r="A152" s="3324"/>
      <c r="B152" s="3324"/>
      <c r="C152" s="3324"/>
      <c r="D152" s="3324"/>
      <c r="E152" s="3324"/>
      <c r="F152" s="3324"/>
      <c r="G152" s="3324"/>
      <c r="H152" s="3324"/>
      <c r="I152" s="3324"/>
      <c r="J152" s="3324"/>
      <c r="K152" s="3325"/>
      <c r="L152" s="3326"/>
      <c r="M152" s="3324"/>
      <c r="N152" s="3324"/>
      <c r="O152" s="3324"/>
      <c r="P152" s="3324"/>
      <c r="Q152" s="3324"/>
      <c r="R152" s="3324"/>
      <c r="S152" s="3324"/>
      <c r="T152" s="3324"/>
      <c r="U152" s="3324"/>
      <c r="V152" s="3324"/>
      <c r="W152" s="3324"/>
      <c r="X152" s="3324"/>
      <c r="Y152" s="3324"/>
      <c r="Z152" s="3324"/>
      <c r="AA152" s="3324"/>
      <c r="AB152" s="3324"/>
      <c r="AC152" s="3324"/>
    </row>
    <row r="153" spans="1:29" s="3327" customFormat="1">
      <c r="A153" s="3324"/>
      <c r="B153" s="3324"/>
      <c r="C153" s="3324"/>
      <c r="D153" s="3324"/>
      <c r="E153" s="3324"/>
      <c r="F153" s="3324"/>
      <c r="G153" s="3324"/>
      <c r="H153" s="3324"/>
      <c r="I153" s="3324"/>
      <c r="J153" s="3324"/>
      <c r="K153" s="3325"/>
      <c r="L153" s="3326"/>
      <c r="M153" s="3324"/>
      <c r="N153" s="3324"/>
      <c r="O153" s="3324"/>
      <c r="P153" s="3324"/>
      <c r="Q153" s="3324"/>
      <c r="R153" s="3324"/>
      <c r="S153" s="3324"/>
      <c r="T153" s="3324"/>
      <c r="U153" s="3324"/>
      <c r="V153" s="3324"/>
      <c r="W153" s="3324"/>
      <c r="X153" s="3324"/>
      <c r="Y153" s="3324"/>
      <c r="Z153" s="3324"/>
      <c r="AA153" s="3324"/>
      <c r="AB153" s="3324"/>
      <c r="AC153" s="3324"/>
    </row>
    <row r="154" spans="1:29" s="3327" customFormat="1">
      <c r="A154" s="3324"/>
      <c r="B154" s="3324"/>
      <c r="C154" s="3324"/>
      <c r="D154" s="3324"/>
      <c r="E154" s="3324"/>
      <c r="F154" s="3324"/>
      <c r="G154" s="3324"/>
      <c r="H154" s="3324"/>
      <c r="I154" s="3324"/>
      <c r="J154" s="3324"/>
      <c r="K154" s="3325"/>
      <c r="L154" s="3326"/>
      <c r="M154" s="3324"/>
      <c r="N154" s="3324"/>
      <c r="O154" s="3324"/>
      <c r="P154" s="3324"/>
      <c r="Q154" s="3324"/>
      <c r="R154" s="3324"/>
      <c r="S154" s="3324"/>
      <c r="T154" s="3324"/>
      <c r="U154" s="3324"/>
      <c r="V154" s="3324"/>
      <c r="W154" s="3324"/>
      <c r="X154" s="3324"/>
      <c r="Y154" s="3324"/>
      <c r="Z154" s="3324"/>
      <c r="AA154" s="3324"/>
      <c r="AB154" s="3324"/>
      <c r="AC154" s="3324"/>
    </row>
    <row r="155" spans="1:29" s="3327" customFormat="1">
      <c r="A155" s="3324"/>
      <c r="B155" s="3324"/>
      <c r="C155" s="3324"/>
      <c r="D155" s="3324"/>
      <c r="E155" s="3324"/>
      <c r="F155" s="3324"/>
      <c r="G155" s="3324"/>
      <c r="H155" s="3324"/>
      <c r="I155" s="3324"/>
      <c r="J155" s="3324"/>
      <c r="K155" s="3325"/>
      <c r="L155" s="3326"/>
      <c r="M155" s="3324"/>
      <c r="N155" s="3324"/>
      <c r="O155" s="3324"/>
      <c r="P155" s="3324"/>
      <c r="Q155" s="3324"/>
      <c r="R155" s="3324"/>
      <c r="S155" s="3324"/>
      <c r="T155" s="3324"/>
      <c r="U155" s="3324"/>
      <c r="V155" s="3324"/>
      <c r="W155" s="3324"/>
      <c r="X155" s="3324"/>
      <c r="Y155" s="3324"/>
      <c r="Z155" s="3324"/>
      <c r="AA155" s="3324"/>
      <c r="AB155" s="3324"/>
      <c r="AC155" s="3324"/>
    </row>
    <row r="156" spans="1:29" s="3327" customFormat="1">
      <c r="A156" s="3324"/>
      <c r="B156" s="3324"/>
      <c r="C156" s="3324"/>
      <c r="D156" s="3324"/>
      <c r="E156" s="3324"/>
      <c r="F156" s="3324"/>
      <c r="G156" s="3324"/>
      <c r="H156" s="3324"/>
      <c r="I156" s="3324"/>
      <c r="J156" s="3324"/>
      <c r="K156" s="3325"/>
      <c r="L156" s="3326"/>
      <c r="M156" s="3324"/>
      <c r="N156" s="3324"/>
      <c r="O156" s="3324"/>
      <c r="P156" s="3324"/>
      <c r="Q156" s="3324"/>
      <c r="R156" s="3324"/>
      <c r="S156" s="3324"/>
      <c r="T156" s="3324"/>
      <c r="U156" s="3324"/>
      <c r="V156" s="3324"/>
      <c r="W156" s="3324"/>
      <c r="X156" s="3324"/>
      <c r="Y156" s="3324"/>
      <c r="Z156" s="3324"/>
      <c r="AA156" s="3324"/>
      <c r="AB156" s="3324"/>
      <c r="AC156" s="3324"/>
    </row>
    <row r="157" spans="1:29" s="3327" customFormat="1">
      <c r="A157" s="3324"/>
      <c r="B157" s="3324"/>
      <c r="C157" s="3324"/>
      <c r="D157" s="3324"/>
      <c r="E157" s="3324"/>
      <c r="F157" s="3324"/>
      <c r="G157" s="3324"/>
      <c r="H157" s="3324"/>
      <c r="I157" s="3324"/>
      <c r="J157" s="3324"/>
      <c r="K157" s="3325"/>
      <c r="L157" s="3326"/>
      <c r="M157" s="3324"/>
      <c r="N157" s="3324"/>
      <c r="O157" s="3324"/>
      <c r="P157" s="3324"/>
      <c r="Q157" s="3324"/>
      <c r="R157" s="3324"/>
      <c r="S157" s="3324"/>
      <c r="T157" s="3324"/>
      <c r="U157" s="3324"/>
      <c r="V157" s="3324"/>
      <c r="W157" s="3324"/>
      <c r="X157" s="3324"/>
      <c r="Y157" s="3324"/>
      <c r="Z157" s="3324"/>
      <c r="AA157" s="3324"/>
      <c r="AB157" s="3324"/>
      <c r="AC157" s="3324"/>
    </row>
    <row r="158" spans="1:29" s="3327" customFormat="1">
      <c r="A158" s="3324"/>
      <c r="B158" s="3324"/>
      <c r="C158" s="3324"/>
      <c r="D158" s="3324"/>
      <c r="E158" s="3324"/>
      <c r="F158" s="3324"/>
      <c r="G158" s="3324"/>
      <c r="H158" s="3324"/>
      <c r="I158" s="3324"/>
      <c r="J158" s="3324"/>
      <c r="K158" s="3325"/>
      <c r="L158" s="3326"/>
      <c r="M158" s="3324"/>
      <c r="N158" s="3324"/>
      <c r="O158" s="3324"/>
      <c r="P158" s="3324"/>
      <c r="Q158" s="3324"/>
      <c r="R158" s="3324"/>
      <c r="S158" s="3324"/>
      <c r="T158" s="3324"/>
      <c r="U158" s="3324"/>
      <c r="V158" s="3324"/>
      <c r="W158" s="3324"/>
      <c r="X158" s="3324"/>
      <c r="Y158" s="3324"/>
      <c r="Z158" s="3324"/>
      <c r="AA158" s="3324"/>
      <c r="AB158" s="3324"/>
      <c r="AC158" s="3324"/>
    </row>
    <row r="159" spans="1:29" s="3327" customFormat="1">
      <c r="A159" s="3324"/>
      <c r="B159" s="3324"/>
      <c r="C159" s="3324"/>
      <c r="D159" s="3324"/>
      <c r="E159" s="3324"/>
      <c r="F159" s="3324"/>
      <c r="G159" s="3324"/>
      <c r="H159" s="3324"/>
      <c r="I159" s="3324"/>
      <c r="J159" s="3324"/>
      <c r="K159" s="3325"/>
      <c r="L159" s="3326"/>
      <c r="M159" s="3324"/>
      <c r="N159" s="3324"/>
      <c r="O159" s="3324"/>
      <c r="P159" s="3324"/>
      <c r="Q159" s="3324"/>
      <c r="R159" s="3324"/>
      <c r="S159" s="3324"/>
      <c r="T159" s="3324"/>
      <c r="U159" s="3324"/>
      <c r="V159" s="3324"/>
      <c r="W159" s="3324"/>
      <c r="X159" s="3324"/>
      <c r="Y159" s="3324"/>
      <c r="Z159" s="3324"/>
      <c r="AA159" s="3324"/>
      <c r="AB159" s="3324"/>
      <c r="AC159" s="3324"/>
    </row>
    <row r="160" spans="1:29" s="3327" customFormat="1">
      <c r="A160" s="3324"/>
      <c r="B160" s="3324"/>
      <c r="C160" s="3324"/>
      <c r="D160" s="3324"/>
      <c r="E160" s="3324"/>
      <c r="F160" s="3324"/>
      <c r="G160" s="3324"/>
      <c r="H160" s="3324"/>
      <c r="I160" s="3324"/>
      <c r="J160" s="3324"/>
      <c r="K160" s="3325"/>
      <c r="L160" s="3326"/>
      <c r="M160" s="3324"/>
      <c r="N160" s="3324"/>
      <c r="O160" s="3324"/>
      <c r="P160" s="3324"/>
      <c r="Q160" s="3324"/>
      <c r="R160" s="3324"/>
      <c r="S160" s="3324"/>
      <c r="T160" s="3324"/>
      <c r="U160" s="3324"/>
      <c r="V160" s="3324"/>
      <c r="W160" s="3324"/>
      <c r="X160" s="3324"/>
      <c r="Y160" s="3324"/>
      <c r="Z160" s="3324"/>
      <c r="AA160" s="3324"/>
      <c r="AB160" s="3324"/>
      <c r="AC160" s="3324"/>
    </row>
    <row r="161" spans="1:29" s="3327" customFormat="1">
      <c r="A161" s="3324"/>
      <c r="B161" s="3324"/>
      <c r="C161" s="3324"/>
      <c r="D161" s="3324"/>
      <c r="E161" s="3324"/>
      <c r="F161" s="3324"/>
      <c r="G161" s="3324"/>
      <c r="H161" s="3324"/>
      <c r="I161" s="3324"/>
      <c r="J161" s="3324"/>
      <c r="K161" s="3325"/>
      <c r="L161" s="3326"/>
      <c r="M161" s="3324"/>
      <c r="N161" s="3324"/>
      <c r="O161" s="3324"/>
      <c r="P161" s="3324"/>
      <c r="Q161" s="3324"/>
      <c r="R161" s="3324"/>
      <c r="S161" s="3324"/>
      <c r="T161" s="3324"/>
      <c r="U161" s="3324"/>
      <c r="V161" s="3324"/>
      <c r="W161" s="3324"/>
      <c r="X161" s="3324"/>
      <c r="Y161" s="3324"/>
      <c r="Z161" s="3324"/>
      <c r="AA161" s="3324"/>
      <c r="AB161" s="3324"/>
      <c r="AC161" s="3324"/>
    </row>
    <row r="162" spans="1:29" s="3327" customFormat="1">
      <c r="A162" s="3324"/>
      <c r="B162" s="3324"/>
      <c r="C162" s="3324"/>
      <c r="D162" s="3324"/>
      <c r="E162" s="3324"/>
      <c r="F162" s="3324"/>
      <c r="G162" s="3324"/>
      <c r="H162" s="3324"/>
      <c r="I162" s="3324"/>
      <c r="J162" s="3324"/>
      <c r="K162" s="3325"/>
      <c r="L162" s="3326"/>
      <c r="M162" s="3324"/>
      <c r="N162" s="3324"/>
      <c r="O162" s="3324"/>
      <c r="P162" s="3324"/>
      <c r="Q162" s="3324"/>
      <c r="R162" s="3324"/>
      <c r="S162" s="3324"/>
      <c r="T162" s="3324"/>
      <c r="U162" s="3324"/>
      <c r="V162" s="3324"/>
      <c r="W162" s="3324"/>
      <c r="X162" s="3324"/>
      <c r="Y162" s="3324"/>
      <c r="Z162" s="3324"/>
      <c r="AA162" s="3324"/>
      <c r="AB162" s="3324"/>
      <c r="AC162" s="3324"/>
    </row>
    <row r="163" spans="1:29" s="3327" customFormat="1">
      <c r="A163" s="3324"/>
      <c r="B163" s="3324"/>
      <c r="C163" s="3324"/>
      <c r="D163" s="3324"/>
      <c r="E163" s="3324"/>
      <c r="F163" s="3324"/>
      <c r="G163" s="3324"/>
      <c r="H163" s="3324"/>
      <c r="I163" s="3324"/>
      <c r="J163" s="3324"/>
      <c r="K163" s="3325"/>
      <c r="L163" s="3326"/>
      <c r="M163" s="3324"/>
      <c r="N163" s="3324"/>
      <c r="O163" s="3324"/>
      <c r="P163" s="3324"/>
      <c r="Q163" s="3324"/>
      <c r="R163" s="3324"/>
      <c r="S163" s="3324"/>
      <c r="T163" s="3324"/>
      <c r="U163" s="3324"/>
      <c r="V163" s="3324"/>
      <c r="W163" s="3324"/>
      <c r="X163" s="3324"/>
      <c r="Y163" s="3324"/>
      <c r="Z163" s="3324"/>
      <c r="AA163" s="3324"/>
      <c r="AB163" s="3324"/>
      <c r="AC163" s="3324"/>
    </row>
    <row r="164" spans="1:29" s="3327" customFormat="1">
      <c r="A164" s="3324"/>
      <c r="B164" s="3324"/>
      <c r="C164" s="3324"/>
      <c r="D164" s="3324"/>
      <c r="E164" s="3324"/>
      <c r="F164" s="3324"/>
      <c r="G164" s="3324"/>
      <c r="H164" s="3324"/>
      <c r="I164" s="3324"/>
      <c r="J164" s="3324"/>
      <c r="K164" s="3325"/>
      <c r="L164" s="3326"/>
      <c r="M164" s="3324"/>
      <c r="N164" s="3324"/>
      <c r="O164" s="3324"/>
      <c r="P164" s="3324"/>
      <c r="Q164" s="3324"/>
      <c r="R164" s="3324"/>
      <c r="S164" s="3324"/>
      <c r="T164" s="3324"/>
      <c r="U164" s="3324"/>
      <c r="V164" s="3324"/>
      <c r="W164" s="3324"/>
      <c r="X164" s="3324"/>
      <c r="Y164" s="3324"/>
      <c r="Z164" s="3324"/>
      <c r="AA164" s="3324"/>
      <c r="AB164" s="3324"/>
      <c r="AC164" s="3324"/>
    </row>
    <row r="165" spans="1:29" s="3327" customFormat="1">
      <c r="A165" s="3324"/>
      <c r="B165" s="3324"/>
      <c r="C165" s="3324"/>
      <c r="D165" s="3324"/>
      <c r="E165" s="3324"/>
      <c r="F165" s="3324"/>
      <c r="G165" s="3324"/>
      <c r="H165" s="3324"/>
      <c r="I165" s="3324"/>
      <c r="J165" s="3324"/>
      <c r="K165" s="3325"/>
      <c r="L165" s="3326"/>
      <c r="M165" s="3324"/>
      <c r="N165" s="3324"/>
      <c r="O165" s="3324"/>
      <c r="P165" s="3324"/>
      <c r="Q165" s="3324"/>
      <c r="R165" s="3324"/>
      <c r="S165" s="3324"/>
      <c r="T165" s="3324"/>
      <c r="U165" s="3324"/>
      <c r="V165" s="3324"/>
      <c r="W165" s="3324"/>
      <c r="X165" s="3324"/>
      <c r="Y165" s="3324"/>
      <c r="Z165" s="3324"/>
      <c r="AA165" s="3324"/>
      <c r="AB165" s="3324"/>
      <c r="AC165" s="3324"/>
    </row>
    <row r="166" spans="1:29" s="3327" customFormat="1">
      <c r="A166" s="3324"/>
      <c r="B166" s="3324"/>
      <c r="C166" s="3324"/>
      <c r="D166" s="3324"/>
      <c r="E166" s="3324"/>
      <c r="F166" s="3324"/>
      <c r="G166" s="3324"/>
      <c r="H166" s="3324"/>
      <c r="I166" s="3324"/>
      <c r="J166" s="3324"/>
      <c r="K166" s="3325"/>
      <c r="L166" s="3326"/>
      <c r="M166" s="3324"/>
      <c r="N166" s="3324"/>
      <c r="O166" s="3324"/>
      <c r="P166" s="3324"/>
      <c r="Q166" s="3324"/>
      <c r="R166" s="3324"/>
      <c r="S166" s="3324"/>
      <c r="T166" s="3324"/>
      <c r="U166" s="3324"/>
      <c r="V166" s="3324"/>
      <c r="W166" s="3324"/>
      <c r="X166" s="3324"/>
      <c r="Y166" s="3324"/>
      <c r="Z166" s="3324"/>
      <c r="AA166" s="3324"/>
      <c r="AB166" s="3324"/>
      <c r="AC166" s="3324"/>
    </row>
    <row r="167" spans="1:29" s="3327" customFormat="1">
      <c r="A167" s="3324"/>
      <c r="B167" s="3324"/>
      <c r="C167" s="3324"/>
      <c r="D167" s="3324"/>
      <c r="E167" s="3324"/>
      <c r="F167" s="3324"/>
      <c r="G167" s="3324"/>
      <c r="H167" s="3324"/>
      <c r="I167" s="3324"/>
      <c r="J167" s="3324"/>
      <c r="K167" s="3325"/>
      <c r="L167" s="3326"/>
      <c r="M167" s="3324"/>
      <c r="N167" s="3324"/>
      <c r="O167" s="3324"/>
      <c r="P167" s="3324"/>
      <c r="Q167" s="3324"/>
      <c r="R167" s="3324"/>
      <c r="S167" s="3324"/>
      <c r="T167" s="3324"/>
      <c r="U167" s="3324"/>
      <c r="V167" s="3324"/>
      <c r="W167" s="3324"/>
      <c r="X167" s="3324"/>
      <c r="Y167" s="3324"/>
      <c r="Z167" s="3324"/>
      <c r="AA167" s="3324"/>
      <c r="AB167" s="3324"/>
      <c r="AC167" s="3324"/>
    </row>
    <row r="168" spans="1:29" s="3327" customFormat="1">
      <c r="A168" s="3324"/>
      <c r="B168" s="3324"/>
      <c r="C168" s="3324"/>
      <c r="D168" s="3324"/>
      <c r="E168" s="3324"/>
      <c r="F168" s="3324"/>
      <c r="G168" s="3324"/>
      <c r="H168" s="3324"/>
      <c r="I168" s="3324"/>
      <c r="J168" s="3324"/>
      <c r="K168" s="3325"/>
      <c r="L168" s="3326"/>
      <c r="M168" s="3324"/>
      <c r="N168" s="3324"/>
      <c r="O168" s="3324"/>
      <c r="P168" s="3324"/>
      <c r="Q168" s="3324"/>
      <c r="R168" s="3324"/>
      <c r="S168" s="3324"/>
      <c r="T168" s="3324"/>
      <c r="U168" s="3324"/>
      <c r="V168" s="3324"/>
      <c r="W168" s="3324"/>
      <c r="X168" s="3324"/>
      <c r="Y168" s="3324"/>
      <c r="Z168" s="3324"/>
      <c r="AA168" s="3324"/>
      <c r="AB168" s="3324"/>
      <c r="AC168" s="3324"/>
    </row>
    <row r="169" spans="1:29" s="3327" customFormat="1">
      <c r="A169" s="3324"/>
      <c r="B169" s="3324"/>
      <c r="C169" s="3324"/>
      <c r="D169" s="3324"/>
      <c r="E169" s="3324"/>
      <c r="F169" s="3324"/>
      <c r="G169" s="3324"/>
      <c r="H169" s="3324"/>
      <c r="I169" s="3324"/>
      <c r="J169" s="3324"/>
      <c r="K169" s="3325"/>
      <c r="L169" s="3326"/>
      <c r="M169" s="3324"/>
      <c r="N169" s="3324"/>
      <c r="O169" s="3324"/>
      <c r="P169" s="3324"/>
      <c r="Q169" s="3324"/>
      <c r="R169" s="3324"/>
      <c r="S169" s="3324"/>
      <c r="T169" s="3324"/>
      <c r="U169" s="3324"/>
      <c r="V169" s="3324"/>
      <c r="W169" s="3324"/>
      <c r="X169" s="3324"/>
      <c r="Y169" s="3324"/>
      <c r="Z169" s="3324"/>
      <c r="AA169" s="3324"/>
      <c r="AB169" s="3324"/>
      <c r="AC169" s="3324"/>
    </row>
    <row r="170" spans="1:29" s="3327" customFormat="1">
      <c r="A170" s="3324"/>
      <c r="B170" s="3324"/>
      <c r="C170" s="3324"/>
      <c r="D170" s="3324"/>
      <c r="E170" s="3324"/>
      <c r="F170" s="3324"/>
      <c r="G170" s="3324"/>
      <c r="H170" s="3324"/>
      <c r="I170" s="3324"/>
      <c r="J170" s="3324"/>
      <c r="K170" s="3325"/>
      <c r="L170" s="3326"/>
      <c r="M170" s="3324"/>
      <c r="N170" s="3324"/>
      <c r="O170" s="3324"/>
      <c r="P170" s="3324"/>
      <c r="Q170" s="3324"/>
      <c r="R170" s="3324"/>
      <c r="S170" s="3324"/>
      <c r="T170" s="3324"/>
      <c r="U170" s="3324"/>
      <c r="V170" s="3324"/>
      <c r="W170" s="3324"/>
      <c r="X170" s="3324"/>
      <c r="Y170" s="3324"/>
      <c r="Z170" s="3324"/>
      <c r="AA170" s="3324"/>
      <c r="AB170" s="3324"/>
      <c r="AC170" s="3324"/>
    </row>
    <row r="171" spans="1:29" s="3327" customFormat="1">
      <c r="A171" s="3324"/>
      <c r="B171" s="3324"/>
      <c r="C171" s="3324"/>
      <c r="D171" s="3324"/>
      <c r="E171" s="3324"/>
      <c r="F171" s="3324"/>
      <c r="G171" s="3324"/>
      <c r="H171" s="3324"/>
      <c r="I171" s="3324"/>
      <c r="J171" s="3324"/>
      <c r="K171" s="3325"/>
      <c r="L171" s="3326"/>
      <c r="M171" s="3324"/>
      <c r="N171" s="3324"/>
      <c r="O171" s="3324"/>
      <c r="P171" s="3324"/>
      <c r="Q171" s="3324"/>
      <c r="R171" s="3324"/>
      <c r="S171" s="3324"/>
      <c r="T171" s="3324"/>
      <c r="U171" s="3324"/>
      <c r="V171" s="3324"/>
      <c r="W171" s="3324"/>
      <c r="X171" s="3324"/>
      <c r="Y171" s="3324"/>
      <c r="Z171" s="3324"/>
      <c r="AA171" s="3324"/>
      <c r="AB171" s="3324"/>
      <c r="AC171" s="3324"/>
    </row>
    <row r="172" spans="1:29" s="3327" customFormat="1">
      <c r="A172" s="3324"/>
      <c r="B172" s="3324"/>
      <c r="C172" s="3324"/>
      <c r="D172" s="3324"/>
      <c r="E172" s="3324"/>
      <c r="F172" s="3324"/>
      <c r="G172" s="3324"/>
      <c r="H172" s="3324"/>
      <c r="I172" s="3324"/>
      <c r="J172" s="3324"/>
      <c r="K172" s="3325"/>
      <c r="L172" s="3326"/>
      <c r="M172" s="3324"/>
      <c r="N172" s="3324"/>
      <c r="O172" s="3324"/>
      <c r="P172" s="3324"/>
      <c r="Q172" s="3324"/>
      <c r="R172" s="3324"/>
      <c r="S172" s="3324"/>
      <c r="T172" s="3324"/>
      <c r="U172" s="3324"/>
      <c r="V172" s="3324"/>
      <c r="W172" s="3324"/>
      <c r="X172" s="3324"/>
      <c r="Y172" s="3324"/>
      <c r="Z172" s="3324"/>
      <c r="AA172" s="3324"/>
      <c r="AB172" s="3324"/>
      <c r="AC172" s="3324"/>
    </row>
    <row r="173" spans="1:29" s="3327" customFormat="1">
      <c r="A173" s="3324"/>
      <c r="B173" s="3324"/>
      <c r="C173" s="3324"/>
      <c r="D173" s="3324"/>
      <c r="E173" s="3324"/>
      <c r="F173" s="3324"/>
      <c r="G173" s="3324"/>
      <c r="H173" s="3324"/>
      <c r="I173" s="3324"/>
      <c r="J173" s="3324"/>
      <c r="K173" s="3325"/>
      <c r="L173" s="3326"/>
      <c r="M173" s="3324"/>
      <c r="N173" s="3324"/>
      <c r="O173" s="3324"/>
      <c r="P173" s="3324"/>
      <c r="Q173" s="3324"/>
      <c r="R173" s="3324"/>
      <c r="S173" s="3324"/>
      <c r="T173" s="3324"/>
      <c r="U173" s="3324"/>
      <c r="V173" s="3324"/>
      <c r="W173" s="3324"/>
      <c r="X173" s="3324"/>
      <c r="Y173" s="3324"/>
      <c r="Z173" s="3324"/>
      <c r="AA173" s="3324"/>
      <c r="AB173" s="3324"/>
      <c r="AC173" s="3324"/>
    </row>
    <row r="174" spans="1:29" s="3327" customFormat="1">
      <c r="A174" s="3324"/>
      <c r="B174" s="3324"/>
      <c r="C174" s="3324"/>
      <c r="D174" s="3324"/>
      <c r="E174" s="3324"/>
      <c r="F174" s="3324"/>
      <c r="G174" s="3324"/>
      <c r="H174" s="3324"/>
      <c r="I174" s="3324"/>
      <c r="J174" s="3324"/>
      <c r="K174" s="3325"/>
      <c r="L174" s="3326"/>
      <c r="M174" s="3324"/>
      <c r="N174" s="3324"/>
      <c r="O174" s="3324"/>
      <c r="P174" s="3324"/>
      <c r="Q174" s="3324"/>
      <c r="R174" s="3324"/>
      <c r="S174" s="3324"/>
      <c r="T174" s="3324"/>
      <c r="U174" s="3324"/>
      <c r="V174" s="3324"/>
      <c r="W174" s="3324"/>
      <c r="X174" s="3324"/>
      <c r="Y174" s="3324"/>
      <c r="Z174" s="3324"/>
      <c r="AA174" s="3324"/>
      <c r="AB174" s="3324"/>
      <c r="AC174" s="3324"/>
    </row>
    <row r="175" spans="1:29" s="3327" customFormat="1">
      <c r="A175" s="3324"/>
      <c r="B175" s="3324"/>
      <c r="C175" s="3324"/>
      <c r="D175" s="3324"/>
      <c r="E175" s="3324"/>
      <c r="F175" s="3324"/>
      <c r="G175" s="3324"/>
      <c r="H175" s="3324"/>
      <c r="I175" s="3324"/>
      <c r="J175" s="3324"/>
      <c r="K175" s="3325"/>
      <c r="L175" s="3326"/>
      <c r="M175" s="3324"/>
      <c r="N175" s="3324"/>
      <c r="O175" s="3324"/>
      <c r="P175" s="3324"/>
      <c r="Q175" s="3324"/>
      <c r="R175" s="3324"/>
      <c r="S175" s="3324"/>
      <c r="T175" s="3324"/>
      <c r="U175" s="3324"/>
      <c r="V175" s="3324"/>
      <c r="W175" s="3324"/>
      <c r="X175" s="3324"/>
      <c r="Y175" s="3324"/>
      <c r="Z175" s="3324"/>
      <c r="AA175" s="3324"/>
      <c r="AB175" s="3324"/>
      <c r="AC175" s="3324"/>
    </row>
    <row r="176" spans="1:29" s="3327" customFormat="1">
      <c r="A176" s="3324"/>
      <c r="B176" s="3324"/>
      <c r="C176" s="3324"/>
      <c r="D176" s="3324"/>
      <c r="E176" s="3324"/>
      <c r="F176" s="3324"/>
      <c r="G176" s="3324"/>
      <c r="H176" s="3324"/>
      <c r="I176" s="3324"/>
      <c r="J176" s="3324"/>
      <c r="K176" s="3325"/>
      <c r="L176" s="3326"/>
      <c r="M176" s="3324"/>
      <c r="N176" s="3324"/>
      <c r="O176" s="3324"/>
      <c r="P176" s="3324"/>
      <c r="Q176" s="3324"/>
      <c r="R176" s="3324"/>
      <c r="S176" s="3324"/>
      <c r="T176" s="3324"/>
      <c r="U176" s="3324"/>
      <c r="V176" s="3324"/>
      <c r="W176" s="3324"/>
      <c r="X176" s="3324"/>
      <c r="Y176" s="3324"/>
      <c r="Z176" s="3324"/>
      <c r="AA176" s="3324"/>
      <c r="AB176" s="3324"/>
      <c r="AC176" s="3324"/>
    </row>
    <row r="177" spans="1:29" s="3327" customFormat="1">
      <c r="A177" s="3324"/>
      <c r="B177" s="3324"/>
      <c r="C177" s="3324"/>
      <c r="D177" s="3324"/>
      <c r="E177" s="3324"/>
      <c r="F177" s="3324"/>
      <c r="G177" s="3324"/>
      <c r="H177" s="3324"/>
      <c r="I177" s="3324"/>
      <c r="J177" s="3324"/>
      <c r="K177" s="3325"/>
      <c r="L177" s="3326"/>
      <c r="M177" s="3324"/>
      <c r="N177" s="3324"/>
      <c r="O177" s="3324"/>
      <c r="P177" s="3324"/>
      <c r="Q177" s="3324"/>
      <c r="R177" s="3324"/>
      <c r="S177" s="3324"/>
      <c r="T177" s="3324"/>
      <c r="U177" s="3324"/>
      <c r="V177" s="3324"/>
      <c r="W177" s="3324"/>
      <c r="X177" s="3324"/>
      <c r="Y177" s="3324"/>
      <c r="Z177" s="3324"/>
      <c r="AA177" s="3324"/>
      <c r="AB177" s="3324"/>
      <c r="AC177" s="3324"/>
    </row>
    <row r="178" spans="1:29" s="3327" customFormat="1">
      <c r="A178" s="3324"/>
      <c r="B178" s="3324"/>
      <c r="C178" s="3324"/>
      <c r="D178" s="3324"/>
      <c r="E178" s="3324"/>
      <c r="F178" s="3324"/>
      <c r="G178" s="3324"/>
      <c r="H178" s="3324"/>
      <c r="I178" s="3324"/>
      <c r="J178" s="3324"/>
      <c r="K178" s="3325"/>
      <c r="L178" s="3326"/>
      <c r="M178" s="3324"/>
      <c r="N178" s="3324"/>
      <c r="O178" s="3324"/>
      <c r="P178" s="3324"/>
      <c r="Q178" s="3324"/>
      <c r="R178" s="3324"/>
      <c r="S178" s="3324"/>
      <c r="T178" s="3324"/>
      <c r="U178" s="3324"/>
      <c r="V178" s="3324"/>
      <c r="W178" s="3324"/>
      <c r="X178" s="3324"/>
      <c r="Y178" s="3324"/>
      <c r="Z178" s="3324"/>
      <c r="AA178" s="3324"/>
      <c r="AB178" s="3324"/>
      <c r="AC178" s="3324"/>
    </row>
    <row r="179" spans="1:29" s="3327" customFormat="1">
      <c r="A179" s="3324"/>
      <c r="B179" s="3324"/>
      <c r="C179" s="3324"/>
      <c r="D179" s="3324"/>
      <c r="E179" s="3324"/>
      <c r="F179" s="3324"/>
      <c r="G179" s="3324"/>
      <c r="H179" s="3324"/>
      <c r="I179" s="3324"/>
      <c r="J179" s="3324"/>
      <c r="K179" s="3325"/>
      <c r="L179" s="3326"/>
      <c r="M179" s="3324"/>
      <c r="N179" s="3324"/>
      <c r="O179" s="3324"/>
      <c r="P179" s="3324"/>
      <c r="Q179" s="3324"/>
      <c r="R179" s="3324"/>
      <c r="S179" s="3324"/>
      <c r="T179" s="3324"/>
      <c r="U179" s="3324"/>
      <c r="V179" s="3324"/>
      <c r="W179" s="3324"/>
      <c r="X179" s="3324"/>
      <c r="Y179" s="3324"/>
      <c r="Z179" s="3324"/>
      <c r="AA179" s="3324"/>
      <c r="AB179" s="3324"/>
      <c r="AC179" s="3324"/>
    </row>
    <row r="180" spans="1:29" s="3327" customFormat="1">
      <c r="A180" s="3324"/>
      <c r="B180" s="3324"/>
      <c r="C180" s="3324"/>
      <c r="D180" s="3324"/>
      <c r="E180" s="3324"/>
      <c r="F180" s="3324"/>
      <c r="G180" s="3324"/>
      <c r="H180" s="3324"/>
      <c r="I180" s="3324"/>
      <c r="J180" s="3324"/>
      <c r="K180" s="3325"/>
      <c r="L180" s="3326"/>
      <c r="M180" s="3324"/>
      <c r="N180" s="3324"/>
      <c r="O180" s="3324"/>
      <c r="P180" s="3324"/>
      <c r="Q180" s="3324"/>
      <c r="R180" s="3324"/>
      <c r="S180" s="3324"/>
      <c r="T180" s="3324"/>
      <c r="U180" s="3324"/>
      <c r="V180" s="3324"/>
      <c r="W180" s="3324"/>
      <c r="X180" s="3324"/>
      <c r="Y180" s="3324"/>
      <c r="Z180" s="3324"/>
      <c r="AA180" s="3324"/>
      <c r="AB180" s="3324"/>
      <c r="AC180" s="3324"/>
    </row>
    <row r="181" spans="1:29" s="3327" customFormat="1">
      <c r="A181" s="3324"/>
      <c r="B181" s="3324"/>
      <c r="C181" s="3324"/>
      <c r="D181" s="3324"/>
      <c r="E181" s="3324"/>
      <c r="F181" s="3324"/>
      <c r="G181" s="3324"/>
      <c r="H181" s="3324"/>
      <c r="I181" s="3324"/>
      <c r="J181" s="3324"/>
      <c r="K181" s="3325"/>
      <c r="L181" s="3326"/>
      <c r="M181" s="3324"/>
      <c r="N181" s="3324"/>
      <c r="O181" s="3324"/>
      <c r="P181" s="3324"/>
      <c r="Q181" s="3324"/>
      <c r="R181" s="3324"/>
      <c r="S181" s="3324"/>
      <c r="T181" s="3324"/>
      <c r="U181" s="3324"/>
      <c r="V181" s="3324"/>
      <c r="W181" s="3324"/>
      <c r="X181" s="3324"/>
      <c r="Y181" s="3324"/>
      <c r="Z181" s="3324"/>
      <c r="AA181" s="3324"/>
      <c r="AB181" s="3324"/>
      <c r="AC181" s="3324"/>
    </row>
    <row r="182" spans="1:29" s="3327" customFormat="1">
      <c r="A182" s="3324"/>
      <c r="B182" s="3324"/>
      <c r="C182" s="3324"/>
      <c r="D182" s="3324"/>
      <c r="E182" s="3324"/>
      <c r="F182" s="3324"/>
      <c r="G182" s="3324"/>
      <c r="H182" s="3324"/>
      <c r="I182" s="3324"/>
      <c r="J182" s="3324"/>
      <c r="K182" s="3325"/>
      <c r="L182" s="3326"/>
      <c r="M182" s="3324"/>
      <c r="N182" s="3324"/>
      <c r="O182" s="3324"/>
      <c r="P182" s="3324"/>
      <c r="Q182" s="3324"/>
      <c r="R182" s="3324"/>
      <c r="S182" s="3324"/>
      <c r="T182" s="3324"/>
      <c r="U182" s="3324"/>
      <c r="V182" s="3324"/>
      <c r="W182" s="3324"/>
      <c r="X182" s="3324"/>
      <c r="Y182" s="3324"/>
      <c r="Z182" s="3324"/>
      <c r="AA182" s="3324"/>
      <c r="AB182" s="3324"/>
      <c r="AC182" s="3324"/>
    </row>
    <row r="183" spans="1:29" s="3327" customFormat="1">
      <c r="A183" s="3324"/>
      <c r="B183" s="3324"/>
      <c r="C183" s="3324"/>
      <c r="D183" s="3324"/>
      <c r="E183" s="3324"/>
      <c r="F183" s="3324"/>
      <c r="G183" s="3324"/>
      <c r="H183" s="3324"/>
      <c r="I183" s="3324"/>
      <c r="J183" s="3324"/>
      <c r="K183" s="3325"/>
      <c r="L183" s="3326"/>
      <c r="M183" s="3324"/>
      <c r="N183" s="3324"/>
      <c r="O183" s="3324"/>
      <c r="P183" s="3324"/>
      <c r="Q183" s="3324"/>
      <c r="R183" s="3324"/>
      <c r="S183" s="3324"/>
      <c r="T183" s="3324"/>
      <c r="U183" s="3324"/>
      <c r="V183" s="3324"/>
      <c r="W183" s="3324"/>
      <c r="X183" s="3324"/>
      <c r="Y183" s="3324"/>
      <c r="Z183" s="3324"/>
      <c r="AA183" s="3324"/>
      <c r="AB183" s="3324"/>
      <c r="AC183" s="3324"/>
    </row>
    <row r="184" spans="1:29" s="3327" customFormat="1">
      <c r="A184" s="3324"/>
      <c r="B184" s="3324"/>
      <c r="C184" s="3324"/>
      <c r="D184" s="3324"/>
      <c r="E184" s="3324"/>
      <c r="F184" s="3324"/>
      <c r="G184" s="3324"/>
      <c r="H184" s="3324"/>
      <c r="I184" s="3324"/>
      <c r="J184" s="3324"/>
      <c r="K184" s="3325"/>
      <c r="L184" s="3326"/>
      <c r="M184" s="3324"/>
      <c r="N184" s="3324"/>
      <c r="O184" s="3324"/>
      <c r="P184" s="3324"/>
      <c r="Q184" s="3324"/>
      <c r="R184" s="3324"/>
      <c r="S184" s="3324"/>
      <c r="T184" s="3324"/>
      <c r="U184" s="3324"/>
      <c r="V184" s="3324"/>
      <c r="W184" s="3324"/>
      <c r="X184" s="3324"/>
      <c r="Y184" s="3324"/>
      <c r="Z184" s="3324"/>
      <c r="AA184" s="3324"/>
      <c r="AB184" s="3324"/>
      <c r="AC184" s="3324"/>
    </row>
    <row r="185" spans="1:29" s="3327" customFormat="1">
      <c r="A185" s="3324"/>
      <c r="B185" s="3324"/>
      <c r="C185" s="3324"/>
      <c r="D185" s="3324"/>
      <c r="E185" s="3324"/>
      <c r="F185" s="3324"/>
      <c r="G185" s="3324"/>
      <c r="H185" s="3324"/>
      <c r="I185" s="3324"/>
      <c r="J185" s="3324"/>
      <c r="K185" s="3325"/>
      <c r="L185" s="3326"/>
      <c r="M185" s="3324"/>
      <c r="N185" s="3324"/>
      <c r="O185" s="3324"/>
      <c r="P185" s="3324"/>
      <c r="Q185" s="3324"/>
      <c r="R185" s="3324"/>
      <c r="S185" s="3324"/>
      <c r="T185" s="3324"/>
      <c r="U185" s="3324"/>
      <c r="V185" s="3324"/>
      <c r="W185" s="3324"/>
      <c r="X185" s="3324"/>
      <c r="Y185" s="3324"/>
      <c r="Z185" s="3324"/>
      <c r="AA185" s="3324"/>
      <c r="AB185" s="3324"/>
      <c r="AC185" s="3324"/>
    </row>
    <row r="186" spans="1:29" s="3327" customFormat="1">
      <c r="A186" s="3324"/>
      <c r="B186" s="3324"/>
      <c r="C186" s="3324"/>
      <c r="D186" s="3324"/>
      <c r="E186" s="3324"/>
      <c r="F186" s="3324"/>
      <c r="G186" s="3324"/>
      <c r="H186" s="3324"/>
      <c r="I186" s="3324"/>
      <c r="J186" s="3324"/>
      <c r="K186" s="3325"/>
      <c r="L186" s="3326"/>
      <c r="M186" s="3324"/>
      <c r="N186" s="3324"/>
      <c r="O186" s="3324"/>
      <c r="P186" s="3324"/>
      <c r="Q186" s="3324"/>
      <c r="R186" s="3324"/>
      <c r="S186" s="3324"/>
      <c r="T186" s="3324"/>
      <c r="U186" s="3324"/>
      <c r="V186" s="3324"/>
      <c r="W186" s="3324"/>
      <c r="X186" s="3324"/>
      <c r="Y186" s="3324"/>
      <c r="Z186" s="3324"/>
      <c r="AA186" s="3324"/>
      <c r="AB186" s="3324"/>
      <c r="AC186" s="3324"/>
    </row>
    <row r="187" spans="1:29" s="3327" customFormat="1">
      <c r="A187" s="3324"/>
      <c r="B187" s="3324"/>
      <c r="C187" s="3324"/>
      <c r="D187" s="3324"/>
      <c r="E187" s="3324"/>
      <c r="F187" s="3324"/>
      <c r="G187" s="3324"/>
      <c r="H187" s="3324"/>
      <c r="I187" s="3324"/>
      <c r="J187" s="3324"/>
      <c r="K187" s="3325"/>
      <c r="L187" s="3326"/>
      <c r="M187" s="3324"/>
      <c r="N187" s="3324"/>
      <c r="O187" s="3324"/>
      <c r="P187" s="3324"/>
      <c r="Q187" s="3324"/>
      <c r="R187" s="3324"/>
      <c r="S187" s="3324"/>
      <c r="T187" s="3324"/>
      <c r="U187" s="3324"/>
      <c r="V187" s="3324"/>
      <c r="W187" s="3324"/>
      <c r="X187" s="3324"/>
      <c r="Y187" s="3324"/>
      <c r="Z187" s="3324"/>
      <c r="AA187" s="3324"/>
      <c r="AB187" s="3324"/>
      <c r="AC187" s="3324"/>
    </row>
    <row r="188" spans="1:29" s="3327" customFormat="1">
      <c r="A188" s="3324"/>
      <c r="B188" s="3324"/>
      <c r="C188" s="3324"/>
      <c r="D188" s="3324"/>
      <c r="E188" s="3324"/>
      <c r="F188" s="3324"/>
      <c r="G188" s="3324"/>
      <c r="H188" s="3324"/>
      <c r="I188" s="3324"/>
      <c r="J188" s="3324"/>
      <c r="K188" s="3325"/>
      <c r="L188" s="3326"/>
      <c r="M188" s="3324"/>
      <c r="N188" s="3324"/>
      <c r="O188" s="3324"/>
      <c r="P188" s="3324"/>
      <c r="Q188" s="3324"/>
      <c r="R188" s="3324"/>
      <c r="S188" s="3324"/>
      <c r="T188" s="3324"/>
      <c r="U188" s="3324"/>
      <c r="V188" s="3324"/>
      <c r="W188" s="3324"/>
      <c r="X188" s="3324"/>
      <c r="Y188" s="3324"/>
      <c r="Z188" s="3324"/>
      <c r="AA188" s="3324"/>
      <c r="AB188" s="3324"/>
      <c r="AC188" s="3324"/>
    </row>
    <row r="189" spans="1:29" s="3327" customFormat="1">
      <c r="A189" s="3324"/>
      <c r="B189" s="3324"/>
      <c r="C189" s="3324"/>
      <c r="D189" s="3324"/>
      <c r="E189" s="3324"/>
      <c r="F189" s="3324"/>
      <c r="G189" s="3324"/>
      <c r="H189" s="3324"/>
      <c r="I189" s="3324"/>
      <c r="J189" s="3324"/>
      <c r="K189" s="3325"/>
      <c r="L189" s="3326"/>
      <c r="M189" s="3324"/>
      <c r="N189" s="3324"/>
      <c r="O189" s="3324"/>
      <c r="P189" s="3324"/>
      <c r="Q189" s="3324"/>
      <c r="R189" s="3324"/>
      <c r="S189" s="3324"/>
      <c r="T189" s="3324"/>
      <c r="U189" s="3324"/>
      <c r="V189" s="3324"/>
      <c r="W189" s="3324"/>
      <c r="X189" s="3324"/>
      <c r="Y189" s="3324"/>
      <c r="Z189" s="3324"/>
      <c r="AA189" s="3324"/>
      <c r="AB189" s="3324"/>
      <c r="AC189" s="3324"/>
    </row>
    <row r="190" spans="1:29" s="3327" customFormat="1">
      <c r="A190" s="3324"/>
      <c r="B190" s="3324"/>
      <c r="C190" s="3324"/>
      <c r="D190" s="3324"/>
      <c r="E190" s="3324"/>
      <c r="F190" s="3324"/>
      <c r="G190" s="3324"/>
      <c r="H190" s="3324"/>
      <c r="I190" s="3324"/>
      <c r="J190" s="3324"/>
      <c r="K190" s="3325"/>
      <c r="L190" s="3326"/>
      <c r="M190" s="3324"/>
      <c r="N190" s="3324"/>
      <c r="O190" s="3324"/>
      <c r="P190" s="3324"/>
      <c r="Q190" s="3324"/>
      <c r="R190" s="3324"/>
      <c r="S190" s="3324"/>
      <c r="T190" s="3324"/>
      <c r="U190" s="3324"/>
      <c r="V190" s="3324"/>
      <c r="W190" s="3324"/>
      <c r="X190" s="3324"/>
      <c r="Y190" s="3324"/>
      <c r="Z190" s="3324"/>
      <c r="AA190" s="3324"/>
      <c r="AB190" s="3324"/>
      <c r="AC190" s="3324"/>
    </row>
    <row r="191" spans="1:29" s="3327" customFormat="1">
      <c r="A191" s="3324"/>
      <c r="B191" s="3324"/>
      <c r="C191" s="3324"/>
      <c r="D191" s="3324"/>
      <c r="E191" s="3324"/>
      <c r="F191" s="3324"/>
      <c r="G191" s="3324"/>
      <c r="H191" s="3324"/>
      <c r="I191" s="3324"/>
      <c r="J191" s="3324"/>
      <c r="K191" s="3325"/>
      <c r="L191" s="3326"/>
      <c r="M191" s="3324"/>
      <c r="N191" s="3324"/>
      <c r="O191" s="3324"/>
      <c r="P191" s="3324"/>
      <c r="Q191" s="3324"/>
      <c r="R191" s="3324"/>
      <c r="S191" s="3324"/>
      <c r="T191" s="3324"/>
      <c r="U191" s="3324"/>
      <c r="V191" s="3324"/>
      <c r="W191" s="3324"/>
      <c r="X191" s="3324"/>
      <c r="Y191" s="3324"/>
      <c r="Z191" s="3324"/>
      <c r="AA191" s="3324"/>
      <c r="AB191" s="3324"/>
      <c r="AC191" s="3324"/>
    </row>
    <row r="192" spans="1:29" s="3327" customFormat="1">
      <c r="A192" s="3324"/>
      <c r="B192" s="3324"/>
      <c r="C192" s="3324"/>
      <c r="D192" s="3324"/>
      <c r="E192" s="3324"/>
      <c r="F192" s="3324"/>
      <c r="G192" s="3324"/>
      <c r="H192" s="3324"/>
      <c r="I192" s="3324"/>
      <c r="J192" s="3324"/>
      <c r="K192" s="3325"/>
      <c r="L192" s="3326"/>
      <c r="M192" s="3324"/>
      <c r="N192" s="3324"/>
      <c r="O192" s="3324"/>
      <c r="P192" s="3324"/>
      <c r="Q192" s="3324"/>
      <c r="R192" s="3324"/>
      <c r="S192" s="3324"/>
      <c r="T192" s="3324"/>
      <c r="U192" s="3324"/>
      <c r="V192" s="3324"/>
      <c r="W192" s="3324"/>
      <c r="X192" s="3324"/>
      <c r="Y192" s="3324"/>
      <c r="Z192" s="3324"/>
      <c r="AA192" s="3324"/>
      <c r="AB192" s="3324"/>
      <c r="AC192" s="3324"/>
    </row>
    <row r="193" spans="1:29" s="3327" customFormat="1">
      <c r="A193" s="3324"/>
      <c r="B193" s="3324"/>
      <c r="C193" s="3324"/>
      <c r="D193" s="3324"/>
      <c r="E193" s="3324"/>
      <c r="F193" s="3324"/>
      <c r="G193" s="3324"/>
      <c r="H193" s="3324"/>
      <c r="I193" s="3324"/>
      <c r="J193" s="3324"/>
      <c r="K193" s="3325"/>
      <c r="L193" s="3326"/>
      <c r="M193" s="3324"/>
      <c r="N193" s="3324"/>
      <c r="O193" s="3324"/>
      <c r="P193" s="3324"/>
      <c r="Q193" s="3324"/>
      <c r="R193" s="3324"/>
      <c r="S193" s="3324"/>
      <c r="T193" s="3324"/>
      <c r="U193" s="3324"/>
      <c r="V193" s="3324"/>
      <c r="W193" s="3324"/>
      <c r="X193" s="3324"/>
      <c r="Y193" s="3324"/>
      <c r="Z193" s="3324"/>
      <c r="AA193" s="3324"/>
      <c r="AB193" s="3324"/>
      <c r="AC193" s="3324"/>
    </row>
    <row r="194" spans="1:29" s="3327" customFormat="1">
      <c r="A194" s="3324"/>
      <c r="B194" s="3324"/>
      <c r="C194" s="3324"/>
      <c r="D194" s="3324"/>
      <c r="E194" s="3324"/>
      <c r="F194" s="3324"/>
      <c r="G194" s="3324"/>
      <c r="H194" s="3324"/>
      <c r="I194" s="3324"/>
      <c r="J194" s="3324"/>
      <c r="K194" s="3325"/>
      <c r="L194" s="3326"/>
      <c r="M194" s="3324"/>
      <c r="N194" s="3324"/>
      <c r="O194" s="3324"/>
      <c r="P194" s="3324"/>
      <c r="Q194" s="3324"/>
      <c r="R194" s="3324"/>
      <c r="S194" s="3324"/>
      <c r="T194" s="3324"/>
      <c r="U194" s="3324"/>
      <c r="V194" s="3324"/>
      <c r="W194" s="3324"/>
      <c r="X194" s="3324"/>
      <c r="Y194" s="3324"/>
      <c r="Z194" s="3324"/>
      <c r="AA194" s="3324"/>
      <c r="AB194" s="3324"/>
      <c r="AC194" s="3324"/>
    </row>
    <row r="195" spans="1:29" s="3327" customFormat="1">
      <c r="A195" s="3324"/>
      <c r="B195" s="3324"/>
      <c r="C195" s="3324"/>
      <c r="D195" s="3324"/>
      <c r="E195" s="3324"/>
      <c r="F195" s="3324"/>
      <c r="G195" s="3324"/>
      <c r="H195" s="3324"/>
      <c r="I195" s="3324"/>
      <c r="J195" s="3324"/>
      <c r="K195" s="3325"/>
      <c r="L195" s="3326"/>
      <c r="M195" s="3324"/>
      <c r="N195" s="3324"/>
      <c r="O195" s="3324"/>
      <c r="P195" s="3324"/>
      <c r="Q195" s="3324"/>
      <c r="R195" s="3324"/>
      <c r="S195" s="3324"/>
      <c r="T195" s="3324"/>
      <c r="U195" s="3324"/>
      <c r="V195" s="3324"/>
      <c r="W195" s="3324"/>
      <c r="X195" s="3324"/>
      <c r="Y195" s="3324"/>
      <c r="Z195" s="3324"/>
      <c r="AA195" s="3324"/>
      <c r="AB195" s="3324"/>
      <c r="AC195" s="3324"/>
    </row>
    <row r="196" spans="1:29" s="3327" customFormat="1">
      <c r="A196" s="3324"/>
      <c r="B196" s="3324"/>
      <c r="C196" s="3324"/>
      <c r="D196" s="3324"/>
      <c r="E196" s="3324"/>
      <c r="F196" s="3324"/>
      <c r="G196" s="3324"/>
      <c r="H196" s="3324"/>
      <c r="I196" s="3324"/>
      <c r="J196" s="3324"/>
      <c r="K196" s="3325"/>
      <c r="L196" s="3326"/>
      <c r="M196" s="3324"/>
      <c r="N196" s="3324"/>
      <c r="O196" s="3324"/>
      <c r="P196" s="3324"/>
      <c r="Q196" s="3324"/>
      <c r="R196" s="3324"/>
      <c r="S196" s="3324"/>
      <c r="T196" s="3324"/>
      <c r="U196" s="3324"/>
      <c r="V196" s="3324"/>
      <c r="W196" s="3324"/>
      <c r="X196" s="3324"/>
      <c r="Y196" s="3324"/>
      <c r="Z196" s="3324"/>
      <c r="AA196" s="3324"/>
      <c r="AB196" s="3324"/>
      <c r="AC196" s="3324"/>
    </row>
    <row r="197" spans="1:29" s="3327" customFormat="1">
      <c r="A197" s="3324"/>
      <c r="B197" s="3324"/>
      <c r="C197" s="3324"/>
      <c r="D197" s="3324"/>
      <c r="E197" s="3324"/>
      <c r="F197" s="3324"/>
      <c r="G197" s="3324"/>
      <c r="H197" s="3324"/>
      <c r="I197" s="3324"/>
      <c r="J197" s="3324"/>
      <c r="K197" s="3325"/>
      <c r="L197" s="3326"/>
      <c r="M197" s="3324"/>
      <c r="N197" s="3324"/>
      <c r="O197" s="3324"/>
      <c r="P197" s="3324"/>
      <c r="Q197" s="3324"/>
      <c r="R197" s="3324"/>
      <c r="S197" s="3324"/>
      <c r="T197" s="3324"/>
      <c r="U197" s="3324"/>
      <c r="V197" s="3324"/>
      <c r="W197" s="3324"/>
      <c r="X197" s="3324"/>
      <c r="Y197" s="3324"/>
      <c r="Z197" s="3324"/>
      <c r="AA197" s="3324"/>
      <c r="AB197" s="3324"/>
      <c r="AC197" s="3324"/>
    </row>
    <row r="198" spans="1:29" s="3327" customFormat="1">
      <c r="A198" s="3324"/>
      <c r="B198" s="3324"/>
      <c r="C198" s="3324"/>
      <c r="D198" s="3324"/>
      <c r="E198" s="3324"/>
      <c r="F198" s="3324"/>
      <c r="G198" s="3324"/>
      <c r="H198" s="3324"/>
      <c r="I198" s="3324"/>
      <c r="J198" s="3324"/>
      <c r="K198" s="3325"/>
      <c r="L198" s="3326"/>
      <c r="M198" s="3324"/>
      <c r="N198" s="3324"/>
      <c r="O198" s="3324"/>
      <c r="P198" s="3324"/>
      <c r="Q198" s="3324"/>
      <c r="R198" s="3324"/>
      <c r="S198" s="3324"/>
      <c r="T198" s="3324"/>
      <c r="U198" s="3324"/>
      <c r="V198" s="3324"/>
      <c r="W198" s="3324"/>
      <c r="X198" s="3324"/>
      <c r="Y198" s="3324"/>
      <c r="Z198" s="3324"/>
      <c r="AA198" s="3324"/>
      <c r="AB198" s="3324"/>
      <c r="AC198" s="3324"/>
    </row>
    <row r="199" spans="1:29" s="3327" customFormat="1">
      <c r="A199" s="3324"/>
      <c r="B199" s="3324"/>
      <c r="C199" s="3324"/>
      <c r="D199" s="3324"/>
      <c r="E199" s="3324"/>
      <c r="F199" s="3324"/>
      <c r="G199" s="3324"/>
      <c r="H199" s="3324"/>
      <c r="I199" s="3324"/>
      <c r="J199" s="3324"/>
      <c r="K199" s="3325"/>
      <c r="L199" s="3326"/>
      <c r="M199" s="3324"/>
      <c r="N199" s="3324"/>
      <c r="O199" s="3324"/>
      <c r="P199" s="3324"/>
      <c r="Q199" s="3324"/>
      <c r="R199" s="3324"/>
      <c r="S199" s="3324"/>
      <c r="T199" s="3324"/>
      <c r="U199" s="3324"/>
      <c r="V199" s="3324"/>
      <c r="W199" s="3324"/>
      <c r="X199" s="3324"/>
      <c r="Y199" s="3324"/>
      <c r="Z199" s="3324"/>
      <c r="AA199" s="3324"/>
      <c r="AB199" s="3324"/>
      <c r="AC199" s="3324"/>
    </row>
    <row r="200" spans="1:29" s="3327" customFormat="1">
      <c r="A200" s="3324"/>
      <c r="B200" s="3324"/>
      <c r="C200" s="3324"/>
      <c r="D200" s="3324"/>
      <c r="E200" s="3324"/>
      <c r="F200" s="3324"/>
      <c r="G200" s="3324"/>
      <c r="H200" s="3324"/>
      <c r="I200" s="3324"/>
      <c r="J200" s="3324"/>
      <c r="K200" s="3325"/>
      <c r="L200" s="3326"/>
      <c r="M200" s="3324"/>
      <c r="N200" s="3324"/>
      <c r="O200" s="3324"/>
      <c r="P200" s="3324"/>
      <c r="Q200" s="3324"/>
      <c r="R200" s="3324"/>
      <c r="S200" s="3324"/>
      <c r="T200" s="3324"/>
      <c r="U200" s="3324"/>
      <c r="V200" s="3324"/>
      <c r="W200" s="3324"/>
      <c r="X200" s="3324"/>
      <c r="Y200" s="3324"/>
      <c r="Z200" s="3324"/>
      <c r="AA200" s="3324"/>
      <c r="AB200" s="3324"/>
      <c r="AC200" s="3324"/>
    </row>
    <row r="201" spans="1:29" s="3327" customFormat="1">
      <c r="A201" s="3324"/>
      <c r="B201" s="3324"/>
      <c r="C201" s="3324"/>
      <c r="D201" s="3324"/>
      <c r="E201" s="3324"/>
      <c r="F201" s="3324"/>
      <c r="G201" s="3324"/>
      <c r="H201" s="3324"/>
      <c r="I201" s="3324"/>
      <c r="J201" s="3324"/>
      <c r="K201" s="3325"/>
      <c r="L201" s="3326"/>
      <c r="M201" s="3324"/>
      <c r="N201" s="3324"/>
      <c r="O201" s="3324"/>
      <c r="P201" s="3324"/>
      <c r="Q201" s="3324"/>
      <c r="R201" s="3324"/>
      <c r="S201" s="3324"/>
      <c r="T201" s="3324"/>
      <c r="U201" s="3324"/>
      <c r="V201" s="3324"/>
      <c r="W201" s="3324"/>
      <c r="X201" s="3324"/>
      <c r="Y201" s="3324"/>
      <c r="Z201" s="3324"/>
      <c r="AA201" s="3324"/>
      <c r="AB201" s="3324"/>
      <c r="AC201" s="3324"/>
    </row>
    <row r="202" spans="1:29" s="3327" customFormat="1">
      <c r="A202" s="3324"/>
      <c r="B202" s="3324"/>
      <c r="C202" s="3324"/>
      <c r="D202" s="3324"/>
      <c r="E202" s="3324"/>
      <c r="F202" s="3324"/>
      <c r="G202" s="3324"/>
      <c r="H202" s="3324"/>
      <c r="I202" s="3324"/>
      <c r="J202" s="3324"/>
      <c r="K202" s="3325"/>
      <c r="L202" s="3326"/>
      <c r="M202" s="3324"/>
      <c r="N202" s="3324"/>
      <c r="O202" s="3324"/>
      <c r="P202" s="3324"/>
      <c r="Q202" s="3324"/>
      <c r="R202" s="3324"/>
      <c r="S202" s="3324"/>
      <c r="T202" s="3324"/>
      <c r="U202" s="3324"/>
      <c r="V202" s="3324"/>
      <c r="W202" s="3324"/>
      <c r="X202" s="3324"/>
      <c r="Y202" s="3324"/>
      <c r="Z202" s="3324"/>
      <c r="AA202" s="3324"/>
      <c r="AB202" s="3324"/>
      <c r="AC202" s="3324"/>
    </row>
    <row r="203" spans="1:29" s="3327" customFormat="1">
      <c r="A203" s="3324"/>
      <c r="B203" s="3324"/>
      <c r="C203" s="3324"/>
      <c r="D203" s="3324"/>
      <c r="E203" s="3324"/>
      <c r="F203" s="3324"/>
      <c r="G203" s="3324"/>
      <c r="H203" s="3324"/>
      <c r="I203" s="3324"/>
      <c r="J203" s="3324"/>
      <c r="K203" s="3325"/>
      <c r="L203" s="3326"/>
      <c r="M203" s="3324"/>
      <c r="N203" s="3324"/>
      <c r="O203" s="3324"/>
      <c r="P203" s="3324"/>
      <c r="Q203" s="3324"/>
      <c r="R203" s="3324"/>
      <c r="S203" s="3324"/>
      <c r="T203" s="3324"/>
      <c r="U203" s="3324"/>
      <c r="V203" s="3324"/>
      <c r="W203" s="3324"/>
      <c r="X203" s="3324"/>
      <c r="Y203" s="3324"/>
      <c r="Z203" s="3324"/>
      <c r="AA203" s="3324"/>
      <c r="AB203" s="3324"/>
      <c r="AC203" s="3324"/>
    </row>
    <row r="204" spans="1:29" s="3327" customFormat="1">
      <c r="A204" s="3324"/>
      <c r="B204" s="3324"/>
      <c r="C204" s="3324"/>
      <c r="D204" s="3324"/>
      <c r="E204" s="3324"/>
      <c r="F204" s="3324"/>
      <c r="G204" s="3324"/>
      <c r="H204" s="3324"/>
      <c r="I204" s="3324"/>
      <c r="J204" s="3324"/>
      <c r="K204" s="3325"/>
      <c r="L204" s="3326"/>
      <c r="M204" s="3324"/>
      <c r="N204" s="3324"/>
      <c r="O204" s="3324"/>
      <c r="P204" s="3324"/>
      <c r="Q204" s="3324"/>
      <c r="R204" s="3324"/>
      <c r="S204" s="3324"/>
      <c r="T204" s="3324"/>
      <c r="U204" s="3324"/>
      <c r="V204" s="3324"/>
      <c r="W204" s="3324"/>
      <c r="X204" s="3324"/>
      <c r="Y204" s="3324"/>
      <c r="Z204" s="3324"/>
      <c r="AA204" s="3324"/>
      <c r="AB204" s="3324"/>
      <c r="AC204" s="3324"/>
    </row>
    <row r="205" spans="1:29" s="3327" customFormat="1">
      <c r="A205" s="3324"/>
      <c r="B205" s="3324"/>
      <c r="C205" s="3324"/>
      <c r="D205" s="3324"/>
      <c r="E205" s="3324"/>
      <c r="F205" s="3324"/>
      <c r="G205" s="3324"/>
      <c r="H205" s="3324"/>
      <c r="I205" s="3324"/>
      <c r="J205" s="3324"/>
      <c r="K205" s="3325"/>
      <c r="L205" s="3326"/>
      <c r="M205" s="3324"/>
      <c r="N205" s="3324"/>
      <c r="O205" s="3324"/>
      <c r="P205" s="3324"/>
      <c r="Q205" s="3324"/>
      <c r="R205" s="3324"/>
      <c r="S205" s="3324"/>
      <c r="T205" s="3324"/>
      <c r="U205" s="3324"/>
      <c r="V205" s="3324"/>
      <c r="W205" s="3324"/>
      <c r="X205" s="3324"/>
      <c r="Y205" s="3324"/>
      <c r="Z205" s="3324"/>
      <c r="AA205" s="3324"/>
      <c r="AB205" s="3324"/>
      <c r="AC205" s="3324"/>
    </row>
    <row r="206" spans="1:29" s="3327" customFormat="1">
      <c r="A206" s="3324"/>
      <c r="B206" s="3324"/>
      <c r="C206" s="3324"/>
      <c r="D206" s="3324"/>
      <c r="E206" s="3324"/>
      <c r="F206" s="3324"/>
      <c r="G206" s="3324"/>
      <c r="H206" s="3324"/>
      <c r="I206" s="3324"/>
      <c r="J206" s="3324"/>
      <c r="K206" s="3325"/>
      <c r="L206" s="3326"/>
      <c r="M206" s="3324"/>
      <c r="N206" s="3324"/>
      <c r="O206" s="3324"/>
      <c r="P206" s="3324"/>
      <c r="Q206" s="3324"/>
      <c r="R206" s="3324"/>
      <c r="S206" s="3324"/>
      <c r="T206" s="3324"/>
      <c r="U206" s="3324"/>
      <c r="V206" s="3324"/>
      <c r="W206" s="3324"/>
      <c r="X206" s="3324"/>
      <c r="Y206" s="3324"/>
      <c r="Z206" s="3324"/>
      <c r="AA206" s="3324"/>
      <c r="AB206" s="3324"/>
      <c r="AC206" s="3324"/>
    </row>
    <row r="207" spans="1:29" s="3327" customFormat="1">
      <c r="A207" s="3324"/>
      <c r="B207" s="3324"/>
      <c r="C207" s="3324"/>
      <c r="D207" s="3324"/>
      <c r="E207" s="3324"/>
      <c r="F207" s="3324"/>
      <c r="G207" s="3324"/>
      <c r="H207" s="3324"/>
      <c r="I207" s="3324"/>
      <c r="J207" s="3324"/>
      <c r="K207" s="3325"/>
      <c r="L207" s="3326"/>
      <c r="M207" s="3324"/>
      <c r="N207" s="3324"/>
      <c r="O207" s="3324"/>
      <c r="P207" s="3324"/>
      <c r="Q207" s="3324"/>
      <c r="R207" s="3324"/>
      <c r="S207" s="3324"/>
      <c r="T207" s="3324"/>
      <c r="U207" s="3324"/>
      <c r="V207" s="3324"/>
      <c r="W207" s="3324"/>
      <c r="X207" s="3324"/>
      <c r="Y207" s="3324"/>
      <c r="Z207" s="3324"/>
      <c r="AA207" s="3324"/>
      <c r="AB207" s="3324"/>
      <c r="AC207" s="3324"/>
    </row>
    <row r="208" spans="1:29" s="3327" customFormat="1">
      <c r="A208" s="3324"/>
      <c r="B208" s="3324"/>
      <c r="C208" s="3324"/>
      <c r="D208" s="3324"/>
      <c r="E208" s="3324"/>
      <c r="F208" s="3324"/>
      <c r="G208" s="3324"/>
      <c r="H208" s="3324"/>
      <c r="I208" s="3324"/>
      <c r="J208" s="3324"/>
      <c r="K208" s="3325"/>
      <c r="L208" s="3326"/>
      <c r="M208" s="3324"/>
      <c r="N208" s="3324"/>
      <c r="O208" s="3324"/>
      <c r="P208" s="3324"/>
      <c r="Q208" s="3324"/>
      <c r="R208" s="3324"/>
      <c r="S208" s="3324"/>
      <c r="T208" s="3324"/>
      <c r="U208" s="3324"/>
      <c r="V208" s="3324"/>
      <c r="W208" s="3324"/>
      <c r="X208" s="3324"/>
      <c r="Y208" s="3324"/>
      <c r="Z208" s="3324"/>
      <c r="AA208" s="3324"/>
      <c r="AB208" s="3324"/>
      <c r="AC208" s="3324"/>
    </row>
    <row r="209" spans="1:29" s="3327" customFormat="1">
      <c r="A209" s="3324"/>
      <c r="B209" s="3324"/>
      <c r="C209" s="3324"/>
      <c r="D209" s="3324"/>
      <c r="E209" s="3324"/>
      <c r="F209" s="3324"/>
      <c r="G209" s="3324"/>
      <c r="H209" s="3324"/>
      <c r="I209" s="3324"/>
      <c r="J209" s="3324"/>
      <c r="K209" s="3325"/>
      <c r="L209" s="3326"/>
      <c r="M209" s="3324"/>
      <c r="N209" s="3324"/>
      <c r="O209" s="3324"/>
      <c r="P209" s="3324"/>
      <c r="Q209" s="3324"/>
      <c r="R209" s="3324"/>
      <c r="S209" s="3324"/>
      <c r="T209" s="3324"/>
      <c r="U209" s="3324"/>
      <c r="V209" s="3324"/>
      <c r="W209" s="3324"/>
      <c r="X209" s="3324"/>
      <c r="Y209" s="3324"/>
      <c r="Z209" s="3324"/>
      <c r="AA209" s="3324"/>
      <c r="AB209" s="3324"/>
      <c r="AC209" s="3324"/>
    </row>
    <row r="210" spans="1:29" s="3327" customFormat="1">
      <c r="A210" s="3324"/>
      <c r="B210" s="3324"/>
      <c r="C210" s="3324"/>
      <c r="D210" s="3324"/>
      <c r="E210" s="3324"/>
      <c r="F210" s="3324"/>
      <c r="G210" s="3324"/>
      <c r="H210" s="3324"/>
      <c r="I210" s="3324"/>
      <c r="J210" s="3324"/>
      <c r="K210" s="3325"/>
      <c r="L210" s="3326"/>
      <c r="M210" s="3324"/>
      <c r="N210" s="3324"/>
      <c r="O210" s="3324"/>
      <c r="P210" s="3324"/>
      <c r="Q210" s="3324"/>
      <c r="R210" s="3324"/>
      <c r="S210" s="3324"/>
      <c r="T210" s="3324"/>
      <c r="U210" s="3324"/>
      <c r="V210" s="3324"/>
      <c r="W210" s="3324"/>
      <c r="X210" s="3324"/>
      <c r="Y210" s="3324"/>
      <c r="Z210" s="3324"/>
      <c r="AA210" s="3324"/>
      <c r="AB210" s="3324"/>
      <c r="AC210" s="3324"/>
    </row>
    <row r="211" spans="1:29" s="3327" customFormat="1">
      <c r="A211" s="3324"/>
      <c r="B211" s="3324"/>
      <c r="C211" s="3324"/>
      <c r="D211" s="3324"/>
      <c r="E211" s="3324"/>
      <c r="F211" s="3324"/>
      <c r="G211" s="3324"/>
      <c r="H211" s="3324"/>
      <c r="I211" s="3324"/>
      <c r="J211" s="3324"/>
      <c r="K211" s="3325"/>
      <c r="L211" s="3326"/>
      <c r="M211" s="3324"/>
      <c r="N211" s="3324"/>
      <c r="O211" s="3324"/>
      <c r="P211" s="3324"/>
      <c r="Q211" s="3324"/>
      <c r="R211" s="3324"/>
      <c r="S211" s="3324"/>
      <c r="T211" s="3324"/>
      <c r="U211" s="3324"/>
      <c r="V211" s="3324"/>
      <c r="W211" s="3324"/>
      <c r="X211" s="3324"/>
      <c r="Y211" s="3324"/>
      <c r="Z211" s="3324"/>
      <c r="AA211" s="3324"/>
      <c r="AB211" s="3324"/>
      <c r="AC211" s="3324"/>
    </row>
    <row r="212" spans="1:29" s="3327" customFormat="1">
      <c r="A212" s="3324"/>
      <c r="B212" s="3324"/>
      <c r="C212" s="3324"/>
      <c r="D212" s="3324"/>
      <c r="E212" s="3324"/>
      <c r="F212" s="3324"/>
      <c r="G212" s="3324"/>
      <c r="H212" s="3324"/>
      <c r="I212" s="3324"/>
      <c r="J212" s="3324"/>
      <c r="K212" s="3325"/>
      <c r="L212" s="3326"/>
      <c r="M212" s="3324"/>
      <c r="N212" s="3324"/>
      <c r="O212" s="3324"/>
      <c r="P212" s="3324"/>
      <c r="Q212" s="3324"/>
      <c r="R212" s="3324"/>
      <c r="S212" s="3324"/>
      <c r="T212" s="3324"/>
      <c r="U212" s="3324"/>
      <c r="V212" s="3324"/>
      <c r="W212" s="3324"/>
      <c r="X212" s="3324"/>
      <c r="Y212" s="3324"/>
      <c r="Z212" s="3324"/>
      <c r="AA212" s="3324"/>
      <c r="AB212" s="3324"/>
      <c r="AC212" s="3324"/>
    </row>
    <row r="213" spans="1:29" s="3327" customFormat="1">
      <c r="A213" s="3324"/>
      <c r="B213" s="3324"/>
      <c r="C213" s="3324"/>
      <c r="D213" s="3324"/>
      <c r="E213" s="3324"/>
      <c r="F213" s="3324"/>
      <c r="G213" s="3324"/>
      <c r="H213" s="3324"/>
      <c r="I213" s="3324"/>
      <c r="J213" s="3324"/>
      <c r="K213" s="3325"/>
      <c r="L213" s="3326"/>
      <c r="M213" s="3324"/>
      <c r="N213" s="3324"/>
      <c r="O213" s="3324"/>
      <c r="P213" s="3324"/>
      <c r="Q213" s="3324"/>
      <c r="R213" s="3324"/>
      <c r="S213" s="3324"/>
      <c r="T213" s="3324"/>
      <c r="U213" s="3324"/>
      <c r="V213" s="3324"/>
      <c r="W213" s="3324"/>
      <c r="X213" s="3324"/>
      <c r="Y213" s="3324"/>
      <c r="Z213" s="3324"/>
      <c r="AA213" s="3324"/>
      <c r="AB213" s="3324"/>
      <c r="AC213" s="3324"/>
    </row>
    <row r="214" spans="1:29" s="3327" customFormat="1">
      <c r="A214" s="3324"/>
      <c r="B214" s="3324"/>
      <c r="C214" s="3324"/>
      <c r="D214" s="3324"/>
      <c r="E214" s="3324"/>
      <c r="F214" s="3324"/>
      <c r="G214" s="3324"/>
      <c r="H214" s="3324"/>
      <c r="I214" s="3324"/>
      <c r="J214" s="3324"/>
      <c r="K214" s="3325"/>
      <c r="L214" s="3326"/>
      <c r="M214" s="3324"/>
      <c r="N214" s="3324"/>
      <c r="O214" s="3324"/>
      <c r="P214" s="3324"/>
      <c r="Q214" s="3324"/>
      <c r="R214" s="3324"/>
      <c r="S214" s="3324"/>
      <c r="T214" s="3324"/>
      <c r="U214" s="3324"/>
      <c r="V214" s="3324"/>
      <c r="W214" s="3324"/>
      <c r="X214" s="3324"/>
      <c r="Y214" s="3324"/>
      <c r="Z214" s="3324"/>
      <c r="AA214" s="3324"/>
      <c r="AB214" s="3324"/>
      <c r="AC214" s="3324"/>
    </row>
    <row r="215" spans="1:29" s="3327" customFormat="1">
      <c r="A215" s="3324"/>
      <c r="B215" s="3324"/>
      <c r="C215" s="3324"/>
      <c r="D215" s="3324"/>
      <c r="E215" s="3324"/>
      <c r="F215" s="3324"/>
      <c r="G215" s="3324"/>
      <c r="H215" s="3324"/>
      <c r="I215" s="3324"/>
      <c r="J215" s="3324"/>
      <c r="K215" s="3325"/>
      <c r="L215" s="3326"/>
      <c r="M215" s="3324"/>
      <c r="N215" s="3324"/>
      <c r="O215" s="3324"/>
      <c r="P215" s="3324"/>
      <c r="Q215" s="3324"/>
      <c r="R215" s="3324"/>
      <c r="S215" s="3324"/>
      <c r="T215" s="3324"/>
      <c r="U215" s="3324"/>
      <c r="V215" s="3324"/>
      <c r="W215" s="3324"/>
      <c r="X215" s="3324"/>
      <c r="Y215" s="3324"/>
      <c r="Z215" s="3324"/>
      <c r="AA215" s="3324"/>
      <c r="AB215" s="3324"/>
      <c r="AC215" s="3324"/>
    </row>
    <row r="216" spans="1:29" s="3327" customFormat="1">
      <c r="A216" s="3324"/>
      <c r="B216" s="3324"/>
      <c r="C216" s="3324"/>
      <c r="D216" s="3324"/>
      <c r="E216" s="3324"/>
      <c r="F216" s="3324"/>
      <c r="G216" s="3324"/>
      <c r="H216" s="3324"/>
      <c r="I216" s="3324"/>
      <c r="J216" s="3324"/>
      <c r="K216" s="3325"/>
      <c r="L216" s="3326"/>
      <c r="M216" s="3324"/>
      <c r="N216" s="3324"/>
      <c r="O216" s="3324"/>
      <c r="P216" s="3324"/>
      <c r="Q216" s="3324"/>
      <c r="R216" s="3324"/>
      <c r="S216" s="3324"/>
      <c r="T216" s="3324"/>
      <c r="U216" s="3324"/>
      <c r="V216" s="3324"/>
      <c r="W216" s="3324"/>
      <c r="X216" s="3324"/>
      <c r="Y216" s="3324"/>
      <c r="Z216" s="3324"/>
      <c r="AA216" s="3324"/>
      <c r="AB216" s="3324"/>
      <c r="AC216" s="3324"/>
    </row>
    <row r="217" spans="1:29" s="3327" customFormat="1">
      <c r="A217" s="3324"/>
      <c r="B217" s="3324"/>
      <c r="C217" s="3324"/>
      <c r="D217" s="3324"/>
      <c r="E217" s="3324"/>
      <c r="F217" s="3324"/>
      <c r="G217" s="3324"/>
      <c r="H217" s="3324"/>
      <c r="I217" s="3324"/>
      <c r="J217" s="3324"/>
      <c r="K217" s="3325"/>
      <c r="L217" s="3326"/>
      <c r="M217" s="3324"/>
      <c r="N217" s="3324"/>
      <c r="O217" s="3324"/>
      <c r="P217" s="3324"/>
      <c r="Q217" s="3324"/>
      <c r="R217" s="3324"/>
      <c r="S217" s="3324"/>
      <c r="T217" s="3324"/>
      <c r="U217" s="3324"/>
      <c r="V217" s="3324"/>
      <c r="W217" s="3324"/>
      <c r="X217" s="3324"/>
      <c r="Y217" s="3324"/>
      <c r="Z217" s="3324"/>
      <c r="AA217" s="3324"/>
      <c r="AB217" s="3324"/>
      <c r="AC217" s="3324"/>
    </row>
    <row r="218" spans="1:29" s="3327" customFormat="1">
      <c r="A218" s="3324"/>
      <c r="B218" s="3324"/>
      <c r="C218" s="3324"/>
      <c r="D218" s="3324"/>
      <c r="E218" s="3324"/>
      <c r="F218" s="3324"/>
      <c r="G218" s="3324"/>
      <c r="H218" s="3324"/>
      <c r="I218" s="3324"/>
      <c r="J218" s="3324"/>
      <c r="K218" s="3325"/>
      <c r="L218" s="3326"/>
      <c r="M218" s="3324"/>
      <c r="N218" s="3324"/>
      <c r="O218" s="3324"/>
      <c r="P218" s="3324"/>
      <c r="Q218" s="3324"/>
      <c r="R218" s="3324"/>
      <c r="S218" s="3324"/>
      <c r="T218" s="3324"/>
      <c r="U218" s="3324"/>
      <c r="V218" s="3324"/>
      <c r="W218" s="3324"/>
      <c r="X218" s="3324"/>
      <c r="Y218" s="3324"/>
      <c r="Z218" s="3324"/>
      <c r="AA218" s="3324"/>
      <c r="AB218" s="3324"/>
      <c r="AC218" s="3324"/>
    </row>
    <row r="219" spans="1:29" s="3327" customFormat="1">
      <c r="A219" s="3324"/>
      <c r="B219" s="3324"/>
      <c r="C219" s="3324"/>
      <c r="D219" s="3324"/>
      <c r="E219" s="3324"/>
      <c r="F219" s="3324"/>
      <c r="G219" s="3324"/>
      <c r="H219" s="3324"/>
      <c r="I219" s="3324"/>
      <c r="J219" s="3324"/>
      <c r="K219" s="3325"/>
      <c r="L219" s="3326"/>
      <c r="M219" s="3324"/>
      <c r="N219" s="3324"/>
      <c r="O219" s="3324"/>
      <c r="P219" s="3324"/>
      <c r="Q219" s="3324"/>
      <c r="R219" s="3324"/>
      <c r="S219" s="3324"/>
      <c r="T219" s="3324"/>
      <c r="U219" s="3324"/>
      <c r="V219" s="3324"/>
      <c r="W219" s="3324"/>
      <c r="X219" s="3324"/>
      <c r="Y219" s="3324"/>
      <c r="Z219" s="3324"/>
      <c r="AA219" s="3324"/>
      <c r="AB219" s="3324"/>
      <c r="AC219" s="3324"/>
    </row>
    <row r="220" spans="1:29" s="3327" customFormat="1">
      <c r="A220" s="3324"/>
      <c r="B220" s="3324"/>
      <c r="C220" s="3324"/>
      <c r="D220" s="3324"/>
      <c r="E220" s="3324"/>
      <c r="F220" s="3324"/>
      <c r="G220" s="3324"/>
      <c r="H220" s="3324"/>
      <c r="I220" s="3324"/>
      <c r="J220" s="3324"/>
      <c r="K220" s="3325"/>
      <c r="L220" s="3326"/>
      <c r="M220" s="3324"/>
      <c r="N220" s="3324"/>
      <c r="O220" s="3324"/>
      <c r="P220" s="3324"/>
      <c r="Q220" s="3324"/>
      <c r="R220" s="3324"/>
      <c r="S220" s="3324"/>
      <c r="T220" s="3324"/>
      <c r="U220" s="3324"/>
      <c r="V220" s="3324"/>
      <c r="W220" s="3324"/>
      <c r="X220" s="3324"/>
      <c r="Y220" s="3324"/>
      <c r="Z220" s="3324"/>
      <c r="AA220" s="3324"/>
      <c r="AB220" s="3324"/>
      <c r="AC220" s="3324"/>
    </row>
    <row r="221" spans="1:29" s="3327" customFormat="1">
      <c r="A221" s="3324"/>
      <c r="B221" s="3324"/>
      <c r="C221" s="3324"/>
      <c r="D221" s="3324"/>
      <c r="E221" s="3324"/>
      <c r="F221" s="3324"/>
      <c r="G221" s="3324"/>
      <c r="H221" s="3324"/>
      <c r="I221" s="3324"/>
      <c r="J221" s="3324"/>
      <c r="K221" s="3325"/>
      <c r="L221" s="3326"/>
      <c r="M221" s="3324"/>
      <c r="N221" s="3324"/>
      <c r="O221" s="3324"/>
      <c r="P221" s="3324"/>
      <c r="Q221" s="3324"/>
      <c r="R221" s="3324"/>
      <c r="S221" s="3324"/>
      <c r="T221" s="3324"/>
      <c r="U221" s="3324"/>
      <c r="V221" s="3324"/>
      <c r="W221" s="3324"/>
      <c r="X221" s="3324"/>
      <c r="Y221" s="3324"/>
      <c r="Z221" s="3324"/>
      <c r="AA221" s="3324"/>
      <c r="AB221" s="3324"/>
      <c r="AC221" s="3324"/>
    </row>
    <row r="222" spans="1:29" s="3327" customFormat="1">
      <c r="A222" s="3324"/>
      <c r="B222" s="3324"/>
      <c r="C222" s="3324"/>
      <c r="D222" s="3324"/>
      <c r="E222" s="3324"/>
      <c r="F222" s="3324"/>
      <c r="G222" s="3324"/>
      <c r="H222" s="3324"/>
      <c r="I222" s="3324"/>
      <c r="J222" s="3324"/>
      <c r="K222" s="3325"/>
      <c r="L222" s="3326"/>
      <c r="M222" s="3324"/>
      <c r="N222" s="3324"/>
      <c r="O222" s="3324"/>
      <c r="P222" s="3324"/>
      <c r="Q222" s="3324"/>
      <c r="R222" s="3324"/>
      <c r="S222" s="3324"/>
      <c r="T222" s="3324"/>
      <c r="U222" s="3324"/>
      <c r="V222" s="3324"/>
      <c r="W222" s="3324"/>
      <c r="X222" s="3324"/>
      <c r="Y222" s="3324"/>
      <c r="Z222" s="3324"/>
      <c r="AA222" s="3324"/>
      <c r="AB222" s="3324"/>
      <c r="AC222" s="3324"/>
    </row>
    <row r="223" spans="1:29" s="3327" customFormat="1">
      <c r="A223" s="3324"/>
      <c r="B223" s="3324"/>
      <c r="C223" s="3324"/>
      <c r="D223" s="3324"/>
      <c r="E223" s="3324"/>
      <c r="F223" s="3324"/>
      <c r="G223" s="3324"/>
      <c r="H223" s="3324"/>
      <c r="I223" s="3324"/>
      <c r="J223" s="3324"/>
      <c r="K223" s="3325"/>
      <c r="L223" s="3326"/>
      <c r="M223" s="3324"/>
      <c r="N223" s="3324"/>
      <c r="O223" s="3324"/>
      <c r="P223" s="3324"/>
      <c r="Q223" s="3324"/>
      <c r="R223" s="3324"/>
      <c r="S223" s="3324"/>
      <c r="T223" s="3324"/>
      <c r="U223" s="3324"/>
      <c r="V223" s="3324"/>
      <c r="W223" s="3324"/>
      <c r="X223" s="3324"/>
      <c r="Y223" s="3324"/>
      <c r="Z223" s="3324"/>
      <c r="AA223" s="3324"/>
      <c r="AB223" s="3324"/>
      <c r="AC223" s="3324"/>
    </row>
    <row r="224" spans="1:29" s="3327" customFormat="1">
      <c r="A224" s="3324"/>
      <c r="B224" s="3324"/>
      <c r="C224" s="3324"/>
      <c r="D224" s="3324"/>
      <c r="E224" s="3324"/>
      <c r="F224" s="3324"/>
      <c r="G224" s="3324"/>
      <c r="H224" s="3324"/>
      <c r="I224" s="3324"/>
      <c r="J224" s="3324"/>
      <c r="K224" s="3325"/>
      <c r="L224" s="3326"/>
      <c r="M224" s="3324"/>
      <c r="N224" s="3324"/>
      <c r="O224" s="3324"/>
      <c r="P224" s="3324"/>
      <c r="Q224" s="3324"/>
      <c r="R224" s="3324"/>
      <c r="S224" s="3324"/>
      <c r="T224" s="3324"/>
      <c r="U224" s="3324"/>
      <c r="V224" s="3324"/>
      <c r="W224" s="3324"/>
      <c r="X224" s="3324"/>
      <c r="Y224" s="3324"/>
      <c r="Z224" s="3324"/>
      <c r="AA224" s="3324"/>
      <c r="AB224" s="3324"/>
      <c r="AC224" s="3324"/>
    </row>
    <row r="225" spans="1:29" s="3327" customFormat="1">
      <c r="A225" s="3324"/>
      <c r="B225" s="3324"/>
      <c r="C225" s="3324"/>
      <c r="D225" s="3324"/>
      <c r="E225" s="3324"/>
      <c r="F225" s="3324"/>
      <c r="G225" s="3324"/>
      <c r="H225" s="3324"/>
      <c r="I225" s="3324"/>
      <c r="J225" s="3324"/>
      <c r="K225" s="3325"/>
      <c r="L225" s="3326"/>
      <c r="M225" s="3324"/>
      <c r="N225" s="3324"/>
      <c r="O225" s="3324"/>
      <c r="P225" s="3324"/>
      <c r="Q225" s="3324"/>
      <c r="R225" s="3324"/>
      <c r="S225" s="3324"/>
      <c r="T225" s="3324"/>
      <c r="U225" s="3324"/>
      <c r="V225" s="3324"/>
      <c r="W225" s="3324"/>
      <c r="X225" s="3324"/>
      <c r="Y225" s="3324"/>
      <c r="Z225" s="3324"/>
      <c r="AA225" s="3324"/>
      <c r="AB225" s="3324"/>
      <c r="AC225" s="3324"/>
    </row>
    <row r="226" spans="1:29" s="3327" customFormat="1">
      <c r="A226" s="3324"/>
      <c r="B226" s="3324"/>
      <c r="C226" s="3324"/>
      <c r="D226" s="3324"/>
      <c r="E226" s="3324"/>
      <c r="F226" s="3324"/>
      <c r="G226" s="3324"/>
      <c r="H226" s="3324"/>
      <c r="I226" s="3324"/>
      <c r="J226" s="3324"/>
      <c r="K226" s="3325"/>
      <c r="L226" s="3326"/>
      <c r="M226" s="3324"/>
      <c r="N226" s="3324"/>
      <c r="O226" s="3324"/>
      <c r="P226" s="3324"/>
      <c r="Q226" s="3324"/>
      <c r="R226" s="3324"/>
      <c r="S226" s="3324"/>
      <c r="T226" s="3324"/>
      <c r="U226" s="3324"/>
      <c r="V226" s="3324"/>
      <c r="W226" s="3324"/>
      <c r="X226" s="3324"/>
      <c r="Y226" s="3324"/>
      <c r="Z226" s="3324"/>
      <c r="AA226" s="3324"/>
      <c r="AB226" s="3324"/>
      <c r="AC226" s="3324"/>
    </row>
    <row r="227" spans="1:29" s="3327" customFormat="1">
      <c r="A227" s="3324"/>
      <c r="B227" s="3324"/>
      <c r="C227" s="3324"/>
      <c r="D227" s="3324"/>
      <c r="E227" s="3324"/>
      <c r="F227" s="3324"/>
      <c r="G227" s="3324"/>
      <c r="H227" s="3324"/>
      <c r="I227" s="3324"/>
      <c r="J227" s="3324"/>
      <c r="K227" s="3325"/>
      <c r="L227" s="3326"/>
      <c r="M227" s="3324"/>
      <c r="N227" s="3324"/>
      <c r="O227" s="3324"/>
      <c r="P227" s="3324"/>
      <c r="Q227" s="3324"/>
      <c r="R227" s="3324"/>
      <c r="S227" s="3324"/>
      <c r="T227" s="3324"/>
      <c r="U227" s="3324"/>
      <c r="V227" s="3324"/>
      <c r="W227" s="3324"/>
      <c r="X227" s="3324"/>
      <c r="Y227" s="3324"/>
      <c r="Z227" s="3324"/>
      <c r="AA227" s="3324"/>
      <c r="AB227" s="3324"/>
      <c r="AC227" s="3324"/>
    </row>
    <row r="228" spans="1:29" s="3327" customFormat="1">
      <c r="A228" s="3324"/>
      <c r="B228" s="3324"/>
      <c r="C228" s="3324"/>
      <c r="D228" s="3324"/>
      <c r="E228" s="3324"/>
      <c r="F228" s="3324"/>
      <c r="G228" s="3324"/>
      <c r="H228" s="3324"/>
      <c r="I228" s="3324"/>
      <c r="J228" s="3324"/>
      <c r="K228" s="3325"/>
      <c r="L228" s="3326"/>
      <c r="M228" s="3324"/>
      <c r="N228" s="3324"/>
      <c r="O228" s="3324"/>
      <c r="P228" s="3324"/>
      <c r="Q228" s="3324"/>
      <c r="R228" s="3324"/>
      <c r="S228" s="3324"/>
      <c r="T228" s="3324"/>
      <c r="U228" s="3324"/>
      <c r="V228" s="3324"/>
      <c r="W228" s="3324"/>
      <c r="X228" s="3324"/>
      <c r="Y228" s="3324"/>
      <c r="Z228" s="3324"/>
      <c r="AA228" s="3324"/>
      <c r="AB228" s="3324"/>
      <c r="AC228" s="3324"/>
    </row>
    <row r="229" spans="1:29" s="3327" customFormat="1">
      <c r="A229" s="3324"/>
      <c r="B229" s="3324"/>
      <c r="C229" s="3324"/>
      <c r="D229" s="3324"/>
      <c r="E229" s="3324"/>
      <c r="F229" s="3324"/>
      <c r="G229" s="3324"/>
      <c r="H229" s="3324"/>
      <c r="I229" s="3324"/>
      <c r="J229" s="3324"/>
      <c r="K229" s="3325"/>
      <c r="L229" s="3326"/>
      <c r="M229" s="3324"/>
      <c r="N229" s="3324"/>
      <c r="O229" s="3324"/>
      <c r="P229" s="3324"/>
      <c r="Q229" s="3324"/>
      <c r="R229" s="3324"/>
      <c r="S229" s="3324"/>
      <c r="T229" s="3324"/>
      <c r="U229" s="3324"/>
      <c r="V229" s="3324"/>
      <c r="W229" s="3324"/>
      <c r="X229" s="3324"/>
      <c r="Y229" s="3324"/>
      <c r="Z229" s="3324"/>
      <c r="AA229" s="3324"/>
      <c r="AB229" s="3324"/>
      <c r="AC229" s="3324"/>
    </row>
    <row r="230" spans="1:29" s="3327" customFormat="1">
      <c r="A230" s="3324"/>
      <c r="B230" s="3324"/>
      <c r="C230" s="3324"/>
      <c r="D230" s="3324"/>
      <c r="E230" s="3324"/>
      <c r="F230" s="3324"/>
      <c r="G230" s="3324"/>
      <c r="H230" s="3324"/>
      <c r="I230" s="3324"/>
      <c r="J230" s="3324"/>
      <c r="K230" s="3325"/>
      <c r="L230" s="3326"/>
      <c r="M230" s="3324"/>
      <c r="N230" s="3324"/>
      <c r="O230" s="3324"/>
      <c r="P230" s="3324"/>
      <c r="Q230" s="3324"/>
      <c r="R230" s="3324"/>
      <c r="S230" s="3324"/>
      <c r="T230" s="3324"/>
      <c r="U230" s="3324"/>
      <c r="V230" s="3324"/>
      <c r="W230" s="3324"/>
      <c r="X230" s="3324"/>
      <c r="Y230" s="3324"/>
      <c r="Z230" s="3324"/>
      <c r="AA230" s="3324"/>
      <c r="AB230" s="3324"/>
      <c r="AC230" s="3324"/>
    </row>
    <row r="231" spans="1:29" s="3327" customFormat="1">
      <c r="A231" s="3324"/>
      <c r="B231" s="3324"/>
      <c r="C231" s="3324"/>
      <c r="D231" s="3324"/>
      <c r="E231" s="3324"/>
      <c r="F231" s="3324"/>
      <c r="G231" s="3324"/>
      <c r="H231" s="3324"/>
      <c r="I231" s="3324"/>
      <c r="J231" s="3324"/>
      <c r="K231" s="3325"/>
      <c r="L231" s="3326"/>
      <c r="M231" s="3324"/>
      <c r="N231" s="3324"/>
      <c r="O231" s="3324"/>
      <c r="P231" s="3324"/>
      <c r="Q231" s="3324"/>
      <c r="R231" s="3324"/>
      <c r="S231" s="3324"/>
      <c r="T231" s="3324"/>
      <c r="U231" s="3324"/>
      <c r="V231" s="3324"/>
      <c r="W231" s="3324"/>
      <c r="X231" s="3324"/>
      <c r="Y231" s="3324"/>
      <c r="Z231" s="3324"/>
      <c r="AA231" s="3324"/>
      <c r="AB231" s="3324"/>
      <c r="AC231" s="3324"/>
    </row>
    <row r="232" spans="1:29" s="3327" customFormat="1">
      <c r="A232" s="3324"/>
      <c r="B232" s="3324"/>
      <c r="C232" s="3324"/>
      <c r="D232" s="3324"/>
      <c r="E232" s="3324"/>
      <c r="F232" s="3324"/>
      <c r="G232" s="3324"/>
      <c r="H232" s="3324"/>
      <c r="I232" s="3324"/>
      <c r="J232" s="3324"/>
      <c r="K232" s="3325"/>
      <c r="L232" s="3326"/>
      <c r="M232" s="3324"/>
      <c r="N232" s="3324"/>
      <c r="O232" s="3324"/>
      <c r="P232" s="3324"/>
      <c r="Q232" s="3324"/>
      <c r="R232" s="3324"/>
      <c r="S232" s="3324"/>
      <c r="T232" s="3324"/>
      <c r="U232" s="3324"/>
      <c r="V232" s="3324"/>
      <c r="W232" s="3324"/>
      <c r="X232" s="3324"/>
      <c r="Y232" s="3324"/>
      <c r="Z232" s="3324"/>
      <c r="AA232" s="3324"/>
      <c r="AB232" s="3324"/>
      <c r="AC232" s="3324"/>
    </row>
    <row r="233" spans="1:29" s="3327" customFormat="1">
      <c r="A233" s="3324"/>
      <c r="B233" s="3324"/>
      <c r="C233" s="3324"/>
      <c r="D233" s="3324"/>
      <c r="E233" s="3324"/>
      <c r="F233" s="3324"/>
      <c r="G233" s="3324"/>
      <c r="H233" s="3324"/>
      <c r="I233" s="3324"/>
      <c r="J233" s="3324"/>
      <c r="K233" s="3325"/>
      <c r="L233" s="3326"/>
      <c r="M233" s="3324"/>
      <c r="N233" s="3324"/>
      <c r="O233" s="3324"/>
      <c r="P233" s="3324"/>
      <c r="Q233" s="3324"/>
      <c r="R233" s="3324"/>
      <c r="S233" s="3324"/>
      <c r="T233" s="3324"/>
      <c r="U233" s="3324"/>
      <c r="V233" s="3324"/>
      <c r="W233" s="3324"/>
      <c r="X233" s="3324"/>
      <c r="Y233" s="3324"/>
      <c r="Z233" s="3324"/>
      <c r="AA233" s="3324"/>
      <c r="AB233" s="3324"/>
      <c r="AC233" s="3324"/>
    </row>
    <row r="234" spans="1:29" s="3327" customFormat="1">
      <c r="A234" s="3324"/>
      <c r="B234" s="3324"/>
      <c r="C234" s="3324"/>
      <c r="D234" s="3324"/>
      <c r="E234" s="3324"/>
      <c r="F234" s="3324"/>
      <c r="G234" s="3324"/>
      <c r="H234" s="3324"/>
      <c r="I234" s="3324"/>
      <c r="J234" s="3324"/>
      <c r="K234" s="3325"/>
      <c r="L234" s="3326"/>
      <c r="M234" s="3324"/>
      <c r="N234" s="3324"/>
      <c r="O234" s="3324"/>
      <c r="P234" s="3324"/>
      <c r="Q234" s="3324"/>
      <c r="R234" s="3324"/>
      <c r="S234" s="3324"/>
      <c r="T234" s="3324"/>
      <c r="U234" s="3324"/>
      <c r="V234" s="3324"/>
      <c r="W234" s="3324"/>
      <c r="X234" s="3324"/>
      <c r="Y234" s="3324"/>
      <c r="Z234" s="3324"/>
      <c r="AA234" s="3324"/>
      <c r="AB234" s="3324"/>
      <c r="AC234" s="3324"/>
    </row>
    <row r="235" spans="1:29" s="3327" customFormat="1">
      <c r="A235" s="3324"/>
      <c r="B235" s="3324"/>
      <c r="C235" s="3324"/>
      <c r="D235" s="3324"/>
      <c r="E235" s="3324"/>
      <c r="F235" s="3324"/>
      <c r="G235" s="3324"/>
      <c r="H235" s="3324"/>
      <c r="I235" s="3324"/>
      <c r="J235" s="3324"/>
      <c r="K235" s="3325"/>
      <c r="L235" s="3326"/>
      <c r="M235" s="3324"/>
      <c r="N235" s="3324"/>
      <c r="O235" s="3324"/>
      <c r="P235" s="3324"/>
      <c r="Q235" s="3324"/>
      <c r="R235" s="3324"/>
      <c r="S235" s="3324"/>
      <c r="T235" s="3324"/>
      <c r="U235" s="3324"/>
      <c r="V235" s="3324"/>
      <c r="W235" s="3324"/>
      <c r="X235" s="3324"/>
      <c r="Y235" s="3324"/>
      <c r="Z235" s="3324"/>
      <c r="AA235" s="3324"/>
      <c r="AB235" s="3324"/>
      <c r="AC235" s="3324"/>
    </row>
    <row r="236" spans="1:29" s="3327" customFormat="1">
      <c r="A236" s="3324"/>
      <c r="B236" s="3324"/>
      <c r="C236" s="3324"/>
      <c r="D236" s="3324"/>
      <c r="E236" s="3324"/>
      <c r="F236" s="3324"/>
      <c r="G236" s="3324"/>
      <c r="H236" s="3324"/>
      <c r="I236" s="3324"/>
      <c r="J236" s="3324"/>
      <c r="K236" s="3325"/>
      <c r="L236" s="3326"/>
      <c r="M236" s="3324"/>
      <c r="N236" s="3324"/>
      <c r="O236" s="3324"/>
      <c r="P236" s="3324"/>
      <c r="Q236" s="3324"/>
      <c r="R236" s="3324"/>
      <c r="S236" s="3324"/>
      <c r="T236" s="3324"/>
      <c r="U236" s="3324"/>
      <c r="V236" s="3324"/>
      <c r="W236" s="3324"/>
      <c r="X236" s="3324"/>
      <c r="Y236" s="3324"/>
      <c r="Z236" s="3324"/>
      <c r="AA236" s="3324"/>
      <c r="AB236" s="3324"/>
      <c r="AC236" s="3324"/>
    </row>
    <row r="237" spans="1:29" s="3327" customFormat="1">
      <c r="A237" s="3324"/>
      <c r="B237" s="3324"/>
      <c r="C237" s="3324"/>
      <c r="D237" s="3324"/>
      <c r="E237" s="3324"/>
      <c r="F237" s="3324"/>
      <c r="G237" s="3324"/>
      <c r="H237" s="3324"/>
      <c r="I237" s="3324"/>
      <c r="J237" s="3324"/>
      <c r="K237" s="3325"/>
      <c r="L237" s="3326"/>
      <c r="M237" s="3324"/>
      <c r="N237" s="3324"/>
      <c r="O237" s="3324"/>
      <c r="P237" s="3324"/>
      <c r="Q237" s="3324"/>
      <c r="R237" s="3324"/>
      <c r="S237" s="3324"/>
      <c r="T237" s="3324"/>
      <c r="U237" s="3324"/>
      <c r="V237" s="3324"/>
      <c r="W237" s="3324"/>
      <c r="X237" s="3324"/>
      <c r="Y237" s="3324"/>
      <c r="Z237" s="3324"/>
      <c r="AA237" s="3324"/>
      <c r="AB237" s="3324"/>
      <c r="AC237" s="3324"/>
    </row>
    <row r="238" spans="1:29" s="3327" customFormat="1">
      <c r="A238" s="3324"/>
      <c r="B238" s="3324"/>
      <c r="C238" s="3324"/>
      <c r="D238" s="3324"/>
      <c r="E238" s="3324"/>
      <c r="F238" s="3324"/>
      <c r="G238" s="3324"/>
      <c r="H238" s="3324"/>
      <c r="I238" s="3324"/>
      <c r="J238" s="3324"/>
      <c r="K238" s="3325"/>
      <c r="L238" s="3326"/>
      <c r="M238" s="3324"/>
      <c r="N238" s="3324"/>
      <c r="O238" s="3324"/>
      <c r="P238" s="3324"/>
      <c r="Q238" s="3324"/>
      <c r="R238" s="3324"/>
      <c r="S238" s="3324"/>
      <c r="T238" s="3324"/>
      <c r="U238" s="3324"/>
      <c r="V238" s="3324"/>
      <c r="W238" s="3324"/>
      <c r="X238" s="3324"/>
      <c r="Y238" s="3324"/>
      <c r="Z238" s="3324"/>
      <c r="AA238" s="3324"/>
      <c r="AB238" s="3324"/>
      <c r="AC238" s="3324"/>
    </row>
    <row r="239" spans="1:29" s="3327" customFormat="1">
      <c r="A239" s="3324"/>
      <c r="B239" s="3324"/>
      <c r="C239" s="3324"/>
      <c r="D239" s="3324"/>
      <c r="E239" s="3324"/>
      <c r="F239" s="3324"/>
      <c r="G239" s="3324"/>
      <c r="H239" s="3324"/>
      <c r="I239" s="3324"/>
      <c r="J239" s="3324"/>
      <c r="K239" s="3325"/>
      <c r="L239" s="3326"/>
      <c r="M239" s="3324"/>
      <c r="N239" s="3324"/>
      <c r="O239" s="3324"/>
      <c r="P239" s="3324"/>
      <c r="Q239" s="3324"/>
      <c r="R239" s="3324"/>
      <c r="S239" s="3324"/>
      <c r="T239" s="3324"/>
      <c r="U239" s="3324"/>
      <c r="V239" s="3324"/>
      <c r="W239" s="3324"/>
      <c r="X239" s="3324"/>
      <c r="Y239" s="3324"/>
      <c r="Z239" s="3324"/>
      <c r="AA239" s="3324"/>
      <c r="AB239" s="3324"/>
      <c r="AC239" s="3324"/>
    </row>
    <row r="240" spans="1:29" s="3327" customFormat="1">
      <c r="A240" s="3324"/>
      <c r="B240" s="3324"/>
      <c r="C240" s="3324"/>
      <c r="D240" s="3324"/>
      <c r="E240" s="3324"/>
      <c r="F240" s="3324"/>
      <c r="G240" s="3324"/>
      <c r="H240" s="3324"/>
      <c r="I240" s="3324"/>
      <c r="J240" s="3324"/>
      <c r="K240" s="3325"/>
      <c r="L240" s="3326"/>
      <c r="M240" s="3324"/>
      <c r="N240" s="3324"/>
      <c r="O240" s="3324"/>
      <c r="P240" s="3324"/>
      <c r="Q240" s="3324"/>
      <c r="R240" s="3324"/>
      <c r="S240" s="3324"/>
      <c r="T240" s="3324"/>
      <c r="U240" s="3324"/>
      <c r="V240" s="3324"/>
      <c r="W240" s="3324"/>
      <c r="X240" s="3324"/>
      <c r="Y240" s="3324"/>
      <c r="Z240" s="3324"/>
      <c r="AA240" s="3324"/>
      <c r="AB240" s="3324"/>
      <c r="AC240" s="3324"/>
    </row>
    <row r="241" spans="1:29" s="3327" customFormat="1">
      <c r="A241" s="3324"/>
      <c r="B241" s="3324"/>
      <c r="C241" s="3324"/>
      <c r="D241" s="3324"/>
      <c r="E241" s="3324"/>
      <c r="F241" s="3324"/>
      <c r="G241" s="3324"/>
      <c r="H241" s="3324"/>
      <c r="I241" s="3324"/>
      <c r="J241" s="3324"/>
      <c r="K241" s="3325"/>
      <c r="L241" s="3326"/>
      <c r="M241" s="3324"/>
      <c r="N241" s="3324"/>
      <c r="O241" s="3324"/>
      <c r="P241" s="3324"/>
      <c r="Q241" s="3324"/>
      <c r="R241" s="3324"/>
      <c r="S241" s="3324"/>
      <c r="T241" s="3324"/>
      <c r="U241" s="3324"/>
      <c r="V241" s="3324"/>
      <c r="W241" s="3324"/>
      <c r="X241" s="3324"/>
      <c r="Y241" s="3324"/>
      <c r="Z241" s="3324"/>
      <c r="AA241" s="3324"/>
      <c r="AB241" s="3324"/>
      <c r="AC241" s="3324"/>
    </row>
    <row r="242" spans="1:29" s="3327" customFormat="1">
      <c r="A242" s="3324"/>
      <c r="B242" s="3324"/>
      <c r="C242" s="3324"/>
      <c r="D242" s="3324"/>
      <c r="E242" s="3324"/>
      <c r="F242" s="3324"/>
      <c r="G242" s="3324"/>
      <c r="H242" s="3324"/>
      <c r="I242" s="3324"/>
      <c r="J242" s="3324"/>
      <c r="K242" s="3325"/>
      <c r="L242" s="3326"/>
      <c r="M242" s="3324"/>
      <c r="N242" s="3324"/>
      <c r="O242" s="3324"/>
      <c r="P242" s="3324"/>
      <c r="Q242" s="3324"/>
      <c r="R242" s="3324"/>
      <c r="S242" s="3324"/>
      <c r="T242" s="3324"/>
      <c r="U242" s="3324"/>
      <c r="V242" s="3324"/>
      <c r="W242" s="3324"/>
      <c r="X242" s="3324"/>
      <c r="Y242" s="3324"/>
      <c r="Z242" s="3324"/>
      <c r="AA242" s="3324"/>
      <c r="AB242" s="3324"/>
      <c r="AC242" s="3324"/>
    </row>
    <row r="243" spans="1:29" s="3327" customFormat="1">
      <c r="A243" s="3324"/>
      <c r="B243" s="3324"/>
      <c r="C243" s="3324"/>
      <c r="D243" s="3324"/>
      <c r="E243" s="3324"/>
      <c r="F243" s="3324"/>
      <c r="G243" s="3324"/>
      <c r="H243" s="3324"/>
      <c r="I243" s="3324"/>
      <c r="J243" s="3324"/>
      <c r="K243" s="3325"/>
      <c r="L243" s="3326"/>
      <c r="M243" s="3324"/>
      <c r="N243" s="3324"/>
      <c r="O243" s="3324"/>
      <c r="P243" s="3324"/>
      <c r="Q243" s="3324"/>
      <c r="R243" s="3324"/>
      <c r="S243" s="3324"/>
      <c r="T243" s="3324"/>
      <c r="U243" s="3324"/>
      <c r="V243" s="3324"/>
      <c r="W243" s="3324"/>
      <c r="X243" s="3324"/>
      <c r="Y243" s="3324"/>
      <c r="Z243" s="3324"/>
      <c r="AA243" s="3324"/>
      <c r="AB243" s="3324"/>
      <c r="AC243" s="3324"/>
    </row>
    <row r="244" spans="1:29" s="3327" customFormat="1">
      <c r="A244" s="3324"/>
      <c r="B244" s="3324"/>
      <c r="C244" s="3324"/>
      <c r="D244" s="3324"/>
      <c r="E244" s="3324"/>
      <c r="F244" s="3324"/>
      <c r="G244" s="3324"/>
      <c r="H244" s="3324"/>
      <c r="I244" s="3324"/>
      <c r="J244" s="3324"/>
      <c r="K244" s="3325"/>
      <c r="L244" s="3326"/>
      <c r="M244" s="3324"/>
      <c r="N244" s="3324"/>
      <c r="O244" s="3324"/>
      <c r="P244" s="3324"/>
      <c r="Q244" s="3324"/>
      <c r="R244" s="3324"/>
      <c r="S244" s="3324"/>
      <c r="T244" s="3324"/>
      <c r="U244" s="3324"/>
      <c r="V244" s="3324"/>
      <c r="W244" s="3324"/>
      <c r="X244" s="3324"/>
      <c r="Y244" s="3324"/>
      <c r="Z244" s="3324"/>
      <c r="AA244" s="3324"/>
      <c r="AB244" s="3324"/>
      <c r="AC244" s="3324"/>
    </row>
    <row r="245" spans="1:29" s="3327" customFormat="1">
      <c r="A245" s="3324"/>
      <c r="B245" s="3324"/>
      <c r="C245" s="3324"/>
      <c r="D245" s="3324"/>
      <c r="E245" s="3324"/>
      <c r="F245" s="3324"/>
      <c r="G245" s="3324"/>
      <c r="H245" s="3324"/>
      <c r="I245" s="3324"/>
      <c r="J245" s="3324"/>
      <c r="K245" s="3325"/>
      <c r="L245" s="3326"/>
      <c r="M245" s="3324"/>
      <c r="N245" s="3324"/>
      <c r="O245" s="3324"/>
      <c r="P245" s="3324"/>
      <c r="Q245" s="3324"/>
      <c r="R245" s="3324"/>
      <c r="S245" s="3324"/>
      <c r="T245" s="3324"/>
      <c r="U245" s="3324"/>
      <c r="V245" s="3324"/>
      <c r="W245" s="3324"/>
      <c r="X245" s="3324"/>
      <c r="Y245" s="3324"/>
      <c r="Z245" s="3324"/>
      <c r="AA245" s="3324"/>
      <c r="AB245" s="3324"/>
      <c r="AC245" s="3324"/>
    </row>
    <row r="246" spans="1:29" s="3327" customFormat="1">
      <c r="A246" s="3324"/>
      <c r="B246" s="3324"/>
      <c r="C246" s="3324"/>
      <c r="D246" s="3324"/>
      <c r="E246" s="3324"/>
      <c r="F246" s="3324"/>
      <c r="G246" s="3324"/>
      <c r="H246" s="3324"/>
      <c r="I246" s="3324"/>
      <c r="J246" s="3324"/>
      <c r="K246" s="3325"/>
      <c r="L246" s="3326"/>
      <c r="M246" s="3324"/>
      <c r="N246" s="3324"/>
      <c r="O246" s="3324"/>
      <c r="P246" s="3324"/>
      <c r="Q246" s="3324"/>
      <c r="R246" s="3324"/>
      <c r="S246" s="3324"/>
      <c r="T246" s="3324"/>
      <c r="U246" s="3324"/>
      <c r="V246" s="3324"/>
      <c r="W246" s="3324"/>
      <c r="X246" s="3324"/>
      <c r="Y246" s="3324"/>
      <c r="Z246" s="3324"/>
      <c r="AA246" s="3324"/>
      <c r="AB246" s="3324"/>
      <c r="AC246" s="3324"/>
    </row>
    <row r="247" spans="1:29" s="3327" customFormat="1">
      <c r="A247" s="3324"/>
      <c r="B247" s="3324"/>
      <c r="C247" s="3324"/>
      <c r="D247" s="3324"/>
      <c r="E247" s="3324"/>
      <c r="F247" s="3324"/>
      <c r="G247" s="3324"/>
      <c r="H247" s="3324"/>
      <c r="I247" s="3324"/>
      <c r="J247" s="3324"/>
      <c r="K247" s="3325"/>
      <c r="L247" s="3326"/>
      <c r="M247" s="3324"/>
      <c r="N247" s="3324"/>
      <c r="O247" s="3324"/>
      <c r="P247" s="3324"/>
      <c r="Q247" s="3324"/>
      <c r="R247" s="3324"/>
      <c r="S247" s="3324"/>
      <c r="T247" s="3324"/>
      <c r="U247" s="3324"/>
      <c r="V247" s="3324"/>
      <c r="W247" s="3324"/>
      <c r="X247" s="3324"/>
      <c r="Y247" s="3324"/>
      <c r="Z247" s="3324"/>
      <c r="AA247" s="3324"/>
      <c r="AB247" s="3324"/>
      <c r="AC247" s="3324"/>
    </row>
    <row r="248" spans="1:29" s="3327" customFormat="1">
      <c r="A248" s="3324"/>
      <c r="B248" s="3324"/>
      <c r="C248" s="3324"/>
      <c r="D248" s="3324"/>
      <c r="E248" s="3324"/>
      <c r="F248" s="3324"/>
      <c r="G248" s="3324"/>
      <c r="H248" s="3324"/>
      <c r="I248" s="3324"/>
      <c r="J248" s="3324"/>
      <c r="K248" s="3325"/>
      <c r="L248" s="3326"/>
      <c r="M248" s="3324"/>
      <c r="N248" s="3324"/>
      <c r="O248" s="3324"/>
      <c r="P248" s="3324"/>
      <c r="Q248" s="3324"/>
      <c r="R248" s="3324"/>
      <c r="S248" s="3324"/>
      <c r="T248" s="3324"/>
      <c r="U248" s="3324"/>
      <c r="V248" s="3324"/>
      <c r="W248" s="3324"/>
      <c r="X248" s="3324"/>
      <c r="Y248" s="3324"/>
      <c r="Z248" s="3324"/>
      <c r="AA248" s="3324"/>
      <c r="AB248" s="3324"/>
      <c r="AC248" s="3324"/>
    </row>
    <row r="249" spans="1:29" s="3327" customFormat="1">
      <c r="A249" s="3324"/>
      <c r="B249" s="3324"/>
      <c r="C249" s="3324"/>
      <c r="D249" s="3324"/>
      <c r="E249" s="3324"/>
      <c r="F249" s="3324"/>
      <c r="G249" s="3324"/>
      <c r="H249" s="3324"/>
      <c r="I249" s="3324"/>
      <c r="J249" s="3324"/>
      <c r="K249" s="3325"/>
      <c r="L249" s="3326"/>
      <c r="M249" s="3324"/>
      <c r="N249" s="3324"/>
      <c r="O249" s="3324"/>
      <c r="P249" s="3324"/>
      <c r="Q249" s="3324"/>
      <c r="R249" s="3324"/>
      <c r="S249" s="3324"/>
      <c r="T249" s="3324"/>
      <c r="U249" s="3324"/>
      <c r="V249" s="3324"/>
      <c r="W249" s="3324"/>
      <c r="X249" s="3324"/>
      <c r="Y249" s="3324"/>
      <c r="Z249" s="3324"/>
      <c r="AA249" s="3324"/>
      <c r="AB249" s="3324"/>
      <c r="AC249" s="3324"/>
    </row>
    <row r="250" spans="1:29" s="3327" customFormat="1">
      <c r="A250" s="3324"/>
      <c r="B250" s="3324"/>
      <c r="C250" s="3324"/>
      <c r="D250" s="3324"/>
      <c r="E250" s="3324"/>
      <c r="F250" s="3324"/>
      <c r="G250" s="3324"/>
      <c r="H250" s="3324"/>
      <c r="I250" s="3324"/>
      <c r="J250" s="3324"/>
      <c r="K250" s="3325"/>
      <c r="L250" s="3326"/>
      <c r="M250" s="3324"/>
      <c r="N250" s="3324"/>
      <c r="O250" s="3324"/>
      <c r="P250" s="3324"/>
      <c r="Q250" s="3324"/>
      <c r="R250" s="3324"/>
      <c r="S250" s="3324"/>
      <c r="T250" s="3324"/>
      <c r="U250" s="3324"/>
      <c r="V250" s="3324"/>
      <c r="W250" s="3324"/>
      <c r="X250" s="3324"/>
      <c r="Y250" s="3324"/>
      <c r="Z250" s="3324"/>
      <c r="AA250" s="3324"/>
      <c r="AB250" s="3324"/>
      <c r="AC250" s="3324"/>
    </row>
    <row r="251" spans="1:29" s="3327" customFormat="1">
      <c r="A251" s="3324"/>
      <c r="B251" s="3324"/>
      <c r="C251" s="3324"/>
      <c r="D251" s="3324"/>
      <c r="E251" s="3324"/>
      <c r="F251" s="3324"/>
      <c r="G251" s="3324"/>
      <c r="H251" s="3324"/>
      <c r="I251" s="3324"/>
      <c r="J251" s="3324"/>
      <c r="K251" s="3325"/>
      <c r="L251" s="3326"/>
      <c r="M251" s="3324"/>
      <c r="N251" s="3324"/>
      <c r="O251" s="3324"/>
      <c r="P251" s="3324"/>
      <c r="Q251" s="3324"/>
      <c r="R251" s="3324"/>
      <c r="S251" s="3324"/>
      <c r="T251" s="3324"/>
      <c r="U251" s="3324"/>
      <c r="V251" s="3324"/>
      <c r="W251" s="3324"/>
      <c r="X251" s="3324"/>
      <c r="Y251" s="3324"/>
      <c r="Z251" s="3324"/>
      <c r="AA251" s="3324"/>
      <c r="AB251" s="3324"/>
      <c r="AC251" s="3324"/>
    </row>
    <row r="252" spans="1:29" s="3327" customFormat="1">
      <c r="A252" s="3324"/>
      <c r="B252" s="3324"/>
      <c r="C252" s="3324"/>
      <c r="D252" s="3324"/>
      <c r="E252" s="3324"/>
      <c r="F252" s="3324"/>
      <c r="G252" s="3324"/>
      <c r="H252" s="3324"/>
      <c r="I252" s="3324"/>
      <c r="J252" s="3324"/>
      <c r="K252" s="3325"/>
      <c r="L252" s="3326"/>
      <c r="M252" s="3324"/>
      <c r="N252" s="3324"/>
      <c r="O252" s="3324"/>
      <c r="P252" s="3324"/>
      <c r="Q252" s="3324"/>
      <c r="R252" s="3324"/>
      <c r="S252" s="3324"/>
      <c r="T252" s="3324"/>
      <c r="U252" s="3324"/>
      <c r="V252" s="3324"/>
      <c r="W252" s="3324"/>
      <c r="X252" s="3324"/>
      <c r="Y252" s="3324"/>
      <c r="Z252" s="3324"/>
      <c r="AA252" s="3324"/>
      <c r="AB252" s="3324"/>
      <c r="AC252" s="3324"/>
    </row>
    <row r="253" spans="1:29" s="3327" customFormat="1">
      <c r="A253" s="3324"/>
      <c r="B253" s="3324"/>
      <c r="C253" s="3324"/>
      <c r="D253" s="3324"/>
      <c r="E253" s="3324"/>
      <c r="F253" s="3324"/>
      <c r="G253" s="3324"/>
      <c r="H253" s="3324"/>
      <c r="I253" s="3324"/>
      <c r="J253" s="3324"/>
      <c r="K253" s="3325"/>
      <c r="L253" s="3326"/>
      <c r="M253" s="3324"/>
      <c r="N253" s="3324"/>
      <c r="O253" s="3324"/>
      <c r="P253" s="3324"/>
      <c r="Q253" s="3324"/>
      <c r="R253" s="3324"/>
      <c r="S253" s="3324"/>
      <c r="T253" s="3324"/>
      <c r="U253" s="3324"/>
      <c r="V253" s="3324"/>
      <c r="W253" s="3324"/>
      <c r="X253" s="3324"/>
      <c r="Y253" s="3324"/>
      <c r="Z253" s="3324"/>
      <c r="AA253" s="3324"/>
      <c r="AB253" s="3324"/>
      <c r="AC253" s="3324"/>
    </row>
    <row r="254" spans="1:29" s="3327" customFormat="1">
      <c r="A254" s="3324"/>
      <c r="B254" s="3324"/>
      <c r="C254" s="3324"/>
      <c r="D254" s="3324"/>
      <c r="E254" s="3324"/>
      <c r="F254" s="3324"/>
      <c r="G254" s="3324"/>
      <c r="H254" s="3324"/>
      <c r="I254" s="3324"/>
      <c r="J254" s="3324"/>
      <c r="K254" s="3325"/>
      <c r="L254" s="3326"/>
      <c r="M254" s="3324"/>
      <c r="N254" s="3324"/>
      <c r="O254" s="3324"/>
      <c r="P254" s="3324"/>
      <c r="Q254" s="3324"/>
      <c r="R254" s="3324"/>
      <c r="S254" s="3324"/>
      <c r="T254" s="3324"/>
      <c r="U254" s="3324"/>
      <c r="V254" s="3324"/>
      <c r="W254" s="3324"/>
      <c r="X254" s="3324"/>
      <c r="Y254" s="3324"/>
      <c r="Z254" s="3324"/>
      <c r="AA254" s="3324"/>
      <c r="AB254" s="3324"/>
      <c r="AC254" s="3324"/>
    </row>
    <row r="255" spans="1:29" s="3327" customFormat="1">
      <c r="A255" s="3324"/>
      <c r="B255" s="3324"/>
      <c r="C255" s="3324"/>
      <c r="D255" s="3324"/>
      <c r="E255" s="3324"/>
      <c r="F255" s="3324"/>
      <c r="G255" s="3324"/>
      <c r="H255" s="3324"/>
      <c r="I255" s="3324"/>
      <c r="J255" s="3324"/>
      <c r="K255" s="3325"/>
      <c r="L255" s="3326"/>
      <c r="M255" s="3324"/>
      <c r="N255" s="3324"/>
      <c r="O255" s="3324"/>
      <c r="P255" s="3324"/>
      <c r="Q255" s="3324"/>
      <c r="R255" s="3324"/>
      <c r="S255" s="3324"/>
      <c r="T255" s="3324"/>
      <c r="U255" s="3324"/>
      <c r="V255" s="3324"/>
      <c r="W255" s="3324"/>
      <c r="X255" s="3324"/>
      <c r="Y255" s="3324"/>
      <c r="Z255" s="3324"/>
      <c r="AA255" s="3324"/>
      <c r="AB255" s="3324"/>
      <c r="AC255" s="3324"/>
    </row>
    <row r="256" spans="1:29" s="3327" customFormat="1">
      <c r="K256" s="3328"/>
      <c r="L256" s="3329"/>
    </row>
    <row r="257" spans="11:12" s="3327" customFormat="1">
      <c r="K257" s="3328"/>
      <c r="L257" s="3329"/>
    </row>
    <row r="258" spans="11:12" s="3327" customFormat="1">
      <c r="K258" s="3328"/>
      <c r="L258" s="3329"/>
    </row>
    <row r="259" spans="11:12" s="3327" customFormat="1">
      <c r="K259" s="3328"/>
      <c r="L259" s="3329"/>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142" type="noConversion"/>
  <conditionalFormatting sqref="F53 H53 J53">
    <cfRule type="containsText" dxfId="165" priority="14" stopIfTrue="1" operator="containsText" text="超过">
      <formula>NOT(ISERROR(SEARCH("超过",F53)))</formula>
    </cfRule>
  </conditionalFormatting>
  <conditionalFormatting sqref="J55">
    <cfRule type="containsText" dxfId="164" priority="13" stopIfTrue="1" operator="containsText" text="超过">
      <formula>NOT(ISERROR(SEARCH("超过",J55)))</formula>
    </cfRule>
  </conditionalFormatting>
  <conditionalFormatting sqref="H55">
    <cfRule type="containsText" dxfId="163" priority="12" stopIfTrue="1" operator="containsText" text="超过">
      <formula>NOT(ISERROR(SEARCH("超过",H55)))</formula>
    </cfRule>
  </conditionalFormatting>
  <conditionalFormatting sqref="F55">
    <cfRule type="containsText" dxfId="162" priority="11" stopIfTrue="1" operator="containsText" text="超过">
      <formula>NOT(ISERROR(SEARCH("超过",F55)))</formula>
    </cfRule>
  </conditionalFormatting>
  <conditionalFormatting sqref="F54 H54 J54">
    <cfRule type="containsText" dxfId="161" priority="10" stopIfTrue="1" operator="containsText" text="超过">
      <formula>NOT(ISERROR(SEARCH("超过",F54)))</formula>
    </cfRule>
  </conditionalFormatting>
  <conditionalFormatting sqref="E53">
    <cfRule type="expression" dxfId="160" priority="9" stopIfTrue="1">
      <formula>$F$53="超过30%"</formula>
    </cfRule>
  </conditionalFormatting>
  <conditionalFormatting sqref="G55">
    <cfRule type="expression" dxfId="159" priority="8" stopIfTrue="1">
      <formula>$H$55="超过30%"</formula>
    </cfRule>
  </conditionalFormatting>
  <conditionalFormatting sqref="E54">
    <cfRule type="expression" dxfId="158" priority="7" stopIfTrue="1">
      <formula>$F$54="超过20%"</formula>
    </cfRule>
  </conditionalFormatting>
  <conditionalFormatting sqref="E55">
    <cfRule type="expression" dxfId="157" priority="6" stopIfTrue="1">
      <formula>$F$55="超过30%"</formula>
    </cfRule>
  </conditionalFormatting>
  <conditionalFormatting sqref="G53">
    <cfRule type="expression" dxfId="156" priority="5" stopIfTrue="1">
      <formula>$H$55+$H$53="超过30%"</formula>
    </cfRule>
  </conditionalFormatting>
  <conditionalFormatting sqref="G54">
    <cfRule type="expression" dxfId="155" priority="4" stopIfTrue="1">
      <formula>$H$54="超过20%"</formula>
    </cfRule>
  </conditionalFormatting>
  <conditionalFormatting sqref="I53">
    <cfRule type="expression" dxfId="154" priority="3" stopIfTrue="1">
      <formula>$J$53="超过30%"</formula>
    </cfRule>
  </conditionalFormatting>
  <conditionalFormatting sqref="I54">
    <cfRule type="expression" dxfId="153" priority="2" stopIfTrue="1">
      <formula>$J$54="超过20%"</formula>
    </cfRule>
  </conditionalFormatting>
  <conditionalFormatting sqref="I55">
    <cfRule type="expression" dxfId="15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2283</v>
      </c>
      <c r="B1" s="1935"/>
      <c r="C1" s="242"/>
      <c r="D1" s="242"/>
      <c r="E1" s="242"/>
      <c r="F1" s="242"/>
      <c r="G1" s="1378">
        <f>MATCH(B1,'数据-取费表'!A6:A16,0)+5</f>
        <v>10</v>
      </c>
    </row>
    <row r="2" spans="1:9" s="244" customFormat="1" ht="18" customHeight="1">
      <c r="A2" s="245" t="s">
        <v>2284</v>
      </c>
      <c r="B2" s="246">
        <f ca="1">IF(D2="——",C52,C52-E2)</f>
        <v>21791</v>
      </c>
      <c r="C2" s="243" t="s">
        <v>2285</v>
      </c>
      <c r="D2" s="2547" t="s">
        <v>70</v>
      </c>
      <c r="E2" s="1439" t="e">
        <f ca="1">SUMIF(INDIRECT("'"&amp;G2&amp;"'"&amp;"!A:A"),"承租人权益价值",INDIRECT("'"&amp;G2&amp;"'"&amp;"!c:c"))</f>
        <v>#REF!</v>
      </c>
      <c r="F2" s="2548" t="s">
        <v>2285</v>
      </c>
      <c r="G2" s="2549"/>
    </row>
    <row r="3" spans="1:9" s="244" customFormat="1" ht="18" customHeight="1" thickBot="1">
      <c r="A3" s="247" t="s">
        <v>2286</v>
      </c>
      <c r="B3" s="248">
        <f ca="1">ROUND(B2*10000/(IF(B1="",'数据-汇总表'!E3,INDIRECT("'数据-取费表'!k"&amp;$G$1))),0)</f>
        <v>2879</v>
      </c>
      <c r="C3" s="243" t="s">
        <v>2287</v>
      </c>
      <c r="D3" s="243"/>
      <c r="E3" s="243"/>
      <c r="F3" s="243"/>
      <c r="G3" s="243"/>
    </row>
    <row r="4" spans="1:9" s="252" customFormat="1" ht="16.2">
      <c r="A4" s="249" t="s">
        <v>2288</v>
      </c>
      <c r="B4" s="250"/>
      <c r="C4" s="250"/>
      <c r="D4" s="250"/>
      <c r="E4" s="250"/>
      <c r="F4" s="250"/>
      <c r="G4" s="251"/>
    </row>
    <row r="5" spans="1:9" s="258" customFormat="1" ht="13.5" customHeight="1">
      <c r="A5" s="299" t="s">
        <v>2289</v>
      </c>
      <c r="B5" s="254" t="s">
        <v>2290</v>
      </c>
      <c r="C5" s="255">
        <f>C6+C7+C8</f>
        <v>13350</v>
      </c>
      <c r="D5" s="255" t="s">
        <v>2291</v>
      </c>
      <c r="E5" s="256" t="s">
        <v>2292</v>
      </c>
      <c r="F5" s="256" t="s">
        <v>2293</v>
      </c>
      <c r="G5" s="257"/>
    </row>
    <row r="6" spans="1:9" s="258" customFormat="1" ht="13.5" customHeight="1">
      <c r="A6" s="948" t="s">
        <v>2294</v>
      </c>
      <c r="B6" s="259" t="s">
        <v>2295</v>
      </c>
      <c r="C6" s="260">
        <f>'比较法-住宅、综合'!B2</f>
        <v>12830</v>
      </c>
      <c r="D6" s="261"/>
      <c r="E6" s="262"/>
      <c r="F6" s="262"/>
      <c r="G6" s="263"/>
    </row>
    <row r="7" spans="1:9" s="258" customFormat="1" ht="13.5" customHeight="1">
      <c r="A7" s="948" t="s">
        <v>2296</v>
      </c>
      <c r="B7" s="259" t="s">
        <v>2297</v>
      </c>
      <c r="C7" s="264">
        <f>ROUND(C6*F7,0)</f>
        <v>520</v>
      </c>
      <c r="D7" s="264"/>
      <c r="E7" s="262"/>
      <c r="F7" s="265">
        <f>IF(项目基本情况!B8="出让",0,'数据-取费表'!B48+'数据-取费表'!B49)</f>
        <v>4.0500000000000001E-2</v>
      </c>
      <c r="G7" s="263"/>
    </row>
    <row r="8" spans="1:9" s="267" customFormat="1">
      <c r="A8" s="948" t="s">
        <v>2298</v>
      </c>
      <c r="B8" s="259" t="s">
        <v>2299</v>
      </c>
      <c r="C8" s="264">
        <f>IF(G8="已包含在土地购买价格中","0",IF(B1="",'数据-取费表'!B29,IF(G9="全部缴纳",C9+C10,H9)))</f>
        <v>0</v>
      </c>
      <c r="D8" s="266"/>
      <c r="E8" s="264"/>
      <c r="F8" s="265"/>
      <c r="G8" s="2550" t="s">
        <v>3165</v>
      </c>
    </row>
    <row r="9" spans="1:9" s="258" customFormat="1" ht="13.5" customHeight="1">
      <c r="A9" s="949" t="s">
        <v>799</v>
      </c>
      <c r="B9" s="268" t="s">
        <v>2300</v>
      </c>
      <c r="C9" s="269">
        <f ca="1">ROUND(D9*E9/10000,0)</f>
        <v>277</v>
      </c>
      <c r="D9" s="1031">
        <f ca="1">IF(B1="",'数据-汇总表'!E5,IF(INDIRECT("'数据-取费表'!c"&amp;$G$1)="住宅",INDIRECT("'数据-取费表'!k"&amp;$G$1),0))</f>
        <v>37528.670000000006</v>
      </c>
      <c r="E9" s="269">
        <f>'数据-取费表'!B27</f>
        <v>73.7</v>
      </c>
      <c r="F9" s="265"/>
      <c r="G9" s="2551" t="s">
        <v>3166</v>
      </c>
      <c r="H9" s="1389"/>
      <c r="I9" s="2552" t="s">
        <v>2301</v>
      </c>
    </row>
    <row r="10" spans="1:9" s="258" customFormat="1" ht="13.5" customHeight="1">
      <c r="A10" s="949" t="s">
        <v>800</v>
      </c>
      <c r="B10" s="268" t="s">
        <v>2302</v>
      </c>
      <c r="C10" s="269">
        <f ca="1">ROUND(D10*E10/10000,0)</f>
        <v>237</v>
      </c>
      <c r="D10" s="1031">
        <f ca="1">IF(B1="",'数据-汇总表'!E6,IF(INDIRECT("'数据-取费表'!c"&amp;$G$1)="住宅",INDIRECT("'数据-取费表'!s"&amp;$G$1),INDIRECT("'数据-取费表'!k"&amp;$G$1)+INDIRECT("'数据-取费表'!s"&amp;$G$1)))</f>
        <v>38153.01</v>
      </c>
      <c r="E10" s="269">
        <f>'数据-取费表'!B28</f>
        <v>62</v>
      </c>
      <c r="F10" s="265"/>
      <c r="G10" s="270"/>
    </row>
    <row r="11" spans="1:9" s="258" customFormat="1" ht="13.5" hidden="1" customHeight="1">
      <c r="A11" s="271" t="s">
        <v>7</v>
      </c>
      <c r="B11" s="259" t="s">
        <v>2303</v>
      </c>
      <c r="C11" s="255"/>
      <c r="D11" s="1033"/>
      <c r="E11" s="262"/>
      <c r="F11" s="262"/>
      <c r="G11" s="263"/>
    </row>
    <row r="12" spans="1:9" s="258" customFormat="1" ht="13.5" hidden="1" customHeight="1">
      <c r="A12" s="271" t="s">
        <v>8</v>
      </c>
      <c r="B12" s="259" t="s">
        <v>2304</v>
      </c>
      <c r="C12" s="255">
        <v>0</v>
      </c>
      <c r="D12" s="1033"/>
      <c r="E12" s="272"/>
      <c r="F12" s="265">
        <v>3.0499999999999999E-2</v>
      </c>
      <c r="G12" s="263"/>
    </row>
    <row r="13" spans="1:9" s="258" customFormat="1" ht="13.5" hidden="1" customHeight="1">
      <c r="A13" s="271" t="s">
        <v>9</v>
      </c>
      <c r="B13" s="259" t="s">
        <v>2305</v>
      </c>
      <c r="C13" s="255"/>
      <c r="D13" s="1033"/>
      <c r="E13" s="262"/>
      <c r="F13" s="262"/>
      <c r="G13" s="263"/>
    </row>
    <row r="14" spans="1:9" s="258" customFormat="1" ht="13.5" hidden="1" customHeight="1">
      <c r="A14" s="271" t="s">
        <v>10</v>
      </c>
      <c r="B14" s="259" t="s">
        <v>2306</v>
      </c>
      <c r="C14" s="255"/>
      <c r="D14" s="1033"/>
      <c r="E14" s="262"/>
      <c r="F14" s="262"/>
      <c r="G14" s="263" t="s">
        <v>2307</v>
      </c>
    </row>
    <row r="15" spans="1:9" s="258" customFormat="1" ht="13.5" hidden="1" customHeight="1">
      <c r="A15" s="271" t="s">
        <v>11</v>
      </c>
      <c r="B15" s="259" t="s">
        <v>2308</v>
      </c>
      <c r="C15" s="264"/>
      <c r="D15" s="1033"/>
      <c r="E15" s="262"/>
      <c r="F15" s="262"/>
      <c r="G15" s="263" t="s">
        <v>2309</v>
      </c>
    </row>
    <row r="16" spans="1:9" s="258" customFormat="1" ht="13.5" hidden="1" customHeight="1">
      <c r="A16" s="271" t="s">
        <v>12</v>
      </c>
      <c r="B16" s="259" t="s">
        <v>2306</v>
      </c>
      <c r="C16" s="264"/>
      <c r="D16" s="1033"/>
      <c r="E16" s="262"/>
      <c r="F16" s="262"/>
      <c r="G16" s="263"/>
    </row>
    <row r="17" spans="1:7" s="258" customFormat="1" ht="13.5" hidden="1" customHeight="1">
      <c r="A17" s="271" t="s">
        <v>13</v>
      </c>
      <c r="B17" s="259" t="s">
        <v>2310</v>
      </c>
      <c r="C17" s="273"/>
      <c r="D17" s="1034"/>
      <c r="E17" s="273"/>
      <c r="F17" s="273"/>
      <c r="G17" s="263" t="s">
        <v>2309</v>
      </c>
    </row>
    <row r="18" spans="1:7" s="258" customFormat="1" ht="13.5" hidden="1" customHeight="1">
      <c r="A18" s="271" t="s">
        <v>14</v>
      </c>
      <c r="B18" s="259" t="s">
        <v>2311</v>
      </c>
      <c r="C18" s="264">
        <v>0</v>
      </c>
      <c r="D18" s="1033"/>
      <c r="E18" s="262"/>
      <c r="F18" s="265">
        <v>3.0499999999999999E-2</v>
      </c>
      <c r="G18" s="263" t="s">
        <v>2312</v>
      </c>
    </row>
    <row r="19" spans="1:7" s="267" customFormat="1" ht="13.5" customHeight="1">
      <c r="A19" s="299" t="s">
        <v>2313</v>
      </c>
      <c r="B19" s="254" t="s">
        <v>2314</v>
      </c>
      <c r="C19" s="255" t="str">
        <f>IF(G19="已包含在土地取得成本中","0",ROUND(D19*E19/10000,0))</f>
        <v>0</v>
      </c>
      <c r="D19" s="1035">
        <f ca="1">D9+D10</f>
        <v>75681.680000000008</v>
      </c>
      <c r="E19" s="255">
        <f>'数据-取费表'!B31</f>
        <v>0</v>
      </c>
      <c r="F19" s="275"/>
      <c r="G19" s="2550" t="s">
        <v>3167</v>
      </c>
    </row>
    <row r="20" spans="1:7" s="258" customFormat="1" ht="13.5" customHeight="1">
      <c r="A20" s="299" t="s">
        <v>2315</v>
      </c>
      <c r="B20" s="254" t="s">
        <v>2316</v>
      </c>
      <c r="C20" s="276">
        <f>ROUND((C5+C19)*F20,0)</f>
        <v>267</v>
      </c>
      <c r="D20" s="276"/>
      <c r="E20" s="276"/>
      <c r="F20" s="277">
        <f>'数据-取费表'!B37</f>
        <v>0.02</v>
      </c>
      <c r="G20" s="278" t="s">
        <v>2317</v>
      </c>
    </row>
    <row r="21" spans="1:7" s="258" customFormat="1" ht="13.5" customHeight="1">
      <c r="A21" s="299" t="s">
        <v>2318</v>
      </c>
      <c r="B21" s="254" t="s">
        <v>2319</v>
      </c>
      <c r="C21" s="279">
        <f>F21</f>
        <v>0.02</v>
      </c>
      <c r="D21" s="280" t="s">
        <v>2320</v>
      </c>
      <c r="E21" s="276"/>
      <c r="F21" s="277">
        <f>'数据-取费表'!B38</f>
        <v>0.02</v>
      </c>
      <c r="G21" s="278" t="s">
        <v>2321</v>
      </c>
    </row>
    <row r="22" spans="1:7" s="258" customFormat="1" ht="13.5" customHeight="1">
      <c r="A22" s="299" t="s">
        <v>2322</v>
      </c>
      <c r="B22" s="254" t="s">
        <v>2323</v>
      </c>
      <c r="C22" s="1353">
        <f ca="1">ROUND(SUM(C23:C25),0)</f>
        <v>381</v>
      </c>
      <c r="D22" s="279">
        <f ca="1">C26</f>
        <v>2.9999999999999997E-4</v>
      </c>
      <c r="E22" s="280" t="s">
        <v>2320</v>
      </c>
      <c r="F22" s="281">
        <f ca="1">'数据-取费表'!B40</f>
        <v>4.7500000000000001E-2</v>
      </c>
      <c r="G22" s="278" t="str">
        <f>IF('数据-取费表'!B22&lt;=1,"单利计息","复利计息")</f>
        <v>复利计息</v>
      </c>
    </row>
    <row r="23" spans="1:7" s="258" customFormat="1" ht="13.5" customHeight="1">
      <c r="A23" s="950" t="s">
        <v>2324</v>
      </c>
      <c r="B23" s="259" t="s">
        <v>2325</v>
      </c>
      <c r="C23" s="1354">
        <f ca="1">ROUND(IF('数据-取费表'!B22&lt;=1,C5*F22*'数据-取费表'!B23,C5*(POWER((1+F22),'数据-取费表'!B23)-1)),0)</f>
        <v>377</v>
      </c>
      <c r="D23" s="282"/>
      <c r="E23" s="282"/>
      <c r="F23" s="283"/>
      <c r="G23" s="284" t="s">
        <v>2326</v>
      </c>
    </row>
    <row r="24" spans="1:7" s="258" customFormat="1" ht="13.5" customHeight="1">
      <c r="A24" s="950" t="s">
        <v>2327</v>
      </c>
      <c r="B24" s="259" t="s">
        <v>2328</v>
      </c>
      <c r="C24" s="1354">
        <f ca="1">ROUND(IF('数据-取费表'!B22&lt;=1,C19*F22*('数据-取费表'!B19/2+'数据-取费表'!B21),C19*(POWER((1+F22),('数据-取费表'!B19/2+'数据-取费表'!B21))-1)),0)</f>
        <v>0</v>
      </c>
      <c r="D24" s="282"/>
      <c r="E24" s="282"/>
      <c r="F24" s="283"/>
      <c r="G24" s="284" t="s">
        <v>2329</v>
      </c>
    </row>
    <row r="25" spans="1:7" s="258" customFormat="1" ht="24">
      <c r="A25" s="950" t="s">
        <v>2330</v>
      </c>
      <c r="B25" s="259" t="s">
        <v>2331</v>
      </c>
      <c r="C25" s="1354">
        <f ca="1">ROUND(IF('数据-取费表'!B22&lt;=1,C20*F22*'数据-取费表'!B23/2,C20*(POWER((1+F22),'数据-取费表'!B23/2)-1)),0)</f>
        <v>4</v>
      </c>
      <c r="D25" s="282"/>
      <c r="E25" s="285"/>
      <c r="F25" s="283"/>
      <c r="G25" s="286" t="s">
        <v>2332</v>
      </c>
    </row>
    <row r="26" spans="1:7" s="258" customFormat="1">
      <c r="A26" s="950" t="s">
        <v>794</v>
      </c>
      <c r="B26" s="259" t="s">
        <v>2333</v>
      </c>
      <c r="C26" s="282">
        <f ca="1">ROUND(IF('数据-取费表'!B22&lt;=1,F21*F22*'数据-取费表'!B23/2,F21*(POWER((1+F22),'数据-取费表'!B23/2)-1)),4)</f>
        <v>2.9999999999999997E-4</v>
      </c>
      <c r="D26" s="282"/>
      <c r="E26" s="285"/>
      <c r="F26" s="283"/>
      <c r="G26" s="287"/>
    </row>
    <row r="27" spans="1:7" s="258" customFormat="1" ht="26.4">
      <c r="A27" s="299" t="s">
        <v>2334</v>
      </c>
      <c r="B27" s="288" t="s">
        <v>2335</v>
      </c>
      <c r="C27" s="289">
        <f ca="1">C28</f>
        <v>449</v>
      </c>
      <c r="D27" s="279">
        <f ca="1">C29</f>
        <v>6.9999999999999999E-4</v>
      </c>
      <c r="E27" s="280" t="s">
        <v>2336</v>
      </c>
      <c r="F27" s="290">
        <f ca="1">IF(B1="",'数据-取费表'!Q16,INDIRECT("'数据-取费表'!q"&amp;$G$1))</f>
        <v>0.11</v>
      </c>
      <c r="G27" s="291" t="s">
        <v>2337</v>
      </c>
    </row>
    <row r="28" spans="1:7" s="258" customFormat="1" ht="13.5" customHeight="1">
      <c r="A28" s="950" t="s">
        <v>790</v>
      </c>
      <c r="B28" s="292" t="s">
        <v>2338</v>
      </c>
      <c r="C28" s="293">
        <f ca="1">ROUND((C5+C19+C20)*F27*'数据-取费表'!B21/'数据-取费表'!B20,0)</f>
        <v>449</v>
      </c>
      <c r="D28" s="279"/>
      <c r="E28" s="280"/>
      <c r="F28" s="290"/>
      <c r="G28" s="291"/>
    </row>
    <row r="29" spans="1:7" s="258" customFormat="1" ht="13.5" customHeight="1">
      <c r="A29" s="950" t="s">
        <v>791</v>
      </c>
      <c r="B29" s="292" t="s">
        <v>2339</v>
      </c>
      <c r="C29" s="282">
        <f ca="1">ROUND(C21*F27*'数据-取费表'!B21/'数据-取费表'!B20,4)</f>
        <v>6.9999999999999999E-4</v>
      </c>
      <c r="D29" s="279"/>
      <c r="E29" s="280"/>
      <c r="F29" s="290"/>
      <c r="G29" s="291"/>
    </row>
    <row r="30" spans="1:7" s="258" customFormat="1" ht="13.5" customHeight="1">
      <c r="A30" s="299" t="s">
        <v>2340</v>
      </c>
      <c r="B30" s="254" t="s">
        <v>2341</v>
      </c>
      <c r="C30" s="279">
        <f>ROUND(F30/(1+'数据-取费表'!C42),4)</f>
        <v>5.2400000000000002E-2</v>
      </c>
      <c r="D30" s="280" t="s">
        <v>2336</v>
      </c>
      <c r="E30" s="285"/>
      <c r="F30" s="281">
        <f>'数据-取费表'!B41</f>
        <v>5.5000000000000007E-2</v>
      </c>
      <c r="G30" s="278" t="s">
        <v>2342</v>
      </c>
    </row>
    <row r="31" spans="1:7" ht="16.5" customHeight="1">
      <c r="A31" s="253">
        <v>1</v>
      </c>
      <c r="B31" s="254" t="s">
        <v>2343</v>
      </c>
      <c r="C31" s="255">
        <f ca="1">ROUND((C5+C19+C20+C22+C27)/(1-C21-D22-D27-C30),0)</f>
        <v>15591</v>
      </c>
      <c r="D31" s="274"/>
      <c r="E31" s="255"/>
      <c r="F31" s="294"/>
      <c r="G31" s="278" t="s">
        <v>2344</v>
      </c>
    </row>
    <row r="32" spans="1:7" s="252" customFormat="1" ht="16.2">
      <c r="A32" s="296" t="s">
        <v>2345</v>
      </c>
      <c r="B32" s="297"/>
      <c r="C32" s="297"/>
      <c r="D32" s="297"/>
      <c r="E32" s="297"/>
      <c r="F32" s="297"/>
      <c r="G32" s="298"/>
    </row>
    <row r="33" spans="1:7" s="258" customFormat="1" ht="13.5" customHeight="1">
      <c r="A33" s="299" t="s">
        <v>781</v>
      </c>
      <c r="B33" s="254" t="s">
        <v>2346</v>
      </c>
      <c r="C33" s="300">
        <f ca="1">SUM(C34:C38)</f>
        <v>5004</v>
      </c>
      <c r="D33" s="276"/>
      <c r="E33" s="256"/>
      <c r="F33" s="285"/>
      <c r="G33" s="278"/>
    </row>
    <row r="34" spans="1:7" s="302" customFormat="1" ht="13.5" customHeight="1">
      <c r="A34" s="950" t="s">
        <v>790</v>
      </c>
      <c r="B34" s="259" t="s">
        <v>2347</v>
      </c>
      <c r="C34" s="264">
        <f ca="1">IF(B1="",IF(F34=100%,'数据-取费表'!M16,'数据-取费表'!O16),IF(F34=100%,INDIRECT("'数据-取费表'!m"&amp;$G$1)+INDIRECT("'数据-取费表'!t"&amp;$G$1),INDIRECT("'数据-取费表'!o"&amp;$G$1)+INDIRECT("'数据-取费表'!aq"&amp;$G$1)))</f>
        <v>4390</v>
      </c>
      <c r="D34" s="261"/>
      <c r="E34" s="264"/>
      <c r="F34" s="301">
        <f ca="1">IF('数据-取费表'!B24=0,1,IF(B1="",'数据-取费表'!N16,INDIRECT("'数据-取费表'!n"&amp;$G$1)))</f>
        <v>0.28999999999999998</v>
      </c>
      <c r="G34" s="263" t="s">
        <v>2348</v>
      </c>
    </row>
    <row r="35" spans="1:7" ht="13.5" customHeight="1">
      <c r="A35" s="950" t="s">
        <v>795</v>
      </c>
      <c r="B35" s="259" t="s">
        <v>2349</v>
      </c>
      <c r="C35" s="264">
        <f ca="1">ROUND(C34*F35,0)</f>
        <v>132</v>
      </c>
      <c r="D35" s="264"/>
      <c r="E35" s="264"/>
      <c r="F35" s="303">
        <f>'数据-取费表'!B33</f>
        <v>0.03</v>
      </c>
      <c r="G35" s="263" t="s">
        <v>2350</v>
      </c>
    </row>
    <row r="36" spans="1:7" ht="24">
      <c r="A36" s="950" t="s">
        <v>796</v>
      </c>
      <c r="B36" s="259" t="s">
        <v>2351</v>
      </c>
      <c r="C36" s="264">
        <f ca="1">ROUND(IF(B1="",SUMIF('数据-取费表'!C:C,"住宅",IF(F34=100%,'数据-取费表'!M:M,'数据-取费表'!O:O))*F36,IF(INDIRECT("'数据-取费表'!c"&amp;$G$1)="住宅",IF(F34=100%,INDIRECT("'数据-取费表'!m"&amp;$G$1)*F36,INDIRECT("'数据-取费表'!o"&amp;$G$1)*F36),0)),0)</f>
        <v>87</v>
      </c>
      <c r="D36" s="264"/>
      <c r="E36" s="264"/>
      <c r="F36" s="303">
        <f>'数据-取费表'!B34</f>
        <v>0.04</v>
      </c>
      <c r="G36" s="304" t="s">
        <v>2352</v>
      </c>
    </row>
    <row r="37" spans="1:7" s="302" customFormat="1" ht="13.5" customHeight="1">
      <c r="A37" s="950" t="s">
        <v>797</v>
      </c>
      <c r="B37" s="259" t="s">
        <v>2353</v>
      </c>
      <c r="C37" s="293">
        <f ca="1">ROUND(E37*D37*F34/10000,0)</f>
        <v>329</v>
      </c>
      <c r="D37" s="261">
        <f ca="1">D19</f>
        <v>75681.680000000008</v>
      </c>
      <c r="E37" s="293">
        <f>'数据-取费表'!B35</f>
        <v>150</v>
      </c>
      <c r="F37" s="303"/>
      <c r="G37" s="305" t="s">
        <v>2354</v>
      </c>
    </row>
    <row r="38" spans="1:7" ht="13.5" customHeight="1">
      <c r="A38" s="950" t="s">
        <v>798</v>
      </c>
      <c r="B38" s="259" t="s">
        <v>2355</v>
      </c>
      <c r="C38" s="264">
        <f ca="1">ROUND(C34*F38,0)</f>
        <v>66</v>
      </c>
      <c r="D38" s="264"/>
      <c r="E38" s="264"/>
      <c r="F38" s="303">
        <f>'数据-取费表'!B36</f>
        <v>1.4999999999999999E-2</v>
      </c>
      <c r="G38" s="263" t="s">
        <v>2350</v>
      </c>
    </row>
    <row r="39" spans="1:7" s="258" customFormat="1" ht="13.5" customHeight="1">
      <c r="A39" s="299" t="s">
        <v>2356</v>
      </c>
      <c r="B39" s="254" t="s">
        <v>2357</v>
      </c>
      <c r="C39" s="276">
        <f ca="1">ROUND(C33*F20,0)</f>
        <v>100</v>
      </c>
      <c r="D39" s="276"/>
      <c r="E39" s="276"/>
      <c r="F39" s="277"/>
      <c r="G39" s="278" t="s">
        <v>2358</v>
      </c>
    </row>
    <row r="40" spans="1:7" s="258" customFormat="1" ht="13.5" customHeight="1">
      <c r="A40" s="299" t="s">
        <v>2359</v>
      </c>
      <c r="B40" s="254" t="s">
        <v>2360</v>
      </c>
      <c r="C40" s="1727">
        <f>F21</f>
        <v>0.02</v>
      </c>
      <c r="D40" s="280" t="s">
        <v>2361</v>
      </c>
      <c r="E40" s="276"/>
      <c r="F40" s="277"/>
      <c r="G40" s="278" t="s">
        <v>2362</v>
      </c>
    </row>
    <row r="41" spans="1:7" s="258" customFormat="1" ht="13.5" customHeight="1">
      <c r="A41" s="299" t="s">
        <v>2363</v>
      </c>
      <c r="B41" s="254" t="s">
        <v>2364</v>
      </c>
      <c r="C41" s="276">
        <f ca="1">ROUND(SUM(C42:C43),0)</f>
        <v>71</v>
      </c>
      <c r="D41" s="279">
        <f ca="1">C44</f>
        <v>2.9999999999999997E-4</v>
      </c>
      <c r="E41" s="280" t="s">
        <v>2361</v>
      </c>
      <c r="F41" s="281"/>
      <c r="G41" s="278" t="str">
        <f>IF('数据-取费表'!B22&lt;=1,"单利计息","复利计息")</f>
        <v>复利计息</v>
      </c>
    </row>
    <row r="42" spans="1:7" ht="13.5" customHeight="1">
      <c r="A42" s="950" t="s">
        <v>790</v>
      </c>
      <c r="B42" s="259" t="s">
        <v>2365</v>
      </c>
      <c r="C42" s="282">
        <f ca="1">ROUND(IF('数据-取费表'!B22&lt;=1,C33*F22*'数据-取费表'!B21/2,C33*(POWER((1+F22),'数据-取费表'!B21/2)-1)),0)</f>
        <v>70</v>
      </c>
      <c r="D42" s="282"/>
      <c r="E42" s="282"/>
      <c r="F42" s="283"/>
      <c r="G42" s="3658" t="s">
        <v>2366</v>
      </c>
    </row>
    <row r="43" spans="1:7" ht="13.5" customHeight="1">
      <c r="A43" s="950" t="s">
        <v>791</v>
      </c>
      <c r="B43" s="259" t="s">
        <v>2367</v>
      </c>
      <c r="C43" s="282">
        <f ca="1">ROUND(IF('数据-取费表'!B22&lt;=1,C39*F22*'数据-取费表'!B21/2,C39*(POWER((1+F22),'数据-取费表'!B21/2)-1)),0)</f>
        <v>1</v>
      </c>
      <c r="D43" s="282"/>
      <c r="E43" s="282"/>
      <c r="F43" s="283"/>
      <c r="G43" s="3659"/>
    </row>
    <row r="44" spans="1:7" ht="13.5" customHeight="1">
      <c r="A44" s="950" t="s">
        <v>792</v>
      </c>
      <c r="B44" s="259" t="s">
        <v>2368</v>
      </c>
      <c r="C44" s="282">
        <f ca="1">ROUND(IF('数据-取费表'!B22&lt;=1,C40*F22*'数据-取费表'!B21/2,C40*(POWER((1+F22),'数据-取费表'!B21/2)-1)),4)</f>
        <v>2.9999999999999997E-4</v>
      </c>
      <c r="D44" s="282"/>
      <c r="E44" s="282"/>
      <c r="F44" s="283"/>
      <c r="G44" s="3660"/>
    </row>
    <row r="45" spans="1:7" s="258" customFormat="1" ht="13.5" customHeight="1">
      <c r="A45" s="299" t="s">
        <v>2369</v>
      </c>
      <c r="B45" s="288" t="s">
        <v>2335</v>
      </c>
      <c r="C45" s="289">
        <f ca="1">C46</f>
        <v>561</v>
      </c>
      <c r="D45" s="279">
        <f ca="1">C47</f>
        <v>2.2000000000000001E-3</v>
      </c>
      <c r="E45" s="280" t="s">
        <v>2361</v>
      </c>
      <c r="F45" s="290"/>
      <c r="G45" s="291" t="s">
        <v>2370</v>
      </c>
    </row>
    <row r="46" spans="1:7" s="258" customFormat="1" ht="13.5" customHeight="1">
      <c r="A46" s="950" t="s">
        <v>790</v>
      </c>
      <c r="B46" s="292" t="s">
        <v>2371</v>
      </c>
      <c r="C46" s="293">
        <f ca="1">ROUND((C33+C39)*F27,0)</f>
        <v>561</v>
      </c>
      <c r="D46" s="307"/>
      <c r="E46" s="280"/>
      <c r="F46" s="290"/>
      <c r="G46" s="291"/>
    </row>
    <row r="47" spans="1:7" s="258" customFormat="1" ht="13.5" customHeight="1">
      <c r="A47" s="950" t="s">
        <v>791</v>
      </c>
      <c r="B47" s="292" t="s">
        <v>2372</v>
      </c>
      <c r="C47" s="282">
        <f ca="1">ROUND(C40*F27,4)</f>
        <v>2.2000000000000001E-3</v>
      </c>
      <c r="D47" s="307"/>
      <c r="E47" s="280"/>
      <c r="F47" s="290"/>
      <c r="G47" s="291"/>
    </row>
    <row r="48" spans="1:7" s="258" customFormat="1" ht="13.5" customHeight="1">
      <c r="A48" s="299" t="s">
        <v>2334</v>
      </c>
      <c r="B48" s="254" t="s">
        <v>2373</v>
      </c>
      <c r="C48" s="1727">
        <f>ROUND(F30/(1+'数据-取费表'!C42),4)</f>
        <v>5.2400000000000002E-2</v>
      </c>
      <c r="D48" s="280" t="s">
        <v>2361</v>
      </c>
      <c r="E48" s="276"/>
      <c r="F48" s="281"/>
      <c r="G48" s="278" t="s">
        <v>2374</v>
      </c>
    </row>
    <row r="49" spans="1:7" ht="16.5" customHeight="1">
      <c r="A49" s="299" t="s">
        <v>2340</v>
      </c>
      <c r="B49" s="254" t="s">
        <v>2375</v>
      </c>
      <c r="C49" s="276">
        <f ca="1">ROUND((C33+C39+C41+C45)/(1-C40-D41-D45-C48),0)</f>
        <v>6200</v>
      </c>
      <c r="D49" s="276"/>
      <c r="E49" s="276"/>
      <c r="F49" s="308"/>
      <c r="G49" s="278" t="s">
        <v>2376</v>
      </c>
    </row>
    <row r="50" spans="1:7" s="302" customFormat="1" ht="24">
      <c r="A50" s="299" t="s">
        <v>2377</v>
      </c>
      <c r="B50" s="254" t="s">
        <v>2378</v>
      </c>
      <c r="C50" s="276"/>
      <c r="D50" s="276"/>
      <c r="E50" s="276"/>
      <c r="F50" s="308">
        <f>IF('数据-取费表'!B24=0,'数据-取费表'!N16,1)</f>
        <v>1</v>
      </c>
      <c r="G50" s="291" t="s">
        <v>2379</v>
      </c>
    </row>
    <row r="51" spans="1:7" ht="16.5" customHeight="1">
      <c r="A51" s="299" t="s">
        <v>2380</v>
      </c>
      <c r="B51" s="254" t="s">
        <v>2381</v>
      </c>
      <c r="C51" s="276">
        <f ca="1">ROUND(C49*F50,0)</f>
        <v>6200</v>
      </c>
      <c r="D51" s="276"/>
      <c r="E51" s="276"/>
      <c r="F51" s="308"/>
      <c r="G51" s="278" t="s">
        <v>2382</v>
      </c>
    </row>
    <row r="52" spans="1:7" s="252" customFormat="1" ht="16.8" thickBot="1">
      <c r="A52" s="309" t="s">
        <v>2383</v>
      </c>
      <c r="B52" s="310"/>
      <c r="C52" s="311">
        <f ca="1">C31+C51</f>
        <v>21791</v>
      </c>
      <c r="D52" s="310"/>
      <c r="E52" s="310"/>
      <c r="F52" s="310"/>
      <c r="G52" s="312"/>
    </row>
    <row r="55" spans="1:7" ht="15">
      <c r="B55" s="314" t="s">
        <v>2384</v>
      </c>
      <c r="C55" s="315"/>
    </row>
    <row r="56" spans="1:7">
      <c r="B56" s="317" t="s">
        <v>1504</v>
      </c>
      <c r="C56" s="319">
        <f ca="1">1-C57</f>
        <v>0.71500000000000008</v>
      </c>
    </row>
    <row r="57" spans="1:7">
      <c r="B57" s="317" t="s">
        <v>1505</v>
      </c>
      <c r="C57" s="318">
        <f ca="1">ROUND(C51/C52,3)</f>
        <v>0.28499999999999998</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640625" defaultRowHeight="13.2"/>
  <cols>
    <col min="1" max="1" width="9.77734375" style="798" customWidth="1"/>
    <col min="2" max="2" width="25.77734375" style="951" customWidth="1"/>
    <col min="3" max="3" width="10.33203125" style="994" customWidth="1"/>
    <col min="4" max="4" width="9.88671875" style="951" customWidth="1"/>
    <col min="5" max="5" width="11.33203125" style="798"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2416</v>
      </c>
      <c r="B1" s="1580"/>
      <c r="C1" s="1581"/>
      <c r="D1" s="1579"/>
      <c r="E1" s="320"/>
      <c r="F1" s="320"/>
      <c r="G1" s="1580"/>
      <c r="H1" s="320"/>
      <c r="I1" s="320"/>
      <c r="J1" s="320"/>
      <c r="K1" s="320">
        <f>MATCH(C1,'数据-取费表'!A6:A16,0)+5</f>
        <v>10</v>
      </c>
    </row>
    <row r="2" spans="1:33" ht="18" customHeight="1">
      <c r="A2" s="245" t="s">
        <v>2284</v>
      </c>
      <c r="B2" s="248">
        <f ca="1">C32</f>
        <v>21100</v>
      </c>
      <c r="C2" s="320" t="s">
        <v>2417</v>
      </c>
      <c r="D2" s="320"/>
      <c r="E2" s="320"/>
      <c r="F2" s="320"/>
      <c r="G2" s="320"/>
      <c r="H2" s="320"/>
      <c r="I2" s="320"/>
      <c r="J2" s="320"/>
      <c r="K2" s="320"/>
    </row>
    <row r="3" spans="1:33" ht="18" customHeight="1" thickBot="1">
      <c r="A3" s="247" t="s">
        <v>2286</v>
      </c>
      <c r="B3" s="248">
        <f ca="1">ROUND(B2*10000/IF(C1="",'数据-汇总表'!E3,INDIRECT("'数据-取费表'!K"&amp;$K$1)),0)</f>
        <v>2788</v>
      </c>
      <c r="C3" s="320" t="s">
        <v>2418</v>
      </c>
      <c r="D3" s="320"/>
      <c r="E3" s="320"/>
      <c r="F3" s="320"/>
      <c r="G3" s="320"/>
      <c r="H3" s="320"/>
      <c r="I3" s="320"/>
      <c r="J3" s="320"/>
      <c r="K3" s="320"/>
    </row>
    <row r="4" spans="1:33" s="955" customFormat="1" ht="16.5" customHeight="1">
      <c r="A4" s="952" t="s">
        <v>2419</v>
      </c>
      <c r="B4" s="953"/>
      <c r="C4" s="995">
        <f ca="1">SUM(C8:K8)</f>
        <v>44317</v>
      </c>
      <c r="D4" s="953"/>
      <c r="E4" s="953"/>
      <c r="F4" s="953"/>
      <c r="G4" s="953"/>
      <c r="H4" s="953"/>
      <c r="I4" s="953"/>
      <c r="J4" s="953"/>
      <c r="K4" s="954"/>
    </row>
    <row r="5" spans="1:33" s="959" customFormat="1" ht="26.4">
      <c r="A5" s="956" t="s">
        <v>2420</v>
      </c>
      <c r="B5" s="957" t="s">
        <v>2421</v>
      </c>
      <c r="C5" s="2554" t="s">
        <v>3325</v>
      </c>
      <c r="D5" s="2554" t="s">
        <v>3329</v>
      </c>
      <c r="E5" s="2554" t="s">
        <v>3331</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f>'比较法-住宅'!B3</f>
        <v>9606</v>
      </c>
      <c r="D6" s="961">
        <f ca="1">'收益法-商业'!B3</f>
        <v>13037</v>
      </c>
      <c r="E6" s="961">
        <f ca="1">'收益法-地下车库'!B3</f>
        <v>1859</v>
      </c>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37528.670000000006</v>
      </c>
      <c r="D7" s="321">
        <f>SUMIF('数据-汇总表'!$C19:$C33,假设开发法!D5,'数据-汇总表'!$E19:$E33)</f>
        <v>2292.67</v>
      </c>
      <c r="E7" s="321">
        <f>SUMIF('数据-汇总表'!$C19:$C33,假设开发法!E5,'数据-汇总表'!$E19:$E33)</f>
        <v>28390.01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2425</v>
      </c>
      <c r="B8" s="177" t="s">
        <v>2426</v>
      </c>
      <c r="C8" s="996">
        <f>'比较法-住宅'!B2</f>
        <v>36050</v>
      </c>
      <c r="D8" s="996">
        <f ca="1">'收益法-商业'!B2</f>
        <v>2989</v>
      </c>
      <c r="E8" s="996">
        <f ca="1">'收益法-地下车库'!B2</f>
        <v>5278</v>
      </c>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10747</v>
      </c>
      <c r="D11" s="972"/>
      <c r="E11" s="375"/>
      <c r="F11" s="973">
        <f ca="1">1-IF('数据-取费表'!B24=0,1,IF(C1="",'数据-取费表'!N16,INDIRECT("'数据-取费表'!n"&amp;$K$1)))</f>
        <v>0.71</v>
      </c>
      <c r="G11" s="8"/>
      <c r="H11" s="967"/>
      <c r="I11" s="967"/>
      <c r="J11" s="967"/>
      <c r="K11" s="968"/>
    </row>
    <row r="12" spans="1:33" s="974" customFormat="1" ht="13.5" customHeight="1">
      <c r="A12" s="970" t="s">
        <v>1327</v>
      </c>
      <c r="B12" s="971" t="s">
        <v>2435</v>
      </c>
      <c r="C12" s="24">
        <f ca="1">ROUND(C11*F12,0)</f>
        <v>322</v>
      </c>
      <c r="D12" s="972"/>
      <c r="E12" s="375"/>
      <c r="F12" s="975">
        <f>'数据-取费表'!B33</f>
        <v>0.03</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213</v>
      </c>
      <c r="D13" s="1032"/>
      <c r="E13" s="375"/>
      <c r="F13" s="975">
        <f>'数据-取费表'!B34</f>
        <v>0.04</v>
      </c>
      <c r="G13" s="8" t="s">
        <v>2438</v>
      </c>
      <c r="H13" s="967"/>
      <c r="I13" s="967"/>
      <c r="J13" s="967"/>
      <c r="K13" s="968"/>
    </row>
    <row r="14" spans="1:33" s="976" customFormat="1" ht="13.5" customHeight="1">
      <c r="A14" s="970" t="s">
        <v>1329</v>
      </c>
      <c r="B14" s="971" t="s">
        <v>2439</v>
      </c>
      <c r="C14" s="24">
        <f ca="1">ROUND(D14*E14*F11/10000,0)</f>
        <v>806</v>
      </c>
      <c r="D14" s="1032">
        <f ca="1">IF(C1="",'数据-汇总表'!E3,INDIRECT("'数据-取费表'!K"&amp;$K$1)+INDIRECT("'数据-取费表'!S"&amp;$K$1))</f>
        <v>75681.680000000008</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161</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12249</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1135</v>
      </c>
      <c r="D17" s="1032">
        <f ca="1">D14</f>
        <v>75681.680000000008</v>
      </c>
      <c r="E17" s="24">
        <f>'数据-取费表'!B32</f>
        <v>150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514</v>
      </c>
      <c r="D18" s="1032"/>
      <c r="E18" s="24"/>
      <c r="F18" s="975"/>
      <c r="G18" s="2556"/>
      <c r="H18" s="1576"/>
      <c r="I18" s="2557" t="s">
        <v>2447</v>
      </c>
      <c r="J18" s="978"/>
      <c r="K18" s="979"/>
    </row>
    <row r="19" spans="1:33" s="974" customFormat="1" ht="13.5" customHeight="1">
      <c r="A19" s="970" t="s">
        <v>804</v>
      </c>
      <c r="B19" s="971" t="s">
        <v>2448</v>
      </c>
      <c r="C19" s="24">
        <f ca="1">ROUND(D19*E19/10000,0)</f>
        <v>277</v>
      </c>
      <c r="D19" s="1032">
        <f ca="1">IF(C1="",'数据-汇总表'!E5,IF(INDIRECT("'数据-取费表'!c"&amp;$K$1)="住宅",INDIRECT("'数据-取费表'!k"&amp;$K$1),0))</f>
        <v>37528.670000000006</v>
      </c>
      <c r="E19" s="24">
        <f>'数据-取费表'!B27</f>
        <v>73.7</v>
      </c>
      <c r="F19" s="975"/>
      <c r="G19" s="15"/>
      <c r="H19" s="1578"/>
      <c r="I19" s="980"/>
      <c r="J19" s="980"/>
      <c r="K19" s="981"/>
    </row>
    <row r="20" spans="1:33" s="974" customFormat="1" ht="13.5" customHeight="1">
      <c r="A20" s="970" t="s">
        <v>805</v>
      </c>
      <c r="B20" s="971" t="s">
        <v>2449</v>
      </c>
      <c r="C20" s="24">
        <f ca="1">ROUND(D20*E20/10000,0)</f>
        <v>237</v>
      </c>
      <c r="D20" s="1032">
        <f ca="1">IF(C1="",'数据-汇总表'!E6,IF(INDIRECT("'数据-取费表'!c"&amp;$K$1)="住宅",INDIRECT("'数据-取费表'!s"&amp;$K$1),INDIRECT("'数据-取费表'!k"&amp;$K$1)+INDIRECT("'数据-取费表'!s"&amp;$K$1)))</f>
        <v>38153.01</v>
      </c>
      <c r="E20" s="24">
        <f>'数据-取费表'!B28</f>
        <v>62</v>
      </c>
      <c r="F20" s="975"/>
      <c r="G20" s="15"/>
      <c r="H20" s="980"/>
      <c r="I20" s="980"/>
      <c r="J20" s="980"/>
      <c r="K20" s="981"/>
    </row>
    <row r="21" spans="1:33" s="974" customFormat="1" ht="13.5" customHeight="1">
      <c r="A21" s="960" t="s">
        <v>801</v>
      </c>
      <c r="B21" s="984" t="s">
        <v>2450</v>
      </c>
      <c r="C21" s="985">
        <f ca="1">C16+C17+C18</f>
        <v>13898</v>
      </c>
      <c r="D21" s="986"/>
      <c r="E21" s="325"/>
      <c r="F21" s="325"/>
      <c r="G21" s="140" t="s">
        <v>2451</v>
      </c>
      <c r="H21" s="978"/>
      <c r="I21" s="978"/>
      <c r="J21" s="978"/>
      <c r="K21" s="979"/>
    </row>
    <row r="22" spans="1:33" s="974" customFormat="1" ht="13.5" customHeight="1">
      <c r="A22" s="960" t="s">
        <v>2423</v>
      </c>
      <c r="B22" s="984" t="s">
        <v>2452</v>
      </c>
      <c r="C22" s="985">
        <f ca="1">ROUND(C21*F22,0)</f>
        <v>278</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629</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3.8600000000000002E-2</v>
      </c>
      <c r="D24" s="325" t="s">
        <v>15</v>
      </c>
      <c r="E24" s="325"/>
      <c r="F24" s="987">
        <f>IF(项目基本情况!B8="出让",0,'数据-取费表'!B48+'数据-取费表'!B49)</f>
        <v>4.0500000000000001E-2</v>
      </c>
      <c r="G24" s="8" t="s">
        <v>2458</v>
      </c>
      <c r="H24" s="989"/>
      <c r="I24" s="989"/>
      <c r="J24" s="989"/>
      <c r="K24" s="990"/>
    </row>
    <row r="25" spans="1:33" s="974" customFormat="1" ht="13.5" customHeight="1">
      <c r="A25" s="960" t="s">
        <v>2459</v>
      </c>
      <c r="B25" s="986" t="s">
        <v>2460</v>
      </c>
      <c r="C25" s="1355">
        <f ca="1">C27</f>
        <v>489</v>
      </c>
      <c r="D25" s="324">
        <f ca="1">C26</f>
        <v>6.9699999999999998E-2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6.9699999999999998E-2</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489</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2463</v>
      </c>
      <c r="B28" s="2559" t="s">
        <v>2464</v>
      </c>
      <c r="C28" s="331">
        <f ca="1">C30</f>
        <v>1629</v>
      </c>
      <c r="D28" s="324">
        <f ca="1">C29</f>
        <v>0.08</v>
      </c>
      <c r="E28" s="326" t="s">
        <v>15</v>
      </c>
      <c r="F28" s="332">
        <f ca="1">IF(C1="",'数据-取费表'!Q16,INDIRECT("'数据-取费表'!q"&amp;$K$1))</f>
        <v>0.11</v>
      </c>
      <c r="G28" s="988"/>
      <c r="H28" s="989"/>
      <c r="I28" s="989"/>
      <c r="J28" s="989"/>
      <c r="K28" s="990"/>
    </row>
    <row r="29" spans="1:33" s="335" customFormat="1" ht="13.5" customHeight="1">
      <c r="A29" s="970" t="s">
        <v>802</v>
      </c>
      <c r="B29" s="993" t="s">
        <v>2465</v>
      </c>
      <c r="C29" s="328">
        <f ca="1">ROUND((1+C24)*F28*'数据-取费表'!B24/'数据-取费表'!B20,4)</f>
        <v>0.08</v>
      </c>
      <c r="D29" s="328"/>
      <c r="E29" s="329"/>
      <c r="F29" s="334"/>
      <c r="G29" s="140" t="s">
        <v>2466</v>
      </c>
      <c r="H29" s="978"/>
      <c r="I29" s="978"/>
      <c r="J29" s="978"/>
      <c r="K29" s="979"/>
    </row>
    <row r="30" spans="1:33" s="335" customFormat="1" ht="13.5" customHeight="1">
      <c r="A30" s="970" t="s">
        <v>803</v>
      </c>
      <c r="B30" s="993" t="s">
        <v>2467</v>
      </c>
      <c r="C30" s="336">
        <f ca="1">ROUND((C21+C22+C23)*F28,0)</f>
        <v>1629</v>
      </c>
      <c r="D30" s="328"/>
      <c r="E30" s="329"/>
      <c r="F30" s="334"/>
      <c r="G30" s="140"/>
      <c r="H30" s="978"/>
      <c r="I30" s="978"/>
      <c r="J30" s="978"/>
      <c r="K30" s="979"/>
    </row>
    <row r="31" spans="1:33" s="974" customFormat="1" ht="13.5" customHeight="1" thickBot="1">
      <c r="A31" s="2560" t="s">
        <v>2468</v>
      </c>
      <c r="B31" s="1004" t="s">
        <v>2469</v>
      </c>
      <c r="C31" s="1005">
        <f ca="1">ROUND(C4*F31/(1+'数据-取费表'!C42),0)</f>
        <v>2321</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21100</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3" sqref="M1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2482</v>
      </c>
      <c r="B1" s="2582" t="s">
        <v>2483</v>
      </c>
      <c r="C1" s="1633" t="s">
        <v>2484</v>
      </c>
      <c r="D1" s="1620" t="s">
        <v>3325</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36050</v>
      </c>
      <c r="C2" s="2586" t="s">
        <v>70</v>
      </c>
      <c r="D2" s="1364" t="e">
        <f ca="1">SUMIF(INDIRECT("'"&amp;F2&amp;"'"&amp;"!A:A"),"承租人权益价值",INDIRECT("'"&amp;F2&amp;"'"&amp;"!c:c"))</f>
        <v>#REF!</v>
      </c>
      <c r="E2" s="2587" t="s">
        <v>2487</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9606</v>
      </c>
      <c r="C3" s="400" t="s">
        <v>2488</v>
      </c>
      <c r="D3" s="399">
        <f>IF(D1="",'数据-汇总表'!E3,SUMIF('数据-汇总表'!$C19:$C33,D1,'数据-汇总表'!$E19:$E33))</f>
        <v>37528.670000000006</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1" t="s">
        <v>2489</v>
      </c>
      <c r="B4" s="402"/>
      <c r="C4" s="3722" t="s">
        <v>2490</v>
      </c>
      <c r="D4" s="3723"/>
      <c r="E4" s="3724" t="s">
        <v>2491</v>
      </c>
      <c r="F4" s="3725"/>
      <c r="G4" s="3722" t="s">
        <v>2492</v>
      </c>
      <c r="H4" s="3723"/>
      <c r="I4" s="3722" t="s">
        <v>2493</v>
      </c>
      <c r="J4" s="3723"/>
      <c r="K4" s="2596" t="s">
        <v>2494</v>
      </c>
      <c r="L4" s="1129"/>
      <c r="M4" s="1130"/>
      <c r="N4" s="1130"/>
      <c r="O4" s="1130"/>
      <c r="P4" s="3726" t="s">
        <v>2495</v>
      </c>
      <c r="Q4" s="3727"/>
      <c r="R4" s="3708" t="s">
        <v>2491</v>
      </c>
      <c r="S4" s="3709"/>
      <c r="T4" s="3708" t="s">
        <v>2492</v>
      </c>
      <c r="U4" s="3709"/>
      <c r="V4" s="3734" t="s">
        <v>2493</v>
      </c>
      <c r="W4" s="3734"/>
      <c r="X4" s="1812"/>
      <c r="Y4" s="3708" t="s">
        <v>2495</v>
      </c>
      <c r="Z4" s="3709"/>
      <c r="AA4" s="3703" t="s">
        <v>2491</v>
      </c>
      <c r="AB4" s="3703" t="s">
        <v>2492</v>
      </c>
      <c r="AC4" s="3703" t="s">
        <v>2493</v>
      </c>
    </row>
    <row r="5" spans="1:29">
      <c r="A5" s="404"/>
      <c r="B5" s="405"/>
      <c r="C5" s="3714" t="s">
        <v>2496</v>
      </c>
      <c r="D5" s="3715"/>
      <c r="E5" s="3712" t="s">
        <v>3363</v>
      </c>
      <c r="F5" s="3713"/>
      <c r="G5" s="3718" t="s">
        <v>3364</v>
      </c>
      <c r="H5" s="3715"/>
      <c r="I5" s="3718" t="s">
        <v>3365</v>
      </c>
      <c r="J5" s="3715"/>
      <c r="K5" s="2597"/>
      <c r="L5" s="1129"/>
      <c r="M5" s="1130"/>
      <c r="N5" s="1130"/>
      <c r="O5" s="1130"/>
      <c r="P5" s="3728"/>
      <c r="Q5" s="3729"/>
      <c r="R5" s="3710"/>
      <c r="S5" s="3711"/>
      <c r="T5" s="3710"/>
      <c r="U5" s="3711"/>
      <c r="V5" s="3734"/>
      <c r="W5" s="3734"/>
      <c r="X5" s="1812"/>
      <c r="Y5" s="3710"/>
      <c r="Z5" s="3711"/>
      <c r="AA5" s="3704"/>
      <c r="AB5" s="3704"/>
      <c r="AC5" s="3704"/>
    </row>
    <row r="6" spans="1:29" ht="15" thickBot="1">
      <c r="A6" s="406"/>
      <c r="B6" s="407"/>
      <c r="C6" s="3716" t="s">
        <v>2500</v>
      </c>
      <c r="D6" s="3717"/>
      <c r="E6" s="3719" t="s">
        <v>2500</v>
      </c>
      <c r="F6" s="3720"/>
      <c r="G6" s="3716" t="s">
        <v>2500</v>
      </c>
      <c r="H6" s="3717"/>
      <c r="I6" s="3716" t="s">
        <v>2500</v>
      </c>
      <c r="J6" s="3717"/>
      <c r="K6" s="2597" t="s">
        <v>2501</v>
      </c>
      <c r="L6" s="1129"/>
      <c r="M6" s="1130"/>
      <c r="N6" s="1130"/>
      <c r="O6" s="1130"/>
      <c r="P6" s="3730"/>
      <c r="Q6" s="3731"/>
      <c r="R6" s="3710"/>
      <c r="S6" s="3711"/>
      <c r="T6" s="3732"/>
      <c r="U6" s="3733"/>
      <c r="V6" s="3734"/>
      <c r="W6" s="3734"/>
      <c r="X6" s="1812"/>
      <c r="Y6" s="3732"/>
      <c r="Z6" s="3733"/>
      <c r="AA6" s="3705"/>
      <c r="AB6" s="3705"/>
      <c r="AC6" s="3705"/>
    </row>
    <row r="7" spans="1:29" s="117" customFormat="1" ht="1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06" t="s">
        <v>2503</v>
      </c>
      <c r="Q7" s="3735"/>
      <c r="R7" s="770" t="s">
        <v>23</v>
      </c>
      <c r="S7" s="771">
        <f t="shared" ref="S7:S15" si="0">F7</f>
        <v>100</v>
      </c>
      <c r="T7" s="770" t="s">
        <v>23</v>
      </c>
      <c r="U7" s="771">
        <f t="shared" ref="U7:U15" si="1">H7</f>
        <v>100</v>
      </c>
      <c r="V7" s="770" t="s">
        <v>23</v>
      </c>
      <c r="W7" s="771">
        <f t="shared" ref="W7:W15" si="2">J7</f>
        <v>100</v>
      </c>
      <c r="X7" s="772"/>
      <c r="Y7" s="3706" t="s">
        <v>2503</v>
      </c>
      <c r="Z7" s="3707"/>
      <c r="AA7" s="773">
        <f>D7/F7</f>
        <v>1</v>
      </c>
      <c r="AB7" s="773">
        <f>D7/H7</f>
        <v>1</v>
      </c>
      <c r="AC7" s="773">
        <f>D7/J7</f>
        <v>1</v>
      </c>
    </row>
    <row r="8" spans="1:29" s="117" customFormat="1" ht="1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06" t="s">
        <v>2506</v>
      </c>
      <c r="Q8" s="3707"/>
      <c r="R8" s="770" t="s">
        <v>23</v>
      </c>
      <c r="S8" s="771">
        <f t="shared" si="0"/>
        <v>100</v>
      </c>
      <c r="T8" s="770" t="s">
        <v>23</v>
      </c>
      <c r="U8" s="771">
        <f t="shared" si="1"/>
        <v>100</v>
      </c>
      <c r="V8" s="770" t="s">
        <v>23</v>
      </c>
      <c r="W8" s="771">
        <f t="shared" si="2"/>
        <v>100</v>
      </c>
      <c r="X8" s="772"/>
      <c r="Y8" s="3706" t="s">
        <v>2506</v>
      </c>
      <c r="Z8" s="3707"/>
      <c r="AA8" s="773">
        <f t="shared" ref="AA8:AA19" si="3">D8/F8</f>
        <v>1</v>
      </c>
      <c r="AB8" s="773">
        <f t="shared" ref="AB8:AB19" si="4">D8/H8</f>
        <v>1</v>
      </c>
      <c r="AC8" s="773">
        <f t="shared" ref="AC8:AC19" si="5">D8/J8</f>
        <v>1</v>
      </c>
    </row>
    <row r="9" spans="1:29" s="117" customFormat="1" ht="14.4">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21"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773">
        <f t="shared" si="5"/>
        <v>1</v>
      </c>
    </row>
    <row r="10" spans="1:29" s="427" customFormat="1" ht="28.8">
      <c r="A10" s="421"/>
      <c r="B10" s="422"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21"/>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773">
        <f t="shared" si="5"/>
        <v>1</v>
      </c>
    </row>
    <row r="11" spans="1:29" ht="15">
      <c r="A11" s="428"/>
      <c r="B11" s="422"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21"/>
      <c r="Q11" s="1794" t="str">
        <f t="shared" si="6"/>
        <v>容积率</v>
      </c>
      <c r="R11" s="770" t="s">
        <v>21</v>
      </c>
      <c r="S11" s="771">
        <f t="shared" si="0"/>
        <v>100</v>
      </c>
      <c r="T11" s="770" t="s">
        <v>21</v>
      </c>
      <c r="U11" s="771">
        <f t="shared" si="1"/>
        <v>101</v>
      </c>
      <c r="V11" s="770" t="s">
        <v>21</v>
      </c>
      <c r="W11" s="771">
        <f t="shared" si="2"/>
        <v>100</v>
      </c>
      <c r="X11" s="772"/>
      <c r="Y11" s="3538"/>
      <c r="Z11" s="5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21"/>
      <c r="Q12" s="1794">
        <f t="shared" si="6"/>
        <v>0</v>
      </c>
      <c r="R12" s="770" t="s">
        <v>21</v>
      </c>
      <c r="S12" s="771">
        <f t="shared" si="0"/>
        <v>100</v>
      </c>
      <c r="T12" s="770" t="s">
        <v>21</v>
      </c>
      <c r="U12" s="771">
        <f t="shared" si="1"/>
        <v>100</v>
      </c>
      <c r="V12" s="770" t="s">
        <v>21</v>
      </c>
      <c r="W12" s="771">
        <f t="shared" si="2"/>
        <v>100</v>
      </c>
      <c r="X12" s="772"/>
      <c r="Y12" s="3538"/>
      <c r="Z12" s="5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21"/>
      <c r="Q13" s="1794">
        <f t="shared" si="6"/>
        <v>0</v>
      </c>
      <c r="R13" s="770" t="s">
        <v>21</v>
      </c>
      <c r="S13" s="771">
        <f t="shared" si="0"/>
        <v>100</v>
      </c>
      <c r="T13" s="770" t="s">
        <v>21</v>
      </c>
      <c r="U13" s="771">
        <f t="shared" si="1"/>
        <v>100</v>
      </c>
      <c r="V13" s="770" t="s">
        <v>21</v>
      </c>
      <c r="W13" s="771">
        <f t="shared" si="2"/>
        <v>100</v>
      </c>
      <c r="X13" s="772"/>
      <c r="Y13" s="3538"/>
      <c r="Z13" s="55">
        <f t="shared" si="7"/>
        <v>0</v>
      </c>
      <c r="AA13" s="773">
        <f t="shared" si="3"/>
        <v>1</v>
      </c>
      <c r="AB13" s="773">
        <f t="shared" si="4"/>
        <v>1</v>
      </c>
      <c r="AC13" s="773">
        <f t="shared" si="5"/>
        <v>1</v>
      </c>
    </row>
    <row r="14" spans="1:29" ht="15.6"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21"/>
      <c r="Q14" s="1794">
        <f t="shared" si="6"/>
        <v>0</v>
      </c>
      <c r="R14" s="770" t="s">
        <v>21</v>
      </c>
      <c r="S14" s="771">
        <f t="shared" si="0"/>
        <v>100</v>
      </c>
      <c r="T14" s="770" t="s">
        <v>21</v>
      </c>
      <c r="U14" s="771">
        <f t="shared" si="1"/>
        <v>100</v>
      </c>
      <c r="V14" s="770" t="s">
        <v>21</v>
      </c>
      <c r="W14" s="771">
        <f t="shared" si="2"/>
        <v>100</v>
      </c>
      <c r="X14" s="772"/>
      <c r="Y14" s="3538"/>
      <c r="Z14" s="55">
        <f t="shared" si="7"/>
        <v>0</v>
      </c>
      <c r="AA14" s="773">
        <f t="shared" si="3"/>
        <v>1</v>
      </c>
      <c r="AB14" s="773">
        <f t="shared" si="4"/>
        <v>1</v>
      </c>
      <c r="AC14" s="773">
        <f t="shared" si="5"/>
        <v>1</v>
      </c>
    </row>
    <row r="15" spans="1:29" ht="110.4">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48" t="s">
        <v>2514</v>
      </c>
      <c r="Q15" s="1809" t="str">
        <f t="shared" si="6"/>
        <v>居住社区成熟度</v>
      </c>
      <c r="R15" s="774" t="s">
        <v>21</v>
      </c>
      <c r="S15" s="775">
        <f t="shared" si="0"/>
        <v>100</v>
      </c>
      <c r="T15" s="774" t="s">
        <v>21</v>
      </c>
      <c r="U15" s="775">
        <f t="shared" si="1"/>
        <v>100</v>
      </c>
      <c r="V15" s="774" t="s">
        <v>21</v>
      </c>
      <c r="W15" s="775">
        <f t="shared" si="2"/>
        <v>100</v>
      </c>
      <c r="X15" s="1812"/>
      <c r="Y15" s="3741" t="s">
        <v>2514</v>
      </c>
      <c r="Z15" s="1813" t="str">
        <f t="shared" si="7"/>
        <v>居住社区成熟度</v>
      </c>
      <c r="AA15" s="1810">
        <f t="shared" si="3"/>
        <v>1</v>
      </c>
      <c r="AB15" s="1810">
        <f t="shared" si="4"/>
        <v>1</v>
      </c>
      <c r="AC15" s="1810">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49"/>
      <c r="Q16" s="1809"/>
      <c r="R16" s="774"/>
      <c r="S16" s="775"/>
      <c r="T16" s="774"/>
      <c r="U16" s="775"/>
      <c r="V16" s="774"/>
      <c r="W16" s="775"/>
      <c r="X16" s="1812"/>
      <c r="Y16" s="3742"/>
      <c r="Z16" s="1813"/>
      <c r="AA16" s="1810">
        <v>1</v>
      </c>
      <c r="AB16" s="1810">
        <v>1</v>
      </c>
      <c r="AC16" s="1810">
        <v>1</v>
      </c>
    </row>
    <row r="17" spans="1:29" ht="110.4">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49"/>
      <c r="Q17" s="1809" t="str">
        <f>B17</f>
        <v>交通便捷度</v>
      </c>
      <c r="R17" s="774" t="s">
        <v>21</v>
      </c>
      <c r="S17" s="775">
        <f>F17</f>
        <v>100</v>
      </c>
      <c r="T17" s="774" t="s">
        <v>21</v>
      </c>
      <c r="U17" s="775">
        <f>H17</f>
        <v>100</v>
      </c>
      <c r="V17" s="774" t="s">
        <v>21</v>
      </c>
      <c r="W17" s="775">
        <f>J17</f>
        <v>100</v>
      </c>
      <c r="X17" s="1812"/>
      <c r="Y17" s="3742"/>
      <c r="Z17" s="1813" t="str">
        <f>Q17</f>
        <v>交通便捷度</v>
      </c>
      <c r="AA17" s="1810">
        <f t="shared" si="3"/>
        <v>1</v>
      </c>
      <c r="AB17" s="1810">
        <f t="shared" si="4"/>
        <v>1</v>
      </c>
      <c r="AC17" s="1810">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49"/>
      <c r="Q18" s="1809"/>
      <c r="R18" s="774"/>
      <c r="S18" s="775"/>
      <c r="T18" s="774"/>
      <c r="U18" s="775"/>
      <c r="V18" s="774"/>
      <c r="W18" s="775"/>
      <c r="X18" s="1812"/>
      <c r="Y18" s="3742"/>
      <c r="Z18" s="1813"/>
      <c r="AA18" s="1810">
        <v>1</v>
      </c>
      <c r="AB18" s="1810">
        <v>1</v>
      </c>
      <c r="AC18" s="1810">
        <v>1</v>
      </c>
    </row>
    <row r="19" spans="1:29" ht="55.2">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49"/>
      <c r="Q19" s="1809" t="str">
        <f>B19</f>
        <v>公共配套设施</v>
      </c>
      <c r="R19" s="774" t="s">
        <v>21</v>
      </c>
      <c r="S19" s="775">
        <f>F19</f>
        <v>100</v>
      </c>
      <c r="T19" s="774" t="s">
        <v>21</v>
      </c>
      <c r="U19" s="775">
        <f>H19</f>
        <v>100</v>
      </c>
      <c r="V19" s="774" t="s">
        <v>21</v>
      </c>
      <c r="W19" s="775">
        <f>J19</f>
        <v>100</v>
      </c>
      <c r="X19" s="1812"/>
      <c r="Y19" s="3742"/>
      <c r="Z19" s="1813" t="str">
        <f>Q19</f>
        <v>公共配套设施</v>
      </c>
      <c r="AA19" s="1810">
        <f t="shared" si="3"/>
        <v>1</v>
      </c>
      <c r="AB19" s="1810">
        <f t="shared" si="4"/>
        <v>1</v>
      </c>
      <c r="AC19" s="1810">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49"/>
      <c r="Q20" s="1809"/>
      <c r="R20" s="774"/>
      <c r="S20" s="775"/>
      <c r="T20" s="774"/>
      <c r="U20" s="775"/>
      <c r="V20" s="774"/>
      <c r="W20" s="775"/>
      <c r="X20" s="1812"/>
      <c r="Y20" s="3742"/>
      <c r="Z20" s="1813"/>
      <c r="AA20" s="1810">
        <v>1</v>
      </c>
      <c r="AB20" s="1810">
        <v>1</v>
      </c>
      <c r="AC20" s="1810">
        <v>1</v>
      </c>
    </row>
    <row r="21" spans="1:29" ht="41.4">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49"/>
      <c r="Q21" s="1809" t="str">
        <f>B21</f>
        <v>基础设施水平</v>
      </c>
      <c r="R21" s="774" t="s">
        <v>17</v>
      </c>
      <c r="S21" s="775">
        <f>F21</f>
        <v>100</v>
      </c>
      <c r="T21" s="774" t="s">
        <v>17</v>
      </c>
      <c r="U21" s="775">
        <f>H21</f>
        <v>100</v>
      </c>
      <c r="V21" s="774" t="s">
        <v>17</v>
      </c>
      <c r="W21" s="775">
        <f>J21</f>
        <v>100</v>
      </c>
      <c r="X21" s="1812"/>
      <c r="Y21" s="3742"/>
      <c r="Z21" s="1813" t="str">
        <f>Q21</f>
        <v>基础设施水平</v>
      </c>
      <c r="AA21" s="1810">
        <f t="shared" ref="AA21" si="8">D21/F21</f>
        <v>1</v>
      </c>
      <c r="AB21" s="1810">
        <f t="shared" ref="AB21" si="9">D21/H21</f>
        <v>1</v>
      </c>
      <c r="AC21" s="1810">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49"/>
      <c r="Q22" s="1809"/>
      <c r="R22" s="774"/>
      <c r="S22" s="775"/>
      <c r="T22" s="774"/>
      <c r="U22" s="775"/>
      <c r="V22" s="774"/>
      <c r="W22" s="775"/>
      <c r="X22" s="1812"/>
      <c r="Y22" s="3742"/>
      <c r="Z22" s="1813"/>
      <c r="AA22" s="1810">
        <v>1</v>
      </c>
      <c r="AB22" s="1810">
        <v>1</v>
      </c>
      <c r="AC22" s="1810">
        <v>1</v>
      </c>
    </row>
    <row r="23" spans="1:29" ht="69">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49"/>
      <c r="Q23" s="1809" t="str">
        <f>B23</f>
        <v>自然及人文环境</v>
      </c>
      <c r="R23" s="774" t="s">
        <v>21</v>
      </c>
      <c r="S23" s="775">
        <f>F23</f>
        <v>100</v>
      </c>
      <c r="T23" s="774" t="s">
        <v>21</v>
      </c>
      <c r="U23" s="775">
        <f>H23</f>
        <v>100</v>
      </c>
      <c r="V23" s="774" t="s">
        <v>21</v>
      </c>
      <c r="W23" s="775">
        <f>J23</f>
        <v>100</v>
      </c>
      <c r="X23" s="1812"/>
      <c r="Y23" s="3742"/>
      <c r="Z23" s="1813" t="str">
        <f>Q23</f>
        <v>自然及人文环境</v>
      </c>
      <c r="AA23" s="1810">
        <f>D23/F23</f>
        <v>1</v>
      </c>
      <c r="AB23" s="1810">
        <f>D23/H23</f>
        <v>1</v>
      </c>
      <c r="AC23" s="1810">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49"/>
      <c r="Q24" s="1809"/>
      <c r="R24" s="774"/>
      <c r="S24" s="775"/>
      <c r="T24" s="774"/>
      <c r="U24" s="775"/>
      <c r="V24" s="774"/>
      <c r="W24" s="775"/>
      <c r="X24" s="1812"/>
      <c r="Y24" s="3742"/>
      <c r="Z24" s="1813"/>
      <c r="AA24" s="1810">
        <v>1</v>
      </c>
      <c r="AB24" s="1810">
        <v>1</v>
      </c>
      <c r="AC24" s="1810">
        <v>1</v>
      </c>
    </row>
    <row r="25" spans="1:29" ht="15">
      <c r="A25" s="428"/>
      <c r="B25" s="422"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4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742"/>
      <c r="Z25" s="1813" t="str">
        <f>Q25</f>
        <v>楼层-1</v>
      </c>
      <c r="AA25" s="1810">
        <f t="shared" ref="AA25:AA46" si="15">D25/F25</f>
        <v>1</v>
      </c>
      <c r="AB25" s="1810">
        <f t="shared" ref="AB25:AB46" si="16">D25/H25</f>
        <v>1</v>
      </c>
      <c r="AC25" s="1810">
        <f t="shared" ref="AC25:AC46" si="17">D25/J25</f>
        <v>1</v>
      </c>
    </row>
    <row r="26" spans="1:29" ht="15">
      <c r="A26" s="428"/>
      <c r="B26" s="422"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49"/>
      <c r="Q26" s="1809" t="str">
        <f t="shared" si="11"/>
        <v>朝向</v>
      </c>
      <c r="R26" s="774" t="s">
        <v>21</v>
      </c>
      <c r="S26" s="775">
        <f t="shared" si="12"/>
        <v>100</v>
      </c>
      <c r="T26" s="774" t="s">
        <v>21</v>
      </c>
      <c r="U26" s="775">
        <f t="shared" si="13"/>
        <v>100</v>
      </c>
      <c r="V26" s="774" t="s">
        <v>21</v>
      </c>
      <c r="W26" s="775">
        <f t="shared" si="14"/>
        <v>100</v>
      </c>
      <c r="X26" s="1812"/>
      <c r="Y26" s="3742"/>
      <c r="Z26" s="1813" t="str">
        <f>Q26</f>
        <v>朝向</v>
      </c>
      <c r="AA26" s="1810">
        <f t="shared" si="15"/>
        <v>1</v>
      </c>
      <c r="AB26" s="1810">
        <f t="shared" si="16"/>
        <v>1</v>
      </c>
      <c r="AC26" s="1810">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49"/>
      <c r="Q27" s="1794">
        <f t="shared" si="11"/>
        <v>0</v>
      </c>
      <c r="R27" s="770" t="s">
        <v>21</v>
      </c>
      <c r="S27" s="771">
        <f t="shared" si="12"/>
        <v>100</v>
      </c>
      <c r="T27" s="770" t="s">
        <v>21</v>
      </c>
      <c r="U27" s="771">
        <f t="shared" si="13"/>
        <v>100</v>
      </c>
      <c r="V27" s="770" t="s">
        <v>21</v>
      </c>
      <c r="W27" s="771">
        <f t="shared" si="14"/>
        <v>100</v>
      </c>
      <c r="X27" s="772"/>
      <c r="Y27" s="3742"/>
      <c r="Z27" s="55">
        <f>Q27</f>
        <v>0</v>
      </c>
      <c r="AA27" s="1810">
        <f t="shared" si="15"/>
        <v>1</v>
      </c>
      <c r="AB27" s="1810">
        <f t="shared" si="16"/>
        <v>1</v>
      </c>
      <c r="AC27" s="1810">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49"/>
      <c r="Q28" s="1809">
        <f t="shared" si="11"/>
        <v>0</v>
      </c>
      <c r="R28" s="774" t="s">
        <v>21</v>
      </c>
      <c r="S28" s="775">
        <f t="shared" si="12"/>
        <v>100</v>
      </c>
      <c r="T28" s="774" t="s">
        <v>21</v>
      </c>
      <c r="U28" s="775">
        <f t="shared" si="13"/>
        <v>100</v>
      </c>
      <c r="V28" s="774" t="s">
        <v>21</v>
      </c>
      <c r="W28" s="775">
        <f t="shared" si="14"/>
        <v>100</v>
      </c>
      <c r="X28" s="1812"/>
      <c r="Y28" s="3742"/>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49"/>
      <c r="Q29" s="1809">
        <f t="shared" si="11"/>
        <v>0</v>
      </c>
      <c r="R29" s="774" t="s">
        <v>21</v>
      </c>
      <c r="S29" s="775">
        <f t="shared" si="12"/>
        <v>100</v>
      </c>
      <c r="T29" s="774" t="s">
        <v>21</v>
      </c>
      <c r="U29" s="775">
        <f t="shared" si="13"/>
        <v>100</v>
      </c>
      <c r="V29" s="774" t="s">
        <v>21</v>
      </c>
      <c r="W29" s="775">
        <f t="shared" si="14"/>
        <v>100</v>
      </c>
      <c r="X29" s="1812"/>
      <c r="Y29" s="3742"/>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49"/>
      <c r="Q30" s="1809">
        <f t="shared" si="11"/>
        <v>0</v>
      </c>
      <c r="R30" s="774" t="s">
        <v>21</v>
      </c>
      <c r="S30" s="775">
        <f t="shared" si="12"/>
        <v>100</v>
      </c>
      <c r="T30" s="774" t="s">
        <v>21</v>
      </c>
      <c r="U30" s="775">
        <f t="shared" si="13"/>
        <v>100</v>
      </c>
      <c r="V30" s="774" t="s">
        <v>21</v>
      </c>
      <c r="W30" s="775">
        <f t="shared" si="14"/>
        <v>100</v>
      </c>
      <c r="X30" s="1812"/>
      <c r="Y30" s="3742"/>
      <c r="Z30" s="1813">
        <f t="shared" si="18"/>
        <v>0</v>
      </c>
      <c r="AA30" s="1810">
        <f t="shared" si="15"/>
        <v>1</v>
      </c>
      <c r="AB30" s="1810">
        <f t="shared" si="16"/>
        <v>1</v>
      </c>
      <c r="AC30" s="1810">
        <f t="shared" si="17"/>
        <v>1</v>
      </c>
    </row>
    <row r="31" spans="1:29" ht="15.6"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49"/>
      <c r="Q31" s="1809">
        <f t="shared" si="11"/>
        <v>0</v>
      </c>
      <c r="R31" s="774" t="s">
        <v>21</v>
      </c>
      <c r="S31" s="775">
        <f t="shared" si="12"/>
        <v>100</v>
      </c>
      <c r="T31" s="774" t="s">
        <v>21</v>
      </c>
      <c r="U31" s="775">
        <f t="shared" si="13"/>
        <v>100</v>
      </c>
      <c r="V31" s="774" t="s">
        <v>21</v>
      </c>
      <c r="W31" s="775">
        <f t="shared" si="14"/>
        <v>100</v>
      </c>
      <c r="X31" s="1812"/>
      <c r="Y31" s="3742"/>
      <c r="Z31" s="1813">
        <f t="shared" si="18"/>
        <v>0</v>
      </c>
      <c r="AA31" s="1810">
        <f t="shared" si="15"/>
        <v>1</v>
      </c>
      <c r="AB31" s="1810">
        <f t="shared" si="16"/>
        <v>1</v>
      </c>
      <c r="AC31" s="1810">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43" t="s">
        <v>2519</v>
      </c>
      <c r="Q32" s="1809" t="str">
        <f t="shared" si="11"/>
        <v>建筑类型</v>
      </c>
      <c r="R32" s="774" t="s">
        <v>21</v>
      </c>
      <c r="S32" s="775">
        <f t="shared" si="12"/>
        <v>100</v>
      </c>
      <c r="T32" s="774" t="s">
        <v>21</v>
      </c>
      <c r="U32" s="775">
        <f t="shared" si="13"/>
        <v>100</v>
      </c>
      <c r="V32" s="774" t="s">
        <v>21</v>
      </c>
      <c r="W32" s="775">
        <f t="shared" si="14"/>
        <v>100</v>
      </c>
      <c r="X32" s="1812"/>
      <c r="Y32" s="3746" t="s">
        <v>2519</v>
      </c>
      <c r="Z32" s="1813" t="str">
        <f t="shared" si="18"/>
        <v>建筑类型</v>
      </c>
      <c r="AA32" s="1810">
        <f t="shared" si="15"/>
        <v>1</v>
      </c>
      <c r="AB32" s="1810">
        <f t="shared" si="16"/>
        <v>1</v>
      </c>
      <c r="AC32" s="1810">
        <f t="shared" si="17"/>
        <v>1</v>
      </c>
    </row>
    <row r="33" spans="1:29" s="471" customFormat="1" ht="15">
      <c r="A33" s="468"/>
      <c r="B33" s="422"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44"/>
      <c r="Q33" s="776" t="str">
        <f t="shared" si="11"/>
        <v>项目建筑规模</v>
      </c>
      <c r="R33" s="777" t="s">
        <v>21</v>
      </c>
      <c r="S33" s="778">
        <f t="shared" si="12"/>
        <v>102</v>
      </c>
      <c r="T33" s="777" t="s">
        <v>21</v>
      </c>
      <c r="U33" s="778">
        <f t="shared" si="13"/>
        <v>100</v>
      </c>
      <c r="V33" s="777" t="s">
        <v>21</v>
      </c>
      <c r="W33" s="778">
        <f t="shared" si="14"/>
        <v>100</v>
      </c>
      <c r="X33" s="779"/>
      <c r="Y33" s="3746"/>
      <c r="Z33" s="780" t="str">
        <f t="shared" si="18"/>
        <v>项目建筑规模</v>
      </c>
      <c r="AA33" s="1810">
        <f t="shared" si="15"/>
        <v>0.98039215686274506</v>
      </c>
      <c r="AB33" s="1810">
        <f t="shared" si="16"/>
        <v>1</v>
      </c>
      <c r="AC33" s="1810">
        <f t="shared" si="17"/>
        <v>1</v>
      </c>
    </row>
    <row r="34" spans="1:29" ht="15">
      <c r="A34" s="472"/>
      <c r="B34" s="422"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44"/>
      <c r="Q34" s="1809" t="str">
        <f t="shared" si="11"/>
        <v>建筑结构</v>
      </c>
      <c r="R34" s="774" t="s">
        <v>21</v>
      </c>
      <c r="S34" s="775">
        <f t="shared" si="12"/>
        <v>100</v>
      </c>
      <c r="T34" s="774" t="s">
        <v>21</v>
      </c>
      <c r="U34" s="775">
        <f t="shared" si="13"/>
        <v>100</v>
      </c>
      <c r="V34" s="774" t="s">
        <v>21</v>
      </c>
      <c r="W34" s="775">
        <f t="shared" si="14"/>
        <v>100</v>
      </c>
      <c r="X34" s="1812"/>
      <c r="Y34" s="3746"/>
      <c r="Z34" s="1813" t="str">
        <f t="shared" si="18"/>
        <v>建筑结构</v>
      </c>
      <c r="AA34" s="1810">
        <f t="shared" si="15"/>
        <v>1</v>
      </c>
      <c r="AB34" s="1810">
        <f t="shared" si="16"/>
        <v>1</v>
      </c>
      <c r="AC34" s="1810">
        <f t="shared" si="17"/>
        <v>1</v>
      </c>
    </row>
    <row r="35" spans="1:29" ht="15">
      <c r="A35" s="472"/>
      <c r="B35" s="422" t="s">
        <v>2522</v>
      </c>
      <c r="C35" s="2613" t="s">
        <v>3376</v>
      </c>
      <c r="D35" s="435">
        <v>100</v>
      </c>
      <c r="E35" s="2614" t="s">
        <v>3376</v>
      </c>
      <c r="F35" s="461">
        <f>SUMIF(107:107,E35,108:108)-SUMIF(107:107,C35,108:108)+100</f>
        <v>100</v>
      </c>
      <c r="G35" s="2614" t="s">
        <v>3376</v>
      </c>
      <c r="H35" s="435">
        <f>SUMIF(107:107,G35,108:108)-SUMIF(107:107,C35,108:108)+100</f>
        <v>100</v>
      </c>
      <c r="I35" s="2614" t="s">
        <v>3376</v>
      </c>
      <c r="J35" s="435">
        <f>SUMIF(107:107,I35,108:108)-SUMIF(107:107,C35,108:108)+100</f>
        <v>100</v>
      </c>
      <c r="K35" s="426">
        <v>1</v>
      </c>
      <c r="L35" s="1139"/>
      <c r="M35" s="1130"/>
      <c r="N35" s="1130"/>
      <c r="O35" s="1130"/>
      <c r="P35" s="3744"/>
      <c r="Q35" s="1809" t="str">
        <f t="shared" si="11"/>
        <v>建筑品质</v>
      </c>
      <c r="R35" s="774" t="s">
        <v>21</v>
      </c>
      <c r="S35" s="775">
        <f t="shared" si="12"/>
        <v>100</v>
      </c>
      <c r="T35" s="774" t="s">
        <v>21</v>
      </c>
      <c r="U35" s="775">
        <f t="shared" si="13"/>
        <v>100</v>
      </c>
      <c r="V35" s="774" t="s">
        <v>21</v>
      </c>
      <c r="W35" s="775">
        <f t="shared" si="14"/>
        <v>100</v>
      </c>
      <c r="X35" s="1812"/>
      <c r="Y35" s="3746"/>
      <c r="Z35" s="1813" t="str">
        <f t="shared" si="18"/>
        <v>建筑品质</v>
      </c>
      <c r="AA35" s="1810">
        <f t="shared" si="15"/>
        <v>1</v>
      </c>
      <c r="AB35" s="1810">
        <f t="shared" si="16"/>
        <v>1</v>
      </c>
      <c r="AC35" s="1810">
        <f t="shared" si="17"/>
        <v>1</v>
      </c>
    </row>
    <row r="36" spans="1:29" ht="15">
      <c r="A36" s="472"/>
      <c r="B36" s="422"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44"/>
      <c r="Q36" s="1809" t="str">
        <f t="shared" si="11"/>
        <v>公共部分装修</v>
      </c>
      <c r="R36" s="774" t="s">
        <v>21</v>
      </c>
      <c r="S36" s="775">
        <f t="shared" si="12"/>
        <v>100</v>
      </c>
      <c r="T36" s="774" t="s">
        <v>21</v>
      </c>
      <c r="U36" s="775">
        <f t="shared" si="13"/>
        <v>100</v>
      </c>
      <c r="V36" s="774" t="s">
        <v>21</v>
      </c>
      <c r="W36" s="775">
        <f t="shared" si="14"/>
        <v>100</v>
      </c>
      <c r="X36" s="1812"/>
      <c r="Y36" s="3746"/>
      <c r="Z36" s="1813" t="str">
        <f t="shared" si="18"/>
        <v>公共部分装修</v>
      </c>
      <c r="AA36" s="1810">
        <f t="shared" si="15"/>
        <v>1</v>
      </c>
      <c r="AB36" s="1810">
        <f t="shared" si="16"/>
        <v>1</v>
      </c>
      <c r="AC36" s="1810">
        <f t="shared" si="17"/>
        <v>1</v>
      </c>
    </row>
    <row r="37" spans="1:29" s="117" customFormat="1" ht="15">
      <c r="A37" s="473"/>
      <c r="B37" s="422"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44"/>
      <c r="Q37" s="1794" t="str">
        <f t="shared" si="11"/>
        <v>成新度</v>
      </c>
      <c r="R37" s="770" t="s">
        <v>21</v>
      </c>
      <c r="S37" s="771">
        <f t="shared" si="12"/>
        <v>100</v>
      </c>
      <c r="T37" s="770" t="s">
        <v>21</v>
      </c>
      <c r="U37" s="771">
        <f t="shared" si="13"/>
        <v>100</v>
      </c>
      <c r="V37" s="770" t="s">
        <v>21</v>
      </c>
      <c r="W37" s="771">
        <f t="shared" si="14"/>
        <v>100</v>
      </c>
      <c r="X37" s="772"/>
      <c r="Y37" s="3746"/>
      <c r="Z37" s="55" t="str">
        <f t="shared" si="18"/>
        <v>成新度</v>
      </c>
      <c r="AA37" s="773">
        <f t="shared" si="15"/>
        <v>1</v>
      </c>
      <c r="AB37" s="773">
        <f t="shared" si="16"/>
        <v>1</v>
      </c>
      <c r="AC37" s="773">
        <f t="shared" si="17"/>
        <v>1</v>
      </c>
    </row>
    <row r="38" spans="1:29" ht="15">
      <c r="A38" s="472"/>
      <c r="B38" s="422"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44" t="s">
        <v>2519</v>
      </c>
      <c r="Q38" s="1809" t="str">
        <f t="shared" si="11"/>
        <v>物业管理</v>
      </c>
      <c r="R38" s="774" t="s">
        <v>21</v>
      </c>
      <c r="S38" s="775">
        <f t="shared" si="12"/>
        <v>100</v>
      </c>
      <c r="T38" s="774" t="s">
        <v>21</v>
      </c>
      <c r="U38" s="775">
        <f t="shared" si="13"/>
        <v>100</v>
      </c>
      <c r="V38" s="774" t="s">
        <v>21</v>
      </c>
      <c r="W38" s="775">
        <f t="shared" si="14"/>
        <v>100</v>
      </c>
      <c r="X38" s="1812"/>
      <c r="Y38" s="3746" t="s">
        <v>2519</v>
      </c>
      <c r="Z38" s="1813" t="str">
        <f t="shared" si="18"/>
        <v>物业管理</v>
      </c>
      <c r="AA38" s="1810">
        <f t="shared" si="15"/>
        <v>1</v>
      </c>
      <c r="AB38" s="1810">
        <f t="shared" si="16"/>
        <v>1</v>
      </c>
      <c r="AC38" s="1810">
        <f t="shared" si="17"/>
        <v>1</v>
      </c>
    </row>
    <row r="39" spans="1:29" ht="15">
      <c r="A39" s="472"/>
      <c r="B39" s="422"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44"/>
      <c r="Q39" s="1809" t="str">
        <f t="shared" si="11"/>
        <v>市政基础设施</v>
      </c>
      <c r="R39" s="774" t="s">
        <v>21</v>
      </c>
      <c r="S39" s="775">
        <f t="shared" si="12"/>
        <v>100</v>
      </c>
      <c r="T39" s="774" t="s">
        <v>21</v>
      </c>
      <c r="U39" s="775">
        <f t="shared" si="13"/>
        <v>100</v>
      </c>
      <c r="V39" s="774" t="s">
        <v>21</v>
      </c>
      <c r="W39" s="775">
        <f t="shared" si="14"/>
        <v>100</v>
      </c>
      <c r="X39" s="1812"/>
      <c r="Y39" s="3746"/>
      <c r="Z39" s="1813" t="str">
        <f t="shared" si="18"/>
        <v>市政基础设施</v>
      </c>
      <c r="AA39" s="1810">
        <f t="shared" si="15"/>
        <v>1</v>
      </c>
      <c r="AB39" s="1810">
        <f t="shared" si="16"/>
        <v>1</v>
      </c>
      <c r="AC39" s="1810">
        <f t="shared" si="17"/>
        <v>1</v>
      </c>
    </row>
    <row r="40" spans="1:29" ht="15">
      <c r="A40" s="472"/>
      <c r="B40" s="422"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44"/>
      <c r="Q40" s="1809" t="str">
        <f t="shared" si="11"/>
        <v>房型</v>
      </c>
      <c r="R40" s="774" t="s">
        <v>21</v>
      </c>
      <c r="S40" s="775">
        <f t="shared" si="12"/>
        <v>100</v>
      </c>
      <c r="T40" s="774" t="s">
        <v>21</v>
      </c>
      <c r="U40" s="775">
        <f t="shared" si="13"/>
        <v>100</v>
      </c>
      <c r="V40" s="774" t="s">
        <v>21</v>
      </c>
      <c r="W40" s="775">
        <f t="shared" si="14"/>
        <v>100</v>
      </c>
      <c r="X40" s="1812"/>
      <c r="Y40" s="3746"/>
      <c r="Z40" s="1813" t="str">
        <f t="shared" si="18"/>
        <v>房型</v>
      </c>
      <c r="AA40" s="1810">
        <f t="shared" si="15"/>
        <v>1</v>
      </c>
      <c r="AB40" s="1810">
        <f t="shared" si="16"/>
        <v>1</v>
      </c>
      <c r="AC40" s="1810">
        <f t="shared" si="17"/>
        <v>1</v>
      </c>
    </row>
    <row r="41" spans="1:29" s="471" customFormat="1" ht="28.8">
      <c r="A41" s="468"/>
      <c r="B41" s="422"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44"/>
      <c r="Q41" s="776" t="str">
        <f t="shared" si="11"/>
        <v>单套/主力户型建筑面积</v>
      </c>
      <c r="R41" s="777" t="s">
        <v>21</v>
      </c>
      <c r="S41" s="778">
        <f t="shared" si="12"/>
        <v>100</v>
      </c>
      <c r="T41" s="777" t="s">
        <v>21</v>
      </c>
      <c r="U41" s="778">
        <f t="shared" si="13"/>
        <v>100</v>
      </c>
      <c r="V41" s="777" t="s">
        <v>21</v>
      </c>
      <c r="W41" s="778">
        <f t="shared" si="14"/>
        <v>100</v>
      </c>
      <c r="X41" s="779"/>
      <c r="Y41" s="3746"/>
      <c r="Z41" s="780" t="str">
        <f t="shared" si="18"/>
        <v>单套/主力户型建筑面积</v>
      </c>
      <c r="AA41" s="1810">
        <f t="shared" si="15"/>
        <v>1</v>
      </c>
      <c r="AB41" s="1810">
        <f t="shared" si="16"/>
        <v>1</v>
      </c>
      <c r="AC41" s="1810">
        <f t="shared" si="17"/>
        <v>1</v>
      </c>
    </row>
    <row r="42" spans="1:29" ht="15">
      <c r="A42" s="472"/>
      <c r="B42" s="422"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44"/>
      <c r="Q42" s="1809" t="str">
        <f t="shared" si="11"/>
        <v>内部装修</v>
      </c>
      <c r="R42" s="774" t="s">
        <v>21</v>
      </c>
      <c r="S42" s="775">
        <f t="shared" si="12"/>
        <v>100</v>
      </c>
      <c r="T42" s="774" t="s">
        <v>21</v>
      </c>
      <c r="U42" s="775">
        <f t="shared" si="13"/>
        <v>100</v>
      </c>
      <c r="V42" s="774" t="s">
        <v>21</v>
      </c>
      <c r="W42" s="775">
        <f t="shared" si="14"/>
        <v>100</v>
      </c>
      <c r="X42" s="1812"/>
      <c r="Y42" s="3746"/>
      <c r="Z42" s="1813" t="str">
        <f t="shared" si="18"/>
        <v>内部装修</v>
      </c>
      <c r="AA42" s="1810">
        <f t="shared" si="15"/>
        <v>1</v>
      </c>
      <c r="AB42" s="1810">
        <f t="shared" si="16"/>
        <v>1</v>
      </c>
      <c r="AC42" s="1810">
        <f t="shared" si="17"/>
        <v>1</v>
      </c>
    </row>
    <row r="43" spans="1:29" ht="28.8">
      <c r="A43" s="472"/>
      <c r="B43" s="422"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44"/>
      <c r="Q43" s="1809" t="str">
        <f t="shared" si="11"/>
        <v>内部装修维护情况</v>
      </c>
      <c r="R43" s="774" t="s">
        <v>21</v>
      </c>
      <c r="S43" s="775">
        <f t="shared" si="12"/>
        <v>100</v>
      </c>
      <c r="T43" s="774" t="s">
        <v>21</v>
      </c>
      <c r="U43" s="775">
        <f t="shared" si="13"/>
        <v>100</v>
      </c>
      <c r="V43" s="774" t="s">
        <v>21</v>
      </c>
      <c r="W43" s="775">
        <f t="shared" si="14"/>
        <v>100</v>
      </c>
      <c r="X43" s="1812"/>
      <c r="Y43" s="3746"/>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44"/>
      <c r="Q44" s="1794">
        <f t="shared" si="11"/>
        <v>0</v>
      </c>
      <c r="R44" s="770" t="s">
        <v>21</v>
      </c>
      <c r="S44" s="771">
        <f t="shared" si="12"/>
        <v>100</v>
      </c>
      <c r="T44" s="770" t="s">
        <v>21</v>
      </c>
      <c r="U44" s="771">
        <f t="shared" si="13"/>
        <v>100</v>
      </c>
      <c r="V44" s="770" t="s">
        <v>21</v>
      </c>
      <c r="W44" s="771">
        <f t="shared" si="14"/>
        <v>100</v>
      </c>
      <c r="X44" s="772"/>
      <c r="Y44" s="3746"/>
      <c r="Z44" s="5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44"/>
      <c r="Q45" s="1809">
        <f t="shared" si="11"/>
        <v>0</v>
      </c>
      <c r="R45" s="774" t="s">
        <v>21</v>
      </c>
      <c r="S45" s="775">
        <f t="shared" si="12"/>
        <v>100</v>
      </c>
      <c r="T45" s="774" t="s">
        <v>21</v>
      </c>
      <c r="U45" s="775">
        <f t="shared" si="13"/>
        <v>100</v>
      </c>
      <c r="V45" s="774" t="s">
        <v>21</v>
      </c>
      <c r="W45" s="775">
        <f t="shared" si="14"/>
        <v>100</v>
      </c>
      <c r="X45" s="1812"/>
      <c r="Y45" s="3746"/>
      <c r="Z45" s="1813">
        <f t="shared" si="18"/>
        <v>0</v>
      </c>
      <c r="AA45" s="1810">
        <f t="shared" si="15"/>
        <v>1</v>
      </c>
      <c r="AB45" s="1810">
        <f t="shared" si="16"/>
        <v>1</v>
      </c>
      <c r="AC45" s="1810">
        <f t="shared" si="17"/>
        <v>1</v>
      </c>
    </row>
    <row r="46" spans="1:29" ht="15.6"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45"/>
      <c r="Q46" s="1809">
        <f t="shared" si="11"/>
        <v>0</v>
      </c>
      <c r="R46" s="774" t="s">
        <v>20</v>
      </c>
      <c r="S46" s="775">
        <f t="shared" si="12"/>
        <v>100</v>
      </c>
      <c r="T46" s="774" t="s">
        <v>20</v>
      </c>
      <c r="U46" s="775">
        <f t="shared" si="13"/>
        <v>100</v>
      </c>
      <c r="V46" s="774" t="s">
        <v>20</v>
      </c>
      <c r="W46" s="775">
        <f t="shared" si="14"/>
        <v>100</v>
      </c>
      <c r="X46" s="1812"/>
      <c r="Y46" s="3747"/>
      <c r="Z46" s="1813">
        <f t="shared" si="18"/>
        <v>0</v>
      </c>
      <c r="AA46" s="1810">
        <f t="shared" si="15"/>
        <v>1</v>
      </c>
      <c r="AB46" s="1810">
        <f t="shared" si="16"/>
        <v>1</v>
      </c>
      <c r="AC46" s="1810">
        <f t="shared" si="17"/>
        <v>1</v>
      </c>
    </row>
    <row r="47" spans="1:29" ht="14.4">
      <c r="A47" s="479" t="s">
        <v>2531</v>
      </c>
      <c r="B47" s="480"/>
      <c r="C47" s="1406" t="s">
        <v>19</v>
      </c>
      <c r="D47" s="1407"/>
      <c r="E47" s="1408">
        <v>9600</v>
      </c>
      <c r="F47" s="1409"/>
      <c r="G47" s="1410">
        <v>9500</v>
      </c>
      <c r="H47" s="1411"/>
      <c r="I47" s="1408">
        <v>10000</v>
      </c>
      <c r="J47" s="1411"/>
      <c r="K47" s="2621"/>
      <c r="L47" s="1142"/>
      <c r="M47" s="1143"/>
      <c r="N47" s="1130"/>
      <c r="O47" s="1143"/>
      <c r="P47" s="3739" t="str">
        <f>A47</f>
        <v>成交单价（元/平方米）</v>
      </c>
      <c r="Q47" s="3739"/>
      <c r="R47" s="3740">
        <f>E47</f>
        <v>9600</v>
      </c>
      <c r="S47" s="3740"/>
      <c r="T47" s="3740">
        <f>G47</f>
        <v>9500</v>
      </c>
      <c r="U47" s="3740"/>
      <c r="V47" s="3740">
        <f>I47</f>
        <v>10000</v>
      </c>
      <c r="W47" s="3740"/>
      <c r="X47" s="759"/>
      <c r="Y47" s="781"/>
      <c r="Z47" s="759"/>
      <c r="AA47" s="759"/>
      <c r="AB47" s="759"/>
      <c r="AC47" s="759"/>
    </row>
    <row r="48" spans="1:29" ht="15" thickBot="1">
      <c r="A48" s="486" t="s">
        <v>2532</v>
      </c>
      <c r="B48" s="487"/>
      <c r="C48" s="1412">
        <f>R49</f>
        <v>9606</v>
      </c>
      <c r="D48" s="1413"/>
      <c r="E48" s="1414">
        <f>R48</f>
        <v>9412</v>
      </c>
      <c r="F48" s="1414"/>
      <c r="G48" s="1412">
        <f>T48</f>
        <v>9406</v>
      </c>
      <c r="H48" s="1413"/>
      <c r="I48" s="1414">
        <f>V48</f>
        <v>10000</v>
      </c>
      <c r="J48" s="1413"/>
      <c r="K48" s="2622"/>
      <c r="L48" s="1142"/>
      <c r="M48" s="1143"/>
      <c r="N48" s="1143"/>
      <c r="O48" s="1143"/>
      <c r="P48" s="3739" t="str">
        <f>A48</f>
        <v>比较价值（元/平方米）</v>
      </c>
      <c r="Q48" s="3739"/>
      <c r="R48" s="3740">
        <f>IF(F1="售价",ROUND(PRODUCT(R47,AA7:AA46),0),ROUND(PRODUCT(R47,AA7:AA46),1))</f>
        <v>9412</v>
      </c>
      <c r="S48" s="3740"/>
      <c r="T48" s="3740">
        <f>IF(F1="售价",ROUND(PRODUCT(T47,AB7:AB46),0),ROUND(PRODUCT(T47,AB7:AB46),1))</f>
        <v>9406</v>
      </c>
      <c r="U48" s="3740"/>
      <c r="V48" s="3740">
        <f>IF(F1="售价",ROUND(PRODUCT(V47,AC7:AC46),0),ROUND(PRODUCT(V47,AC7:AC46),1))</f>
        <v>10000</v>
      </c>
      <c r="W48" s="3740"/>
      <c r="X48" s="759"/>
      <c r="Y48" s="759"/>
      <c r="Z48" s="759"/>
      <c r="AA48" s="759"/>
      <c r="AB48" s="759"/>
      <c r="AC48" s="759"/>
    </row>
    <row r="49" spans="1:29" ht="15" thickBot="1">
      <c r="A49" s="492" t="s">
        <v>3341</v>
      </c>
      <c r="B49" s="493"/>
      <c r="C49" s="1415">
        <f>R49</f>
        <v>9606</v>
      </c>
      <c r="D49" s="1416"/>
      <c r="E49" s="1416"/>
      <c r="F49" s="1416"/>
      <c r="G49" s="1416"/>
      <c r="H49" s="1416"/>
      <c r="I49" s="1416"/>
      <c r="J49" s="1416"/>
      <c r="K49" s="2623"/>
      <c r="L49" s="1142"/>
      <c r="M49" s="1143"/>
      <c r="N49" s="1143"/>
      <c r="O49" s="1143"/>
      <c r="P49" s="3736" t="str">
        <f>A49</f>
        <v>估价对象住宅用房的比较价值（楼面单价，元/平方米）</v>
      </c>
      <c r="Q49" s="3737"/>
      <c r="R49" s="3738">
        <f>IF(F1="售价",ROUND(AVERAGE(R48:V48),0),ROUND(AVERAGE(R48:V48),1))</f>
        <v>9606</v>
      </c>
      <c r="S49" s="3738"/>
      <c r="T49" s="3738"/>
      <c r="U49" s="3738"/>
      <c r="V49" s="3738"/>
      <c r="W49" s="373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1.9974500637484072E-2</v>
      </c>
      <c r="F52" s="500" t="str">
        <f>IF(OR(E52&gt;=0.3,E52&lt;=-0.3),"超过30%","")</f>
        <v/>
      </c>
      <c r="G52" s="499">
        <f>IF(G47&lt;G48,G48/G47-1,G47/G48-1)</f>
        <v>9.993621092919458E-3</v>
      </c>
      <c r="H52" s="500" t="str">
        <f>IF(OR(G52&gt;=0.3,G52&lt;=-0.3),"超过30%","")</f>
        <v/>
      </c>
      <c r="I52" s="499">
        <f>IF(I47&lt;I48,I48/I47-1,I47/I48-1)</f>
        <v>0</v>
      </c>
      <c r="J52" s="500" t="str">
        <f>IF(OR(I52&gt;=0.3,I52&lt;=-0.3),"超过30%","")</f>
        <v/>
      </c>
      <c r="K52" s="1104"/>
      <c r="L52" s="1105"/>
      <c r="M52" s="1143"/>
      <c r="N52" s="1143"/>
      <c r="O52" s="1143"/>
    </row>
    <row r="53" spans="1:29" ht="13.5" customHeight="1">
      <c r="A53" s="1143"/>
      <c r="B53" s="1143"/>
      <c r="C53" s="497" t="s">
        <v>2534</v>
      </c>
      <c r="D53" s="501"/>
      <c r="E53" s="499">
        <f>IF(E48&lt;G48,G48/E48-1,E48/G48-1)</f>
        <v>6.3789070805864156E-4</v>
      </c>
      <c r="F53" s="500" t="str">
        <f>IF(OR(E53&gt;=0.2,E53&lt;=-0.2),"超过20%","")</f>
        <v/>
      </c>
      <c r="G53" s="499">
        <f>IF(G48&lt;I48,I48/G48-1,G48/I48-1)</f>
        <v>6.3151180097809956E-2</v>
      </c>
      <c r="H53" s="500" t="str">
        <f>IF(OR(G53&gt;=0.2,G53&lt;=-0.2),"超过20%","")</f>
        <v/>
      </c>
      <c r="I53" s="499">
        <f>IF(I48&lt;E48,E48/I48-1,I48/E48-1)</f>
        <v>6.2473438164045936E-2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3" t="s">
        <v>2536</v>
      </c>
      <c r="B57" s="759"/>
      <c r="C57" s="764"/>
      <c r="D57" s="764"/>
      <c r="E57" s="764"/>
      <c r="F57" s="765"/>
      <c r="G57" s="765"/>
      <c r="H57" s="764"/>
      <c r="I57" s="764"/>
      <c r="J57" s="764"/>
      <c r="K57" s="1159"/>
      <c r="L57" s="1160"/>
      <c r="M57" s="1158"/>
      <c r="N57" s="1158"/>
      <c r="O57" s="1158"/>
      <c r="P57" s="2626"/>
      <c r="Q57" s="504"/>
    </row>
    <row r="58" spans="1:29" s="508" customFormat="1" ht="14.4">
      <c r="A58" s="505" t="s">
        <v>2537</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c r="A59" s="509"/>
      <c r="B59" s="2627"/>
      <c r="C59" s="1572">
        <v>100</v>
      </c>
      <c r="D59" s="511"/>
      <c r="E59" s="512"/>
      <c r="F59" s="512"/>
      <c r="G59" s="512"/>
      <c r="H59" s="512"/>
      <c r="I59" s="512"/>
      <c r="J59" s="512"/>
      <c r="K59" s="512"/>
      <c r="L59" s="512"/>
      <c r="M59" s="513"/>
      <c r="N59" s="512"/>
      <c r="O59" s="513"/>
      <c r="P59" s="2628"/>
    </row>
    <row r="60" spans="1:29" s="117" customFormat="1" ht="15" thickBot="1">
      <c r="A60" s="515" t="s">
        <v>2538</v>
      </c>
      <c r="B60" s="516"/>
      <c r="C60" s="517"/>
      <c r="D60" s="518"/>
      <c r="E60" s="518"/>
      <c r="F60" s="518"/>
      <c r="G60" s="518"/>
      <c r="H60" s="518"/>
      <c r="I60" s="518"/>
      <c r="J60" s="518"/>
      <c r="K60" s="518"/>
      <c r="L60" s="518"/>
      <c r="M60" s="519"/>
      <c r="N60" s="518"/>
      <c r="O60" s="519"/>
      <c r="P60" s="2628"/>
      <c r="Q60" s="504"/>
    </row>
    <row r="61" spans="1:29" s="117" customFormat="1" ht="14.4">
      <c r="A61" s="521" t="s">
        <v>2539</v>
      </c>
      <c r="B61" s="510"/>
      <c r="C61" s="522" t="s">
        <v>2540</v>
      </c>
      <c r="D61" s="523"/>
      <c r="E61" s="523"/>
      <c r="F61" s="523"/>
      <c r="G61" s="523"/>
      <c r="H61" s="523"/>
      <c r="I61" s="523"/>
      <c r="J61" s="523"/>
      <c r="K61" s="523"/>
      <c r="L61" s="524"/>
      <c r="M61" s="525"/>
      <c r="N61" s="1150"/>
      <c r="O61" s="1150"/>
      <c r="P61" s="2629"/>
      <c r="Q61" s="504"/>
    </row>
    <row r="62" spans="1:29" s="117" customFormat="1" ht="14.4" thickBot="1">
      <c r="A62" s="521"/>
      <c r="B62" s="510"/>
      <c r="C62" s="511">
        <v>100</v>
      </c>
      <c r="D62" s="512"/>
      <c r="E62" s="512"/>
      <c r="F62" s="512"/>
      <c r="G62" s="512"/>
      <c r="H62" s="512"/>
      <c r="I62" s="512"/>
      <c r="J62" s="512"/>
      <c r="K62" s="512"/>
      <c r="L62" s="512"/>
      <c r="M62" s="514"/>
      <c r="N62" s="1150"/>
      <c r="O62" s="1150"/>
      <c r="P62" s="2628"/>
      <c r="Q62" s="504"/>
    </row>
    <row r="63" spans="1:29" ht="14.4">
      <c r="A63" s="527" t="s">
        <v>2541</v>
      </c>
      <c r="B63" s="528" t="s">
        <v>2508</v>
      </c>
      <c r="C63" s="529" t="str">
        <f>C9</f>
        <v>住宅</v>
      </c>
      <c r="D63" s="530"/>
      <c r="E63" s="530"/>
      <c r="F63" s="530"/>
      <c r="G63" s="530"/>
      <c r="H63" s="530"/>
      <c r="I63" s="530"/>
      <c r="J63" s="530"/>
      <c r="K63" s="531"/>
      <c r="L63" s="532"/>
      <c r="M63" s="533"/>
      <c r="N63" s="1151"/>
      <c r="O63" s="1151"/>
      <c r="P63" s="2630"/>
      <c r="Q63" s="504"/>
    </row>
    <row r="64" spans="1:29" ht="14.4" thickBot="1">
      <c r="A64" s="534"/>
      <c r="B64" s="535"/>
      <c r="C64" s="536">
        <v>100</v>
      </c>
      <c r="D64" s="536"/>
      <c r="E64" s="536"/>
      <c r="F64" s="536"/>
      <c r="G64" s="536"/>
      <c r="H64" s="536"/>
      <c r="I64" s="536"/>
      <c r="J64" s="536"/>
      <c r="K64" s="536"/>
      <c r="L64" s="536"/>
      <c r="M64" s="537"/>
      <c r="N64" s="1152"/>
      <c r="O64" s="1152"/>
      <c r="P64" s="2630"/>
      <c r="Q64" s="504"/>
    </row>
    <row r="65" spans="1:17" ht="29.4"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4.4" thickTop="1">
      <c r="A70" s="553"/>
      <c r="B70" s="538">
        <f>B12</f>
        <v>0</v>
      </c>
      <c r="C70" s="554"/>
      <c r="D70" s="554"/>
      <c r="E70" s="554"/>
      <c r="F70" s="554"/>
      <c r="G70" s="554"/>
      <c r="H70" s="555"/>
      <c r="I70" s="555"/>
      <c r="J70" s="555"/>
      <c r="K70" s="555"/>
      <c r="L70" s="556"/>
      <c r="M70" s="557"/>
      <c r="N70" s="1153"/>
      <c r="O70" s="1153"/>
      <c r="P70" s="2631"/>
      <c r="Q70" s="559"/>
    </row>
    <row r="71" spans="1:17" s="471" customFormat="1" ht="14.4" thickBot="1">
      <c r="A71" s="553"/>
      <c r="B71" s="543"/>
      <c r="C71" s="560"/>
      <c r="D71" s="536"/>
      <c r="E71" s="536"/>
      <c r="F71" s="536"/>
      <c r="G71" s="536"/>
      <c r="H71" s="536"/>
      <c r="I71" s="536"/>
      <c r="J71" s="536"/>
      <c r="K71" s="536"/>
      <c r="L71" s="536"/>
      <c r="M71" s="537"/>
      <c r="N71" s="1152"/>
      <c r="O71" s="1152"/>
      <c r="P71" s="2631"/>
      <c r="Q71" s="559"/>
    </row>
    <row r="72" spans="1:17" s="471" customFormat="1" ht="14.4" thickTop="1">
      <c r="A72" s="553"/>
      <c r="B72" s="538">
        <f>B13</f>
        <v>0</v>
      </c>
      <c r="C72" s="554"/>
      <c r="D72" s="554"/>
      <c r="E72" s="554"/>
      <c r="F72" s="554"/>
      <c r="G72" s="554"/>
      <c r="H72" s="555"/>
      <c r="I72" s="555"/>
      <c r="J72" s="555"/>
      <c r="K72" s="555"/>
      <c r="L72" s="556"/>
      <c r="M72" s="557"/>
      <c r="N72" s="1153"/>
      <c r="O72" s="1153"/>
      <c r="P72" s="2632"/>
      <c r="Q72" s="561"/>
    </row>
    <row r="73" spans="1:17" s="471" customFormat="1" ht="14.4" thickBot="1">
      <c r="A73" s="553"/>
      <c r="B73" s="543"/>
      <c r="C73" s="560"/>
      <c r="D73" s="560"/>
      <c r="E73" s="560"/>
      <c r="F73" s="560"/>
      <c r="G73" s="560"/>
      <c r="H73" s="562"/>
      <c r="I73" s="562"/>
      <c r="J73" s="562"/>
      <c r="K73" s="562"/>
      <c r="L73" s="562"/>
      <c r="M73" s="563"/>
      <c r="N73" s="1153"/>
      <c r="O73" s="1153"/>
      <c r="P73" s="2631"/>
      <c r="Q73" s="559"/>
    </row>
    <row r="74" spans="1:17" s="471" customFormat="1" ht="14.4" thickTop="1">
      <c r="A74" s="553"/>
      <c r="B74" s="546">
        <f>B14</f>
        <v>0</v>
      </c>
      <c r="C74" s="554"/>
      <c r="D74" s="554"/>
      <c r="E74" s="554"/>
      <c r="F74" s="554"/>
      <c r="G74" s="523"/>
      <c r="H74" s="564"/>
      <c r="I74" s="564"/>
      <c r="J74" s="564"/>
      <c r="K74" s="564"/>
      <c r="L74" s="565"/>
      <c r="M74" s="566"/>
      <c r="N74" s="1153"/>
      <c r="O74" s="1153"/>
      <c r="P74" s="2633"/>
      <c r="Q74" s="559"/>
    </row>
    <row r="75" spans="1:17" s="471" customFormat="1" ht="14.4" thickBot="1">
      <c r="A75" s="568"/>
      <c r="B75" s="569"/>
      <c r="C75" s="570"/>
      <c r="D75" s="570"/>
      <c r="E75" s="570"/>
      <c r="F75" s="570"/>
      <c r="G75" s="570"/>
      <c r="H75" s="571"/>
      <c r="I75" s="571"/>
      <c r="J75" s="571"/>
      <c r="K75" s="571"/>
      <c r="L75" s="571"/>
      <c r="M75" s="572"/>
      <c r="N75" s="1153"/>
      <c r="O75" s="1153"/>
      <c r="P75" s="2631"/>
      <c r="Q75" s="559"/>
    </row>
    <row r="76" spans="1:17" ht="14.4">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4.4" thickTop="1">
      <c r="A90" s="553"/>
      <c r="B90" s="538">
        <f>B27</f>
        <v>0</v>
      </c>
      <c r="C90" s="554"/>
      <c r="D90" s="554"/>
      <c r="E90" s="554"/>
      <c r="F90" s="554"/>
      <c r="G90" s="554"/>
      <c r="H90" s="555"/>
      <c r="I90" s="555"/>
      <c r="J90" s="555"/>
      <c r="K90" s="555"/>
      <c r="L90" s="556"/>
      <c r="M90" s="557"/>
      <c r="N90" s="1153"/>
      <c r="O90" s="1153"/>
      <c r="P90" s="2631"/>
      <c r="Q90" s="559"/>
    </row>
    <row r="91" spans="1:17" s="471" customFormat="1" ht="14.4" thickBot="1">
      <c r="A91" s="553"/>
      <c r="B91" s="543"/>
      <c r="C91" s="560"/>
      <c r="D91" s="560"/>
      <c r="E91" s="560"/>
      <c r="F91" s="560"/>
      <c r="G91" s="560"/>
      <c r="H91" s="562"/>
      <c r="I91" s="562"/>
      <c r="J91" s="562"/>
      <c r="K91" s="562"/>
      <c r="L91" s="562"/>
      <c r="M91" s="563"/>
      <c r="N91" s="1153"/>
      <c r="O91" s="1153"/>
      <c r="P91" s="2631"/>
      <c r="Q91" s="559"/>
    </row>
    <row r="92" spans="1:17" ht="14.4" thickTop="1">
      <c r="A92" s="534"/>
      <c r="B92" s="538">
        <f>B28</f>
        <v>0</v>
      </c>
      <c r="C92" s="554"/>
      <c r="D92" s="554"/>
      <c r="E92" s="554"/>
      <c r="F92" s="554"/>
      <c r="G92" s="583"/>
      <c r="H92" s="583"/>
      <c r="I92" s="583"/>
      <c r="J92" s="583"/>
      <c r="K92" s="584"/>
      <c r="L92" s="585"/>
      <c r="M92" s="586"/>
      <c r="N92" s="1151"/>
      <c r="O92" s="1151"/>
      <c r="P92" s="2630"/>
      <c r="Q92" s="504"/>
    </row>
    <row r="93" spans="1:17" ht="14.4" thickBot="1">
      <c r="A93" s="534"/>
      <c r="B93" s="543"/>
      <c r="C93" s="560"/>
      <c r="D93" s="536"/>
      <c r="E93" s="536"/>
      <c r="F93" s="536"/>
      <c r="G93" s="536"/>
      <c r="H93" s="536"/>
      <c r="I93" s="536"/>
      <c r="J93" s="536"/>
      <c r="K93" s="536"/>
      <c r="L93" s="536"/>
      <c r="M93" s="537"/>
      <c r="N93" s="1152"/>
      <c r="O93" s="1152"/>
      <c r="P93" s="2630"/>
      <c r="Q93" s="504"/>
    </row>
    <row r="94" spans="1:17" ht="14.4" thickTop="1">
      <c r="A94" s="534"/>
      <c r="B94" s="538">
        <f>B29</f>
        <v>0</v>
      </c>
      <c r="C94" s="554"/>
      <c r="D94" s="554"/>
      <c r="E94" s="554"/>
      <c r="F94" s="554"/>
      <c r="G94" s="583"/>
      <c r="H94" s="583"/>
      <c r="I94" s="583"/>
      <c r="J94" s="583"/>
      <c r="K94" s="584"/>
      <c r="L94" s="585"/>
      <c r="M94" s="586"/>
      <c r="N94" s="1151"/>
      <c r="O94" s="1151"/>
      <c r="P94" s="2630"/>
      <c r="Q94" s="504"/>
    </row>
    <row r="95" spans="1:17" ht="14.4" thickBot="1">
      <c r="A95" s="534"/>
      <c r="B95" s="543"/>
      <c r="C95" s="560"/>
      <c r="D95" s="560"/>
      <c r="E95" s="560"/>
      <c r="F95" s="560"/>
      <c r="G95" s="536"/>
      <c r="H95" s="536"/>
      <c r="I95" s="536"/>
      <c r="J95" s="536"/>
      <c r="K95" s="536"/>
      <c r="L95" s="536"/>
      <c r="M95" s="537"/>
      <c r="N95" s="1152"/>
      <c r="O95" s="1152"/>
      <c r="P95" s="2630"/>
      <c r="Q95" s="504"/>
    </row>
    <row r="96" spans="1:17" ht="14.4" thickTop="1">
      <c r="A96" s="534"/>
      <c r="B96" s="538">
        <f>B30</f>
        <v>0</v>
      </c>
      <c r="C96" s="554"/>
      <c r="D96" s="554"/>
      <c r="E96" s="554"/>
      <c r="F96" s="554"/>
      <c r="G96" s="583"/>
      <c r="H96" s="583"/>
      <c r="I96" s="583"/>
      <c r="J96" s="583"/>
      <c r="K96" s="584"/>
      <c r="L96" s="585"/>
      <c r="M96" s="586"/>
      <c r="N96" s="1151"/>
      <c r="O96" s="1151"/>
      <c r="P96" s="2630"/>
      <c r="Q96" s="504"/>
    </row>
    <row r="97" spans="1:17" ht="14.4" thickBot="1">
      <c r="A97" s="534"/>
      <c r="B97" s="543"/>
      <c r="C97" s="570"/>
      <c r="D97" s="570"/>
      <c r="E97" s="570"/>
      <c r="F97" s="570"/>
      <c r="G97" s="536"/>
      <c r="H97" s="536"/>
      <c r="I97" s="536"/>
      <c r="J97" s="536"/>
      <c r="K97" s="536"/>
      <c r="L97" s="536"/>
      <c r="M97" s="537"/>
      <c r="N97" s="1152"/>
      <c r="O97" s="1152"/>
      <c r="P97" s="2630"/>
      <c r="Q97" s="504"/>
    </row>
    <row r="98" spans="1:17" ht="14.4" thickTop="1">
      <c r="A98" s="534"/>
      <c r="B98" s="546">
        <f>B31</f>
        <v>0</v>
      </c>
      <c r="C98" s="587"/>
      <c r="D98" s="587"/>
      <c r="E98" s="587"/>
      <c r="F98" s="587"/>
      <c r="G98" s="587"/>
      <c r="H98" s="587"/>
      <c r="I98" s="587"/>
      <c r="J98" s="587"/>
      <c r="K98" s="588"/>
      <c r="L98" s="589"/>
      <c r="M98" s="590"/>
      <c r="N98" s="1151"/>
      <c r="O98" s="1151"/>
      <c r="P98" s="2630"/>
      <c r="Q98" s="504"/>
    </row>
    <row r="99" spans="1:17" ht="14.4" thickBot="1">
      <c r="A99" s="2636"/>
      <c r="B99" s="569"/>
      <c r="C99" s="591"/>
      <c r="D99" s="591"/>
      <c r="E99" s="591"/>
      <c r="F99" s="591"/>
      <c r="G99" s="591"/>
      <c r="H99" s="591"/>
      <c r="I99" s="591"/>
      <c r="J99" s="591"/>
      <c r="K99" s="591"/>
      <c r="L99" s="591"/>
      <c r="M99" s="592"/>
      <c r="N99" s="1152"/>
      <c r="O99" s="1152"/>
      <c r="P99" s="2630"/>
      <c r="Q99" s="504"/>
    </row>
    <row r="100" spans="1:17" ht="14.4">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8.2"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4.4"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3377</v>
      </c>
      <c r="D107" s="583"/>
      <c r="E107" s="583"/>
      <c r="F107" s="583"/>
      <c r="G107" s="583"/>
      <c r="H107" s="583"/>
      <c r="I107" s="583"/>
      <c r="J107" s="583"/>
      <c r="K107" s="584"/>
      <c r="L107" s="585"/>
      <c r="M107" s="586"/>
      <c r="N107" s="1151"/>
      <c r="O107" s="1151"/>
      <c r="P107" s="2630"/>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9.4"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4.4"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4.4"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1"/>
      <c r="Q127" s="559"/>
    </row>
    <row r="128" spans="1:17" ht="14.4" thickTop="1">
      <c r="A128" s="599"/>
      <c r="B128" s="538">
        <f>B45</f>
        <v>0</v>
      </c>
      <c r="C128" s="554"/>
      <c r="D128" s="554"/>
      <c r="E128" s="554"/>
      <c r="F128" s="554"/>
      <c r="G128" s="583"/>
      <c r="H128" s="583"/>
      <c r="I128" s="583"/>
      <c r="J128" s="583"/>
      <c r="K128" s="584"/>
      <c r="L128" s="585"/>
      <c r="M128" s="586"/>
      <c r="N128" s="1151"/>
      <c r="O128" s="1151"/>
      <c r="P128" s="2630"/>
      <c r="Q128" s="504"/>
    </row>
    <row r="129" spans="1:17" ht="14.4" thickBot="1">
      <c r="A129" s="534"/>
      <c r="B129" s="543"/>
      <c r="C129" s="560"/>
      <c r="D129" s="560"/>
      <c r="E129" s="560"/>
      <c r="F129" s="560"/>
      <c r="G129" s="536"/>
      <c r="H129" s="536"/>
      <c r="I129" s="536"/>
      <c r="J129" s="536"/>
      <c r="K129" s="536"/>
      <c r="L129" s="536"/>
      <c r="M129" s="537"/>
      <c r="N129" s="1152"/>
      <c r="O129" s="1152"/>
      <c r="P129" s="2630"/>
      <c r="Q129" s="504"/>
    </row>
    <row r="130" spans="1:17" ht="14.4" thickTop="1">
      <c r="A130" s="599"/>
      <c r="B130" s="546">
        <f>B46</f>
        <v>0</v>
      </c>
      <c r="C130" s="554"/>
      <c r="D130" s="554"/>
      <c r="E130" s="554"/>
      <c r="F130" s="554"/>
      <c r="G130" s="587"/>
      <c r="H130" s="587"/>
      <c r="I130" s="587"/>
      <c r="J130" s="587"/>
      <c r="K130" s="523"/>
      <c r="L130" s="524"/>
      <c r="M130" s="590"/>
      <c r="N130" s="1151"/>
      <c r="O130" s="1151"/>
      <c r="P130" s="2630"/>
      <c r="Q130" s="504"/>
    </row>
    <row r="131" spans="1:17" ht="14.4"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6.2"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ht="14.4">
      <c r="B147" s="2637" t="s">
        <v>2593</v>
      </c>
    </row>
    <row r="148" spans="2:11" ht="14.4">
      <c r="B148" s="2637"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5" stopIfTrue="1" operator="containsText" text="超过">
      <formula>NOT(ISERROR(SEARCH("超过",F52)))</formula>
    </cfRule>
  </conditionalFormatting>
  <conditionalFormatting sqref="J54">
    <cfRule type="containsText" dxfId="150" priority="14" stopIfTrue="1" operator="containsText" text="超过">
      <formula>NOT(ISERROR(SEARCH("超过",J54)))</formula>
    </cfRule>
  </conditionalFormatting>
  <conditionalFormatting sqref="H54">
    <cfRule type="containsText" dxfId="149" priority="13" stopIfTrue="1" operator="containsText" text="超过">
      <formula>NOT(ISERROR(SEARCH("超过",H54)))</formula>
    </cfRule>
  </conditionalFormatting>
  <conditionalFormatting sqref="F54">
    <cfRule type="containsText" dxfId="148" priority="12" stopIfTrue="1" operator="containsText" text="超过">
      <formula>NOT(ISERROR(SEARCH("超过",F54)))</formula>
    </cfRule>
  </conditionalFormatting>
  <conditionalFormatting sqref="F53 H53 J53">
    <cfRule type="containsText" dxfId="147" priority="11" stopIfTrue="1" operator="containsText" text="超过">
      <formula>NOT(ISERROR(SEARCH("超过",F53)))</formula>
    </cfRule>
  </conditionalFormatting>
  <conditionalFormatting sqref="E52">
    <cfRule type="expression" dxfId="146" priority="10" stopIfTrue="1">
      <formula>$F$52="超过30%"</formula>
    </cfRule>
  </conditionalFormatting>
  <conditionalFormatting sqref="G54">
    <cfRule type="expression" dxfId="145" priority="8" stopIfTrue="1">
      <formula>$H$54="超过30%"</formula>
    </cfRule>
  </conditionalFormatting>
  <conditionalFormatting sqref="E53">
    <cfRule type="expression" dxfId="144" priority="7" stopIfTrue="1">
      <formula>$F$53="超过20%"</formula>
    </cfRule>
  </conditionalFormatting>
  <conditionalFormatting sqref="E54">
    <cfRule type="expression" dxfId="143" priority="6" stopIfTrue="1">
      <formula>$F$54="超过30%"</formula>
    </cfRule>
  </conditionalFormatting>
  <conditionalFormatting sqref="G52">
    <cfRule type="expression" dxfId="142" priority="5" stopIfTrue="1">
      <formula>$H$52="超过30%"</formula>
    </cfRule>
  </conditionalFormatting>
  <conditionalFormatting sqref="G53">
    <cfRule type="expression" dxfId="141" priority="4" stopIfTrue="1">
      <formula>$H$53="超过20%"</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2482</v>
      </c>
      <c r="B1" s="2582" t="s">
        <v>2483</v>
      </c>
      <c r="C1" s="1633" t="s">
        <v>2484</v>
      </c>
      <c r="D1" s="1620" t="s">
        <v>3044</v>
      </c>
      <c r="E1" s="2583"/>
      <c r="F1" s="2584" t="s">
        <v>2485</v>
      </c>
      <c r="G1" s="1630" t="s">
        <v>2486</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1385</v>
      </c>
      <c r="B2" s="1417">
        <f>IF(C2="——",ROUND(C49*D3/10000,0),ROUND(C49*D3/10000,0)-D2)</f>
        <v>0</v>
      </c>
      <c r="C2" s="2586" t="s">
        <v>70</v>
      </c>
      <c r="D2" s="1364" t="e">
        <f ca="1">SUMIF(INDIRECT("'"&amp;F2&amp;"'"&amp;"!A:A"),"承租人权益价值",INDIRECT("'"&amp;F2&amp;"'"&amp;"!c:c"))</f>
        <v>#REF!</v>
      </c>
      <c r="E2" s="2587" t="s">
        <v>2285</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1386</v>
      </c>
      <c r="B3" s="399">
        <f>IF(C2="——",C49,ROUND(B2*10000/D3,0))</f>
        <v>9511</v>
      </c>
      <c r="C3" s="400" t="s">
        <v>2488</v>
      </c>
      <c r="D3" s="399">
        <f>IF(D1="",'数据-汇总表'!E3,SUMIF('数据-汇总表'!$C19:$C33,D1,'数据-汇总表'!$E19:$E33))</f>
        <v>0</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4.4">
      <c r="A4" s="401" t="s">
        <v>2489</v>
      </c>
      <c r="B4" s="402"/>
      <c r="C4" s="3722" t="s">
        <v>2490</v>
      </c>
      <c r="D4" s="3723"/>
      <c r="E4" s="3724" t="s">
        <v>2491</v>
      </c>
      <c r="F4" s="3725"/>
      <c r="G4" s="3722" t="s">
        <v>2492</v>
      </c>
      <c r="H4" s="3723"/>
      <c r="I4" s="3722" t="s">
        <v>2493</v>
      </c>
      <c r="J4" s="3723"/>
      <c r="K4" s="2596" t="s">
        <v>2494</v>
      </c>
      <c r="L4" s="1129"/>
      <c r="M4" s="1130"/>
      <c r="N4" s="1130"/>
      <c r="O4" s="1130"/>
      <c r="P4" s="3726" t="s">
        <v>2495</v>
      </c>
      <c r="Q4" s="3727"/>
      <c r="R4" s="3708" t="s">
        <v>2491</v>
      </c>
      <c r="S4" s="3709"/>
      <c r="T4" s="3708" t="s">
        <v>2492</v>
      </c>
      <c r="U4" s="3709"/>
      <c r="V4" s="3734" t="s">
        <v>2493</v>
      </c>
      <c r="W4" s="3734"/>
      <c r="X4" s="3358"/>
      <c r="Y4" s="3708" t="s">
        <v>2495</v>
      </c>
      <c r="Z4" s="3709"/>
      <c r="AA4" s="3703" t="s">
        <v>2491</v>
      </c>
      <c r="AB4" s="3703" t="s">
        <v>2492</v>
      </c>
      <c r="AC4" s="3703" t="s">
        <v>2493</v>
      </c>
    </row>
    <row r="5" spans="1:29">
      <c r="A5" s="404"/>
      <c r="B5" s="405"/>
      <c r="C5" s="3714" t="s">
        <v>2496</v>
      </c>
      <c r="D5" s="3715"/>
      <c r="E5" s="3712" t="s">
        <v>3363</v>
      </c>
      <c r="F5" s="3713"/>
      <c r="G5" s="3718" t="s">
        <v>3364</v>
      </c>
      <c r="H5" s="3715"/>
      <c r="I5" s="3718" t="s">
        <v>3365</v>
      </c>
      <c r="J5" s="3715"/>
      <c r="K5" s="2597"/>
      <c r="L5" s="1129"/>
      <c r="M5" s="1130"/>
      <c r="N5" s="1130"/>
      <c r="O5" s="1130"/>
      <c r="P5" s="3728"/>
      <c r="Q5" s="3729"/>
      <c r="R5" s="3710"/>
      <c r="S5" s="3711"/>
      <c r="T5" s="3710"/>
      <c r="U5" s="3711"/>
      <c r="V5" s="3734"/>
      <c r="W5" s="3734"/>
      <c r="X5" s="3358"/>
      <c r="Y5" s="3710"/>
      <c r="Z5" s="3711"/>
      <c r="AA5" s="3704"/>
      <c r="AB5" s="3704"/>
      <c r="AC5" s="3704"/>
    </row>
    <row r="6" spans="1:29" ht="15" thickBot="1">
      <c r="A6" s="406"/>
      <c r="B6" s="407"/>
      <c r="C6" s="3716" t="s">
        <v>2500</v>
      </c>
      <c r="D6" s="3717"/>
      <c r="E6" s="3719" t="s">
        <v>2500</v>
      </c>
      <c r="F6" s="3720"/>
      <c r="G6" s="3716" t="s">
        <v>2500</v>
      </c>
      <c r="H6" s="3717"/>
      <c r="I6" s="3716" t="s">
        <v>2500</v>
      </c>
      <c r="J6" s="3717"/>
      <c r="K6" s="2597" t="s">
        <v>2501</v>
      </c>
      <c r="L6" s="1129"/>
      <c r="M6" s="1130"/>
      <c r="N6" s="1130"/>
      <c r="O6" s="1130"/>
      <c r="P6" s="3730"/>
      <c r="Q6" s="3731"/>
      <c r="R6" s="3710"/>
      <c r="S6" s="3711"/>
      <c r="T6" s="3732"/>
      <c r="U6" s="3733"/>
      <c r="V6" s="3734"/>
      <c r="W6" s="3734"/>
      <c r="X6" s="3358"/>
      <c r="Y6" s="3732"/>
      <c r="Z6" s="3733"/>
      <c r="AA6" s="3705"/>
      <c r="AB6" s="3705"/>
      <c r="AC6" s="3705"/>
    </row>
    <row r="7" spans="1:29" s="117" customFormat="1" ht="15" thickBot="1">
      <c r="A7" s="408" t="s">
        <v>2502</v>
      </c>
      <c r="B7" s="409"/>
      <c r="C7" s="410">
        <f>'数据-取费表'!B2</f>
        <v>43685</v>
      </c>
      <c r="D7" s="411">
        <v>100</v>
      </c>
      <c r="E7" s="412">
        <f>C7</f>
        <v>43685</v>
      </c>
      <c r="F7" s="413">
        <f>SUMIF(58:58,YEAR(E7)&amp;"-"&amp;MONTH(E7),59:59)</f>
        <v>100</v>
      </c>
      <c r="G7" s="412">
        <f>C7</f>
        <v>43685</v>
      </c>
      <c r="H7" s="411">
        <f>SUMIF(58:58,YEAR(G7)&amp;"-"&amp;MONTH(G7),59:59)</f>
        <v>100</v>
      </c>
      <c r="I7" s="412">
        <f>C7</f>
        <v>43685</v>
      </c>
      <c r="J7" s="411">
        <f>SUMIF(58:58,YEAR(I7)&amp;"-"&amp;MONTH(I7),59:59)</f>
        <v>100</v>
      </c>
      <c r="K7" s="2598"/>
      <c r="L7" s="1131"/>
      <c r="M7" s="1132"/>
      <c r="N7" s="1132"/>
      <c r="O7" s="1132"/>
      <c r="P7" s="3706" t="s">
        <v>2503</v>
      </c>
      <c r="Q7" s="3735"/>
      <c r="R7" s="770" t="s">
        <v>17</v>
      </c>
      <c r="S7" s="771">
        <f t="shared" ref="S7:S15" si="0">F7</f>
        <v>100</v>
      </c>
      <c r="T7" s="770" t="s">
        <v>17</v>
      </c>
      <c r="U7" s="771">
        <f t="shared" ref="U7:U15" si="1">H7</f>
        <v>100</v>
      </c>
      <c r="V7" s="770" t="s">
        <v>17</v>
      </c>
      <c r="W7" s="771">
        <f t="shared" ref="W7:W15" si="2">J7</f>
        <v>100</v>
      </c>
      <c r="X7" s="772"/>
      <c r="Y7" s="3706" t="s">
        <v>2503</v>
      </c>
      <c r="Z7" s="3707"/>
      <c r="AA7" s="773">
        <f>D7/F7</f>
        <v>1</v>
      </c>
      <c r="AB7" s="773">
        <f>D7/H7</f>
        <v>1</v>
      </c>
      <c r="AC7" s="773">
        <f>D7/J7</f>
        <v>1</v>
      </c>
    </row>
    <row r="8" spans="1:29" s="117" customFormat="1" ht="15" thickBot="1">
      <c r="A8" s="408" t="s">
        <v>2504</v>
      </c>
      <c r="B8" s="409"/>
      <c r="C8" s="414" t="s">
        <v>2505</v>
      </c>
      <c r="D8" s="411">
        <v>100</v>
      </c>
      <c r="E8" s="2599" t="s">
        <v>3371</v>
      </c>
      <c r="F8" s="413">
        <f>SUMIF(61:61,E8,62:62)-SUMIF(61:61,C8,62:62)+100</f>
        <v>100</v>
      </c>
      <c r="G8" s="2599" t="s">
        <v>3371</v>
      </c>
      <c r="H8" s="411">
        <f>SUMIF(61:61,G8,62:62)-SUMIF(61:61,C8,62:62)+100</f>
        <v>100</v>
      </c>
      <c r="I8" s="2599" t="s">
        <v>3371</v>
      </c>
      <c r="J8" s="411">
        <f>SUMIF(61:61,I8,62:62)-SUMIF(61:61,C8,62:62)+100</f>
        <v>100</v>
      </c>
      <c r="K8" s="2598"/>
      <c r="L8" s="1131"/>
      <c r="M8" s="1132"/>
      <c r="N8" s="1132"/>
      <c r="O8" s="1132"/>
      <c r="P8" s="3706" t="s">
        <v>2506</v>
      </c>
      <c r="Q8" s="3707"/>
      <c r="R8" s="770" t="s">
        <v>17</v>
      </c>
      <c r="S8" s="771">
        <f t="shared" si="0"/>
        <v>100</v>
      </c>
      <c r="T8" s="770" t="s">
        <v>17</v>
      </c>
      <c r="U8" s="771">
        <f t="shared" si="1"/>
        <v>100</v>
      </c>
      <c r="V8" s="770" t="s">
        <v>17</v>
      </c>
      <c r="W8" s="771">
        <f t="shared" si="2"/>
        <v>100</v>
      </c>
      <c r="X8" s="772"/>
      <c r="Y8" s="3706" t="s">
        <v>2506</v>
      </c>
      <c r="Z8" s="3707"/>
      <c r="AA8" s="773">
        <f t="shared" ref="AA8:AA19" si="3">D8/F8</f>
        <v>1</v>
      </c>
      <c r="AB8" s="773">
        <f t="shared" ref="AB8:AB19" si="4">D8/H8</f>
        <v>1</v>
      </c>
      <c r="AC8" s="773">
        <f t="shared" ref="AC8:AC19" si="5">D8/J8</f>
        <v>1</v>
      </c>
    </row>
    <row r="9" spans="1:29" s="117" customFormat="1" ht="14.4">
      <c r="A9" s="415" t="s">
        <v>2507</v>
      </c>
      <c r="B9" s="71" t="s">
        <v>2508</v>
      </c>
      <c r="C9" s="3448" t="s">
        <v>3369</v>
      </c>
      <c r="D9" s="135">
        <v>100</v>
      </c>
      <c r="E9" s="417" t="s">
        <v>3040</v>
      </c>
      <c r="F9" s="418">
        <f>SUMIF(63:63,E9,64:64)-SUMIF(63:63,C9,64:64)+100</f>
        <v>100</v>
      </c>
      <c r="G9" s="417" t="s">
        <v>3040</v>
      </c>
      <c r="H9" s="135">
        <f>SUMIF(63:63,G9,64:64)-SUMIF(63:63,C9,64:64)+100</f>
        <v>100</v>
      </c>
      <c r="I9" s="417" t="s">
        <v>3040</v>
      </c>
      <c r="J9" s="135">
        <f>SUMIF(63:63,I9,64:64)-SUMIF(63:63,C9,64:64)+100</f>
        <v>100</v>
      </c>
      <c r="K9" s="2598"/>
      <c r="L9" s="1131"/>
      <c r="M9" s="1132"/>
      <c r="N9" s="1132"/>
      <c r="O9" s="1132"/>
      <c r="P9" s="3721" t="s">
        <v>2509</v>
      </c>
      <c r="Q9" s="3344" t="str">
        <f t="shared" ref="Q9:Q15" si="6">B9</f>
        <v>用途</v>
      </c>
      <c r="R9" s="770" t="s">
        <v>17</v>
      </c>
      <c r="S9" s="771">
        <f t="shared" si="0"/>
        <v>100</v>
      </c>
      <c r="T9" s="770" t="s">
        <v>17</v>
      </c>
      <c r="U9" s="771">
        <f t="shared" si="1"/>
        <v>100</v>
      </c>
      <c r="V9" s="770" t="s">
        <v>17</v>
      </c>
      <c r="W9" s="771">
        <f t="shared" si="2"/>
        <v>100</v>
      </c>
      <c r="X9" s="772"/>
      <c r="Y9" s="3538" t="s">
        <v>2510</v>
      </c>
      <c r="Z9" s="3345" t="str">
        <f t="shared" ref="Z9:Z15" si="7">Q9</f>
        <v>用途</v>
      </c>
      <c r="AA9" s="773">
        <f t="shared" si="3"/>
        <v>1</v>
      </c>
      <c r="AB9" s="773">
        <f t="shared" si="4"/>
        <v>1</v>
      </c>
      <c r="AC9" s="773">
        <f t="shared" si="5"/>
        <v>1</v>
      </c>
    </row>
    <row r="10" spans="1:29" s="427" customFormat="1" ht="28.8">
      <c r="A10" s="421"/>
      <c r="B10" s="3350" t="s">
        <v>2511</v>
      </c>
      <c r="C10" s="423" t="s">
        <v>3370</v>
      </c>
      <c r="D10" s="136">
        <v>100</v>
      </c>
      <c r="E10" s="424" t="s">
        <v>3370</v>
      </c>
      <c r="F10" s="425">
        <f>SUMIF(65:65,E10,66:66)-SUMIF(65:65,C10,66:66)+100</f>
        <v>100</v>
      </c>
      <c r="G10" s="424" t="s">
        <v>3370</v>
      </c>
      <c r="H10" s="136">
        <f>SUMIF(65:65,G10,66:66)-SUMIF(65:65,C10,66:66)+100</f>
        <v>100</v>
      </c>
      <c r="I10" s="424" t="s">
        <v>3370</v>
      </c>
      <c r="J10" s="136">
        <f>SUMIF(65:65,I10,66:66)-SUMIF(65:65,C10,66:66)+100</f>
        <v>100</v>
      </c>
      <c r="K10" s="426">
        <v>1</v>
      </c>
      <c r="L10" s="1134"/>
      <c r="M10" s="1135"/>
      <c r="N10" s="1135"/>
      <c r="O10" s="1135"/>
      <c r="P10" s="3721"/>
      <c r="Q10" s="3344" t="str">
        <f t="shared" si="6"/>
        <v>土地使用年限（年）</v>
      </c>
      <c r="R10" s="770" t="s">
        <v>17</v>
      </c>
      <c r="S10" s="771">
        <f t="shared" si="0"/>
        <v>100</v>
      </c>
      <c r="T10" s="770" t="s">
        <v>17</v>
      </c>
      <c r="U10" s="771">
        <f t="shared" si="1"/>
        <v>100</v>
      </c>
      <c r="V10" s="770" t="s">
        <v>17</v>
      </c>
      <c r="W10" s="771">
        <f t="shared" si="2"/>
        <v>100</v>
      </c>
      <c r="X10" s="772"/>
      <c r="Y10" s="3538"/>
      <c r="Z10" s="3345" t="str">
        <f t="shared" si="7"/>
        <v>土地使用年限（年）</v>
      </c>
      <c r="AA10" s="773">
        <f t="shared" si="3"/>
        <v>1</v>
      </c>
      <c r="AB10" s="773">
        <f t="shared" si="4"/>
        <v>1</v>
      </c>
      <c r="AC10" s="773">
        <f t="shared" si="5"/>
        <v>1</v>
      </c>
    </row>
    <row r="11" spans="1:29" ht="15">
      <c r="A11" s="428"/>
      <c r="B11" s="3350" t="s">
        <v>2512</v>
      </c>
      <c r="C11" s="429">
        <f>'数据-汇总表'!I4</f>
        <v>2</v>
      </c>
      <c r="D11" s="136">
        <v>100</v>
      </c>
      <c r="E11" s="430">
        <v>2.5</v>
      </c>
      <c r="F11" s="425">
        <f>LOOKUP(E11,68:68,69:69)-LOOKUP(C11,68:68,69:69)+100</f>
        <v>100</v>
      </c>
      <c r="G11" s="429">
        <v>1.9</v>
      </c>
      <c r="H11" s="136">
        <f>LOOKUP(G11,68:68,69:69)-LOOKUP(C11,68:68,69:69)+100</f>
        <v>101</v>
      </c>
      <c r="I11" s="429">
        <v>2.5</v>
      </c>
      <c r="J11" s="136">
        <f>LOOKUP(I11,68:68,69:69)-LOOKUP(C11,68:68,69:69)+100</f>
        <v>100</v>
      </c>
      <c r="K11" s="426">
        <v>1</v>
      </c>
      <c r="L11" s="1137"/>
      <c r="M11" s="1130"/>
      <c r="N11" s="1130"/>
      <c r="O11" s="1130"/>
      <c r="P11" s="3721"/>
      <c r="Q11" s="3344" t="str">
        <f t="shared" si="6"/>
        <v>容积率</v>
      </c>
      <c r="R11" s="770" t="s">
        <v>17</v>
      </c>
      <c r="S11" s="771">
        <f t="shared" si="0"/>
        <v>100</v>
      </c>
      <c r="T11" s="770" t="s">
        <v>17</v>
      </c>
      <c r="U11" s="771">
        <f t="shared" si="1"/>
        <v>101</v>
      </c>
      <c r="V11" s="770" t="s">
        <v>17</v>
      </c>
      <c r="W11" s="771">
        <f t="shared" si="2"/>
        <v>100</v>
      </c>
      <c r="X11" s="772"/>
      <c r="Y11" s="3538"/>
      <c r="Z11" s="3345" t="str">
        <f t="shared" si="7"/>
        <v>容积率</v>
      </c>
      <c r="AA11" s="773">
        <f t="shared" si="3"/>
        <v>1</v>
      </c>
      <c r="AB11" s="773">
        <f t="shared" si="4"/>
        <v>0.99009900990099009</v>
      </c>
      <c r="AC11" s="773">
        <f t="shared" si="5"/>
        <v>1</v>
      </c>
    </row>
    <row r="12" spans="1:29" s="117" customFormat="1" ht="15">
      <c r="A12" s="431"/>
      <c r="B12" s="2600"/>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721"/>
      <c r="Q12" s="3344">
        <f t="shared" si="6"/>
        <v>0</v>
      </c>
      <c r="R12" s="770" t="s">
        <v>17</v>
      </c>
      <c r="S12" s="771">
        <f t="shared" si="0"/>
        <v>100</v>
      </c>
      <c r="T12" s="770" t="s">
        <v>17</v>
      </c>
      <c r="U12" s="771">
        <f t="shared" si="1"/>
        <v>100</v>
      </c>
      <c r="V12" s="770" t="s">
        <v>17</v>
      </c>
      <c r="W12" s="771">
        <f t="shared" si="2"/>
        <v>100</v>
      </c>
      <c r="X12" s="772"/>
      <c r="Y12" s="3538"/>
      <c r="Z12" s="3345">
        <f t="shared" si="7"/>
        <v>0</v>
      </c>
      <c r="AA12" s="773">
        <f>D12/F12</f>
        <v>1</v>
      </c>
      <c r="AB12" s="773">
        <f>D12/H12</f>
        <v>1</v>
      </c>
      <c r="AC12" s="773">
        <f>D12/J12</f>
        <v>1</v>
      </c>
    </row>
    <row r="13" spans="1:29" ht="15">
      <c r="A13" s="428"/>
      <c r="B13" s="2600"/>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721"/>
      <c r="Q13" s="3344">
        <f t="shared" si="6"/>
        <v>0</v>
      </c>
      <c r="R13" s="770" t="s">
        <v>17</v>
      </c>
      <c r="S13" s="771">
        <f t="shared" si="0"/>
        <v>100</v>
      </c>
      <c r="T13" s="770" t="s">
        <v>17</v>
      </c>
      <c r="U13" s="771">
        <f t="shared" si="1"/>
        <v>100</v>
      </c>
      <c r="V13" s="770" t="s">
        <v>17</v>
      </c>
      <c r="W13" s="771">
        <f t="shared" si="2"/>
        <v>100</v>
      </c>
      <c r="X13" s="772"/>
      <c r="Y13" s="3538"/>
      <c r="Z13" s="3345">
        <f t="shared" si="7"/>
        <v>0</v>
      </c>
      <c r="AA13" s="773">
        <f t="shared" si="3"/>
        <v>1</v>
      </c>
      <c r="AB13" s="773">
        <f t="shared" si="4"/>
        <v>1</v>
      </c>
      <c r="AC13" s="773">
        <f t="shared" si="5"/>
        <v>1</v>
      </c>
    </row>
    <row r="14" spans="1:29" ht="15.6" thickBot="1">
      <c r="A14" s="436"/>
      <c r="B14" s="2602"/>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721"/>
      <c r="Q14" s="3344">
        <f t="shared" si="6"/>
        <v>0</v>
      </c>
      <c r="R14" s="770" t="s">
        <v>17</v>
      </c>
      <c r="S14" s="771">
        <f t="shared" si="0"/>
        <v>100</v>
      </c>
      <c r="T14" s="770" t="s">
        <v>17</v>
      </c>
      <c r="U14" s="771">
        <f t="shared" si="1"/>
        <v>100</v>
      </c>
      <c r="V14" s="770" t="s">
        <v>17</v>
      </c>
      <c r="W14" s="771">
        <f t="shared" si="2"/>
        <v>100</v>
      </c>
      <c r="X14" s="772"/>
      <c r="Y14" s="3538"/>
      <c r="Z14" s="3345">
        <f t="shared" si="7"/>
        <v>0</v>
      </c>
      <c r="AA14" s="773">
        <f t="shared" si="3"/>
        <v>1</v>
      </c>
      <c r="AB14" s="773">
        <f t="shared" si="4"/>
        <v>1</v>
      </c>
      <c r="AC14" s="773">
        <f t="shared" si="5"/>
        <v>1</v>
      </c>
    </row>
    <row r="15" spans="1:29" ht="110.4">
      <c r="A15" s="440" t="s">
        <v>2513</v>
      </c>
      <c r="B15" s="69" t="s">
        <v>2049</v>
      </c>
      <c r="C15" s="2603" t="str">
        <f>估价对象房地状况!C3</f>
        <v>估价对象周边居住用地比例较好、居住小区规模和社区发展完善程度较好，综合评价居住社区成熟度较好</v>
      </c>
      <c r="D15" s="441">
        <v>100</v>
      </c>
      <c r="E15" s="444" t="s">
        <v>3354</v>
      </c>
      <c r="F15" s="441">
        <f>SUMIF(76:76,E16,77:77)-SUMIF(76:76,C16,77:77)+100</f>
        <v>100</v>
      </c>
      <c r="G15" s="444" t="s">
        <v>3354</v>
      </c>
      <c r="H15" s="441">
        <f>SUMIF(76:76,G16,77:77)-SUMIF(76:76,C16,77:77)+100</f>
        <v>100</v>
      </c>
      <c r="I15" s="444" t="s">
        <v>3354</v>
      </c>
      <c r="J15" s="441">
        <f>SUMIF(76:76,I16,77:77)-SUMIF(76:76,C16,77:77)+100</f>
        <v>100</v>
      </c>
      <c r="K15" s="445">
        <v>2</v>
      </c>
      <c r="L15" s="1139"/>
      <c r="M15" s="1130"/>
      <c r="N15" s="1130"/>
      <c r="O15" s="1130"/>
      <c r="P15" s="3748" t="s">
        <v>2514</v>
      </c>
      <c r="Q15" s="3356" t="str">
        <f t="shared" si="6"/>
        <v>居住社区成熟度</v>
      </c>
      <c r="R15" s="774" t="s">
        <v>17</v>
      </c>
      <c r="S15" s="775">
        <f t="shared" si="0"/>
        <v>100</v>
      </c>
      <c r="T15" s="774" t="s">
        <v>17</v>
      </c>
      <c r="U15" s="775">
        <f t="shared" si="1"/>
        <v>100</v>
      </c>
      <c r="V15" s="774" t="s">
        <v>17</v>
      </c>
      <c r="W15" s="775">
        <f t="shared" si="2"/>
        <v>100</v>
      </c>
      <c r="X15" s="3358"/>
      <c r="Y15" s="3741" t="s">
        <v>2514</v>
      </c>
      <c r="Z15" s="3359" t="str">
        <f t="shared" si="7"/>
        <v>居住社区成熟度</v>
      </c>
      <c r="AA15" s="3357">
        <f t="shared" si="3"/>
        <v>1</v>
      </c>
      <c r="AB15" s="3357">
        <f t="shared" si="4"/>
        <v>1</v>
      </c>
      <c r="AC15" s="3357">
        <f t="shared" si="5"/>
        <v>1</v>
      </c>
    </row>
    <row r="16" spans="1:29" ht="15">
      <c r="A16" s="428"/>
      <c r="B16" s="446"/>
      <c r="C16" s="447" t="s">
        <v>3366</v>
      </c>
      <c r="D16" s="448"/>
      <c r="E16" s="2604" t="s">
        <v>3366</v>
      </c>
      <c r="F16" s="448"/>
      <c r="G16" s="2604" t="s">
        <v>3366</v>
      </c>
      <c r="H16" s="450"/>
      <c r="I16" s="2604" t="s">
        <v>3366</v>
      </c>
      <c r="J16" s="448"/>
      <c r="K16" s="2606"/>
      <c r="L16" s="1139"/>
      <c r="M16" s="1130"/>
      <c r="N16" s="1130"/>
      <c r="O16" s="1130"/>
      <c r="P16" s="3749"/>
      <c r="Q16" s="3356"/>
      <c r="R16" s="774"/>
      <c r="S16" s="775"/>
      <c r="T16" s="774"/>
      <c r="U16" s="775"/>
      <c r="V16" s="774"/>
      <c r="W16" s="775"/>
      <c r="X16" s="3358"/>
      <c r="Y16" s="3742"/>
      <c r="Z16" s="3359"/>
      <c r="AA16" s="3357">
        <v>1</v>
      </c>
      <c r="AB16" s="3357">
        <v>1</v>
      </c>
      <c r="AC16" s="3357">
        <v>1</v>
      </c>
    </row>
    <row r="17" spans="1:29" ht="110.4">
      <c r="A17" s="428"/>
      <c r="B17" s="451" t="s">
        <v>2055</v>
      </c>
      <c r="C17" s="2607" t="str">
        <f>估价对象房地状况!C6</f>
        <v>估价对象周边道路状况较好、公共交通通达情况较好、停车便捷程度较好，综合评价交通便捷度较好</v>
      </c>
      <c r="D17" s="450">
        <v>100</v>
      </c>
      <c r="E17" s="454" t="s">
        <v>3356</v>
      </c>
      <c r="F17" s="450">
        <f>SUMIF(78:78,E18,79:79)-SUMIF(78:78,C18,79:79)+100</f>
        <v>100</v>
      </c>
      <c r="G17" s="454" t="s">
        <v>3356</v>
      </c>
      <c r="H17" s="455">
        <f>SUMIF(78:78,G18,79:79)-SUMIF(78:78,C18,79:79)+100</f>
        <v>100</v>
      </c>
      <c r="I17" s="454" t="s">
        <v>3356</v>
      </c>
      <c r="J17" s="455">
        <f>SUMIF(78:78,I18,79:79)-SUMIF(78:78,C18,79:79)+100</f>
        <v>100</v>
      </c>
      <c r="K17" s="445">
        <v>1</v>
      </c>
      <c r="L17" s="1139"/>
      <c r="M17" s="1130"/>
      <c r="N17" s="1130"/>
      <c r="O17" s="1130"/>
      <c r="P17" s="3749"/>
      <c r="Q17" s="3356" t="str">
        <f>B17</f>
        <v>交通便捷度</v>
      </c>
      <c r="R17" s="774" t="s">
        <v>17</v>
      </c>
      <c r="S17" s="775">
        <f>F17</f>
        <v>100</v>
      </c>
      <c r="T17" s="774" t="s">
        <v>17</v>
      </c>
      <c r="U17" s="775">
        <f>H17</f>
        <v>100</v>
      </c>
      <c r="V17" s="774" t="s">
        <v>17</v>
      </c>
      <c r="W17" s="775">
        <f>J17</f>
        <v>100</v>
      </c>
      <c r="X17" s="3358"/>
      <c r="Y17" s="3742"/>
      <c r="Z17" s="3359" t="str">
        <f>Q17</f>
        <v>交通便捷度</v>
      </c>
      <c r="AA17" s="3357">
        <f t="shared" si="3"/>
        <v>1</v>
      </c>
      <c r="AB17" s="3357">
        <f t="shared" si="4"/>
        <v>1</v>
      </c>
      <c r="AC17" s="3357">
        <f t="shared" si="5"/>
        <v>1</v>
      </c>
    </row>
    <row r="18" spans="1:29" ht="15">
      <c r="A18" s="428"/>
      <c r="B18" s="456"/>
      <c r="C18" s="2608" t="s">
        <v>3366</v>
      </c>
      <c r="D18" s="450"/>
      <c r="E18" s="2609" t="s">
        <v>3366</v>
      </c>
      <c r="F18" s="450"/>
      <c r="G18" s="2609" t="s">
        <v>3366</v>
      </c>
      <c r="H18" s="448"/>
      <c r="I18" s="2609" t="s">
        <v>3366</v>
      </c>
      <c r="J18" s="448"/>
      <c r="K18" s="2606"/>
      <c r="L18" s="1139"/>
      <c r="M18" s="1130"/>
      <c r="N18" s="1130"/>
      <c r="O18" s="1130"/>
      <c r="P18" s="3749"/>
      <c r="Q18" s="3356"/>
      <c r="R18" s="774"/>
      <c r="S18" s="775"/>
      <c r="T18" s="774"/>
      <c r="U18" s="775"/>
      <c r="V18" s="774"/>
      <c r="W18" s="775"/>
      <c r="X18" s="3358"/>
      <c r="Y18" s="3742"/>
      <c r="Z18" s="3359"/>
      <c r="AA18" s="3357">
        <v>1</v>
      </c>
      <c r="AB18" s="3357">
        <v>1</v>
      </c>
      <c r="AC18" s="3357">
        <v>1</v>
      </c>
    </row>
    <row r="19" spans="1:29" ht="55.2">
      <c r="A19" s="428"/>
      <c r="B19" s="451" t="s">
        <v>2054</v>
      </c>
      <c r="C19" s="2607" t="str">
        <f>估价对象房地状况!C7</f>
        <v>估价对象所在区域公共配套设施齐备情况较好</v>
      </c>
      <c r="D19" s="455">
        <v>100</v>
      </c>
      <c r="E19" s="459" t="s">
        <v>3357</v>
      </c>
      <c r="F19" s="455">
        <f>SUMIF(80:80,E20,81:81)-SUMIF(80:80,C20,81:81)+100</f>
        <v>100</v>
      </c>
      <c r="G19" s="459" t="s">
        <v>3357</v>
      </c>
      <c r="H19" s="450">
        <f>SUMIF(80:80,G20,81:81)-SUMIF(80:80,C20,81:81)+100</f>
        <v>100</v>
      </c>
      <c r="I19" s="459" t="s">
        <v>3357</v>
      </c>
      <c r="J19" s="450">
        <f>SUMIF(80:80,I20,81:81)-SUMIF(80:80,C20,81:81)+100</f>
        <v>100</v>
      </c>
      <c r="K19" s="445">
        <v>1</v>
      </c>
      <c r="L19" s="1139"/>
      <c r="M19" s="1130"/>
      <c r="N19" s="1130"/>
      <c r="O19" s="1130"/>
      <c r="P19" s="3749"/>
      <c r="Q19" s="3356" t="str">
        <f>B19</f>
        <v>公共配套设施</v>
      </c>
      <c r="R19" s="774" t="s">
        <v>17</v>
      </c>
      <c r="S19" s="775">
        <f>F19</f>
        <v>100</v>
      </c>
      <c r="T19" s="774" t="s">
        <v>17</v>
      </c>
      <c r="U19" s="775">
        <f>H19</f>
        <v>100</v>
      </c>
      <c r="V19" s="774" t="s">
        <v>17</v>
      </c>
      <c r="W19" s="775">
        <f>J19</f>
        <v>100</v>
      </c>
      <c r="X19" s="3358"/>
      <c r="Y19" s="3742"/>
      <c r="Z19" s="3359" t="str">
        <f>Q19</f>
        <v>公共配套设施</v>
      </c>
      <c r="AA19" s="3357">
        <f t="shared" si="3"/>
        <v>1</v>
      </c>
      <c r="AB19" s="3357">
        <f t="shared" si="4"/>
        <v>1</v>
      </c>
      <c r="AC19" s="3357">
        <f t="shared" si="5"/>
        <v>1</v>
      </c>
    </row>
    <row r="20" spans="1:29" ht="15">
      <c r="A20" s="428"/>
      <c r="B20" s="456"/>
      <c r="C20" s="447" t="s">
        <v>3366</v>
      </c>
      <c r="D20" s="448"/>
      <c r="E20" s="2604" t="s">
        <v>3366</v>
      </c>
      <c r="F20" s="448"/>
      <c r="G20" s="2604" t="s">
        <v>3366</v>
      </c>
      <c r="H20" s="448"/>
      <c r="I20" s="2604" t="s">
        <v>3366</v>
      </c>
      <c r="J20" s="448"/>
      <c r="K20" s="2606"/>
      <c r="L20" s="1139"/>
      <c r="M20" s="1130"/>
      <c r="N20" s="1130"/>
      <c r="O20" s="1130"/>
      <c r="P20" s="3749"/>
      <c r="Q20" s="3356"/>
      <c r="R20" s="774"/>
      <c r="S20" s="775"/>
      <c r="T20" s="774"/>
      <c r="U20" s="775"/>
      <c r="V20" s="774"/>
      <c r="W20" s="775"/>
      <c r="X20" s="3358"/>
      <c r="Y20" s="3742"/>
      <c r="Z20" s="3359"/>
      <c r="AA20" s="3357">
        <v>1</v>
      </c>
      <c r="AB20" s="3357">
        <v>1</v>
      </c>
      <c r="AC20" s="3357">
        <v>1</v>
      </c>
    </row>
    <row r="21" spans="1:29" ht="41.4">
      <c r="A21" s="428"/>
      <c r="B21" s="1383" t="s">
        <v>2056</v>
      </c>
      <c r="C21" s="2607" t="str">
        <f>估价对象房地状况!C8</f>
        <v>估价对象所在区域基础设施水平较好</v>
      </c>
      <c r="D21" s="450">
        <v>100</v>
      </c>
      <c r="E21" s="459" t="s">
        <v>3358</v>
      </c>
      <c r="F21" s="455">
        <f>SUMIF(82:82,E22,83:83)-SUMIF(82:82,C22,83:83)+100</f>
        <v>100</v>
      </c>
      <c r="G21" s="459" t="s">
        <v>3358</v>
      </c>
      <c r="H21" s="450">
        <f>SUMIF(82:82,G22,83:83)-SUMIF(82:82,C22,83:83)+100</f>
        <v>100</v>
      </c>
      <c r="I21" s="459" t="s">
        <v>3358</v>
      </c>
      <c r="J21" s="450">
        <f>SUMIF(82:82,I22,83:83)-SUMIF(82:82,C22,83:83)+100</f>
        <v>100</v>
      </c>
      <c r="K21" s="445">
        <v>1</v>
      </c>
      <c r="L21" s="1139"/>
      <c r="M21" s="1130"/>
      <c r="N21" s="1130"/>
      <c r="O21" s="1130"/>
      <c r="P21" s="3749"/>
      <c r="Q21" s="3356" t="str">
        <f>B21</f>
        <v>基础设施水平</v>
      </c>
      <c r="R21" s="774" t="s">
        <v>17</v>
      </c>
      <c r="S21" s="775">
        <f>F21</f>
        <v>100</v>
      </c>
      <c r="T21" s="774" t="s">
        <v>17</v>
      </c>
      <c r="U21" s="775">
        <f>H21</f>
        <v>100</v>
      </c>
      <c r="V21" s="774" t="s">
        <v>17</v>
      </c>
      <c r="W21" s="775">
        <f>J21</f>
        <v>100</v>
      </c>
      <c r="X21" s="3358"/>
      <c r="Y21" s="3742"/>
      <c r="Z21" s="3359" t="str">
        <f>Q21</f>
        <v>基础设施水平</v>
      </c>
      <c r="AA21" s="3357">
        <f t="shared" ref="AA21" si="8">D21/F21</f>
        <v>1</v>
      </c>
      <c r="AB21" s="3357">
        <f t="shared" ref="AB21" si="9">D21/H21</f>
        <v>1</v>
      </c>
      <c r="AC21" s="3357">
        <f t="shared" ref="AC21" si="10">D21/J21</f>
        <v>1</v>
      </c>
    </row>
    <row r="22" spans="1:29" ht="15">
      <c r="A22" s="428"/>
      <c r="B22" s="1383"/>
      <c r="C22" s="2608" t="s">
        <v>3367</v>
      </c>
      <c r="D22" s="448"/>
      <c r="E22" s="447" t="s">
        <v>3367</v>
      </c>
      <c r="F22" s="448"/>
      <c r="G22" s="447" t="s">
        <v>3367</v>
      </c>
      <c r="H22" s="448"/>
      <c r="I22" s="447" t="s">
        <v>3367</v>
      </c>
      <c r="J22" s="448"/>
      <c r="K22" s="2612"/>
      <c r="L22" s="1139"/>
      <c r="M22" s="1130"/>
      <c r="N22" s="1130"/>
      <c r="O22" s="1130"/>
      <c r="P22" s="3749"/>
      <c r="Q22" s="3356"/>
      <c r="R22" s="774"/>
      <c r="S22" s="775"/>
      <c r="T22" s="774"/>
      <c r="U22" s="775"/>
      <c r="V22" s="774"/>
      <c r="W22" s="775"/>
      <c r="X22" s="3358"/>
      <c r="Y22" s="3742"/>
      <c r="Z22" s="3359"/>
      <c r="AA22" s="3357">
        <v>1</v>
      </c>
      <c r="AB22" s="3357">
        <v>1</v>
      </c>
      <c r="AC22" s="3357">
        <v>1</v>
      </c>
    </row>
    <row r="23" spans="1:29" ht="69">
      <c r="A23" s="428"/>
      <c r="B23" s="451" t="s">
        <v>2058</v>
      </c>
      <c r="C23" s="2607" t="str">
        <f>估价对象房地状况!C9</f>
        <v>区域自然环境：较好；人文环境：较好；综合评价环境状况较好</v>
      </c>
      <c r="D23" s="450">
        <v>100</v>
      </c>
      <c r="E23" s="454" t="s">
        <v>3359</v>
      </c>
      <c r="F23" s="450">
        <f>SUMIF(84:84,E24,85:85)-SUMIF(84:84,C24,85:85)+100</f>
        <v>100</v>
      </c>
      <c r="G23" s="454" t="s">
        <v>3359</v>
      </c>
      <c r="H23" s="450">
        <f>SUMIF(84:84,G24,85:85)-SUMIF(84:84,C24,85:85)+100</f>
        <v>100</v>
      </c>
      <c r="I23" s="454" t="s">
        <v>3359</v>
      </c>
      <c r="J23" s="450">
        <f>SUMIF(84:84,I24,85:85)-SUMIF(84:84,C24,85:85)+100</f>
        <v>100</v>
      </c>
      <c r="K23" s="445">
        <v>1</v>
      </c>
      <c r="L23" s="1139"/>
      <c r="M23" s="1130"/>
      <c r="N23" s="1130"/>
      <c r="O23" s="1130"/>
      <c r="P23" s="3749"/>
      <c r="Q23" s="3356" t="str">
        <f>B23</f>
        <v>自然及人文环境</v>
      </c>
      <c r="R23" s="774" t="s">
        <v>17</v>
      </c>
      <c r="S23" s="775">
        <f>F23</f>
        <v>100</v>
      </c>
      <c r="T23" s="774" t="s">
        <v>17</v>
      </c>
      <c r="U23" s="775">
        <f>H23</f>
        <v>100</v>
      </c>
      <c r="V23" s="774" t="s">
        <v>17</v>
      </c>
      <c r="W23" s="775">
        <f>J23</f>
        <v>100</v>
      </c>
      <c r="X23" s="3358"/>
      <c r="Y23" s="3742"/>
      <c r="Z23" s="3359" t="str">
        <f>Q23</f>
        <v>自然及人文环境</v>
      </c>
      <c r="AA23" s="3357">
        <f>D23/F23</f>
        <v>1</v>
      </c>
      <c r="AB23" s="3357">
        <f>D23/H23</f>
        <v>1</v>
      </c>
      <c r="AC23" s="3357">
        <f>D23/J23</f>
        <v>1</v>
      </c>
    </row>
    <row r="24" spans="1:29" ht="15">
      <c r="A24" s="428"/>
      <c r="B24" s="456"/>
      <c r="C24" s="447" t="s">
        <v>3366</v>
      </c>
      <c r="D24" s="448"/>
      <c r="E24" s="2604" t="s">
        <v>3366</v>
      </c>
      <c r="F24" s="448"/>
      <c r="G24" s="2604" t="s">
        <v>3366</v>
      </c>
      <c r="H24" s="448"/>
      <c r="I24" s="2604" t="s">
        <v>3366</v>
      </c>
      <c r="J24" s="448"/>
      <c r="K24" s="2606"/>
      <c r="L24" s="1139"/>
      <c r="M24" s="1130"/>
      <c r="N24" s="1130"/>
      <c r="O24" s="1130"/>
      <c r="P24" s="3749"/>
      <c r="Q24" s="3356"/>
      <c r="R24" s="774"/>
      <c r="S24" s="775"/>
      <c r="T24" s="774"/>
      <c r="U24" s="775"/>
      <c r="V24" s="774"/>
      <c r="W24" s="775"/>
      <c r="X24" s="3358"/>
      <c r="Y24" s="3742"/>
      <c r="Z24" s="3359"/>
      <c r="AA24" s="3357">
        <v>1</v>
      </c>
      <c r="AB24" s="3357">
        <v>1</v>
      </c>
      <c r="AC24" s="3357">
        <v>1</v>
      </c>
    </row>
    <row r="25" spans="1:29" ht="15">
      <c r="A25" s="428"/>
      <c r="B25" s="3350" t="s">
        <v>2515</v>
      </c>
      <c r="C25" s="460" t="s">
        <v>3368</v>
      </c>
      <c r="D25" s="435">
        <v>100</v>
      </c>
      <c r="E25" s="2613" t="s">
        <v>70</v>
      </c>
      <c r="F25" s="435">
        <f>SUMIF(86:86,E25,87:87)-SUMIF(86:86,C25,87:87)+100</f>
        <v>100</v>
      </c>
      <c r="G25" s="2613" t="s">
        <v>70</v>
      </c>
      <c r="H25" s="435">
        <f>SUMIF(86:86,G25,87:87)-SUMIF(86:86,C25,87:87)+100</f>
        <v>100</v>
      </c>
      <c r="I25" s="2613" t="s">
        <v>70</v>
      </c>
      <c r="J25" s="435">
        <f>SUMIF(86:86,I25,87:87)-SUMIF(86:86,C25,87:87)+100</f>
        <v>100</v>
      </c>
      <c r="K25" s="426">
        <v>1</v>
      </c>
      <c r="L25" s="1139"/>
      <c r="M25" s="1130"/>
      <c r="N25" s="1130"/>
      <c r="O25" s="1130"/>
      <c r="P25" s="3749"/>
      <c r="Q25" s="3356" t="str">
        <f t="shared" ref="Q25:Q46" si="11">B25</f>
        <v>楼层-1</v>
      </c>
      <c r="R25" s="774" t="s">
        <v>17</v>
      </c>
      <c r="S25" s="775">
        <f t="shared" ref="S25:S46" si="12">F25</f>
        <v>100</v>
      </c>
      <c r="T25" s="774" t="s">
        <v>17</v>
      </c>
      <c r="U25" s="775">
        <f t="shared" ref="U25:U46" si="13">H25</f>
        <v>100</v>
      </c>
      <c r="V25" s="774" t="s">
        <v>17</v>
      </c>
      <c r="W25" s="775">
        <f t="shared" ref="W25:W46" si="14">J25</f>
        <v>100</v>
      </c>
      <c r="X25" s="3358"/>
      <c r="Y25" s="3742"/>
      <c r="Z25" s="3359" t="str">
        <f>Q25</f>
        <v>楼层-1</v>
      </c>
      <c r="AA25" s="3357">
        <f t="shared" ref="AA25:AA46" si="15">D25/F25</f>
        <v>1</v>
      </c>
      <c r="AB25" s="3357">
        <f t="shared" ref="AB25:AB46" si="16">D25/H25</f>
        <v>1</v>
      </c>
      <c r="AC25" s="3357">
        <f t="shared" ref="AC25:AC46" si="17">D25/J25</f>
        <v>1</v>
      </c>
    </row>
    <row r="26" spans="1:29" ht="15">
      <c r="A26" s="428"/>
      <c r="B26" s="3350" t="s">
        <v>2516</v>
      </c>
      <c r="C26" s="460" t="s">
        <v>3368</v>
      </c>
      <c r="D26" s="435">
        <v>100</v>
      </c>
      <c r="E26" s="2613" t="s">
        <v>70</v>
      </c>
      <c r="F26" s="435">
        <f>SUMIF(88:88,E26,89:89)-SUMIF(88:88,C26,89:89)+100</f>
        <v>100</v>
      </c>
      <c r="G26" s="2613" t="s">
        <v>70</v>
      </c>
      <c r="H26" s="435">
        <f>SUMIF(88:88,G26,89:89)-SUMIF(88:88,C26,89:89)+100</f>
        <v>100</v>
      </c>
      <c r="I26" s="2613" t="s">
        <v>70</v>
      </c>
      <c r="J26" s="435">
        <f>SUMIF(88:88,I26,89:89)-SUMIF(88:88,C26,89:89)+100</f>
        <v>100</v>
      </c>
      <c r="K26" s="426">
        <v>1</v>
      </c>
      <c r="L26" s="1139"/>
      <c r="M26" s="1130"/>
      <c r="N26" s="1130"/>
      <c r="O26" s="1130"/>
      <c r="P26" s="3749"/>
      <c r="Q26" s="3356" t="str">
        <f t="shared" si="11"/>
        <v>朝向</v>
      </c>
      <c r="R26" s="774" t="s">
        <v>17</v>
      </c>
      <c r="S26" s="775">
        <f t="shared" si="12"/>
        <v>100</v>
      </c>
      <c r="T26" s="774" t="s">
        <v>17</v>
      </c>
      <c r="U26" s="775">
        <f t="shared" si="13"/>
        <v>100</v>
      </c>
      <c r="V26" s="774" t="s">
        <v>17</v>
      </c>
      <c r="W26" s="775">
        <f t="shared" si="14"/>
        <v>100</v>
      </c>
      <c r="X26" s="3358"/>
      <c r="Y26" s="3742"/>
      <c r="Z26" s="3359" t="str">
        <f>Q26</f>
        <v>朝向</v>
      </c>
      <c r="AA26" s="3357">
        <f t="shared" si="15"/>
        <v>1</v>
      </c>
      <c r="AB26" s="3357">
        <f t="shared" si="16"/>
        <v>1</v>
      </c>
      <c r="AC26" s="3357">
        <f t="shared" si="17"/>
        <v>1</v>
      </c>
    </row>
    <row r="27" spans="1:29" s="117" customFormat="1" ht="15">
      <c r="A27" s="431"/>
      <c r="B27" s="1385"/>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749"/>
      <c r="Q27" s="3344">
        <f t="shared" si="11"/>
        <v>0</v>
      </c>
      <c r="R27" s="770" t="s">
        <v>17</v>
      </c>
      <c r="S27" s="771">
        <f t="shared" si="12"/>
        <v>100</v>
      </c>
      <c r="T27" s="770" t="s">
        <v>17</v>
      </c>
      <c r="U27" s="771">
        <f t="shared" si="13"/>
        <v>100</v>
      </c>
      <c r="V27" s="770" t="s">
        <v>17</v>
      </c>
      <c r="W27" s="771">
        <f t="shared" si="14"/>
        <v>100</v>
      </c>
      <c r="X27" s="772"/>
      <c r="Y27" s="3742"/>
      <c r="Z27" s="3345">
        <f>Q27</f>
        <v>0</v>
      </c>
      <c r="AA27" s="3357">
        <f t="shared" si="15"/>
        <v>1</v>
      </c>
      <c r="AB27" s="3357">
        <f t="shared" si="16"/>
        <v>1</v>
      </c>
      <c r="AC27" s="3357">
        <f t="shared" si="17"/>
        <v>1</v>
      </c>
    </row>
    <row r="28" spans="1:29" ht="15">
      <c r="A28" s="428"/>
      <c r="B28" s="1385"/>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749"/>
      <c r="Q28" s="3356">
        <f t="shared" si="11"/>
        <v>0</v>
      </c>
      <c r="R28" s="774" t="s">
        <v>17</v>
      </c>
      <c r="S28" s="775">
        <f t="shared" si="12"/>
        <v>100</v>
      </c>
      <c r="T28" s="774" t="s">
        <v>17</v>
      </c>
      <c r="U28" s="775">
        <f t="shared" si="13"/>
        <v>100</v>
      </c>
      <c r="V28" s="774" t="s">
        <v>17</v>
      </c>
      <c r="W28" s="775">
        <f t="shared" si="14"/>
        <v>100</v>
      </c>
      <c r="X28" s="3358"/>
      <c r="Y28" s="3742"/>
      <c r="Z28" s="3359">
        <f t="shared" ref="Z28:Z46" si="18">Q28</f>
        <v>0</v>
      </c>
      <c r="AA28" s="3357">
        <f t="shared" si="15"/>
        <v>1</v>
      </c>
      <c r="AB28" s="3357">
        <f t="shared" si="16"/>
        <v>1</v>
      </c>
      <c r="AC28" s="3357">
        <f t="shared" si="17"/>
        <v>1</v>
      </c>
    </row>
    <row r="29" spans="1:29" ht="15">
      <c r="A29" s="428"/>
      <c r="B29" s="1385"/>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749"/>
      <c r="Q29" s="3356">
        <f t="shared" si="11"/>
        <v>0</v>
      </c>
      <c r="R29" s="774" t="s">
        <v>17</v>
      </c>
      <c r="S29" s="775">
        <f t="shared" si="12"/>
        <v>100</v>
      </c>
      <c r="T29" s="774" t="s">
        <v>17</v>
      </c>
      <c r="U29" s="775">
        <f t="shared" si="13"/>
        <v>100</v>
      </c>
      <c r="V29" s="774" t="s">
        <v>17</v>
      </c>
      <c r="W29" s="775">
        <f t="shared" si="14"/>
        <v>100</v>
      </c>
      <c r="X29" s="3358"/>
      <c r="Y29" s="3742"/>
      <c r="Z29" s="3359">
        <f t="shared" si="18"/>
        <v>0</v>
      </c>
      <c r="AA29" s="3357">
        <f t="shared" si="15"/>
        <v>1</v>
      </c>
      <c r="AB29" s="3357">
        <f t="shared" si="16"/>
        <v>1</v>
      </c>
      <c r="AC29" s="3357">
        <f t="shared" si="17"/>
        <v>1</v>
      </c>
    </row>
    <row r="30" spans="1:29" ht="15">
      <c r="A30" s="428"/>
      <c r="B30" s="1385"/>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749"/>
      <c r="Q30" s="3356">
        <f t="shared" si="11"/>
        <v>0</v>
      </c>
      <c r="R30" s="774" t="s">
        <v>17</v>
      </c>
      <c r="S30" s="775">
        <f t="shared" si="12"/>
        <v>100</v>
      </c>
      <c r="T30" s="774" t="s">
        <v>17</v>
      </c>
      <c r="U30" s="775">
        <f t="shared" si="13"/>
        <v>100</v>
      </c>
      <c r="V30" s="774" t="s">
        <v>17</v>
      </c>
      <c r="W30" s="775">
        <f t="shared" si="14"/>
        <v>100</v>
      </c>
      <c r="X30" s="3358"/>
      <c r="Y30" s="3742"/>
      <c r="Z30" s="3359">
        <f t="shared" si="18"/>
        <v>0</v>
      </c>
      <c r="AA30" s="3357">
        <f t="shared" si="15"/>
        <v>1</v>
      </c>
      <c r="AB30" s="3357">
        <f t="shared" si="16"/>
        <v>1</v>
      </c>
      <c r="AC30" s="3357">
        <f t="shared" si="17"/>
        <v>1</v>
      </c>
    </row>
    <row r="31" spans="1:29" ht="15.6" thickBot="1">
      <c r="A31" s="436"/>
      <c r="B31" s="1385"/>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749"/>
      <c r="Q31" s="3356">
        <f t="shared" si="11"/>
        <v>0</v>
      </c>
      <c r="R31" s="774" t="s">
        <v>17</v>
      </c>
      <c r="S31" s="775">
        <f t="shared" si="12"/>
        <v>100</v>
      </c>
      <c r="T31" s="774" t="s">
        <v>17</v>
      </c>
      <c r="U31" s="775">
        <f t="shared" si="13"/>
        <v>100</v>
      </c>
      <c r="V31" s="774" t="s">
        <v>17</v>
      </c>
      <c r="W31" s="775">
        <f t="shared" si="14"/>
        <v>100</v>
      </c>
      <c r="X31" s="3358"/>
      <c r="Y31" s="3742"/>
      <c r="Z31" s="3359">
        <f t="shared" si="18"/>
        <v>0</v>
      </c>
      <c r="AA31" s="3357">
        <f t="shared" si="15"/>
        <v>1</v>
      </c>
      <c r="AB31" s="3357">
        <f t="shared" si="16"/>
        <v>1</v>
      </c>
      <c r="AC31" s="3357">
        <f t="shared" si="17"/>
        <v>1</v>
      </c>
    </row>
    <row r="32" spans="1:29" ht="15">
      <c r="A32" s="440" t="s">
        <v>2517</v>
      </c>
      <c r="B32" s="71" t="s">
        <v>2518</v>
      </c>
      <c r="C32" s="2617" t="s">
        <v>3373</v>
      </c>
      <c r="D32" s="467">
        <v>100</v>
      </c>
      <c r="E32" s="2618" t="s">
        <v>3373</v>
      </c>
      <c r="F32" s="461">
        <f>SUMIF(100:100,E32,101:101)-SUMIF(100:100,C32,101:101)+100</f>
        <v>100</v>
      </c>
      <c r="G32" s="2618" t="s">
        <v>3373</v>
      </c>
      <c r="H32" s="467">
        <f>SUMIF(100:100,G32,101:101)-SUMIF(100:100,C32,101:101)+100</f>
        <v>100</v>
      </c>
      <c r="I32" s="2618" t="s">
        <v>3373</v>
      </c>
      <c r="J32" s="435">
        <f>SUMIF(100:100,I32,101:101)-SUMIF(100:100,C32,101:101)+100</f>
        <v>100</v>
      </c>
      <c r="K32" s="426">
        <v>1</v>
      </c>
      <c r="L32" s="1139"/>
      <c r="M32" s="1130"/>
      <c r="N32" s="1130"/>
      <c r="O32" s="1130"/>
      <c r="P32" s="3743" t="s">
        <v>2519</v>
      </c>
      <c r="Q32" s="3356" t="str">
        <f t="shared" si="11"/>
        <v>建筑类型</v>
      </c>
      <c r="R32" s="774" t="s">
        <v>17</v>
      </c>
      <c r="S32" s="775">
        <f t="shared" si="12"/>
        <v>100</v>
      </c>
      <c r="T32" s="774" t="s">
        <v>17</v>
      </c>
      <c r="U32" s="775">
        <f t="shared" si="13"/>
        <v>100</v>
      </c>
      <c r="V32" s="774" t="s">
        <v>17</v>
      </c>
      <c r="W32" s="775">
        <f t="shared" si="14"/>
        <v>100</v>
      </c>
      <c r="X32" s="3358"/>
      <c r="Y32" s="3746" t="s">
        <v>2519</v>
      </c>
      <c r="Z32" s="3359" t="str">
        <f t="shared" si="18"/>
        <v>建筑类型</v>
      </c>
      <c r="AA32" s="3357">
        <f t="shared" si="15"/>
        <v>1</v>
      </c>
      <c r="AB32" s="3357">
        <f t="shared" si="16"/>
        <v>1</v>
      </c>
      <c r="AC32" s="3357">
        <f t="shared" si="17"/>
        <v>1</v>
      </c>
    </row>
    <row r="33" spans="1:29" s="471" customFormat="1" ht="15">
      <c r="A33" s="468"/>
      <c r="B33" s="3350" t="s">
        <v>2520</v>
      </c>
      <c r="C33" s="469">
        <f>'数据-基础表'!B3</f>
        <v>152837.16</v>
      </c>
      <c r="D33" s="136">
        <v>100</v>
      </c>
      <c r="E33" s="430">
        <v>400000</v>
      </c>
      <c r="F33" s="425">
        <f>LOOKUP(E33,103:103,104:104)-LOOKUP(C33,103:103,104:104)+100</f>
        <v>102</v>
      </c>
      <c r="G33" s="430">
        <v>110000</v>
      </c>
      <c r="H33" s="136">
        <f>LOOKUP(G33,103:103,104:104)-LOOKUP(C33,103:103,104:104)+100</f>
        <v>100</v>
      </c>
      <c r="I33" s="430">
        <v>184528</v>
      </c>
      <c r="J33" s="136">
        <f>LOOKUP(I33,103:103,104:104)-LOOKUP(C33,103:103,104:104)+100</f>
        <v>100</v>
      </c>
      <c r="K33" s="2601"/>
      <c r="L33" s="1137"/>
      <c r="M33" s="1140"/>
      <c r="N33" s="1140"/>
      <c r="O33" s="1140"/>
      <c r="P33" s="3744"/>
      <c r="Q33" s="776" t="str">
        <f t="shared" si="11"/>
        <v>项目建筑规模</v>
      </c>
      <c r="R33" s="777" t="s">
        <v>17</v>
      </c>
      <c r="S33" s="778">
        <f t="shared" si="12"/>
        <v>102</v>
      </c>
      <c r="T33" s="777" t="s">
        <v>17</v>
      </c>
      <c r="U33" s="778">
        <f t="shared" si="13"/>
        <v>100</v>
      </c>
      <c r="V33" s="777" t="s">
        <v>17</v>
      </c>
      <c r="W33" s="778">
        <f t="shared" si="14"/>
        <v>100</v>
      </c>
      <c r="X33" s="779"/>
      <c r="Y33" s="3746"/>
      <c r="Z33" s="780" t="str">
        <f t="shared" si="18"/>
        <v>项目建筑规模</v>
      </c>
      <c r="AA33" s="3357">
        <f t="shared" si="15"/>
        <v>0.98039215686274506</v>
      </c>
      <c r="AB33" s="3357">
        <f t="shared" si="16"/>
        <v>1</v>
      </c>
      <c r="AC33" s="3357">
        <f t="shared" si="17"/>
        <v>1</v>
      </c>
    </row>
    <row r="34" spans="1:29" ht="15">
      <c r="A34" s="472"/>
      <c r="B34" s="3350" t="s">
        <v>2521</v>
      </c>
      <c r="C34" s="2619" t="s">
        <v>3048</v>
      </c>
      <c r="D34" s="435">
        <v>100</v>
      </c>
      <c r="E34" s="2620" t="s">
        <v>3048</v>
      </c>
      <c r="F34" s="461">
        <f>SUMIF(105:105,E34,106:106)-SUMIF(105:105,C34,106:106)+100</f>
        <v>100</v>
      </c>
      <c r="G34" s="2620" t="s">
        <v>3048</v>
      </c>
      <c r="H34" s="435">
        <f>SUMIF(105:105,G34,106:106)-SUMIF(105:105,C34,106:106)+100</f>
        <v>100</v>
      </c>
      <c r="I34" s="2620" t="s">
        <v>3048</v>
      </c>
      <c r="J34" s="435">
        <f>SUMIF(105:105,I34,106:106)-SUMIF(105:105,C34,106:106)+100</f>
        <v>100</v>
      </c>
      <c r="K34" s="426">
        <v>1</v>
      </c>
      <c r="L34" s="1139"/>
      <c r="M34" s="1130"/>
      <c r="N34" s="1130"/>
      <c r="O34" s="1130"/>
      <c r="P34" s="3744"/>
      <c r="Q34" s="3356" t="str">
        <f t="shared" si="11"/>
        <v>建筑结构</v>
      </c>
      <c r="R34" s="774" t="s">
        <v>17</v>
      </c>
      <c r="S34" s="775">
        <f t="shared" si="12"/>
        <v>100</v>
      </c>
      <c r="T34" s="774" t="s">
        <v>17</v>
      </c>
      <c r="U34" s="775">
        <f t="shared" si="13"/>
        <v>100</v>
      </c>
      <c r="V34" s="774" t="s">
        <v>17</v>
      </c>
      <c r="W34" s="775">
        <f t="shared" si="14"/>
        <v>100</v>
      </c>
      <c r="X34" s="3358"/>
      <c r="Y34" s="3746"/>
      <c r="Z34" s="3359" t="str">
        <f t="shared" si="18"/>
        <v>建筑结构</v>
      </c>
      <c r="AA34" s="3357">
        <f t="shared" si="15"/>
        <v>1</v>
      </c>
      <c r="AB34" s="3357">
        <f t="shared" si="16"/>
        <v>1</v>
      </c>
      <c r="AC34" s="3357">
        <f t="shared" si="17"/>
        <v>1</v>
      </c>
    </row>
    <row r="35" spans="1:29" ht="15">
      <c r="A35" s="472"/>
      <c r="B35" s="3350" t="s">
        <v>2522</v>
      </c>
      <c r="C35" s="2613" t="s">
        <v>3385</v>
      </c>
      <c r="D35" s="435">
        <v>100</v>
      </c>
      <c r="E35" s="2614" t="s">
        <v>3376</v>
      </c>
      <c r="F35" s="461">
        <f>SUMIF(107:107,E35,108:108)-SUMIF(107:107,C35,108:108)+100</f>
        <v>101</v>
      </c>
      <c r="G35" s="2614" t="s">
        <v>3376</v>
      </c>
      <c r="H35" s="435">
        <f>SUMIF(107:107,G35,108:108)-SUMIF(107:107,C35,108:108)+100</f>
        <v>101</v>
      </c>
      <c r="I35" s="2614" t="s">
        <v>3376</v>
      </c>
      <c r="J35" s="435">
        <f>SUMIF(107:107,I35,108:108)-SUMIF(107:107,C35,108:108)+100</f>
        <v>101</v>
      </c>
      <c r="K35" s="426">
        <v>1</v>
      </c>
      <c r="L35" s="1139"/>
      <c r="M35" s="1130"/>
      <c r="N35" s="1130"/>
      <c r="O35" s="1130"/>
      <c r="P35" s="3744"/>
      <c r="Q35" s="3356" t="str">
        <f t="shared" si="11"/>
        <v>建筑品质</v>
      </c>
      <c r="R35" s="774" t="s">
        <v>17</v>
      </c>
      <c r="S35" s="775">
        <f t="shared" si="12"/>
        <v>101</v>
      </c>
      <c r="T35" s="774" t="s">
        <v>17</v>
      </c>
      <c r="U35" s="775">
        <f t="shared" si="13"/>
        <v>101</v>
      </c>
      <c r="V35" s="774" t="s">
        <v>17</v>
      </c>
      <c r="W35" s="775">
        <f t="shared" si="14"/>
        <v>101</v>
      </c>
      <c r="X35" s="3358"/>
      <c r="Y35" s="3746"/>
      <c r="Z35" s="3359" t="str">
        <f t="shared" si="18"/>
        <v>建筑品质</v>
      </c>
      <c r="AA35" s="3357">
        <f t="shared" si="15"/>
        <v>0.99009900990099009</v>
      </c>
      <c r="AB35" s="3357">
        <f t="shared" si="16"/>
        <v>0.99009900990099009</v>
      </c>
      <c r="AC35" s="3357">
        <f t="shared" si="17"/>
        <v>0.99009900990099009</v>
      </c>
    </row>
    <row r="36" spans="1:29" ht="15">
      <c r="A36" s="472"/>
      <c r="B36" s="3350" t="s">
        <v>2523</v>
      </c>
      <c r="C36" s="2613" t="s">
        <v>3378</v>
      </c>
      <c r="D36" s="435">
        <v>100</v>
      </c>
      <c r="E36" s="2614" t="s">
        <v>3378</v>
      </c>
      <c r="F36" s="461">
        <f>SUMIF(109:109,E36,110:110)-SUMIF(109:109,C36,110:110)+100</f>
        <v>100</v>
      </c>
      <c r="G36" s="2614" t="s">
        <v>3378</v>
      </c>
      <c r="H36" s="435">
        <f>SUMIF(109:109,G36,110:110)-SUMIF(109:109,C36,110:110)+100</f>
        <v>100</v>
      </c>
      <c r="I36" s="2614" t="s">
        <v>3378</v>
      </c>
      <c r="J36" s="435">
        <f>SUMIF(109:109,I36,110:110)-SUMIF(109:109,C36,110:110)+100</f>
        <v>100</v>
      </c>
      <c r="K36" s="426">
        <v>1</v>
      </c>
      <c r="L36" s="1139"/>
      <c r="M36" s="1130"/>
      <c r="N36" s="1130"/>
      <c r="O36" s="1130"/>
      <c r="P36" s="3744"/>
      <c r="Q36" s="3356" t="str">
        <f t="shared" si="11"/>
        <v>公共部分装修</v>
      </c>
      <c r="R36" s="774" t="s">
        <v>17</v>
      </c>
      <c r="S36" s="775">
        <f t="shared" si="12"/>
        <v>100</v>
      </c>
      <c r="T36" s="774" t="s">
        <v>17</v>
      </c>
      <c r="U36" s="775">
        <f t="shared" si="13"/>
        <v>100</v>
      </c>
      <c r="V36" s="774" t="s">
        <v>17</v>
      </c>
      <c r="W36" s="775">
        <f t="shared" si="14"/>
        <v>100</v>
      </c>
      <c r="X36" s="3358"/>
      <c r="Y36" s="3746"/>
      <c r="Z36" s="3359" t="str">
        <f t="shared" si="18"/>
        <v>公共部分装修</v>
      </c>
      <c r="AA36" s="3357">
        <f t="shared" si="15"/>
        <v>1</v>
      </c>
      <c r="AB36" s="3357">
        <f t="shared" si="16"/>
        <v>1</v>
      </c>
      <c r="AC36" s="3357">
        <f t="shared" si="17"/>
        <v>1</v>
      </c>
    </row>
    <row r="37" spans="1:29" s="117" customFormat="1" ht="15">
      <c r="A37" s="473"/>
      <c r="B37" s="3350" t="s">
        <v>2524</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1"/>
      <c r="M37" s="1132"/>
      <c r="N37" s="1132"/>
      <c r="O37" s="1132"/>
      <c r="P37" s="3744"/>
      <c r="Q37" s="3344" t="str">
        <f t="shared" si="11"/>
        <v>成新度</v>
      </c>
      <c r="R37" s="770" t="s">
        <v>17</v>
      </c>
      <c r="S37" s="771">
        <f t="shared" si="12"/>
        <v>100</v>
      </c>
      <c r="T37" s="770" t="s">
        <v>17</v>
      </c>
      <c r="U37" s="771">
        <f t="shared" si="13"/>
        <v>100</v>
      </c>
      <c r="V37" s="770" t="s">
        <v>17</v>
      </c>
      <c r="W37" s="771">
        <f t="shared" si="14"/>
        <v>100</v>
      </c>
      <c r="X37" s="772"/>
      <c r="Y37" s="3746"/>
      <c r="Z37" s="3345" t="str">
        <f t="shared" si="18"/>
        <v>成新度</v>
      </c>
      <c r="AA37" s="773">
        <f t="shared" si="15"/>
        <v>1</v>
      </c>
      <c r="AB37" s="773">
        <f t="shared" si="16"/>
        <v>1</v>
      </c>
      <c r="AC37" s="773">
        <f t="shared" si="17"/>
        <v>1</v>
      </c>
    </row>
    <row r="38" spans="1:29" ht="15">
      <c r="A38" s="472"/>
      <c r="B38" s="3350" t="s">
        <v>2525</v>
      </c>
      <c r="C38" s="2613" t="s">
        <v>3380</v>
      </c>
      <c r="D38" s="435">
        <v>100</v>
      </c>
      <c r="E38" s="2614" t="s">
        <v>3380</v>
      </c>
      <c r="F38" s="461">
        <f>SUMIF(114:114,E38,115:115)-SUMIF(114:114,C38,115:115)+100</f>
        <v>100</v>
      </c>
      <c r="G38" s="2614" t="s">
        <v>3380</v>
      </c>
      <c r="H38" s="435">
        <f>SUMIF(114:114,G38,115:115)-SUMIF(114:114,C38,115:115)+100</f>
        <v>100</v>
      </c>
      <c r="I38" s="2614" t="s">
        <v>3380</v>
      </c>
      <c r="J38" s="435">
        <f>SUMIF(114:114,I38,115:115)-SUMIF(114:114,C38,115:115)+100</f>
        <v>100</v>
      </c>
      <c r="K38" s="426">
        <v>1</v>
      </c>
      <c r="L38" s="1139"/>
      <c r="M38" s="1130"/>
      <c r="N38" s="1130"/>
      <c r="O38" s="1130"/>
      <c r="P38" s="3744" t="s">
        <v>2519</v>
      </c>
      <c r="Q38" s="3356" t="str">
        <f t="shared" si="11"/>
        <v>物业管理</v>
      </c>
      <c r="R38" s="774" t="s">
        <v>17</v>
      </c>
      <c r="S38" s="775">
        <f t="shared" si="12"/>
        <v>100</v>
      </c>
      <c r="T38" s="774" t="s">
        <v>17</v>
      </c>
      <c r="U38" s="775">
        <f t="shared" si="13"/>
        <v>100</v>
      </c>
      <c r="V38" s="774" t="s">
        <v>17</v>
      </c>
      <c r="W38" s="775">
        <f t="shared" si="14"/>
        <v>100</v>
      </c>
      <c r="X38" s="3358"/>
      <c r="Y38" s="3746" t="s">
        <v>2519</v>
      </c>
      <c r="Z38" s="3359" t="str">
        <f t="shared" si="18"/>
        <v>物业管理</v>
      </c>
      <c r="AA38" s="3357">
        <f t="shared" si="15"/>
        <v>1</v>
      </c>
      <c r="AB38" s="3357">
        <f t="shared" si="16"/>
        <v>1</v>
      </c>
      <c r="AC38" s="3357">
        <f t="shared" si="17"/>
        <v>1</v>
      </c>
    </row>
    <row r="39" spans="1:29" ht="15">
      <c r="A39" s="472"/>
      <c r="B39" s="3350" t="s">
        <v>2526</v>
      </c>
      <c r="C39" s="2613" t="s">
        <v>3367</v>
      </c>
      <c r="D39" s="435">
        <v>100</v>
      </c>
      <c r="E39" s="2614" t="s">
        <v>3367</v>
      </c>
      <c r="F39" s="461">
        <f>SUMIF(116:116,E39,117:117)-SUMIF(116:116,C39,117:117)+100</f>
        <v>100</v>
      </c>
      <c r="G39" s="2614" t="s">
        <v>3367</v>
      </c>
      <c r="H39" s="435">
        <f>SUMIF(116:116,G39,117:117)-SUMIF(116:116,C39,117:117)+100</f>
        <v>100</v>
      </c>
      <c r="I39" s="2614" t="s">
        <v>3367</v>
      </c>
      <c r="J39" s="435">
        <f>SUMIF(116:116,I39,117:117)-SUMIF(116:116,C39,117:117)+100</f>
        <v>100</v>
      </c>
      <c r="K39" s="426">
        <v>1</v>
      </c>
      <c r="L39" s="1139"/>
      <c r="M39" s="1130"/>
      <c r="N39" s="1130"/>
      <c r="O39" s="1130"/>
      <c r="P39" s="3744"/>
      <c r="Q39" s="3356" t="str">
        <f t="shared" si="11"/>
        <v>市政基础设施</v>
      </c>
      <c r="R39" s="774" t="s">
        <v>17</v>
      </c>
      <c r="S39" s="775">
        <f t="shared" si="12"/>
        <v>100</v>
      </c>
      <c r="T39" s="774" t="s">
        <v>17</v>
      </c>
      <c r="U39" s="775">
        <f t="shared" si="13"/>
        <v>100</v>
      </c>
      <c r="V39" s="774" t="s">
        <v>17</v>
      </c>
      <c r="W39" s="775">
        <f t="shared" si="14"/>
        <v>100</v>
      </c>
      <c r="X39" s="3358"/>
      <c r="Y39" s="3746"/>
      <c r="Z39" s="3359" t="str">
        <f t="shared" si="18"/>
        <v>市政基础设施</v>
      </c>
      <c r="AA39" s="3357">
        <f t="shared" si="15"/>
        <v>1</v>
      </c>
      <c r="AB39" s="3357">
        <f t="shared" si="16"/>
        <v>1</v>
      </c>
      <c r="AC39" s="3357">
        <f t="shared" si="17"/>
        <v>1</v>
      </c>
    </row>
    <row r="40" spans="1:29" ht="15">
      <c r="A40" s="472"/>
      <c r="B40" s="3350" t="s">
        <v>2527</v>
      </c>
      <c r="C40" s="2613" t="s">
        <v>70</v>
      </c>
      <c r="D40" s="435">
        <v>100</v>
      </c>
      <c r="E40" s="2614" t="s">
        <v>70</v>
      </c>
      <c r="F40" s="461">
        <f>SUMIF(118:118,E40,119:119)-SUMIF(118:118,C40,119:119)+100</f>
        <v>100</v>
      </c>
      <c r="G40" s="2614" t="s">
        <v>70</v>
      </c>
      <c r="H40" s="435">
        <f>SUMIF(118:118,G40,119:119)-SUMIF(118:118,C40,119:119)+100</f>
        <v>100</v>
      </c>
      <c r="I40" s="2614" t="s">
        <v>70</v>
      </c>
      <c r="J40" s="435">
        <f>SUMIF(118:118,I40,119:119)-SUMIF(118:118,C40,119:119)+100</f>
        <v>100</v>
      </c>
      <c r="K40" s="426">
        <v>1</v>
      </c>
      <c r="L40" s="1139"/>
      <c r="M40" s="1130"/>
      <c r="N40" s="1130"/>
      <c r="O40" s="1130"/>
      <c r="P40" s="3744"/>
      <c r="Q40" s="3356" t="str">
        <f t="shared" si="11"/>
        <v>房型</v>
      </c>
      <c r="R40" s="774" t="s">
        <v>17</v>
      </c>
      <c r="S40" s="775">
        <f t="shared" si="12"/>
        <v>100</v>
      </c>
      <c r="T40" s="774" t="s">
        <v>17</v>
      </c>
      <c r="U40" s="775">
        <f t="shared" si="13"/>
        <v>100</v>
      </c>
      <c r="V40" s="774" t="s">
        <v>17</v>
      </c>
      <c r="W40" s="775">
        <f t="shared" si="14"/>
        <v>100</v>
      </c>
      <c r="X40" s="3358"/>
      <c r="Y40" s="3746"/>
      <c r="Z40" s="3359" t="str">
        <f t="shared" si="18"/>
        <v>房型</v>
      </c>
      <c r="AA40" s="3357">
        <f t="shared" si="15"/>
        <v>1</v>
      </c>
      <c r="AB40" s="3357">
        <f t="shared" si="16"/>
        <v>1</v>
      </c>
      <c r="AC40" s="3357">
        <f t="shared" si="17"/>
        <v>1</v>
      </c>
    </row>
    <row r="41" spans="1:29" s="471" customFormat="1" ht="28.8">
      <c r="A41" s="468"/>
      <c r="B41" s="3350" t="s">
        <v>2528</v>
      </c>
      <c r="C41" s="469" t="s">
        <v>3368</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1"/>
      <c r="L41" s="1137"/>
      <c r="M41" s="1140"/>
      <c r="N41" s="1140"/>
      <c r="O41" s="1140"/>
      <c r="P41" s="3744"/>
      <c r="Q41" s="776" t="str">
        <f t="shared" si="11"/>
        <v>单套/主力户型建筑面积</v>
      </c>
      <c r="R41" s="777" t="s">
        <v>17</v>
      </c>
      <c r="S41" s="778">
        <f t="shared" si="12"/>
        <v>100</v>
      </c>
      <c r="T41" s="777" t="s">
        <v>17</v>
      </c>
      <c r="U41" s="778">
        <f t="shared" si="13"/>
        <v>100</v>
      </c>
      <c r="V41" s="777" t="s">
        <v>17</v>
      </c>
      <c r="W41" s="778">
        <f t="shared" si="14"/>
        <v>100</v>
      </c>
      <c r="X41" s="779"/>
      <c r="Y41" s="3746"/>
      <c r="Z41" s="780" t="str">
        <f t="shared" si="18"/>
        <v>单套/主力户型建筑面积</v>
      </c>
      <c r="AA41" s="3357">
        <f t="shared" si="15"/>
        <v>1</v>
      </c>
      <c r="AB41" s="3357">
        <f t="shared" si="16"/>
        <v>1</v>
      </c>
      <c r="AC41" s="3357">
        <f t="shared" si="17"/>
        <v>1</v>
      </c>
    </row>
    <row r="42" spans="1:29" ht="15">
      <c r="A42" s="472"/>
      <c r="B42" s="3350" t="s">
        <v>2529</v>
      </c>
      <c r="C42" s="2613" t="s">
        <v>3383</v>
      </c>
      <c r="D42" s="435">
        <v>100</v>
      </c>
      <c r="E42" s="2614" t="s">
        <v>3383</v>
      </c>
      <c r="F42" s="461">
        <f>SUMIF(122:122,E42,123:123)-SUMIF(122:122,C42,123:123)+100</f>
        <v>100</v>
      </c>
      <c r="G42" s="2614" t="s">
        <v>3383</v>
      </c>
      <c r="H42" s="435">
        <f>SUMIF(122:122,G42,123:123)-SUMIF(122:122,C42,123:123)+100</f>
        <v>100</v>
      </c>
      <c r="I42" s="2614" t="s">
        <v>3383</v>
      </c>
      <c r="J42" s="435">
        <f>SUMIF(122:122,I42,123:123)-SUMIF(122:122,C42,123:123)+100</f>
        <v>100</v>
      </c>
      <c r="K42" s="426">
        <v>1</v>
      </c>
      <c r="L42" s="1139"/>
      <c r="M42" s="1130"/>
      <c r="N42" s="1130"/>
      <c r="O42" s="1130"/>
      <c r="P42" s="3744"/>
      <c r="Q42" s="3356" t="str">
        <f t="shared" si="11"/>
        <v>内部装修</v>
      </c>
      <c r="R42" s="774" t="s">
        <v>17</v>
      </c>
      <c r="S42" s="775">
        <f t="shared" si="12"/>
        <v>100</v>
      </c>
      <c r="T42" s="774" t="s">
        <v>17</v>
      </c>
      <c r="U42" s="775">
        <f t="shared" si="13"/>
        <v>100</v>
      </c>
      <c r="V42" s="774" t="s">
        <v>17</v>
      </c>
      <c r="W42" s="775">
        <f t="shared" si="14"/>
        <v>100</v>
      </c>
      <c r="X42" s="3358"/>
      <c r="Y42" s="3746"/>
      <c r="Z42" s="3359" t="str">
        <f t="shared" si="18"/>
        <v>内部装修</v>
      </c>
      <c r="AA42" s="3357">
        <f t="shared" si="15"/>
        <v>1</v>
      </c>
      <c r="AB42" s="3357">
        <f t="shared" si="16"/>
        <v>1</v>
      </c>
      <c r="AC42" s="3357">
        <f t="shared" si="17"/>
        <v>1</v>
      </c>
    </row>
    <row r="43" spans="1:29" ht="28.8">
      <c r="A43" s="472"/>
      <c r="B43" s="3350" t="s">
        <v>2530</v>
      </c>
      <c r="C43" s="2613" t="s">
        <v>3366</v>
      </c>
      <c r="D43" s="435">
        <v>100</v>
      </c>
      <c r="E43" s="2614" t="s">
        <v>3366</v>
      </c>
      <c r="F43" s="461">
        <f>SUMIF(124:124,E43,125:125)-SUMIF(124:124,C43,125:125)+100</f>
        <v>100</v>
      </c>
      <c r="G43" s="2614" t="s">
        <v>3366</v>
      </c>
      <c r="H43" s="435">
        <f>SUMIF(124:124,G43,125:125)-SUMIF(124:124,C43,125:125)+100</f>
        <v>100</v>
      </c>
      <c r="I43" s="2614" t="s">
        <v>3366</v>
      </c>
      <c r="J43" s="435">
        <f>SUMIF(124:124,I43,125:125)-SUMIF(124:124,C43,125:125)+100</f>
        <v>100</v>
      </c>
      <c r="K43" s="426">
        <v>1</v>
      </c>
      <c r="L43" s="1139"/>
      <c r="M43" s="1130"/>
      <c r="N43" s="1130"/>
      <c r="O43" s="1130"/>
      <c r="P43" s="3744"/>
      <c r="Q43" s="3356" t="str">
        <f t="shared" si="11"/>
        <v>内部装修维护情况</v>
      </c>
      <c r="R43" s="774" t="s">
        <v>17</v>
      </c>
      <c r="S43" s="775">
        <f t="shared" si="12"/>
        <v>100</v>
      </c>
      <c r="T43" s="774" t="s">
        <v>17</v>
      </c>
      <c r="U43" s="775">
        <f t="shared" si="13"/>
        <v>100</v>
      </c>
      <c r="V43" s="774" t="s">
        <v>17</v>
      </c>
      <c r="W43" s="775">
        <f t="shared" si="14"/>
        <v>100</v>
      </c>
      <c r="X43" s="3358"/>
      <c r="Y43" s="3746"/>
      <c r="Z43" s="3359" t="str">
        <f t="shared" si="18"/>
        <v>内部装修维护情况</v>
      </c>
      <c r="AA43" s="3357">
        <f t="shared" si="15"/>
        <v>1</v>
      </c>
      <c r="AB43" s="3357">
        <f t="shared" si="16"/>
        <v>1</v>
      </c>
      <c r="AC43" s="3357">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744"/>
      <c r="Q44" s="3344">
        <f t="shared" si="11"/>
        <v>0</v>
      </c>
      <c r="R44" s="770" t="s">
        <v>17</v>
      </c>
      <c r="S44" s="771">
        <f t="shared" si="12"/>
        <v>100</v>
      </c>
      <c r="T44" s="770" t="s">
        <v>17</v>
      </c>
      <c r="U44" s="771">
        <f t="shared" si="13"/>
        <v>100</v>
      </c>
      <c r="V44" s="770" t="s">
        <v>17</v>
      </c>
      <c r="W44" s="771">
        <f t="shared" si="14"/>
        <v>100</v>
      </c>
      <c r="X44" s="772"/>
      <c r="Y44" s="3746"/>
      <c r="Z44" s="3345">
        <f t="shared" si="18"/>
        <v>0</v>
      </c>
      <c r="AA44" s="773">
        <f t="shared" si="15"/>
        <v>1</v>
      </c>
      <c r="AB44" s="773">
        <f t="shared" si="16"/>
        <v>1</v>
      </c>
      <c r="AC44" s="773">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744"/>
      <c r="Q45" s="3356">
        <f t="shared" si="11"/>
        <v>0</v>
      </c>
      <c r="R45" s="774" t="s">
        <v>17</v>
      </c>
      <c r="S45" s="775">
        <f t="shared" si="12"/>
        <v>100</v>
      </c>
      <c r="T45" s="774" t="s">
        <v>17</v>
      </c>
      <c r="U45" s="775">
        <f t="shared" si="13"/>
        <v>100</v>
      </c>
      <c r="V45" s="774" t="s">
        <v>17</v>
      </c>
      <c r="W45" s="775">
        <f t="shared" si="14"/>
        <v>100</v>
      </c>
      <c r="X45" s="3358"/>
      <c r="Y45" s="3746"/>
      <c r="Z45" s="3359">
        <f t="shared" si="18"/>
        <v>0</v>
      </c>
      <c r="AA45" s="3357">
        <f t="shared" si="15"/>
        <v>1</v>
      </c>
      <c r="AB45" s="3357">
        <f t="shared" si="16"/>
        <v>1</v>
      </c>
      <c r="AC45" s="3357">
        <f t="shared" si="17"/>
        <v>1</v>
      </c>
    </row>
    <row r="46" spans="1:29" ht="15.6" thickBot="1">
      <c r="A46" s="478"/>
      <c r="B46" s="2602"/>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745"/>
      <c r="Q46" s="3356">
        <f t="shared" si="11"/>
        <v>0</v>
      </c>
      <c r="R46" s="774" t="s">
        <v>17</v>
      </c>
      <c r="S46" s="775">
        <f t="shared" si="12"/>
        <v>100</v>
      </c>
      <c r="T46" s="774" t="s">
        <v>17</v>
      </c>
      <c r="U46" s="775">
        <f t="shared" si="13"/>
        <v>100</v>
      </c>
      <c r="V46" s="774" t="s">
        <v>17</v>
      </c>
      <c r="W46" s="775">
        <f t="shared" si="14"/>
        <v>100</v>
      </c>
      <c r="X46" s="3358"/>
      <c r="Y46" s="3747"/>
      <c r="Z46" s="3359">
        <f t="shared" si="18"/>
        <v>0</v>
      </c>
      <c r="AA46" s="3357">
        <f t="shared" si="15"/>
        <v>1</v>
      </c>
      <c r="AB46" s="3357">
        <f t="shared" si="16"/>
        <v>1</v>
      </c>
      <c r="AC46" s="3357">
        <f t="shared" si="17"/>
        <v>1</v>
      </c>
    </row>
    <row r="47" spans="1:29" ht="14.4">
      <c r="A47" s="479" t="s">
        <v>2531</v>
      </c>
      <c r="B47" s="480"/>
      <c r="C47" s="1406" t="s">
        <v>1</v>
      </c>
      <c r="D47" s="1407"/>
      <c r="E47" s="1408">
        <v>9600</v>
      </c>
      <c r="F47" s="1409"/>
      <c r="G47" s="1410">
        <v>9500</v>
      </c>
      <c r="H47" s="1411"/>
      <c r="I47" s="1408">
        <v>10000</v>
      </c>
      <c r="J47" s="1411"/>
      <c r="K47" s="2621"/>
      <c r="L47" s="1142"/>
      <c r="M47" s="1143"/>
      <c r="N47" s="1130"/>
      <c r="O47" s="1143"/>
      <c r="P47" s="3739" t="str">
        <f>A47</f>
        <v>成交单价（元/平方米）</v>
      </c>
      <c r="Q47" s="3739"/>
      <c r="R47" s="3740">
        <f>E47</f>
        <v>9600</v>
      </c>
      <c r="S47" s="3740"/>
      <c r="T47" s="3740">
        <f>G47</f>
        <v>9500</v>
      </c>
      <c r="U47" s="3740"/>
      <c r="V47" s="3740">
        <f>I47</f>
        <v>10000</v>
      </c>
      <c r="W47" s="3740"/>
      <c r="X47" s="759"/>
      <c r="Y47" s="781"/>
      <c r="Z47" s="759"/>
      <c r="AA47" s="759"/>
      <c r="AB47" s="759"/>
      <c r="AC47" s="759"/>
    </row>
    <row r="48" spans="1:29" ht="15" thickBot="1">
      <c r="A48" s="486" t="s">
        <v>2532</v>
      </c>
      <c r="B48" s="487"/>
      <c r="C48" s="1412">
        <f>R49</f>
        <v>9511</v>
      </c>
      <c r="D48" s="1413"/>
      <c r="E48" s="1414">
        <f>R48</f>
        <v>9319</v>
      </c>
      <c r="F48" s="1414"/>
      <c r="G48" s="1412">
        <f>T48</f>
        <v>9313</v>
      </c>
      <c r="H48" s="1413"/>
      <c r="I48" s="1414">
        <f>V48</f>
        <v>9901</v>
      </c>
      <c r="J48" s="1413"/>
      <c r="K48" s="2622"/>
      <c r="L48" s="1142"/>
      <c r="M48" s="1143"/>
      <c r="N48" s="1143"/>
      <c r="O48" s="1143"/>
      <c r="P48" s="3739" t="str">
        <f>A48</f>
        <v>比较价值（元/平方米）</v>
      </c>
      <c r="Q48" s="3739"/>
      <c r="R48" s="3740">
        <f>IF(F1="售价",ROUND(PRODUCT(R47,AA7:AA46),0),ROUND(PRODUCT(R47,AA7:AA46),1))</f>
        <v>9319</v>
      </c>
      <c r="S48" s="3740"/>
      <c r="T48" s="3740">
        <f>IF(F1="售价",ROUND(PRODUCT(T47,AB7:AB46),0),ROUND(PRODUCT(T47,AB7:AB46),1))</f>
        <v>9313</v>
      </c>
      <c r="U48" s="3740"/>
      <c r="V48" s="3740">
        <f>IF(F1="售价",ROUND(PRODUCT(V47,AC7:AC46),0),ROUND(PRODUCT(V47,AC7:AC46),1))</f>
        <v>9901</v>
      </c>
      <c r="W48" s="3740"/>
      <c r="X48" s="759"/>
      <c r="Y48" s="759"/>
      <c r="Z48" s="759"/>
      <c r="AA48" s="759"/>
      <c r="AB48" s="759"/>
      <c r="AC48" s="759"/>
    </row>
    <row r="49" spans="1:29" ht="15" thickBot="1">
      <c r="A49" s="492" t="s">
        <v>3341</v>
      </c>
      <c r="B49" s="493"/>
      <c r="C49" s="1415">
        <f>R49</f>
        <v>9511</v>
      </c>
      <c r="D49" s="1416"/>
      <c r="E49" s="1416"/>
      <c r="F49" s="1416"/>
      <c r="G49" s="1416"/>
      <c r="H49" s="1416"/>
      <c r="I49" s="1416"/>
      <c r="J49" s="1416"/>
      <c r="K49" s="2623"/>
      <c r="L49" s="1142"/>
      <c r="M49" s="1143"/>
      <c r="N49" s="1143"/>
      <c r="O49" s="1143"/>
      <c r="P49" s="3736" t="str">
        <f>A49</f>
        <v>估价对象住宅用房的比较价值（楼面单价，元/平方米）</v>
      </c>
      <c r="Q49" s="3737"/>
      <c r="R49" s="3738">
        <f>IF(F1="售价",ROUND(AVERAGE(R48:V48),0),ROUND(AVERAGE(R48:V48),1))</f>
        <v>9511</v>
      </c>
      <c r="S49" s="3738"/>
      <c r="T49" s="3738"/>
      <c r="U49" s="3738"/>
      <c r="V49" s="3738"/>
      <c r="W49" s="373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3.0153449940980792E-2</v>
      </c>
      <c r="F52" s="500" t="str">
        <f>IF(OR(E52&gt;=0.3,E52&lt;=-0.3),"超过30%","")</f>
        <v/>
      </c>
      <c r="G52" s="499">
        <f>IF(G47&lt;G48,G48/G47-1,G47/G48-1)</f>
        <v>2.0079458821002927E-2</v>
      </c>
      <c r="H52" s="500" t="str">
        <f>IF(OR(G52&gt;=0.3,G52&lt;=-0.3),"超过30%","")</f>
        <v/>
      </c>
      <c r="I52" s="499">
        <f>IF(I47&lt;I48,I48/I47-1,I47/I48-1)</f>
        <v>9.9989900010100108E-3</v>
      </c>
      <c r="J52" s="500" t="str">
        <f>IF(OR(I52&gt;=0.3,I52&lt;=-0.3),"超过30%","")</f>
        <v/>
      </c>
      <c r="K52" s="1104"/>
      <c r="L52" s="1105"/>
      <c r="M52" s="1143"/>
      <c r="N52" s="1143"/>
      <c r="O52" s="1143"/>
    </row>
    <row r="53" spans="1:29" ht="13.5" customHeight="1">
      <c r="A53" s="1143"/>
      <c r="B53" s="1143"/>
      <c r="C53" s="497" t="s">
        <v>2534</v>
      </c>
      <c r="D53" s="501"/>
      <c r="E53" s="499">
        <f>IF(E48&lt;G48,G48/E48-1,E48/G48-1)</f>
        <v>6.4426071083434344E-4</v>
      </c>
      <c r="F53" s="500" t="str">
        <f>IF(OR(E53&gt;=0.2,E53&lt;=-0.2),"超过20%","")</f>
        <v/>
      </c>
      <c r="G53" s="499">
        <f>IF(G48&lt;I48,I48/G48-1,G48/I48-1)</f>
        <v>6.3137549661763215E-2</v>
      </c>
      <c r="H53" s="500" t="str">
        <f>IF(OR(G53&gt;=0.2,G53&lt;=-0.2),"超过20%","")</f>
        <v/>
      </c>
      <c r="I53" s="499">
        <f>IF(I48&lt;E48,E48/I48-1,I48/E48-1)</f>
        <v>6.2453052902671891E-2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1.0526315789473717E-2</v>
      </c>
      <c r="F54" s="500" t="str">
        <f>IF(OR(E54&gt;=0.3,E54&lt;=-0.3),"超过30%","")</f>
        <v/>
      </c>
      <c r="G54" s="499">
        <f>IF(G47&lt;I47,I47/G47-1,G47/I47-1)</f>
        <v>5.2631578947368363E-2</v>
      </c>
      <c r="H54" s="500" t="str">
        <f>IF(OR(G54&gt;=0.3,G54&lt;=-0.3),"超过30%","")</f>
        <v/>
      </c>
      <c r="I54" s="499">
        <f>IF(I47&lt;E47,E47/I47-1,I47/E47-1)</f>
        <v>4.1666666666666741E-2</v>
      </c>
      <c r="J54" s="500" t="str">
        <f>IF(OR(I54&gt;=0.3,I54&lt;=-0.3),"超过30%","")</f>
        <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2.2" thickBot="1">
      <c r="A57" s="763" t="s">
        <v>2536</v>
      </c>
      <c r="B57" s="759"/>
      <c r="C57" s="764"/>
      <c r="D57" s="764"/>
      <c r="E57" s="764"/>
      <c r="F57" s="765"/>
      <c r="G57" s="765"/>
      <c r="H57" s="764"/>
      <c r="I57" s="764"/>
      <c r="J57" s="764"/>
      <c r="K57" s="1159"/>
      <c r="L57" s="1160"/>
      <c r="M57" s="1158"/>
      <c r="N57" s="1158"/>
      <c r="O57" s="1158"/>
      <c r="P57" s="2626"/>
      <c r="Q57" s="504"/>
    </row>
    <row r="58" spans="1:29" s="508" customFormat="1" ht="14.4">
      <c r="A58" s="505" t="s">
        <v>2502</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c r="A59" s="509"/>
      <c r="B59" s="2627"/>
      <c r="C59" s="1572">
        <v>100</v>
      </c>
      <c r="D59" s="511"/>
      <c r="E59" s="512"/>
      <c r="F59" s="512"/>
      <c r="G59" s="512"/>
      <c r="H59" s="512"/>
      <c r="I59" s="512"/>
      <c r="J59" s="512"/>
      <c r="K59" s="512"/>
      <c r="L59" s="512"/>
      <c r="M59" s="513"/>
      <c r="N59" s="512"/>
      <c r="O59" s="513"/>
      <c r="P59" s="2628"/>
    </row>
    <row r="60" spans="1:29" s="117" customFormat="1" ht="15" thickBot="1">
      <c r="A60" s="515" t="s">
        <v>2538</v>
      </c>
      <c r="B60" s="516"/>
      <c r="C60" s="517"/>
      <c r="D60" s="518"/>
      <c r="E60" s="518"/>
      <c r="F60" s="518"/>
      <c r="G60" s="518"/>
      <c r="H60" s="518"/>
      <c r="I60" s="518"/>
      <c r="J60" s="518"/>
      <c r="K60" s="518"/>
      <c r="L60" s="518"/>
      <c r="M60" s="519"/>
      <c r="N60" s="518"/>
      <c r="O60" s="519"/>
      <c r="P60" s="2628"/>
      <c r="Q60" s="504"/>
    </row>
    <row r="61" spans="1:29" s="117" customFormat="1" ht="14.4">
      <c r="A61" s="521" t="s">
        <v>2504</v>
      </c>
      <c r="B61" s="510"/>
      <c r="C61" s="522" t="s">
        <v>2540</v>
      </c>
      <c r="D61" s="523"/>
      <c r="E61" s="523"/>
      <c r="F61" s="523"/>
      <c r="G61" s="523"/>
      <c r="H61" s="523"/>
      <c r="I61" s="523"/>
      <c r="J61" s="523"/>
      <c r="K61" s="523"/>
      <c r="L61" s="524"/>
      <c r="M61" s="525"/>
      <c r="N61" s="1150"/>
      <c r="O61" s="1150"/>
      <c r="P61" s="2629"/>
      <c r="Q61" s="504"/>
    </row>
    <row r="62" spans="1:29" s="117" customFormat="1" ht="14.4" thickBot="1">
      <c r="A62" s="521"/>
      <c r="B62" s="510"/>
      <c r="C62" s="511">
        <v>100</v>
      </c>
      <c r="D62" s="512"/>
      <c r="E62" s="512"/>
      <c r="F62" s="512"/>
      <c r="G62" s="512"/>
      <c r="H62" s="512"/>
      <c r="I62" s="512"/>
      <c r="J62" s="512"/>
      <c r="K62" s="512"/>
      <c r="L62" s="512"/>
      <c r="M62" s="514"/>
      <c r="N62" s="1150"/>
      <c r="O62" s="1150"/>
      <c r="P62" s="2628"/>
      <c r="Q62" s="504"/>
    </row>
    <row r="63" spans="1:29" ht="14.4">
      <c r="A63" s="527" t="s">
        <v>2541</v>
      </c>
      <c r="B63" s="528" t="s">
        <v>2508</v>
      </c>
      <c r="C63" s="529" t="str">
        <f>C9</f>
        <v>住宅</v>
      </c>
      <c r="D63" s="530"/>
      <c r="E63" s="530"/>
      <c r="F63" s="530"/>
      <c r="G63" s="530"/>
      <c r="H63" s="530"/>
      <c r="I63" s="530"/>
      <c r="J63" s="530"/>
      <c r="K63" s="531"/>
      <c r="L63" s="532"/>
      <c r="M63" s="533"/>
      <c r="N63" s="1151"/>
      <c r="O63" s="1151"/>
      <c r="P63" s="2630"/>
      <c r="Q63" s="504"/>
    </row>
    <row r="64" spans="1:29" ht="14.4" thickBot="1">
      <c r="A64" s="534"/>
      <c r="B64" s="535"/>
      <c r="C64" s="536">
        <v>100</v>
      </c>
      <c r="D64" s="536"/>
      <c r="E64" s="536"/>
      <c r="F64" s="536"/>
      <c r="G64" s="536"/>
      <c r="H64" s="536"/>
      <c r="I64" s="536"/>
      <c r="J64" s="536"/>
      <c r="K64" s="536"/>
      <c r="L64" s="536"/>
      <c r="M64" s="537"/>
      <c r="N64" s="1152"/>
      <c r="O64" s="1152"/>
      <c r="P64" s="2630"/>
      <c r="Q64" s="504"/>
    </row>
    <row r="65" spans="1:17" ht="29.4"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30"/>
      <c r="Q66" s="504"/>
    </row>
    <row r="67" spans="1:17" ht="15" thickTop="1">
      <c r="A67" s="534"/>
      <c r="B67" s="546" t="s">
        <v>2512</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2"/>
      <c r="O67" s="1152"/>
      <c r="P67" s="2630"/>
      <c r="Q67" s="504"/>
    </row>
    <row r="68" spans="1:17">
      <c r="A68" s="534"/>
      <c r="B68" s="548"/>
      <c r="C68" s="549">
        <v>0</v>
      </c>
      <c r="D68" s="549">
        <v>1</v>
      </c>
      <c r="E68" s="549">
        <v>2</v>
      </c>
      <c r="F68" s="549">
        <v>3</v>
      </c>
      <c r="G68" s="549">
        <v>4</v>
      </c>
      <c r="H68" s="549">
        <v>5</v>
      </c>
      <c r="I68" s="549">
        <v>6</v>
      </c>
      <c r="J68" s="549">
        <v>7</v>
      </c>
      <c r="K68" s="549">
        <v>8</v>
      </c>
      <c r="L68" s="549">
        <v>9</v>
      </c>
      <c r="M68" s="552"/>
      <c r="N68" s="1151"/>
      <c r="O68" s="1151"/>
      <c r="P68" s="2630"/>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30"/>
      <c r="Q69" s="504"/>
    </row>
    <row r="70" spans="1:17" s="471" customFormat="1" ht="14.4" thickTop="1">
      <c r="A70" s="553"/>
      <c r="B70" s="538">
        <f>B12</f>
        <v>0</v>
      </c>
      <c r="C70" s="554"/>
      <c r="D70" s="554"/>
      <c r="E70" s="554"/>
      <c r="F70" s="554"/>
      <c r="G70" s="554"/>
      <c r="H70" s="555"/>
      <c r="I70" s="555"/>
      <c r="J70" s="555"/>
      <c r="K70" s="555"/>
      <c r="L70" s="556"/>
      <c r="M70" s="557"/>
      <c r="N70" s="1153"/>
      <c r="O70" s="1153"/>
      <c r="P70" s="2631"/>
      <c r="Q70" s="559"/>
    </row>
    <row r="71" spans="1:17" s="471" customFormat="1" ht="14.4" thickBot="1">
      <c r="A71" s="553"/>
      <c r="B71" s="543"/>
      <c r="C71" s="560"/>
      <c r="D71" s="536"/>
      <c r="E71" s="536"/>
      <c r="F71" s="536"/>
      <c r="G71" s="536"/>
      <c r="H71" s="536"/>
      <c r="I71" s="536"/>
      <c r="J71" s="536"/>
      <c r="K71" s="536"/>
      <c r="L71" s="536"/>
      <c r="M71" s="537"/>
      <c r="N71" s="1152"/>
      <c r="O71" s="1152"/>
      <c r="P71" s="2631"/>
      <c r="Q71" s="559"/>
    </row>
    <row r="72" spans="1:17" s="471" customFormat="1" ht="14.4" thickTop="1">
      <c r="A72" s="553"/>
      <c r="B72" s="538">
        <f>B13</f>
        <v>0</v>
      </c>
      <c r="C72" s="554"/>
      <c r="D72" s="554"/>
      <c r="E72" s="554"/>
      <c r="F72" s="554"/>
      <c r="G72" s="554"/>
      <c r="H72" s="555"/>
      <c r="I72" s="555"/>
      <c r="J72" s="555"/>
      <c r="K72" s="555"/>
      <c r="L72" s="556"/>
      <c r="M72" s="557"/>
      <c r="N72" s="1153"/>
      <c r="O72" s="1153"/>
      <c r="P72" s="2632"/>
      <c r="Q72" s="561"/>
    </row>
    <row r="73" spans="1:17" s="471" customFormat="1" ht="14.4" thickBot="1">
      <c r="A73" s="553"/>
      <c r="B73" s="543"/>
      <c r="C73" s="560"/>
      <c r="D73" s="560"/>
      <c r="E73" s="560"/>
      <c r="F73" s="560"/>
      <c r="G73" s="560"/>
      <c r="H73" s="562"/>
      <c r="I73" s="562"/>
      <c r="J73" s="562"/>
      <c r="K73" s="562"/>
      <c r="L73" s="562"/>
      <c r="M73" s="563"/>
      <c r="N73" s="1153"/>
      <c r="O73" s="1153"/>
      <c r="P73" s="2631"/>
      <c r="Q73" s="559"/>
    </row>
    <row r="74" spans="1:17" s="471" customFormat="1" ht="14.4" thickTop="1">
      <c r="A74" s="553"/>
      <c r="B74" s="546">
        <f>B14</f>
        <v>0</v>
      </c>
      <c r="C74" s="554"/>
      <c r="D74" s="554"/>
      <c r="E74" s="554"/>
      <c r="F74" s="554"/>
      <c r="G74" s="523"/>
      <c r="H74" s="564"/>
      <c r="I74" s="564"/>
      <c r="J74" s="564"/>
      <c r="K74" s="564"/>
      <c r="L74" s="565"/>
      <c r="M74" s="566"/>
      <c r="N74" s="1153"/>
      <c r="O74" s="1153"/>
      <c r="P74" s="2633"/>
      <c r="Q74" s="559"/>
    </row>
    <row r="75" spans="1:17" s="471" customFormat="1" ht="14.4" thickBot="1">
      <c r="A75" s="568"/>
      <c r="B75" s="569"/>
      <c r="C75" s="570"/>
      <c r="D75" s="570"/>
      <c r="E75" s="570"/>
      <c r="F75" s="570"/>
      <c r="G75" s="570"/>
      <c r="H75" s="571"/>
      <c r="I75" s="571"/>
      <c r="J75" s="571"/>
      <c r="K75" s="571"/>
      <c r="L75" s="571"/>
      <c r="M75" s="572"/>
      <c r="N75" s="1153"/>
      <c r="O75" s="1153"/>
      <c r="P75" s="2631"/>
      <c r="Q75" s="559"/>
    </row>
    <row r="76" spans="1:17" ht="14.4">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2"/>
      <c r="O77" s="1152"/>
      <c r="P77" s="2630"/>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2"/>
      <c r="O79" s="1152"/>
      <c r="P79" s="2630"/>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 thickTop="1">
      <c r="A82" s="534"/>
      <c r="B82" s="546" t="s">
        <v>2056</v>
      </c>
      <c r="C82" s="539" t="s">
        <v>2557</v>
      </c>
      <c r="D82" s="539" t="s">
        <v>2558</v>
      </c>
      <c r="E82" s="539" t="s">
        <v>2559</v>
      </c>
      <c r="F82" s="539" t="s">
        <v>2560</v>
      </c>
      <c r="G82" s="539" t="s">
        <v>2561</v>
      </c>
      <c r="H82" s="539"/>
      <c r="I82" s="539"/>
      <c r="J82" s="539"/>
      <c r="K82" s="539"/>
      <c r="L82" s="539"/>
      <c r="M82" s="1381"/>
      <c r="N82" s="1152"/>
      <c r="O82" s="1152"/>
      <c r="P82" s="2630"/>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2"/>
      <c r="O83" s="1152"/>
      <c r="P83" s="2630"/>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 thickTop="1">
      <c r="A86" s="579"/>
      <c r="B86" s="538" t="s">
        <v>2563</v>
      </c>
      <c r="C86" s="554" t="s">
        <v>3368</v>
      </c>
      <c r="D86" s="554"/>
      <c r="E86" s="554"/>
      <c r="F86" s="554"/>
      <c r="G86" s="554"/>
      <c r="H86" s="554"/>
      <c r="I86" s="554"/>
      <c r="J86" s="554"/>
      <c r="K86" s="554"/>
      <c r="L86" s="580"/>
      <c r="M86" s="581"/>
      <c r="N86" s="1150"/>
      <c r="O86" s="1150"/>
      <c r="P86" s="2630"/>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30"/>
      <c r="Q87" s="504"/>
    </row>
    <row r="88" spans="1:17" s="117" customFormat="1" ht="15" thickTop="1">
      <c r="A88" s="579"/>
      <c r="B88" s="538" t="s">
        <v>2564</v>
      </c>
      <c r="C88" s="554" t="s">
        <v>3372</v>
      </c>
      <c r="D88" s="554"/>
      <c r="E88" s="554"/>
      <c r="F88" s="2635"/>
      <c r="G88" s="554"/>
      <c r="H88" s="554"/>
      <c r="I88" s="554"/>
      <c r="J88" s="554"/>
      <c r="K88" s="554"/>
      <c r="L88" s="554"/>
      <c r="M88" s="581"/>
      <c r="N88" s="1150"/>
      <c r="O88" s="1150"/>
      <c r="P88" s="2630"/>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30"/>
      <c r="Q89" s="504"/>
    </row>
    <row r="90" spans="1:17" s="471" customFormat="1" ht="14.4" thickTop="1">
      <c r="A90" s="553"/>
      <c r="B90" s="538">
        <f>B27</f>
        <v>0</v>
      </c>
      <c r="C90" s="554"/>
      <c r="D90" s="554"/>
      <c r="E90" s="554"/>
      <c r="F90" s="554"/>
      <c r="G90" s="554"/>
      <c r="H90" s="555"/>
      <c r="I90" s="555"/>
      <c r="J90" s="555"/>
      <c r="K90" s="555"/>
      <c r="L90" s="556"/>
      <c r="M90" s="557"/>
      <c r="N90" s="1153"/>
      <c r="O90" s="1153"/>
      <c r="P90" s="2631"/>
      <c r="Q90" s="559"/>
    </row>
    <row r="91" spans="1:17" s="471" customFormat="1" ht="14.4" thickBot="1">
      <c r="A91" s="553"/>
      <c r="B91" s="543"/>
      <c r="C91" s="560"/>
      <c r="D91" s="560"/>
      <c r="E91" s="560"/>
      <c r="F91" s="560"/>
      <c r="G91" s="560"/>
      <c r="H91" s="562"/>
      <c r="I91" s="562"/>
      <c r="J91" s="562"/>
      <c r="K91" s="562"/>
      <c r="L91" s="562"/>
      <c r="M91" s="563"/>
      <c r="N91" s="1153"/>
      <c r="O91" s="1153"/>
      <c r="P91" s="2631"/>
      <c r="Q91" s="559"/>
    </row>
    <row r="92" spans="1:17" ht="14.4" thickTop="1">
      <c r="A92" s="534"/>
      <c r="B92" s="538">
        <f>B28</f>
        <v>0</v>
      </c>
      <c r="C92" s="554"/>
      <c r="D92" s="554"/>
      <c r="E92" s="554"/>
      <c r="F92" s="554"/>
      <c r="G92" s="583"/>
      <c r="H92" s="583"/>
      <c r="I92" s="583"/>
      <c r="J92" s="583"/>
      <c r="K92" s="584"/>
      <c r="L92" s="585"/>
      <c r="M92" s="586"/>
      <c r="N92" s="1151"/>
      <c r="O92" s="1151"/>
      <c r="P92" s="2630"/>
      <c r="Q92" s="504"/>
    </row>
    <row r="93" spans="1:17" ht="14.4" thickBot="1">
      <c r="A93" s="534"/>
      <c r="B93" s="543"/>
      <c r="C93" s="560"/>
      <c r="D93" s="536"/>
      <c r="E93" s="536"/>
      <c r="F93" s="536"/>
      <c r="G93" s="536"/>
      <c r="H93" s="536"/>
      <c r="I93" s="536"/>
      <c r="J93" s="536"/>
      <c r="K93" s="536"/>
      <c r="L93" s="536"/>
      <c r="M93" s="537"/>
      <c r="N93" s="1152"/>
      <c r="O93" s="1152"/>
      <c r="P93" s="2630"/>
      <c r="Q93" s="504"/>
    </row>
    <row r="94" spans="1:17" ht="14.4" thickTop="1">
      <c r="A94" s="534"/>
      <c r="B94" s="538">
        <f>B29</f>
        <v>0</v>
      </c>
      <c r="C94" s="554"/>
      <c r="D94" s="554"/>
      <c r="E94" s="554"/>
      <c r="F94" s="554"/>
      <c r="G94" s="583"/>
      <c r="H94" s="583"/>
      <c r="I94" s="583"/>
      <c r="J94" s="583"/>
      <c r="K94" s="584"/>
      <c r="L94" s="585"/>
      <c r="M94" s="586"/>
      <c r="N94" s="1151"/>
      <c r="O94" s="1151"/>
      <c r="P94" s="2630"/>
      <c r="Q94" s="504"/>
    </row>
    <row r="95" spans="1:17" ht="14.4" thickBot="1">
      <c r="A95" s="534"/>
      <c r="B95" s="543"/>
      <c r="C95" s="560"/>
      <c r="D95" s="560"/>
      <c r="E95" s="560"/>
      <c r="F95" s="560"/>
      <c r="G95" s="536"/>
      <c r="H95" s="536"/>
      <c r="I95" s="536"/>
      <c r="J95" s="536"/>
      <c r="K95" s="536"/>
      <c r="L95" s="536"/>
      <c r="M95" s="537"/>
      <c r="N95" s="1152"/>
      <c r="O95" s="1152"/>
      <c r="P95" s="2630"/>
      <c r="Q95" s="504"/>
    </row>
    <row r="96" spans="1:17" ht="14.4" thickTop="1">
      <c r="A96" s="534"/>
      <c r="B96" s="538">
        <f>B30</f>
        <v>0</v>
      </c>
      <c r="C96" s="554"/>
      <c r="D96" s="554"/>
      <c r="E96" s="554"/>
      <c r="F96" s="554"/>
      <c r="G96" s="583"/>
      <c r="H96" s="583"/>
      <c r="I96" s="583"/>
      <c r="J96" s="583"/>
      <c r="K96" s="584"/>
      <c r="L96" s="585"/>
      <c r="M96" s="586"/>
      <c r="N96" s="1151"/>
      <c r="O96" s="1151"/>
      <c r="P96" s="2630"/>
      <c r="Q96" s="504"/>
    </row>
    <row r="97" spans="1:17" ht="14.4" thickBot="1">
      <c r="A97" s="534"/>
      <c r="B97" s="543"/>
      <c r="C97" s="570"/>
      <c r="D97" s="570"/>
      <c r="E97" s="570"/>
      <c r="F97" s="570"/>
      <c r="G97" s="536"/>
      <c r="H97" s="536"/>
      <c r="I97" s="536"/>
      <c r="J97" s="536"/>
      <c r="K97" s="536"/>
      <c r="L97" s="536"/>
      <c r="M97" s="537"/>
      <c r="N97" s="1152"/>
      <c r="O97" s="1152"/>
      <c r="P97" s="2630"/>
      <c r="Q97" s="504"/>
    </row>
    <row r="98" spans="1:17" ht="14.4" thickTop="1">
      <c r="A98" s="534"/>
      <c r="B98" s="546">
        <f>B31</f>
        <v>0</v>
      </c>
      <c r="C98" s="587"/>
      <c r="D98" s="587"/>
      <c r="E98" s="587"/>
      <c r="F98" s="587"/>
      <c r="G98" s="587"/>
      <c r="H98" s="587"/>
      <c r="I98" s="587"/>
      <c r="J98" s="587"/>
      <c r="K98" s="588"/>
      <c r="L98" s="589"/>
      <c r="M98" s="590"/>
      <c r="N98" s="1151"/>
      <c r="O98" s="1151"/>
      <c r="P98" s="2630"/>
      <c r="Q98" s="504"/>
    </row>
    <row r="99" spans="1:17" ht="14.4" thickBot="1">
      <c r="A99" s="2636"/>
      <c r="B99" s="569"/>
      <c r="C99" s="591"/>
      <c r="D99" s="591"/>
      <c r="E99" s="591"/>
      <c r="F99" s="591"/>
      <c r="G99" s="591"/>
      <c r="H99" s="591"/>
      <c r="I99" s="591"/>
      <c r="J99" s="591"/>
      <c r="K99" s="591"/>
      <c r="L99" s="591"/>
      <c r="M99" s="592"/>
      <c r="N99" s="1152"/>
      <c r="O99" s="1152"/>
      <c r="P99" s="2630"/>
      <c r="Q99" s="504"/>
    </row>
    <row r="100" spans="1:17" ht="14.4">
      <c r="A100" s="527" t="s">
        <v>2517</v>
      </c>
      <c r="B100" s="528" t="s">
        <v>2565</v>
      </c>
      <c r="C100" s="3449" t="s">
        <v>3374</v>
      </c>
      <c r="D100" s="530"/>
      <c r="E100" s="530"/>
      <c r="F100" s="530"/>
      <c r="G100" s="530"/>
      <c r="H100" s="530"/>
      <c r="I100" s="530"/>
      <c r="J100" s="530"/>
      <c r="K100" s="531"/>
      <c r="L100" s="532"/>
      <c r="M100" s="533"/>
      <c r="N100" s="1151"/>
      <c r="O100" s="1151"/>
      <c r="P100" s="2630"/>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30"/>
      <c r="Q101" s="504"/>
    </row>
    <row r="102" spans="1:17" ht="28.2"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v>0</v>
      </c>
      <c r="D103" s="595">
        <v>100000</v>
      </c>
      <c r="E103" s="595">
        <v>200000</v>
      </c>
      <c r="F103" s="595">
        <v>300000</v>
      </c>
      <c r="G103" s="595"/>
      <c r="H103" s="595"/>
      <c r="I103" s="595"/>
      <c r="J103" s="596"/>
      <c r="K103" s="596"/>
      <c r="L103" s="597"/>
      <c r="M103" s="598"/>
      <c r="N103" s="1153"/>
      <c r="O103" s="1153"/>
      <c r="P103" s="2631"/>
      <c r="Q103" s="559"/>
    </row>
    <row r="104" spans="1:17" s="471" customFormat="1" ht="14.4" thickBot="1">
      <c r="A104" s="553"/>
      <c r="B104" s="543"/>
      <c r="C104" s="560">
        <v>100</v>
      </c>
      <c r="D104" s="536">
        <v>101</v>
      </c>
      <c r="E104" s="560">
        <v>102</v>
      </c>
      <c r="F104" s="560">
        <v>103</v>
      </c>
      <c r="G104" s="536"/>
      <c r="H104" s="536"/>
      <c r="I104" s="536"/>
      <c r="J104" s="536"/>
      <c r="K104" s="536"/>
      <c r="L104" s="536"/>
      <c r="M104" s="536"/>
      <c r="N104" s="1152"/>
      <c r="O104" s="1152"/>
      <c r="P104" s="2631"/>
      <c r="Q104" s="559"/>
    </row>
    <row r="105" spans="1:17" ht="15" thickTop="1">
      <c r="A105" s="599"/>
      <c r="B105" s="538" t="s">
        <v>2567</v>
      </c>
      <c r="C105" s="3450" t="s">
        <v>3375</v>
      </c>
      <c r="D105" s="554"/>
      <c r="E105" s="583"/>
      <c r="F105" s="583"/>
      <c r="G105" s="583"/>
      <c r="H105" s="583"/>
      <c r="I105" s="583"/>
      <c r="J105" s="583"/>
      <c r="K105" s="584"/>
      <c r="L105" s="585"/>
      <c r="M105" s="586"/>
      <c r="N105" s="1151"/>
      <c r="O105" s="1151"/>
      <c r="P105" s="2630"/>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30"/>
      <c r="Q106" s="504"/>
    </row>
    <row r="107" spans="1:17" ht="15" thickTop="1">
      <c r="A107" s="599"/>
      <c r="B107" s="538" t="s">
        <v>2568</v>
      </c>
      <c r="C107" s="3451" t="s">
        <v>3387</v>
      </c>
      <c r="D107" s="3451" t="s">
        <v>3386</v>
      </c>
      <c r="E107" s="583"/>
      <c r="F107" s="583"/>
      <c r="G107" s="583"/>
      <c r="H107" s="583"/>
      <c r="I107" s="583"/>
      <c r="J107" s="583"/>
      <c r="K107" s="584"/>
      <c r="L107" s="585"/>
      <c r="M107" s="586"/>
      <c r="N107" s="1151"/>
      <c r="O107" s="1151"/>
      <c r="P107" s="2630"/>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30"/>
      <c r="Q108" s="504"/>
    </row>
    <row r="109" spans="1:17" ht="15" thickTop="1">
      <c r="A109" s="599"/>
      <c r="B109" s="538" t="s">
        <v>2569</v>
      </c>
      <c r="C109" s="3450" t="s">
        <v>3379</v>
      </c>
      <c r="D109" s="554"/>
      <c r="E109" s="554"/>
      <c r="F109" s="583"/>
      <c r="G109" s="583"/>
      <c r="H109" s="583"/>
      <c r="I109" s="583"/>
      <c r="J109" s="583"/>
      <c r="K109" s="584"/>
      <c r="L109" s="585"/>
      <c r="M109" s="586"/>
      <c r="N109" s="1151"/>
      <c r="O109" s="1151"/>
      <c r="P109" s="2630"/>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30"/>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31"/>
      <c r="Q113" s="559"/>
    </row>
    <row r="114" spans="1:17" ht="15" thickTop="1">
      <c r="A114" s="599"/>
      <c r="B114" s="538" t="s">
        <v>2570</v>
      </c>
      <c r="C114" s="3450" t="s">
        <v>3381</v>
      </c>
      <c r="D114" s="554"/>
      <c r="E114" s="583"/>
      <c r="F114" s="583"/>
      <c r="G114" s="583"/>
      <c r="H114" s="583"/>
      <c r="I114" s="583"/>
      <c r="J114" s="583"/>
      <c r="K114" s="584"/>
      <c r="L114" s="585"/>
      <c r="M114" s="586"/>
      <c r="N114" s="1151"/>
      <c r="O114" s="1151"/>
      <c r="P114" s="2630"/>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30"/>
      <c r="Q115" s="504"/>
    </row>
    <row r="116" spans="1:17" ht="15" thickTop="1">
      <c r="A116" s="599"/>
      <c r="B116" s="538" t="s">
        <v>2571</v>
      </c>
      <c r="C116" s="3450" t="s">
        <v>3382</v>
      </c>
      <c r="D116" s="554"/>
      <c r="E116" s="554"/>
      <c r="F116" s="554"/>
      <c r="G116" s="554"/>
      <c r="H116" s="583"/>
      <c r="I116" s="583"/>
      <c r="J116" s="583"/>
      <c r="K116" s="584"/>
      <c r="L116" s="585"/>
      <c r="M116" s="586"/>
      <c r="N116" s="1151"/>
      <c r="O116" s="1151"/>
      <c r="P116" s="263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2572</v>
      </c>
      <c r="C118" s="583" t="s">
        <v>3368</v>
      </c>
      <c r="D118" s="583"/>
      <c r="E118" s="583"/>
      <c r="F118" s="583"/>
      <c r="G118" s="583"/>
      <c r="H118" s="583"/>
      <c r="I118" s="583"/>
      <c r="J118" s="583"/>
      <c r="K118" s="584"/>
      <c r="L118" s="585"/>
      <c r="M118" s="586"/>
      <c r="N118" s="1151"/>
      <c r="O118" s="1151"/>
      <c r="P118" s="2630"/>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30"/>
      <c r="Q119" s="504"/>
    </row>
    <row r="120" spans="1:17" s="471" customFormat="1" ht="29.4" thickTop="1">
      <c r="A120" s="593"/>
      <c r="B120" s="538" t="s">
        <v>2528</v>
      </c>
      <c r="C120" s="554" t="s">
        <v>3368</v>
      </c>
      <c r="D120" s="554"/>
      <c r="E120" s="554"/>
      <c r="F120" s="554"/>
      <c r="G120" s="554"/>
      <c r="H120" s="554"/>
      <c r="I120" s="554"/>
      <c r="J120" s="554"/>
      <c r="K120" s="554"/>
      <c r="L120" s="580"/>
      <c r="M120" s="581"/>
      <c r="N120" s="1153"/>
      <c r="O120" s="1153"/>
      <c r="P120" s="2631"/>
      <c r="Q120" s="559"/>
    </row>
    <row r="121" spans="1:17" s="471" customFormat="1" ht="14.4" thickBot="1">
      <c r="A121" s="553"/>
      <c r="B121" s="535"/>
      <c r="C121" s="560">
        <v>100</v>
      </c>
      <c r="D121" s="536"/>
      <c r="E121" s="536"/>
      <c r="F121" s="536"/>
      <c r="G121" s="536"/>
      <c r="H121" s="536"/>
      <c r="I121" s="536"/>
      <c r="J121" s="536"/>
      <c r="K121" s="536"/>
      <c r="L121" s="536"/>
      <c r="M121" s="536"/>
      <c r="N121" s="1153"/>
      <c r="O121" s="1153"/>
      <c r="P121" s="2631"/>
      <c r="Q121" s="559"/>
    </row>
    <row r="122" spans="1:17" ht="15" thickTop="1">
      <c r="A122" s="599"/>
      <c r="B122" s="538" t="s">
        <v>2573</v>
      </c>
      <c r="C122" s="3450" t="s">
        <v>3384</v>
      </c>
      <c r="D122" s="554"/>
      <c r="E122" s="554"/>
      <c r="F122" s="583"/>
      <c r="G122" s="583"/>
      <c r="H122" s="583"/>
      <c r="I122" s="583"/>
      <c r="J122" s="583"/>
      <c r="K122" s="584"/>
      <c r="L122" s="585"/>
      <c r="M122" s="586"/>
      <c r="N122" s="1151"/>
      <c r="O122" s="1151"/>
      <c r="P122" s="2630"/>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30"/>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4.4" thickTop="1">
      <c r="A126" s="593"/>
      <c r="B126" s="538">
        <f>B44</f>
        <v>0</v>
      </c>
      <c r="C126" s="554"/>
      <c r="D126" s="554"/>
      <c r="E126" s="554"/>
      <c r="F126" s="554"/>
      <c r="G126" s="554"/>
      <c r="H126" s="555"/>
      <c r="I126" s="555"/>
      <c r="J126" s="555"/>
      <c r="K126" s="555"/>
      <c r="L126" s="556"/>
      <c r="M126" s="557"/>
      <c r="N126" s="1153"/>
      <c r="O126" s="1153"/>
      <c r="P126" s="2631"/>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1"/>
      <c r="Q127" s="559"/>
    </row>
    <row r="128" spans="1:17" ht="14.4" thickTop="1">
      <c r="A128" s="599"/>
      <c r="B128" s="538">
        <f>B45</f>
        <v>0</v>
      </c>
      <c r="C128" s="554"/>
      <c r="D128" s="554"/>
      <c r="E128" s="554"/>
      <c r="F128" s="554"/>
      <c r="G128" s="583"/>
      <c r="H128" s="583"/>
      <c r="I128" s="583"/>
      <c r="J128" s="583"/>
      <c r="K128" s="584"/>
      <c r="L128" s="585"/>
      <c r="M128" s="586"/>
      <c r="N128" s="1151"/>
      <c r="O128" s="1151"/>
      <c r="P128" s="2630"/>
      <c r="Q128" s="504"/>
    </row>
    <row r="129" spans="1:17" ht="14.4" thickBot="1">
      <c r="A129" s="534"/>
      <c r="B129" s="543"/>
      <c r="C129" s="560"/>
      <c r="D129" s="560"/>
      <c r="E129" s="560"/>
      <c r="F129" s="560"/>
      <c r="G129" s="536"/>
      <c r="H129" s="536"/>
      <c r="I129" s="536"/>
      <c r="J129" s="536"/>
      <c r="K129" s="536"/>
      <c r="L129" s="536"/>
      <c r="M129" s="537"/>
      <c r="N129" s="1152"/>
      <c r="O129" s="1152"/>
      <c r="P129" s="2630"/>
      <c r="Q129" s="504"/>
    </row>
    <row r="130" spans="1:17" ht="14.4" thickTop="1">
      <c r="A130" s="599"/>
      <c r="B130" s="546">
        <f>B46</f>
        <v>0</v>
      </c>
      <c r="C130" s="554"/>
      <c r="D130" s="554"/>
      <c r="E130" s="554"/>
      <c r="F130" s="554"/>
      <c r="G130" s="587"/>
      <c r="H130" s="587"/>
      <c r="I130" s="587"/>
      <c r="J130" s="587"/>
      <c r="K130" s="523"/>
      <c r="L130" s="524"/>
      <c r="M130" s="590"/>
      <c r="N130" s="1151"/>
      <c r="O130" s="1151"/>
      <c r="P130" s="2630"/>
      <c r="Q130" s="504"/>
    </row>
    <row r="131" spans="1:17" ht="14.4"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2575</v>
      </c>
    </row>
    <row r="137" spans="1:17" ht="15">
      <c r="B137" s="2638" t="s">
        <v>2576</v>
      </c>
      <c r="C137" s="2639"/>
      <c r="D137" s="2639"/>
      <c r="E137" s="2639"/>
      <c r="F137" s="2639"/>
      <c r="G137" s="2640"/>
      <c r="H137" s="2641"/>
      <c r="I137" s="2642" t="s">
        <v>2577</v>
      </c>
      <c r="J137" s="2639"/>
      <c r="K137" s="2643"/>
    </row>
    <row r="138" spans="1:17" ht="15">
      <c r="B138" s="2644"/>
      <c r="C138" s="146" t="s">
        <v>2578</v>
      </c>
      <c r="D138" s="146" t="s">
        <v>2579</v>
      </c>
      <c r="E138" s="2645" t="s">
        <v>2580</v>
      </c>
      <c r="F138" s="2646" t="s">
        <v>2581</v>
      </c>
      <c r="G138" s="146" t="s">
        <v>2579</v>
      </c>
      <c r="H138" s="147" t="s">
        <v>2580</v>
      </c>
      <c r="I138" s="2647"/>
      <c r="J138" s="146" t="s">
        <v>2582</v>
      </c>
      <c r="K138" s="147" t="s">
        <v>2583</v>
      </c>
    </row>
    <row r="139" spans="1:17" ht="15">
      <c r="B139" s="1083">
        <v>6</v>
      </c>
      <c r="C139" s="1084">
        <v>96</v>
      </c>
      <c r="D139" s="2648" t="s">
        <v>2584</v>
      </c>
      <c r="E139" s="1085">
        <v>100</v>
      </c>
      <c r="F139" s="1086">
        <v>102.5</v>
      </c>
      <c r="G139" s="2648" t="s">
        <v>2584</v>
      </c>
      <c r="H139" s="1087">
        <v>105</v>
      </c>
      <c r="I139" s="2649" t="s">
        <v>2585</v>
      </c>
      <c r="J139" s="1084">
        <v>20</v>
      </c>
      <c r="K139" s="1088">
        <f>C145/(J139-2)</f>
        <v>4.0555555555555553E-3</v>
      </c>
    </row>
    <row r="140" spans="1:17" ht="15">
      <c r="B140" s="1089">
        <v>5</v>
      </c>
      <c r="C140" s="1090">
        <v>100</v>
      </c>
      <c r="D140" s="1090"/>
      <c r="E140" s="1091"/>
      <c r="F140" s="1092">
        <v>102</v>
      </c>
      <c r="G140" s="1090"/>
      <c r="H140" s="1093"/>
      <c r="I140" s="2650" t="s">
        <v>2586</v>
      </c>
      <c r="J140" s="315">
        <f>ROUNDUP((J139-1)/2,0)</f>
        <v>10</v>
      </c>
      <c r="K140" s="1094">
        <v>100</v>
      </c>
    </row>
    <row r="141" spans="1:17" ht="15">
      <c r="B141" s="1089">
        <v>4</v>
      </c>
      <c r="C141" s="1090">
        <v>102</v>
      </c>
      <c r="D141" s="1090"/>
      <c r="E141" s="1091"/>
      <c r="F141" s="1092">
        <v>101.5</v>
      </c>
      <c r="G141" s="1090"/>
      <c r="H141" s="1093"/>
      <c r="I141" s="2650" t="s">
        <v>2587</v>
      </c>
      <c r="J141" s="315">
        <v>1</v>
      </c>
      <c r="K141" s="1095">
        <f>ROUND(100+(J141-J140)*K139*100,1)</f>
        <v>96.4</v>
      </c>
    </row>
    <row r="142" spans="1:17" ht="15">
      <c r="B142" s="1089">
        <v>3</v>
      </c>
      <c r="C142" s="1090">
        <v>103</v>
      </c>
      <c r="D142" s="1090"/>
      <c r="E142" s="1091"/>
      <c r="F142" s="1092">
        <v>101</v>
      </c>
      <c r="G142" s="1090"/>
      <c r="H142" s="1093"/>
      <c r="I142" s="2650" t="s">
        <v>2588</v>
      </c>
      <c r="J142" s="315">
        <f>J139</f>
        <v>20</v>
      </c>
      <c r="K142" s="1096">
        <v>95</v>
      </c>
    </row>
    <row r="143" spans="1:17" ht="15">
      <c r="B143" s="1089">
        <v>2</v>
      </c>
      <c r="C143" s="1090">
        <v>100</v>
      </c>
      <c r="D143" s="1090"/>
      <c r="E143" s="1091"/>
      <c r="F143" s="1092">
        <v>100.5</v>
      </c>
      <c r="G143" s="1090"/>
      <c r="H143" s="1093"/>
      <c r="I143" s="2650" t="s">
        <v>2589</v>
      </c>
      <c r="J143" s="1090">
        <v>15</v>
      </c>
      <c r="K143" s="1095">
        <f>ROUND(100+(J143-J140)*K139*100,1)</f>
        <v>102</v>
      </c>
    </row>
    <row r="144" spans="1:17" ht="15">
      <c r="B144" s="1089">
        <v>1</v>
      </c>
      <c r="C144" s="1090">
        <v>98</v>
      </c>
      <c r="D144" s="2651" t="s">
        <v>2590</v>
      </c>
      <c r="E144" s="1091">
        <v>102</v>
      </c>
      <c r="F144" s="1097">
        <v>100</v>
      </c>
      <c r="G144" s="2651" t="s">
        <v>2590</v>
      </c>
      <c r="H144" s="1093">
        <v>105</v>
      </c>
      <c r="I144" s="2650" t="s">
        <v>2589</v>
      </c>
      <c r="J144" s="1090">
        <v>18</v>
      </c>
      <c r="K144" s="1095">
        <f>ROUND(100+(J144-J140)*K139*100,1)</f>
        <v>103.2</v>
      </c>
    </row>
    <row r="145" spans="2:11" ht="16.2" thickBot="1">
      <c r="B145" s="2652" t="s">
        <v>2591</v>
      </c>
      <c r="C145" s="1098">
        <f>ROUND(MAX(C139:C144)/MIN(C139:C144)-1,3)</f>
        <v>7.2999999999999995E-2</v>
      </c>
      <c r="D145" s="1099"/>
      <c r="E145" s="1099"/>
      <c r="F145" s="2653" t="s">
        <v>2592</v>
      </c>
      <c r="G145" s="2654"/>
      <c r="H145" s="2655"/>
      <c r="I145" s="2656" t="s">
        <v>2589</v>
      </c>
      <c r="J145" s="1100">
        <v>8</v>
      </c>
      <c r="K145" s="1101">
        <f>ROUND(100+(J145-J140)*K139*100,1)</f>
        <v>99.2</v>
      </c>
    </row>
    <row r="147" spans="2:11" ht="14.4">
      <c r="B147" s="2637" t="s">
        <v>2593</v>
      </c>
    </row>
    <row r="148" spans="2:11" ht="14.4">
      <c r="B148" s="2637" t="s">
        <v>2594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2"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 sqref="D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1580</v>
      </c>
      <c r="B1" s="782"/>
      <c r="C1" s="1836" t="s">
        <v>3329</v>
      </c>
      <c r="D1" s="1819" t="s">
        <v>3045</v>
      </c>
      <c r="E1" s="1820" t="s">
        <v>1378</v>
      </c>
      <c r="F1" s="1282">
        <f ca="1">J53</f>
        <v>37.04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2989</v>
      </c>
      <c r="C2" s="1844" t="s">
        <v>1507</v>
      </c>
      <c r="D2" s="1844"/>
      <c r="E2" s="1845"/>
      <c r="F2" s="1846"/>
      <c r="G2" s="1847"/>
      <c r="H2" s="1839"/>
      <c r="I2" s="1839"/>
      <c r="J2" s="1839"/>
      <c r="K2" s="1840"/>
      <c r="L2" s="1839"/>
      <c r="M2" s="1839"/>
    </row>
    <row r="3" spans="1:37" ht="18" customHeight="1" thickBot="1">
      <c r="A3" s="1848" t="s">
        <v>1508</v>
      </c>
      <c r="B3" s="1849">
        <f ca="1">IF(ISERROR(B2*10000/F43),0,ROUND(B2*10000/F43,0))</f>
        <v>13037</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196</v>
      </c>
      <c r="D5" s="1821" t="s">
        <v>1393</v>
      </c>
      <c r="E5" s="1292"/>
      <c r="F5" s="1293"/>
      <c r="G5" s="1850"/>
      <c r="H5" s="344">
        <v>1</v>
      </c>
      <c r="I5" s="345" t="s">
        <v>1392</v>
      </c>
      <c r="J5" s="1291">
        <f ca="1">J6+J10+J12</f>
        <v>0</v>
      </c>
      <c r="K5" s="1821" t="s">
        <v>1393</v>
      </c>
      <c r="L5" s="1292"/>
      <c r="M5" s="1293"/>
    </row>
    <row r="6" spans="1:37" ht="18" customHeight="1">
      <c r="A6" s="1290" t="s">
        <v>1031</v>
      </c>
      <c r="B6" s="3752" t="s">
        <v>1394</v>
      </c>
      <c r="C6" s="1295">
        <f ca="1">ROUND(F6*F8*F7*(1-F9)/10000,0)</f>
        <v>196</v>
      </c>
      <c r="D6" s="164" t="s">
        <v>2985</v>
      </c>
      <c r="E6" s="347" t="s">
        <v>1396</v>
      </c>
      <c r="F6" s="348">
        <f ca="1">INDIRECT("'数据-取费表'!u"&amp;$G$1)</f>
        <v>2.6</v>
      </c>
      <c r="G6" s="1850"/>
      <c r="H6" s="1290" t="s">
        <v>1031</v>
      </c>
      <c r="I6" s="3752" t="s">
        <v>1394</v>
      </c>
      <c r="J6" s="346">
        <f ca="1">ROUND(M6*M8*M7*(1-M9)/10000,0)</f>
        <v>0</v>
      </c>
      <c r="K6" s="164" t="s">
        <v>2984</v>
      </c>
      <c r="L6" s="347" t="s">
        <v>1396</v>
      </c>
      <c r="M6" s="348">
        <f ca="1">INDIRECT("'数据-取费表'!z"&amp;$G$1)</f>
        <v>0</v>
      </c>
    </row>
    <row r="7" spans="1:37" ht="18" customHeight="1">
      <c r="A7" s="1294"/>
      <c r="B7" s="3753"/>
      <c r="C7" s="1296"/>
      <c r="D7" s="352"/>
      <c r="E7" s="1297" t="s">
        <v>1397</v>
      </c>
      <c r="F7" s="348">
        <f ca="1">IF(INDIRECT("'数据-取费表'!ah"&amp;$G$1)="",INDIRECT("'数据-取费表'!k"&amp;$G$1),INDIRECT("'数据-取费表'!ah"&amp;$G$1))</f>
        <v>2292.67</v>
      </c>
      <c r="G7" s="1850"/>
      <c r="H7" s="349"/>
      <c r="I7" s="3753"/>
      <c r="J7" s="351"/>
      <c r="K7" s="352"/>
      <c r="L7" s="347" t="s">
        <v>1397</v>
      </c>
      <c r="M7" s="348">
        <f ca="1">F7</f>
        <v>2292.67</v>
      </c>
    </row>
    <row r="8" spans="1:37" ht="18" customHeight="1">
      <c r="A8" s="349"/>
      <c r="B8" s="3753"/>
      <c r="C8" s="351"/>
      <c r="D8" s="352"/>
      <c r="E8" s="347" t="s">
        <v>1398</v>
      </c>
      <c r="F8" s="348">
        <f ca="1">INDIRECT("'数据-取费表'!ai"&amp;$G$1)</f>
        <v>365</v>
      </c>
      <c r="G8" s="1850"/>
      <c r="H8" s="349"/>
      <c r="I8" s="3753"/>
      <c r="J8" s="351"/>
      <c r="K8" s="352"/>
      <c r="L8" s="347" t="s">
        <v>1398</v>
      </c>
      <c r="M8" s="348">
        <f ca="1">INDIRECT("'数据-取费表'!ai"&amp;$G$1)</f>
        <v>365</v>
      </c>
    </row>
    <row r="9" spans="1:37" ht="18" customHeight="1">
      <c r="A9" s="349"/>
      <c r="B9" s="3754"/>
      <c r="C9" s="351"/>
      <c r="D9" s="352"/>
      <c r="E9" s="347" t="s">
        <v>1399</v>
      </c>
      <c r="F9" s="357">
        <f ca="1">INDIRECT("'数据-取费表'!w"&amp;$G$1)</f>
        <v>0.1</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2994</v>
      </c>
      <c r="E10" s="358" t="s">
        <v>1401</v>
      </c>
      <c r="F10" s="1365" t="s">
        <v>3046</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786</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509</v>
      </c>
      <c r="D14" s="1799" t="s">
        <v>1409</v>
      </c>
      <c r="E14" s="1793"/>
      <c r="F14" s="364"/>
      <c r="G14" s="1850"/>
      <c r="H14" s="1200" t="s">
        <v>1031</v>
      </c>
      <c r="I14" s="347" t="s">
        <v>1410</v>
      </c>
      <c r="J14" s="24">
        <f ca="1">C29</f>
        <v>786</v>
      </c>
      <c r="K14" s="15"/>
      <c r="L14" s="978"/>
      <c r="M14" s="979"/>
    </row>
    <row r="15" spans="1:37" s="1857" customFormat="1" ht="18" customHeight="1" thickBot="1">
      <c r="A15" s="1200" t="s">
        <v>1032</v>
      </c>
      <c r="B15" s="347" t="s">
        <v>1411</v>
      </c>
      <c r="C15" s="24">
        <f ca="1">ROUND(C14*F15,0)</f>
        <v>15</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19</v>
      </c>
      <c r="K16" s="1336" t="s">
        <v>1416</v>
      </c>
      <c r="L16" s="1337"/>
      <c r="M16" s="1293"/>
    </row>
    <row r="17" spans="1:37" s="1857" customFormat="1" ht="18" customHeight="1">
      <c r="A17" s="1200" t="s">
        <v>1381</v>
      </c>
      <c r="B17" s="347" t="s">
        <v>1417</v>
      </c>
      <c r="C17" s="24">
        <f ca="1">ROUND(F17*(F43+INDIRECT("'数据-取费表'!S"&amp;$G$1))/10000,0)</f>
        <v>38</v>
      </c>
      <c r="D17" s="347" t="s">
        <v>1418</v>
      </c>
      <c r="E17" s="347" t="s">
        <v>1419</v>
      </c>
      <c r="F17" s="26">
        <f>'数据-取费表'!B35</f>
        <v>150</v>
      </c>
      <c r="G17" s="1853"/>
      <c r="H17" s="1200" t="s">
        <v>1031</v>
      </c>
      <c r="I17" s="347" t="s">
        <v>1420</v>
      </c>
      <c r="J17" s="24">
        <f ca="1">ROUND(IF(项目基本情况!B11="自然人",J6*M17/(1+'数据-取费表'!C42),J18+J19+J20),1)</f>
        <v>7.5</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8</v>
      </c>
      <c r="D18" s="347" t="s">
        <v>1412</v>
      </c>
      <c r="E18" s="347" t="s">
        <v>1413</v>
      </c>
      <c r="F18" s="367">
        <f>'数据-取费表'!B36</f>
        <v>1.4999999999999999E-2</v>
      </c>
      <c r="G18" s="1853"/>
      <c r="H18" s="1200"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570</v>
      </c>
      <c r="D19" s="140" t="s">
        <v>1427</v>
      </c>
      <c r="E19" s="1817"/>
      <c r="F19" s="26"/>
      <c r="G19" s="1850"/>
      <c r="H19" s="1200" t="s">
        <v>1032</v>
      </c>
      <c r="I19" s="347" t="s">
        <v>1428</v>
      </c>
      <c r="J19" s="24">
        <f ca="1">IF(K19="按租金收入计税",ROUND(J6*M19/(1+'数据-取费表'!C42),2),ROUND(C29*M19*0.7,2))</f>
        <v>6.6</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11</v>
      </c>
      <c r="D20" s="369" t="s">
        <v>1431</v>
      </c>
      <c r="E20" s="347" t="s">
        <v>1413</v>
      </c>
      <c r="F20" s="367">
        <f>'数据-取费表'!B37</f>
        <v>0.02</v>
      </c>
      <c r="G20" s="1853"/>
      <c r="H20" s="1200" t="s">
        <v>1380</v>
      </c>
      <c r="I20" s="164" t="s">
        <v>1432</v>
      </c>
      <c r="J20" s="25">
        <f ca="1">ROUND(M20*M21/10000,2)</f>
        <v>0.91</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906.08999999999992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ROUND(J14*M22,1)</f>
        <v>11.8</v>
      </c>
      <c r="K22" s="179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28</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ROUND(J5*M24,1)</f>
        <v>0</v>
      </c>
      <c r="K24" s="1341" t="s">
        <v>1450</v>
      </c>
      <c r="L24" s="1339" t="s">
        <v>1446</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1817"/>
      <c r="F25" s="26"/>
      <c r="G25" s="1850"/>
      <c r="H25" s="1328" t="s">
        <v>1027</v>
      </c>
      <c r="I25" s="1343" t="s">
        <v>1454</v>
      </c>
      <c r="J25" s="355">
        <f ca="1">J5-J16</f>
        <v>-19</v>
      </c>
      <c r="K25" s="1344" t="s">
        <v>1455</v>
      </c>
      <c r="L25" s="1345"/>
      <c r="M25" s="1346"/>
    </row>
    <row r="26" spans="1:37">
      <c r="A26" s="1200" t="s">
        <v>1030</v>
      </c>
      <c r="B26" s="347" t="s">
        <v>1456</v>
      </c>
      <c r="C26" s="24">
        <f ca="1">ROUND((C19+C20)*F26,0)</f>
        <v>116</v>
      </c>
      <c r="D26" s="369" t="s">
        <v>1457</v>
      </c>
      <c r="E26" s="358" t="s">
        <v>1458</v>
      </c>
      <c r="F26" s="357">
        <f ca="1">INDIRECT("'数据-取费表'!q"&amp;$G$1)</f>
        <v>0.2</v>
      </c>
      <c r="G26" s="1850"/>
      <c r="H26" s="344" t="s">
        <v>1028</v>
      </c>
      <c r="I26" s="345" t="s">
        <v>1459</v>
      </c>
      <c r="J26" s="346">
        <f ca="1">IF(J5&lt;&gt;0,ROUND(J25*(1-((1+M28)/(1+M26))^M27)/(M26-M28),0),0)</f>
        <v>0</v>
      </c>
      <c r="K26" s="370" t="s">
        <v>1460</v>
      </c>
      <c r="L26" s="347" t="s">
        <v>1461</v>
      </c>
      <c r="M26" s="357">
        <f ca="1">INDIRECT("'数据-取费表'!I"&amp;$G$1)</f>
        <v>0.06</v>
      </c>
    </row>
    <row r="27" spans="1:37" ht="18" customHeight="1">
      <c r="A27" s="1200" t="s">
        <v>1032</v>
      </c>
      <c r="B27" s="347" t="s">
        <v>1462</v>
      </c>
      <c r="C27" s="24">
        <f ca="1">ROUND(F21*F26,4)</f>
        <v>4.0000000000000001E-3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786</v>
      </c>
      <c r="D29" s="1341"/>
      <c r="E29" s="1339"/>
      <c r="F29" s="1342"/>
      <c r="G29" s="1853"/>
      <c r="H29" s="380" t="s">
        <v>1029</v>
      </c>
      <c r="I29" s="381" t="s">
        <v>1470</v>
      </c>
      <c r="J29" s="382">
        <f ca="1">ROUND(J26/(1+F40)^F41,0)</f>
        <v>0</v>
      </c>
      <c r="K29" s="383" t="s">
        <v>1471</v>
      </c>
      <c r="L29" s="384"/>
      <c r="M29" s="385">
        <f ca="1">INDIRECT("'数据-取费表'!k"&amp;$G$1)</f>
        <v>2292.67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49</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ROUND(IF(项目基本情况!B11="自然人",C6*F31/(1+'数据-取费表'!C42),C32+C33+C34),1)</f>
        <v>33.6</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10.27</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22.4</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0.91</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906.08999999999992</v>
      </c>
      <c r="G35" s="1850"/>
      <c r="H35" s="745"/>
      <c r="I35" s="1859"/>
      <c r="J35" s="1860"/>
      <c r="K35" s="1861"/>
      <c r="L35" s="1858"/>
      <c r="M35" s="1858"/>
    </row>
    <row r="36" spans="1:18" ht="18" customHeight="1">
      <c r="A36" s="1351" t="s">
        <v>1035</v>
      </c>
      <c r="B36" s="347" t="s">
        <v>1440</v>
      </c>
      <c r="C36" s="24">
        <f ca="1">ROUND(C29*F36,1)</f>
        <v>11.8</v>
      </c>
      <c r="D36" s="179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v>
      </c>
      <c r="D37" s="1797" t="s">
        <v>1445</v>
      </c>
      <c r="E37" s="347" t="s">
        <v>1446</v>
      </c>
      <c r="F37" s="376">
        <f ca="1">INDIRECT("'数据-取费表'!Al"&amp;$G$1)</f>
        <v>1.5E-3</v>
      </c>
      <c r="G37" s="1850"/>
      <c r="H37" s="1858"/>
      <c r="I37" s="1859"/>
      <c r="J37" s="1860"/>
      <c r="K37" s="751"/>
      <c r="L37" s="1858"/>
      <c r="M37" s="1858"/>
    </row>
    <row r="38" spans="1:18" ht="18" customHeight="1" thickBot="1">
      <c r="A38" s="1338" t="s">
        <v>1384</v>
      </c>
      <c r="B38" s="1339" t="s">
        <v>1430</v>
      </c>
      <c r="C38" s="1340">
        <f ca="1">ROUND(C5*F38,1)</f>
        <v>2</v>
      </c>
      <c r="D38" s="1341" t="s">
        <v>1450</v>
      </c>
      <c r="E38" s="1339" t="s">
        <v>1446</v>
      </c>
      <c r="F38" s="1335">
        <f ca="1">INDIRECT("'数据-取费表'!Am"&amp;$G$1)</f>
        <v>0.01</v>
      </c>
      <c r="G38" s="1850"/>
      <c r="H38" s="1858"/>
      <c r="I38" s="1859"/>
      <c r="J38" s="1860"/>
      <c r="K38" s="1864"/>
      <c r="L38" s="1858"/>
      <c r="M38" s="1858"/>
    </row>
    <row r="39" spans="1:18" ht="24.6" customHeight="1" thickTop="1">
      <c r="A39" s="1328" t="s">
        <v>1027</v>
      </c>
      <c r="B39" s="1343" t="s">
        <v>1474</v>
      </c>
      <c r="C39" s="355">
        <f ca="1">C5-C30</f>
        <v>147</v>
      </c>
      <c r="D39" s="1344" t="s">
        <v>1475</v>
      </c>
      <c r="E39" s="1345"/>
      <c r="F39" s="1346"/>
      <c r="G39" s="1850"/>
      <c r="H39" s="1858"/>
      <c r="I39" s="1859"/>
      <c r="J39" s="1860"/>
      <c r="K39" s="1864"/>
      <c r="L39" s="1858"/>
      <c r="M39" s="1858"/>
    </row>
    <row r="40" spans="1:18" ht="18" customHeight="1">
      <c r="A40" s="344" t="s">
        <v>1028</v>
      </c>
      <c r="B40" s="345" t="s">
        <v>1476</v>
      </c>
      <c r="C40" s="346">
        <f ca="1">ROUND(C39*(1-((1+F42)/(1+F40))^F41)/(F40-F42),0)</f>
        <v>2989</v>
      </c>
      <c r="D40" s="370" t="s">
        <v>1460</v>
      </c>
      <c r="E40" s="347" t="s">
        <v>1461</v>
      </c>
      <c r="F40" s="357">
        <f ca="1">INDIRECT("'数据-取费表'!I"&amp;$G$1)</f>
        <v>0.06</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37.04</v>
      </c>
      <c r="G41" s="1850"/>
      <c r="H41" s="732"/>
      <c r="I41" s="1859"/>
      <c r="J41" s="1860"/>
      <c r="K41" s="751"/>
      <c r="L41" s="732"/>
      <c r="M41" s="732"/>
    </row>
    <row r="42" spans="1:18" ht="18" customHeight="1">
      <c r="A42" s="353"/>
      <c r="B42" s="354"/>
      <c r="C42" s="355"/>
      <c r="D42" s="373"/>
      <c r="E42" s="347" t="s">
        <v>1468</v>
      </c>
      <c r="F42" s="357">
        <f ca="1">INDIRECT("'数据-取费表'!v"&amp;$G$1)</f>
        <v>2.5000000000000001E-2</v>
      </c>
      <c r="G42" s="1850"/>
      <c r="H42" s="732"/>
      <c r="I42" s="1859"/>
      <c r="J42" s="1860"/>
      <c r="K42" s="751"/>
      <c r="L42" s="732"/>
      <c r="M42" s="732"/>
    </row>
    <row r="43" spans="1:18" ht="18" customHeight="1" thickBot="1">
      <c r="A43" s="380" t="s">
        <v>1029</v>
      </c>
      <c r="B43" s="381" t="s">
        <v>1478</v>
      </c>
      <c r="C43" s="382">
        <f ca="1">ROUND(C40*10000/F43,0)</f>
        <v>13037</v>
      </c>
      <c r="D43" s="383" t="s">
        <v>1479</v>
      </c>
      <c r="E43" s="384" t="s">
        <v>1480</v>
      </c>
      <c r="F43" s="385">
        <f ca="1">INDIRECT("'数据-取费表'!k"&amp;$G$1)</f>
        <v>2292.67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8" thickBot="1">
      <c r="A46" s="1869" t="s">
        <v>1511</v>
      </c>
      <c r="C46" s="1870">
        <f ca="1">C68-C40</f>
        <v>-4168</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8"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40</v>
      </c>
      <c r="M47" s="1837" t="str">
        <f>IF(ISNUMBER(FIND("住宅",C1)),"住宅","非住宅")</f>
        <v>非住宅</v>
      </c>
      <c r="O47" s="1883" t="s">
        <v>1036</v>
      </c>
      <c r="P47" s="1884" t="s">
        <v>1519</v>
      </c>
      <c r="Q47" s="1885">
        <f ca="1">C40+J29</f>
        <v>2989</v>
      </c>
      <c r="R47" s="1885" t="s">
        <v>1520</v>
      </c>
    </row>
    <row r="48" spans="1:18" s="1841" customFormat="1" ht="40.200000000000003" thickBot="1">
      <c r="A48" s="1359" t="s">
        <v>1131</v>
      </c>
      <c r="B48" s="345" t="s">
        <v>1392</v>
      </c>
      <c r="C48" s="1816">
        <f ca="1">C49+C53+C55</f>
        <v>0</v>
      </c>
      <c r="D48" s="1361"/>
      <c r="E48" s="1362"/>
      <c r="F48" s="1180"/>
      <c r="G48" s="792"/>
      <c r="H48" s="793"/>
      <c r="I48" s="1886" t="s">
        <v>1521</v>
      </c>
      <c r="J48" s="1887" t="s">
        <v>3049</v>
      </c>
      <c r="K48" s="1888" t="s">
        <v>1522</v>
      </c>
      <c r="L48" s="1889">
        <f ca="1">INDIRECT("'数据-取费表'!f"&amp;$G$1)</f>
        <v>38.44</v>
      </c>
      <c r="O48" s="1883" t="s">
        <v>1037</v>
      </c>
      <c r="P48" s="1884" t="s">
        <v>1523</v>
      </c>
      <c r="Q48" s="1885" t="str">
        <f ca="1">J60</f>
        <v>0</v>
      </c>
      <c r="R48" s="1885" t="s">
        <v>1524</v>
      </c>
    </row>
    <row r="49" spans="1:18" s="1841" customFormat="1" ht="13.8" thickBot="1">
      <c r="A49" s="1193" t="s">
        <v>1132</v>
      </c>
      <c r="B49" s="1828" t="s">
        <v>1481</v>
      </c>
      <c r="C49" s="1363">
        <f ca="1">ROUND(F49*F51*F50*(1-F52)/10000,0)</f>
        <v>0</v>
      </c>
      <c r="D49" s="1275" t="s">
        <v>2986</v>
      </c>
      <c r="E49" s="1829" t="s">
        <v>1482</v>
      </c>
      <c r="F49" s="1280"/>
      <c r="G49" s="1890"/>
      <c r="H49" s="793"/>
      <c r="I49" s="1886" t="s">
        <v>1525</v>
      </c>
      <c r="J49" s="1891">
        <v>2020</v>
      </c>
      <c r="K49" s="1888" t="s">
        <v>1526</v>
      </c>
      <c r="L49" s="1892"/>
      <c r="O49" s="1893" t="s">
        <v>1038</v>
      </c>
      <c r="P49" s="1884" t="s">
        <v>1527</v>
      </c>
      <c r="Q49" s="1885">
        <f ca="1">C29</f>
        <v>786</v>
      </c>
      <c r="R49" s="1885" t="s">
        <v>1520</v>
      </c>
    </row>
    <row r="50" spans="1:18" s="1841" customFormat="1" ht="13.8" thickBot="1">
      <c r="A50" s="1194"/>
      <c r="B50" s="1197"/>
      <c r="C50" s="1367"/>
      <c r="D50" s="1171"/>
      <c r="E50" s="1276" t="s">
        <v>1397</v>
      </c>
      <c r="F50" s="1277">
        <f ca="1">F7</f>
        <v>2292.67</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8" thickBot="1">
      <c r="A51" s="1195"/>
      <c r="B51" s="1197"/>
      <c r="C51" s="1198"/>
      <c r="D51" s="1171"/>
      <c r="E51" s="1199" t="s">
        <v>1398</v>
      </c>
      <c r="F51" s="348">
        <f ca="1">F8</f>
        <v>365</v>
      </c>
      <c r="I51" s="1897" t="s">
        <v>1531</v>
      </c>
      <c r="J51" s="1898">
        <f>IF(J49="",J50,J49+J50-YEAR('数据-取费表'!B2))</f>
        <v>61</v>
      </c>
      <c r="K51" s="1899" t="s">
        <v>1532</v>
      </c>
      <c r="L51" s="1900">
        <f ca="1">ROUND(-PV(INDIRECT("'数据-取费表'!h"&amp;$G$1),L48,(C39-C13*C76),0),0)</f>
        <v>1272</v>
      </c>
      <c r="M51" s="1901"/>
      <c r="O51" s="1893" t="s">
        <v>1040</v>
      </c>
      <c r="P51" s="1884" t="s">
        <v>1533</v>
      </c>
      <c r="Q51" s="1896">
        <f>J52</f>
        <v>0.09</v>
      </c>
      <c r="R51" s="1885"/>
    </row>
    <row r="52" spans="1:18" s="1841" customFormat="1" ht="13.8" thickBot="1">
      <c r="A52" s="1195"/>
      <c r="B52" s="1197"/>
      <c r="C52" s="1198"/>
      <c r="D52" s="1171"/>
      <c r="E52" s="1199" t="s">
        <v>1399</v>
      </c>
      <c r="F52" s="1274"/>
      <c r="I52" s="1902" t="s">
        <v>1534</v>
      </c>
      <c r="J52" s="1903">
        <v>0.09</v>
      </c>
      <c r="K52" s="1902" t="s">
        <v>1535</v>
      </c>
      <c r="L52" s="1903"/>
      <c r="O52" s="1893" t="s">
        <v>1041</v>
      </c>
      <c r="P52" s="1884" t="s">
        <v>1536</v>
      </c>
      <c r="Q52" s="1885">
        <f ca="1">J53</f>
        <v>37.04</v>
      </c>
      <c r="R52" s="1885" t="s">
        <v>1537</v>
      </c>
    </row>
    <row r="53" spans="1:18" s="1841" customFormat="1" ht="36.6"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37.04</v>
      </c>
      <c r="K53" s="3750" t="s">
        <v>1539</v>
      </c>
      <c r="L53" s="3751"/>
      <c r="O53" s="1883" t="s">
        <v>1042</v>
      </c>
      <c r="P53" s="1884" t="s">
        <v>1540</v>
      </c>
      <c r="Q53" s="1885">
        <f ca="1">Q47+Q48</f>
        <v>2989</v>
      </c>
      <c r="R53" s="1885" t="s">
        <v>1043</v>
      </c>
    </row>
    <row r="54" spans="1:18" s="1841" customFormat="1" ht="24.6" thickBot="1">
      <c r="A54" s="1405"/>
      <c r="B54" s="1824" t="s">
        <v>1379</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8" thickBot="1">
      <c r="A55" s="1332" t="s">
        <v>1071</v>
      </c>
      <c r="B55" s="1826" t="s">
        <v>1404</v>
      </c>
      <c r="C55" s="1333"/>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37.200000000000003" thickTop="1" thickBot="1">
      <c r="A56" s="1175">
        <v>2</v>
      </c>
      <c r="B56" s="1176" t="s">
        <v>1405</v>
      </c>
      <c r="C56" s="276">
        <f ca="1">C13</f>
        <v>786</v>
      </c>
      <c r="D56" s="1912"/>
      <c r="E56" s="1913"/>
      <c r="F56" s="1905"/>
      <c r="I56" s="1914" t="s">
        <v>1545</v>
      </c>
      <c r="J56" s="1915" t="s">
        <v>3014</v>
      </c>
      <c r="K56" s="1886" t="s">
        <v>1546</v>
      </c>
      <c r="L56" s="1889" t="str">
        <f ca="1">IF(L48&lt;J51,"——",L48-J53)</f>
        <v>——</v>
      </c>
      <c r="O56" s="1883" t="s">
        <v>1036</v>
      </c>
      <c r="P56" s="1884" t="s">
        <v>1519</v>
      </c>
      <c r="Q56" s="1885">
        <f ca="1">C40+J29</f>
        <v>2989</v>
      </c>
      <c r="R56" s="1885" t="s">
        <v>1520</v>
      </c>
    </row>
    <row r="57" spans="1:18" s="1841" customFormat="1" ht="24.6" thickBot="1">
      <c r="A57" s="1916"/>
      <c r="B57" s="1168" t="s">
        <v>1469</v>
      </c>
      <c r="C57" s="282">
        <f ca="1">C29</f>
        <v>786</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6" thickBot="1">
      <c r="A58" s="360" t="s">
        <v>1026</v>
      </c>
      <c r="B58" s="1176" t="s">
        <v>1415</v>
      </c>
      <c r="C58" s="361">
        <f ca="1">ROUND(C59+C64+C65+C66,0)</f>
        <v>80</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6" thickBot="1">
      <c r="A59" s="1200" t="s">
        <v>1031</v>
      </c>
      <c r="B59" s="1168" t="s">
        <v>1420</v>
      </c>
      <c r="C59" s="24">
        <f ca="1">ROUND(IF(项目基本情况!B11="自然人",C48*F59,C60+C61+C62),1)</f>
        <v>66.900000000000006</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2"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8" thickBot="1">
      <c r="A61" s="1200" t="s">
        <v>1483</v>
      </c>
      <c r="B61" s="1168" t="s">
        <v>1484</v>
      </c>
      <c r="C61" s="24">
        <f ca="1">IF(项目基本情况!B11="自然人","——",IF(D61="按租金收入计税",ROUND(C48*F61,2),IF(D61="按房产原值计税",ROUND(C57*F61*0.7,2),INDIRECT("'数据-取费表'!Aj"&amp;$G$1))))</f>
        <v>66.02</v>
      </c>
      <c r="D61" s="1827" t="s">
        <v>1429</v>
      </c>
      <c r="E61" s="1168" t="s">
        <v>1485</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8" thickBot="1">
      <c r="A62" s="1200" t="s">
        <v>1486</v>
      </c>
      <c r="B62" s="1167" t="s">
        <v>1487</v>
      </c>
      <c r="C62" s="25">
        <f ca="1">IF(项目基本情况!B11="自然人","——",ROUND(F62*F63/10000,2))</f>
        <v>0.91</v>
      </c>
      <c r="D62" s="1183" t="s">
        <v>1488</v>
      </c>
      <c r="E62" s="1168" t="s">
        <v>1489</v>
      </c>
      <c r="F62" s="371">
        <f t="shared" si="0"/>
        <v>10</v>
      </c>
      <c r="I62" s="1927" t="s">
        <v>1561</v>
      </c>
      <c r="J62" s="1928" t="s">
        <v>1562</v>
      </c>
      <c r="K62" s="1928" t="s">
        <v>1563</v>
      </c>
      <c r="L62" s="1928" t="s">
        <v>1564</v>
      </c>
      <c r="M62" s="1929" t="s">
        <v>1565</v>
      </c>
      <c r="O62" s="1883" t="s">
        <v>1042</v>
      </c>
      <c r="P62" s="1884" t="s">
        <v>1566</v>
      </c>
      <c r="Q62" s="1885">
        <f ca="1">Q56+Q57</f>
        <v>2989</v>
      </c>
      <c r="R62" s="1885" t="s">
        <v>1043</v>
      </c>
    </row>
    <row r="63" spans="1:18" s="1841" customFormat="1" ht="13.8" thickBot="1">
      <c r="A63" s="372"/>
      <c r="B63" s="1174"/>
      <c r="C63" s="29"/>
      <c r="D63" s="1184"/>
      <c r="E63" s="1168" t="s">
        <v>1490</v>
      </c>
      <c r="F63" s="348">
        <f t="shared" ca="1" si="0"/>
        <v>906.08999999999992</v>
      </c>
      <c r="I63" s="1927" t="s">
        <v>1567</v>
      </c>
      <c r="J63" s="1928">
        <v>70</v>
      </c>
      <c r="K63" s="1928">
        <v>50</v>
      </c>
      <c r="L63" s="1928">
        <v>80</v>
      </c>
      <c r="M63" s="1930">
        <v>0.02</v>
      </c>
      <c r="O63" s="1868" t="s">
        <v>1568</v>
      </c>
      <c r="P63" s="1838"/>
      <c r="Q63" s="1838"/>
      <c r="R63" s="1838"/>
    </row>
    <row r="64" spans="1:18" s="1841" customFormat="1" ht="13.8" thickBot="1">
      <c r="A64" s="1200" t="s">
        <v>1491</v>
      </c>
      <c r="B64" s="1168" t="s">
        <v>1492</v>
      </c>
      <c r="C64" s="24">
        <f ca="1">ROUND(C57*F64,1)</f>
        <v>11.8</v>
      </c>
      <c r="D64" s="1182" t="s">
        <v>1493</v>
      </c>
      <c r="E64" s="1168"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8" thickBot="1">
      <c r="A65" s="1200" t="s">
        <v>1494</v>
      </c>
      <c r="B65" s="1168" t="s">
        <v>1444</v>
      </c>
      <c r="C65" s="24">
        <f ca="1">ROUND(C56*F65,1)</f>
        <v>1.2</v>
      </c>
      <c r="D65" s="1182" t="s">
        <v>1445</v>
      </c>
      <c r="E65" s="1168" t="s">
        <v>1446</v>
      </c>
      <c r="F65" s="376">
        <f t="shared" ca="1" si="0"/>
        <v>1.5E-3</v>
      </c>
      <c r="I65" s="1927" t="s">
        <v>1570</v>
      </c>
      <c r="J65" s="1928">
        <v>40</v>
      </c>
      <c r="K65" s="1928">
        <v>30</v>
      </c>
      <c r="L65" s="1928">
        <v>50</v>
      </c>
      <c r="M65" s="1930">
        <v>0.02</v>
      </c>
      <c r="O65" s="1883" t="s">
        <v>1036</v>
      </c>
      <c r="P65" s="1884" t="s">
        <v>1571</v>
      </c>
      <c r="Q65" s="1885">
        <f ca="1">C40+J29</f>
        <v>2989</v>
      </c>
      <c r="R65" s="1885" t="s">
        <v>1520</v>
      </c>
    </row>
    <row r="66" spans="1:18" s="1841" customFormat="1" ht="16.2" thickBot="1">
      <c r="A66" s="1200" t="s">
        <v>1495</v>
      </c>
      <c r="B66" s="1168" t="s">
        <v>1430</v>
      </c>
      <c r="C66" s="24">
        <f ca="1">ROUND(C48*F66,1)</f>
        <v>0</v>
      </c>
      <c r="D66" s="1182" t="s">
        <v>1496</v>
      </c>
      <c r="E66" s="1168" t="s">
        <v>1413</v>
      </c>
      <c r="F66" s="357">
        <f t="shared" ca="1" si="0"/>
        <v>0.01</v>
      </c>
      <c r="O66" s="1883" t="s">
        <v>1037</v>
      </c>
      <c r="P66" s="1884" t="s">
        <v>1549</v>
      </c>
      <c r="Q66" s="1885">
        <f ca="1">L60</f>
        <v>0</v>
      </c>
      <c r="R66" s="1885" t="s">
        <v>1572</v>
      </c>
    </row>
    <row r="67" spans="1:18" s="1841" customFormat="1" ht="24.6" thickBot="1">
      <c r="A67" s="1175" t="s">
        <v>1027</v>
      </c>
      <c r="B67" s="1185" t="s">
        <v>1454</v>
      </c>
      <c r="C67" s="361">
        <f ca="1">C48-C58</f>
        <v>-80</v>
      </c>
      <c r="D67" s="1181" t="s">
        <v>1455</v>
      </c>
      <c r="E67" s="1186"/>
      <c r="F67" s="1187"/>
      <c r="O67" s="1893" t="s">
        <v>1038</v>
      </c>
      <c r="P67" s="1884" t="s">
        <v>1553</v>
      </c>
      <c r="Q67" s="1931">
        <f ca="1">L51</f>
        <v>1272</v>
      </c>
      <c r="R67" s="1885" t="s">
        <v>1573</v>
      </c>
    </row>
    <row r="68" spans="1:18" s="1841" customFormat="1" ht="16.2" thickBot="1">
      <c r="A68" s="1165" t="s">
        <v>1028</v>
      </c>
      <c r="B68" s="1166" t="s">
        <v>1476</v>
      </c>
      <c r="C68" s="346">
        <f ca="1">ROUND(C67*(1-((1+F70)/(1+F68))^F69)/(F68-F70),0)</f>
        <v>-1179</v>
      </c>
      <c r="D68" s="1183" t="s">
        <v>1460</v>
      </c>
      <c r="E68" s="1168" t="s">
        <v>1461</v>
      </c>
      <c r="F68" s="357">
        <f ca="1">F40</f>
        <v>0.06</v>
      </c>
      <c r="O68" s="1893" t="s">
        <v>1039</v>
      </c>
      <c r="P68" s="1932" t="s">
        <v>1574</v>
      </c>
      <c r="Q68" s="1885">
        <f ca="1">ROUND(Q69-Q70*Q71,0)</f>
        <v>80</v>
      </c>
      <c r="R68" s="1885" t="s">
        <v>1047</v>
      </c>
    </row>
    <row r="69" spans="1:18" s="1841" customFormat="1" ht="13.8" thickBot="1">
      <c r="A69" s="1169"/>
      <c r="B69" s="1170"/>
      <c r="C69" s="351"/>
      <c r="D69" s="1188" t="s">
        <v>1464</v>
      </c>
      <c r="E69" s="1168" t="s">
        <v>1465</v>
      </c>
      <c r="F69" s="379">
        <f ca="1">F41</f>
        <v>37.04</v>
      </c>
      <c r="O69" s="1893" t="s">
        <v>1044</v>
      </c>
      <c r="P69" s="1932" t="s">
        <v>1575</v>
      </c>
      <c r="Q69" s="1885">
        <f ca="1">C39</f>
        <v>147</v>
      </c>
      <c r="R69" s="1885" t="s">
        <v>1520</v>
      </c>
    </row>
    <row r="70" spans="1:18" s="1841" customFormat="1" ht="13.8" thickBot="1">
      <c r="A70" s="1172"/>
      <c r="B70" s="1173"/>
      <c r="C70" s="355"/>
      <c r="D70" s="1184"/>
      <c r="E70" s="1168" t="s">
        <v>1468</v>
      </c>
      <c r="F70" s="1274"/>
      <c r="O70" s="1893" t="s">
        <v>1045</v>
      </c>
      <c r="P70" s="1932" t="s">
        <v>1576</v>
      </c>
      <c r="Q70" s="1885">
        <f ca="1">C13</f>
        <v>786</v>
      </c>
      <c r="R70" s="1885" t="s">
        <v>1520</v>
      </c>
    </row>
    <row r="71" spans="1:18" s="1841" customFormat="1" ht="13.8" thickBot="1">
      <c r="A71" s="1189" t="s">
        <v>1029</v>
      </c>
      <c r="B71" s="1190" t="s">
        <v>1478</v>
      </c>
      <c r="C71" s="382">
        <f ca="1">ROUND(C68*10000/F71,0)</f>
        <v>-5142</v>
      </c>
      <c r="D71" s="1191" t="s">
        <v>1479</v>
      </c>
      <c r="E71" s="1192" t="s">
        <v>1480</v>
      </c>
      <c r="F71" s="385">
        <f ca="1">F43</f>
        <v>2292.67</v>
      </c>
      <c r="O71" s="1893" t="s">
        <v>1046</v>
      </c>
      <c r="P71" s="1932" t="s">
        <v>1577</v>
      </c>
      <c r="Q71" s="1896">
        <f ca="1">C76</f>
        <v>8.5000000000000006E-2</v>
      </c>
      <c r="R71" s="1885"/>
    </row>
    <row r="72" spans="1:18" s="1841" customFormat="1" ht="13.8" thickBot="1">
      <c r="B72" s="796"/>
      <c r="C72" s="796"/>
      <c r="O72" s="1893" t="s">
        <v>1040</v>
      </c>
      <c r="P72" s="1884" t="s">
        <v>1555</v>
      </c>
      <c r="Q72" s="1896">
        <f>L52</f>
        <v>0</v>
      </c>
      <c r="R72" s="1885"/>
    </row>
    <row r="73" spans="1:18" ht="16.2" thickBot="1">
      <c r="A73" s="1841"/>
      <c r="B73" s="796"/>
      <c r="C73" s="796"/>
      <c r="D73" s="1841"/>
      <c r="E73" s="1841"/>
      <c r="F73" s="1841"/>
      <c r="O73" s="1893" t="s">
        <v>1041</v>
      </c>
      <c r="P73" s="1884" t="s">
        <v>1558</v>
      </c>
      <c r="Q73" s="1885" t="e">
        <f ca="1">L58</f>
        <v>#DIV/0!</v>
      </c>
      <c r="R73" s="1885" t="s">
        <v>1559</v>
      </c>
    </row>
    <row r="74" spans="1:18" ht="13.8"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8" thickBot="1">
      <c r="A75" s="1841"/>
      <c r="B75" s="386" t="s">
        <v>1497</v>
      </c>
      <c r="C75" s="387">
        <f ca="1">ROUND(C13*C76,0)</f>
        <v>67</v>
      </c>
      <c r="D75" s="1841"/>
      <c r="E75" s="1841"/>
      <c r="F75" s="1841"/>
      <c r="K75" s="1867"/>
      <c r="L75" s="1841"/>
      <c r="O75" s="1883" t="s">
        <v>1042</v>
      </c>
      <c r="P75" s="1884" t="s">
        <v>1540</v>
      </c>
      <c r="Q75" s="1885">
        <f ca="1">Q65+Q66</f>
        <v>2989</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0.54400000000000004</v>
      </c>
    </row>
    <row r="80" spans="1:18">
      <c r="B80" s="386" t="s">
        <v>1502</v>
      </c>
      <c r="C80" s="318">
        <f ca="1">ROUND(C75/C39,3)</f>
        <v>0.45600000000000002</v>
      </c>
    </row>
    <row r="81" spans="2:3">
      <c r="B81" s="314" t="s">
        <v>1503</v>
      </c>
      <c r="C81" s="282"/>
    </row>
    <row r="82" spans="2:3">
      <c r="B82" s="317" t="s">
        <v>1504</v>
      </c>
      <c r="C82" s="319">
        <f ca="1">1-C83</f>
        <v>0.73699999999999999</v>
      </c>
    </row>
    <row r="83" spans="2:3">
      <c r="B83" s="317" t="s">
        <v>1505</v>
      </c>
      <c r="C83" s="318">
        <f ca="1">ROUND(C13/C40,3)</f>
        <v>0.26300000000000001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1580</v>
      </c>
      <c r="B1" s="782"/>
      <c r="C1" s="1836"/>
      <c r="D1" s="1819"/>
      <c r="E1" s="1820" t="s">
        <v>1378</v>
      </c>
      <c r="F1" s="1282">
        <f ca="1">J53</f>
        <v>-1.4</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1">
        <f ca="1">C6+C10+C12</f>
        <v>0</v>
      </c>
      <c r="D5" s="1821" t="s">
        <v>1592</v>
      </c>
      <c r="E5" s="1292"/>
      <c r="F5" s="1293"/>
      <c r="G5" s="1850"/>
      <c r="H5" s="344">
        <v>1</v>
      </c>
      <c r="I5" s="345" t="s">
        <v>1591</v>
      </c>
      <c r="J5" s="1291">
        <f ca="1">J6+J10+J12</f>
        <v>0</v>
      </c>
      <c r="K5" s="1821" t="s">
        <v>1592</v>
      </c>
      <c r="L5" s="1292"/>
      <c r="M5" s="1293"/>
    </row>
    <row r="6" spans="1:37" ht="18" customHeight="1">
      <c r="A6" s="1290" t="s">
        <v>1031</v>
      </c>
      <c r="B6" s="3752" t="s">
        <v>1394</v>
      </c>
      <c r="C6" s="1295">
        <f ca="1">ROUND(F6*F8*F7*(1-F9),0)</f>
        <v>0</v>
      </c>
      <c r="D6" s="164" t="s">
        <v>2982</v>
      </c>
      <c r="E6" s="347" t="s">
        <v>1396</v>
      </c>
      <c r="F6" s="348">
        <f ca="1">INDIRECT("'数据-取费表'!u"&amp;$G$1)</f>
        <v>0</v>
      </c>
      <c r="G6" s="1850"/>
      <c r="H6" s="1290" t="s">
        <v>1031</v>
      </c>
      <c r="I6" s="3752" t="s">
        <v>1394</v>
      </c>
      <c r="J6" s="346">
        <f ca="1">ROUND(M6*M8*M7*(1-M9),0)</f>
        <v>0</v>
      </c>
      <c r="K6" s="1833" t="s">
        <v>2983</v>
      </c>
      <c r="L6" s="347" t="s">
        <v>1396</v>
      </c>
      <c r="M6" s="348">
        <f ca="1">INDIRECT("'数据-取费表'!z"&amp;$G$1)</f>
        <v>0</v>
      </c>
    </row>
    <row r="7" spans="1:37" ht="18" customHeight="1">
      <c r="A7" s="1294"/>
      <c r="B7" s="3753"/>
      <c r="C7" s="1296"/>
      <c r="D7" s="352"/>
      <c r="E7" s="1297" t="s">
        <v>1397</v>
      </c>
      <c r="F7" s="348">
        <f ca="1">IF(INDIRECT("'数据-取费表'!ah"&amp;$G$1)="",INDIRECT("'数据-取费表'!k"&amp;$G$1),INDIRECT("'数据-取费表'!ah"&amp;$G$1))</f>
        <v>0</v>
      </c>
      <c r="G7" s="1850"/>
      <c r="H7" s="349"/>
      <c r="I7" s="3753"/>
      <c r="J7" s="351"/>
      <c r="K7" s="352"/>
      <c r="L7" s="347" t="s">
        <v>1397</v>
      </c>
      <c r="M7" s="348">
        <f ca="1">F7</f>
        <v>0</v>
      </c>
    </row>
    <row r="8" spans="1:37" ht="18" customHeight="1">
      <c r="A8" s="349"/>
      <c r="B8" s="3753"/>
      <c r="C8" s="351"/>
      <c r="D8" s="352"/>
      <c r="E8" s="347" t="s">
        <v>1398</v>
      </c>
      <c r="F8" s="348">
        <f ca="1">INDIRECT("'数据-取费表'!ai"&amp;$G$1)</f>
        <v>0</v>
      </c>
      <c r="G8" s="1850"/>
      <c r="H8" s="349"/>
      <c r="I8" s="3753"/>
      <c r="J8" s="351"/>
      <c r="K8" s="352"/>
      <c r="L8" s="347" t="s">
        <v>1398</v>
      </c>
      <c r="M8" s="348">
        <f ca="1">INDIRECT("'数据-取费表'!ai"&amp;$G$1)</f>
        <v>0</v>
      </c>
    </row>
    <row r="9" spans="1:37" ht="18" customHeight="1">
      <c r="A9" s="349"/>
      <c r="B9" s="3754"/>
      <c r="C9" s="351"/>
      <c r="D9" s="352"/>
      <c r="E9" s="347" t="s">
        <v>1399</v>
      </c>
      <c r="F9" s="357">
        <f ca="1">INDIRECT("'数据-取费表'!w"&amp;$G$1)</f>
        <v>0</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c r="G10" s="1850"/>
      <c r="H10" s="1290" t="s">
        <v>1035</v>
      </c>
      <c r="I10" s="1822" t="s">
        <v>1400</v>
      </c>
      <c r="J10" s="346">
        <f ca="1">ROUND(IF(M10="押一",J6/12*M11,IF(M10="押二",J6/12*2*M11,IF(M10="押三",J6/12*3*M11,J11*M11))),0)</f>
        <v>0</v>
      </c>
      <c r="K10" s="1834" t="s">
        <v>2995</v>
      </c>
      <c r="L10" s="358" t="s">
        <v>1401</v>
      </c>
      <c r="M10" s="1365"/>
    </row>
    <row r="11" spans="1:37" ht="18" customHeight="1">
      <c r="A11" s="353"/>
      <c r="B11" s="1824" t="s">
        <v>1593</v>
      </c>
      <c r="C11" s="1177"/>
      <c r="D11" s="352"/>
      <c r="E11" s="358" t="s">
        <v>1403</v>
      </c>
      <c r="F11" s="359">
        <f ca="1">'数据-取费表'!B39</f>
        <v>1.4999999999999999E-2</v>
      </c>
      <c r="G11" s="1850"/>
      <c r="H11" s="1298"/>
      <c r="I11" s="1824" t="s">
        <v>1594</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0</v>
      </c>
      <c r="D13" s="1330" t="s">
        <v>1406</v>
      </c>
      <c r="E13" s="1330" t="s">
        <v>1407</v>
      </c>
      <c r="F13" s="1331">
        <f ca="1">INDIRECT("'数据-取费表'!y"&amp;$G$1)</f>
        <v>0</v>
      </c>
      <c r="G13" s="1850"/>
      <c r="H13" s="1328">
        <v>2</v>
      </c>
      <c r="I13" s="1329" t="s">
        <v>1405</v>
      </c>
      <c r="J13" s="1289">
        <f ca="1">ROUND(J14*J15,0)</f>
        <v>0</v>
      </c>
      <c r="K13" s="1336" t="s">
        <v>1406</v>
      </c>
      <c r="L13" s="1851"/>
      <c r="M13" s="1852"/>
    </row>
    <row r="14" spans="1:37" ht="18" customHeight="1">
      <c r="A14" s="1200" t="s">
        <v>1030</v>
      </c>
      <c r="B14" s="347" t="s">
        <v>1408</v>
      </c>
      <c r="C14" s="363">
        <f ca="1">ROUND(INDIRECT("'数据-取费表'!l"&amp;$G$1)*F43+'数据-取费表'!L14*INDIRECT("'数据-取费表'!S"&amp;$G$1),0)</f>
        <v>0</v>
      </c>
      <c r="D14" s="1799" t="s">
        <v>1409</v>
      </c>
      <c r="E14" s="1793"/>
      <c r="F14" s="364"/>
      <c r="G14" s="1850"/>
      <c r="H14" s="1200" t="s">
        <v>1031</v>
      </c>
      <c r="I14" s="347" t="s">
        <v>1410</v>
      </c>
      <c r="J14" s="24">
        <f ca="1">C29</f>
        <v>0</v>
      </c>
      <c r="K14" s="15"/>
      <c r="L14" s="978"/>
      <c r="M14" s="979"/>
    </row>
    <row r="15" spans="1:37" s="1857" customFormat="1" ht="18" customHeight="1" thickBot="1">
      <c r="A15" s="1200" t="s">
        <v>1032</v>
      </c>
      <c r="B15" s="347" t="s">
        <v>1411</v>
      </c>
      <c r="C15" s="24">
        <f ca="1">ROUND(C14*F15,0)</f>
        <v>0</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ROUND(INDIRECT("'数据-取费表'!l"&amp;$G$1)*F43*F16,0)</f>
        <v>0</v>
      </c>
      <c r="D16" s="347" t="s">
        <v>1412</v>
      </c>
      <c r="E16" s="347" t="s">
        <v>1413</v>
      </c>
      <c r="F16" s="367">
        <f ca="1">IF(INDIRECT("'数据-取费表'!c"&amp;$G$1)="住宅",'数据-取费表'!B34,0)</f>
        <v>0</v>
      </c>
      <c r="G16" s="1850"/>
      <c r="H16" s="1328" t="s">
        <v>1026</v>
      </c>
      <c r="I16" s="1329" t="s">
        <v>1415</v>
      </c>
      <c r="J16" s="355">
        <f ca="1">ROUND(J17+J22+J23+J24,0)</f>
        <v>0</v>
      </c>
      <c r="K16" s="1336" t="s">
        <v>1416</v>
      </c>
      <c r="L16" s="1337"/>
      <c r="M16" s="1293"/>
    </row>
    <row r="17" spans="1:37" s="1857" customFormat="1" ht="18" customHeight="1">
      <c r="A17" s="1200" t="s">
        <v>1381</v>
      </c>
      <c r="B17" s="347" t="s">
        <v>1417</v>
      </c>
      <c r="C17" s="24">
        <f ca="1">ROUND(F17*(F43+INDIRECT("'数据-取费表'!S"&amp;$G$1)),0)</f>
        <v>0</v>
      </c>
      <c r="D17" s="347" t="s">
        <v>1418</v>
      </c>
      <c r="E17" s="347" t="s">
        <v>1419</v>
      </c>
      <c r="F17" s="26">
        <f>'数据-取费表'!B35</f>
        <v>150</v>
      </c>
      <c r="G17" s="1853"/>
      <c r="H17" s="1200"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0</v>
      </c>
      <c r="D18" s="347" t="s">
        <v>1412</v>
      </c>
      <c r="E18" s="347" t="s">
        <v>1413</v>
      </c>
      <c r="F18" s="367">
        <f>'数据-取费表'!B36</f>
        <v>1.4999999999999999E-2</v>
      </c>
      <c r="G18" s="1853"/>
      <c r="H18" s="1200"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0</v>
      </c>
      <c r="D19" s="140" t="s">
        <v>1427</v>
      </c>
      <c r="E19" s="1817"/>
      <c r="F19" s="26"/>
      <c r="G19" s="1850"/>
      <c r="H19" s="1200"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0" t="s">
        <v>1035</v>
      </c>
      <c r="B20" s="347" t="s">
        <v>1430</v>
      </c>
      <c r="C20" s="24">
        <f ca="1">ROUND(C19*F20,0)</f>
        <v>0</v>
      </c>
      <c r="D20" s="369" t="s">
        <v>1431</v>
      </c>
      <c r="E20" s="347" t="s">
        <v>1413</v>
      </c>
      <c r="F20" s="367">
        <f>'数据-取费表'!B37</f>
        <v>0.02</v>
      </c>
      <c r="G20" s="1853"/>
      <c r="H20" s="1200" t="s">
        <v>1380</v>
      </c>
      <c r="I20" s="164" t="s">
        <v>1432</v>
      </c>
      <c r="J20" s="25">
        <f ca="1">ROUND(M20*M21,0)</f>
        <v>0</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1817"/>
      <c r="F22" s="26"/>
      <c r="G22" s="1850"/>
      <c r="H22" s="1200" t="s">
        <v>1035</v>
      </c>
      <c r="I22" s="347" t="s">
        <v>1440</v>
      </c>
      <c r="J22" s="24">
        <f ca="1">ROUND(J14*M22,0)</f>
        <v>0</v>
      </c>
      <c r="K22" s="1797" t="s">
        <v>1441</v>
      </c>
      <c r="L22" s="347" t="s">
        <v>1413</v>
      </c>
      <c r="M22" s="374">
        <f ca="1">INDIRECT("'数据-取费表'!Ak"&amp;$G$1)</f>
        <v>0</v>
      </c>
    </row>
    <row r="23" spans="1:37" s="1857" customFormat="1" ht="18" customHeight="1">
      <c r="A23" s="1200"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1384</v>
      </c>
      <c r="I24" s="1339" t="s">
        <v>1430</v>
      </c>
      <c r="J24" s="1340">
        <f ca="1">ROUND(J5*M24,0)</f>
        <v>0</v>
      </c>
      <c r="K24" s="1341" t="s">
        <v>1450</v>
      </c>
      <c r="L24" s="1339" t="s">
        <v>1446</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1451</v>
      </c>
      <c r="B25" s="347" t="s">
        <v>1452</v>
      </c>
      <c r="C25" s="24"/>
      <c r="D25" s="140" t="s">
        <v>1453</v>
      </c>
      <c r="E25" s="1817"/>
      <c r="F25" s="26"/>
      <c r="G25" s="1850"/>
      <c r="H25" s="1328" t="s">
        <v>1027</v>
      </c>
      <c r="I25" s="1343" t="s">
        <v>1454</v>
      </c>
      <c r="J25" s="355">
        <f ca="1">J5-J16</f>
        <v>0</v>
      </c>
      <c r="K25" s="1344" t="s">
        <v>1455</v>
      </c>
      <c r="L25" s="1345"/>
      <c r="M25" s="1346"/>
    </row>
    <row r="26" spans="1:37" ht="18" customHeight="1">
      <c r="A26" s="1200"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0"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0</v>
      </c>
      <c r="D29" s="1341"/>
      <c r="E29" s="1339"/>
      <c r="F29" s="1342"/>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0</v>
      </c>
      <c r="D30" s="1336" t="s">
        <v>1416</v>
      </c>
      <c r="E30" s="1337"/>
      <c r="F30" s="1293"/>
      <c r="G30" s="1850"/>
      <c r="H30" s="745"/>
      <c r="I30" s="746"/>
      <c r="J30" s="747"/>
      <c r="K30" s="748"/>
      <c r="L30" s="749"/>
      <c r="M30" s="750"/>
    </row>
    <row r="31" spans="1:37" ht="18" customHeight="1">
      <c r="A31" s="1200"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0" t="s">
        <v>1380</v>
      </c>
      <c r="B34" s="164" t="s">
        <v>1432</v>
      </c>
      <c r="C34" s="25">
        <f ca="1">IF(项目基本情况!B11="自然人","——",ROUND(F34*F35,))</f>
        <v>0</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0</v>
      </c>
      <c r="G35" s="1850"/>
      <c r="H35" s="745"/>
      <c r="I35" s="1859"/>
      <c r="J35" s="1860"/>
      <c r="K35" s="1861"/>
      <c r="L35" s="1858"/>
      <c r="M35" s="1858"/>
    </row>
    <row r="36" spans="1:18" ht="18" customHeight="1">
      <c r="A36" s="1351"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0"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8" t="s">
        <v>1384</v>
      </c>
      <c r="B38" s="1339" t="s">
        <v>1430</v>
      </c>
      <c r="C38" s="1340">
        <f ca="1">ROUND(C5*F38,1)</f>
        <v>0</v>
      </c>
      <c r="D38" s="1341" t="s">
        <v>1450</v>
      </c>
      <c r="E38" s="1339" t="s">
        <v>1446</v>
      </c>
      <c r="F38" s="1335">
        <f ca="1">INDIRECT("'数据-取费表'!Am"&amp;$G$1)</f>
        <v>0</v>
      </c>
      <c r="G38" s="1850"/>
      <c r="H38" s="1858"/>
      <c r="I38" s="1859"/>
      <c r="J38" s="1860"/>
      <c r="K38" s="1864"/>
      <c r="L38" s="1858"/>
      <c r="M38" s="1858"/>
    </row>
    <row r="39" spans="1:18" ht="24.6" customHeight="1" thickTop="1">
      <c r="A39" s="1328" t="s">
        <v>1027</v>
      </c>
      <c r="B39" s="1343" t="s">
        <v>1474</v>
      </c>
      <c r="C39" s="355">
        <f ca="1">C5-C30</f>
        <v>0</v>
      </c>
      <c r="D39" s="1344" t="s">
        <v>1475</v>
      </c>
      <c r="E39" s="1345"/>
      <c r="F39" s="1346"/>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8"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8" thickBot="1">
      <c r="A47" s="1164" t="s">
        <v>1387</v>
      </c>
      <c r="B47" s="1196" t="s">
        <v>1388</v>
      </c>
      <c r="C47" s="1196" t="s">
        <v>1389</v>
      </c>
      <c r="D47" s="1196" t="s">
        <v>1390</v>
      </c>
      <c r="E47" s="1278" t="s">
        <v>1391</v>
      </c>
      <c r="F47" s="1279"/>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40.200000000000003" thickBot="1">
      <c r="A48" s="1359" t="s">
        <v>1131</v>
      </c>
      <c r="B48" s="345" t="s">
        <v>1392</v>
      </c>
      <c r="C48" s="1816">
        <f ca="1">C49+C53+C55</f>
        <v>0</v>
      </c>
      <c r="D48" s="1361"/>
      <c r="E48" s="1362"/>
      <c r="F48" s="1180"/>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8" thickBot="1">
      <c r="A49" s="1193" t="s">
        <v>1132</v>
      </c>
      <c r="B49" s="1828" t="s">
        <v>1481</v>
      </c>
      <c r="C49" s="1363">
        <f ca="1">ROUND(F49*F51*F50*(1-F52),0)</f>
        <v>0</v>
      </c>
      <c r="D49" s="1275" t="s">
        <v>1395</v>
      </c>
      <c r="E49" s="1829" t="s">
        <v>1482</v>
      </c>
      <c r="F49" s="1280"/>
      <c r="G49" s="1890"/>
      <c r="H49" s="793"/>
      <c r="I49" s="1886" t="s">
        <v>1525</v>
      </c>
      <c r="J49" s="1891"/>
      <c r="K49" s="1888" t="s">
        <v>1526</v>
      </c>
      <c r="L49" s="1892"/>
      <c r="O49" s="1893" t="s">
        <v>1038</v>
      </c>
      <c r="P49" s="1884" t="s">
        <v>1527</v>
      </c>
      <c r="Q49" s="1885">
        <f ca="1">C29</f>
        <v>0</v>
      </c>
      <c r="R49" s="1885" t="s">
        <v>1520</v>
      </c>
    </row>
    <row r="50" spans="1:18" s="1841" customFormat="1" ht="13.8" thickBot="1">
      <c r="A50" s="1194"/>
      <c r="B50" s="1197"/>
      <c r="C50" s="1198"/>
      <c r="D50" s="1171"/>
      <c r="E50" s="1276" t="s">
        <v>1397</v>
      </c>
      <c r="F50" s="1277">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8" thickBot="1">
      <c r="A51" s="1195"/>
      <c r="B51" s="1197"/>
      <c r="C51" s="1198"/>
      <c r="D51" s="1171"/>
      <c r="E51" s="1199"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8" thickBot="1">
      <c r="A52" s="1195"/>
      <c r="B52" s="1197"/>
      <c r="C52" s="1198"/>
      <c r="D52" s="1171"/>
      <c r="E52" s="1199" t="s">
        <v>1399</v>
      </c>
      <c r="F52" s="1274"/>
      <c r="I52" s="1902" t="s">
        <v>1534</v>
      </c>
      <c r="J52" s="1903"/>
      <c r="K52" s="1902" t="s">
        <v>1535</v>
      </c>
      <c r="L52" s="1903"/>
      <c r="O52" s="1893" t="s">
        <v>1041</v>
      </c>
      <c r="P52" s="1884" t="s">
        <v>1536</v>
      </c>
      <c r="Q52" s="1885">
        <f ca="1">J53</f>
        <v>-1.4</v>
      </c>
      <c r="R52" s="1885" t="s">
        <v>1537</v>
      </c>
    </row>
    <row r="53" spans="1:18" s="1841" customFormat="1" ht="30.75" customHeight="1" thickBot="1">
      <c r="A53" s="1360" t="s">
        <v>1133</v>
      </c>
      <c r="B53" s="369" t="s">
        <v>1400</v>
      </c>
      <c r="C53" s="361">
        <f ca="1">ROUND(IF(F53="押一",C49/12*F11,IF(F53="押二",C49/12*2*F11,IF(F53="押三",C49/12*3*F11,C54*F11))),0)</f>
        <v>0</v>
      </c>
      <c r="D53" s="1823" t="s">
        <v>2996</v>
      </c>
      <c r="E53" s="358" t="s">
        <v>1401</v>
      </c>
      <c r="F53" s="1365"/>
      <c r="I53" s="1904" t="s">
        <v>1538</v>
      </c>
      <c r="J53" s="2950">
        <f ca="1">IF(M47="住宅",IF(D1="——",MAX(J51,L48),MAX(J51,L48-'数据-取费表'!B24)),IF(D1="——",MIN(J51,L48),MIN(J51,L48-'数据-取费表'!B24)))</f>
        <v>-1.4</v>
      </c>
      <c r="K53" s="3750" t="s">
        <v>1539</v>
      </c>
      <c r="L53" s="3751"/>
      <c r="O53" s="1883" t="s">
        <v>1042</v>
      </c>
      <c r="P53" s="1884" t="s">
        <v>1540</v>
      </c>
      <c r="Q53" s="1885" t="e">
        <f ca="1">Q47+Q48</f>
        <v>#DIV/0!</v>
      </c>
      <c r="R53" s="1885" t="s">
        <v>1043</v>
      </c>
    </row>
    <row r="54" spans="1:18" s="1841" customFormat="1" ht="13.8" thickBot="1">
      <c r="A54" s="1193"/>
      <c r="B54" s="1939" t="s">
        <v>1594</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8" thickBot="1">
      <c r="A55" s="1332" t="s">
        <v>1071</v>
      </c>
      <c r="B55" s="1826" t="s">
        <v>1404</v>
      </c>
      <c r="C55" s="1333"/>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5">
        <v>2</v>
      </c>
      <c r="B56" s="1176"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6" thickBot="1">
      <c r="A57" s="1916"/>
      <c r="B57" s="1168"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6" thickBot="1">
      <c r="A58" s="360" t="s">
        <v>1026</v>
      </c>
      <c r="B58" s="1176" t="s">
        <v>1415</v>
      </c>
      <c r="C58" s="361">
        <f ca="1">ROUND(C59+C64+C65+C66,0)</f>
        <v>0</v>
      </c>
      <c r="D58" s="1178" t="s">
        <v>1416</v>
      </c>
      <c r="E58" s="1179"/>
      <c r="F58" s="1180"/>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6" thickBot="1">
      <c r="A59" s="1200" t="s">
        <v>1031</v>
      </c>
      <c r="B59" s="1168" t="s">
        <v>1420</v>
      </c>
      <c r="C59" s="24">
        <f ca="1">ROUND(IF(项目基本情况!B11="自然人",C48*F59,C60+C61+C62),0)</f>
        <v>0</v>
      </c>
      <c r="D59" s="1181" t="s">
        <v>1421</v>
      </c>
      <c r="E59" s="1182"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2" thickBot="1">
      <c r="A60" s="1200" t="s">
        <v>1030</v>
      </c>
      <c r="B60" s="1168" t="s">
        <v>1424</v>
      </c>
      <c r="C60" s="24">
        <f ca="1">IF(项目基本情况!B11="自然人","——",ROUND(C48*F60/(1+'数据-取费表'!C42),0))</f>
        <v>0</v>
      </c>
      <c r="D60" s="1182" t="s">
        <v>1425</v>
      </c>
      <c r="E60" s="1168"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8" thickBot="1">
      <c r="A61" s="1200" t="s">
        <v>1483</v>
      </c>
      <c r="B61" s="1168" t="s">
        <v>1484</v>
      </c>
      <c r="C61" s="24">
        <f ca="1">IF(项目基本情况!B11="自然人","——",IF(D61="按租金收入计税",ROUND(C48*F61,0),IF(D61="按房产原值计税",ROUND(C57*F61*0.7,0),INDIRECT("'数据-取费表'!Aj"&amp;$G$1))))</f>
        <v>0</v>
      </c>
      <c r="D61" s="1827" t="s">
        <v>1429</v>
      </c>
      <c r="E61" s="1168"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8" thickBot="1">
      <c r="A62" s="1200" t="s">
        <v>1486</v>
      </c>
      <c r="B62" s="1167" t="s">
        <v>1487</v>
      </c>
      <c r="C62" s="25">
        <f ca="1">IF(项目基本情况!B11="自然人","——",ROUND(F62*F63,0))</f>
        <v>0</v>
      </c>
      <c r="D62" s="1183" t="s">
        <v>1488</v>
      </c>
      <c r="E62" s="1168" t="s">
        <v>1489</v>
      </c>
      <c r="F62" s="371">
        <f t="shared" si="0"/>
        <v>10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8" thickBot="1">
      <c r="A63" s="372"/>
      <c r="B63" s="1174"/>
      <c r="C63" s="29"/>
      <c r="D63" s="1184"/>
      <c r="E63" s="1168" t="s">
        <v>1490</v>
      </c>
      <c r="F63" s="348">
        <f t="shared" ca="1" si="0"/>
        <v>0</v>
      </c>
      <c r="I63" s="1927" t="s">
        <v>1567</v>
      </c>
      <c r="J63" s="1928">
        <v>70</v>
      </c>
      <c r="K63" s="1928">
        <v>50</v>
      </c>
      <c r="L63" s="1928">
        <v>80</v>
      </c>
      <c r="M63" s="1930">
        <v>0.02</v>
      </c>
      <c r="O63" s="1868" t="s">
        <v>1568</v>
      </c>
      <c r="P63" s="1838"/>
      <c r="Q63" s="1838"/>
      <c r="R63" s="1838"/>
    </row>
    <row r="64" spans="1:18" s="1841" customFormat="1" ht="13.8" thickBot="1">
      <c r="A64" s="1200" t="s">
        <v>1491</v>
      </c>
      <c r="B64" s="1168" t="s">
        <v>1492</v>
      </c>
      <c r="C64" s="24">
        <f ca="1">ROUND(C57*F64,0)</f>
        <v>0</v>
      </c>
      <c r="D64" s="1182" t="s">
        <v>1493</v>
      </c>
      <c r="E64" s="1168"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8" thickBot="1">
      <c r="A65" s="1200" t="s">
        <v>1494</v>
      </c>
      <c r="B65" s="1168" t="s">
        <v>1444</v>
      </c>
      <c r="C65" s="24">
        <f ca="1">ROUND(C56*F65,0)</f>
        <v>0</v>
      </c>
      <c r="D65" s="1182" t="s">
        <v>1445</v>
      </c>
      <c r="E65" s="1168"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2" thickBot="1">
      <c r="A66" s="1200" t="s">
        <v>1495</v>
      </c>
      <c r="B66" s="1168" t="s">
        <v>1430</v>
      </c>
      <c r="C66" s="24">
        <f ca="1">ROUND(C48*F66,0)</f>
        <v>0</v>
      </c>
      <c r="D66" s="1182" t="s">
        <v>1496</v>
      </c>
      <c r="E66" s="1168" t="s">
        <v>1413</v>
      </c>
      <c r="F66" s="357">
        <f t="shared" ca="1" si="0"/>
        <v>0</v>
      </c>
      <c r="O66" s="1883" t="s">
        <v>1037</v>
      </c>
      <c r="P66" s="1884" t="s">
        <v>1549</v>
      </c>
      <c r="Q66" s="1885" t="e">
        <f ca="1">L60</f>
        <v>#DIV/0!</v>
      </c>
      <c r="R66" s="1885" t="s">
        <v>1572</v>
      </c>
    </row>
    <row r="67" spans="1:18" s="1841" customFormat="1" ht="24.6" thickBot="1">
      <c r="A67" s="1175" t="s">
        <v>1027</v>
      </c>
      <c r="B67" s="1185" t="s">
        <v>1454</v>
      </c>
      <c r="C67" s="361">
        <f ca="1">C48-C58</f>
        <v>0</v>
      </c>
      <c r="D67" s="1181" t="s">
        <v>1455</v>
      </c>
      <c r="E67" s="1186"/>
      <c r="F67" s="1187"/>
      <c r="O67" s="1893" t="s">
        <v>1038</v>
      </c>
      <c r="P67" s="1884" t="s">
        <v>1553</v>
      </c>
      <c r="Q67" s="1931">
        <f ca="1">L51</f>
        <v>0</v>
      </c>
      <c r="R67" s="1885" t="s">
        <v>1573</v>
      </c>
    </row>
    <row r="68" spans="1:18" s="1841" customFormat="1" ht="16.2" thickBot="1">
      <c r="A68" s="1165" t="s">
        <v>1028</v>
      </c>
      <c r="B68" s="1166" t="s">
        <v>1476</v>
      </c>
      <c r="C68" s="346" t="e">
        <f ca="1">ROUND(C67*(1-((1+F70)/(1+F68))^F69)/(F68-F70),0)</f>
        <v>#DIV/0!</v>
      </c>
      <c r="D68" s="1183" t="s">
        <v>1460</v>
      </c>
      <c r="E68" s="1168" t="s">
        <v>1461</v>
      </c>
      <c r="F68" s="357">
        <f ca="1">F40</f>
        <v>0</v>
      </c>
      <c r="O68" s="1893" t="s">
        <v>1039</v>
      </c>
      <c r="P68" s="1932" t="s">
        <v>1574</v>
      </c>
      <c r="Q68" s="1885">
        <f ca="1">ROUND(Q69-Q70*Q71,0)</f>
        <v>0</v>
      </c>
      <c r="R68" s="1885" t="s">
        <v>1047</v>
      </c>
    </row>
    <row r="69" spans="1:18" s="1841" customFormat="1" ht="13.8" thickBot="1">
      <c r="A69" s="1169"/>
      <c r="B69" s="1170"/>
      <c r="C69" s="351"/>
      <c r="D69" s="1188" t="s">
        <v>1464</v>
      </c>
      <c r="E69" s="1168" t="s">
        <v>1465</v>
      </c>
      <c r="F69" s="379">
        <f ca="1">F41</f>
        <v>0</v>
      </c>
      <c r="O69" s="1893" t="s">
        <v>1044</v>
      </c>
      <c r="P69" s="1932" t="s">
        <v>1575</v>
      </c>
      <c r="Q69" s="1885">
        <f ca="1">C39</f>
        <v>0</v>
      </c>
      <c r="R69" s="1885" t="s">
        <v>1520</v>
      </c>
    </row>
    <row r="70" spans="1:18" s="1841" customFormat="1" ht="13.8" thickBot="1">
      <c r="A70" s="1172"/>
      <c r="B70" s="1173"/>
      <c r="C70" s="355"/>
      <c r="D70" s="1184"/>
      <c r="E70" s="1168" t="s">
        <v>1468</v>
      </c>
      <c r="F70" s="1274">
        <f ca="1">F42</f>
        <v>0</v>
      </c>
      <c r="O70" s="1893" t="s">
        <v>1045</v>
      </c>
      <c r="P70" s="1932" t="s">
        <v>1576</v>
      </c>
      <c r="Q70" s="1885">
        <f ca="1">C13</f>
        <v>0</v>
      </c>
      <c r="R70" s="1885" t="s">
        <v>1520</v>
      </c>
    </row>
    <row r="71" spans="1:18" s="1841" customFormat="1" ht="13.8" thickBot="1">
      <c r="A71" s="1189" t="s">
        <v>1029</v>
      </c>
      <c r="B71" s="1190" t="s">
        <v>1478</v>
      </c>
      <c r="C71" s="382" t="e">
        <f ca="1">ROUND(C68/F71,0)</f>
        <v>#DIV/0!</v>
      </c>
      <c r="D71" s="1191" t="s">
        <v>1479</v>
      </c>
      <c r="E71" s="1192" t="s">
        <v>1480</v>
      </c>
      <c r="F71" s="385">
        <f ca="1">F43</f>
        <v>0</v>
      </c>
      <c r="O71" s="1893" t="s">
        <v>1046</v>
      </c>
      <c r="P71" s="1932" t="s">
        <v>1577</v>
      </c>
      <c r="Q71" s="1896">
        <f ca="1">C76</f>
        <v>0</v>
      </c>
      <c r="R71" s="1885"/>
    </row>
    <row r="72" spans="1:18" s="1841" customFormat="1" ht="13.8" thickBot="1">
      <c r="B72" s="796"/>
      <c r="C72" s="796"/>
      <c r="O72" s="1893" t="s">
        <v>1040</v>
      </c>
      <c r="P72" s="1884" t="s">
        <v>1555</v>
      </c>
      <c r="Q72" s="1896">
        <f>L52</f>
        <v>0</v>
      </c>
      <c r="R72" s="1885"/>
    </row>
    <row r="73" spans="1:18" ht="16.2" thickBot="1">
      <c r="A73" s="1841"/>
      <c r="B73" s="796"/>
      <c r="C73" s="796"/>
      <c r="D73" s="1841"/>
      <c r="E73" s="1841"/>
      <c r="F73" s="1841"/>
      <c r="O73" s="1893" t="s">
        <v>1041</v>
      </c>
      <c r="P73" s="1884" t="s">
        <v>1558</v>
      </c>
      <c r="Q73" s="1885" t="e">
        <f ca="1">L58</f>
        <v>#DIV/0!</v>
      </c>
      <c r="R73" s="1885" t="s">
        <v>1559</v>
      </c>
    </row>
    <row r="74" spans="1:18" ht="13.8"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8"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61" t="s">
        <v>2480</v>
      </c>
      <c r="B1" s="2562"/>
      <c r="C1" s="2562"/>
      <c r="D1" s="2562"/>
      <c r="E1" s="2563"/>
    </row>
    <row r="2" spans="1:6" ht="15.6">
      <c r="A2" s="2564" t="s">
        <v>2284</v>
      </c>
      <c r="B2" s="2565">
        <f ca="1">SUMIF(B6:B13,"&lt;&gt;#ref!",B6:B13)</f>
        <v>8267</v>
      </c>
      <c r="C2" s="2566" t="s">
        <v>2473</v>
      </c>
      <c r="D2" s="2567" t="s">
        <v>2474</v>
      </c>
      <c r="E2" s="2568">
        <f>SUM(E6:E13)</f>
        <v>34042.97</v>
      </c>
    </row>
    <row r="3" spans="1:6" ht="15.6">
      <c r="A3" s="2564" t="s">
        <v>1386</v>
      </c>
      <c r="B3" s="2565">
        <f ca="1">ROUND(B2*10000/E2,0)</f>
        <v>2428</v>
      </c>
      <c r="C3" s="2566" t="s">
        <v>2481</v>
      </c>
      <c r="D3" s="2569"/>
      <c r="E3" s="2570"/>
    </row>
    <row r="4" spans="1:6" ht="15.6">
      <c r="A4" s="2571"/>
      <c r="B4" s="2569"/>
      <c r="C4" s="2569"/>
      <c r="D4" s="2569"/>
      <c r="E4" s="2570"/>
    </row>
    <row r="5" spans="1:6" ht="14.4">
      <c r="A5" s="2572" t="s">
        <v>2475</v>
      </c>
      <c r="B5" s="3755" t="s">
        <v>2476</v>
      </c>
      <c r="C5" s="3755"/>
      <c r="D5" s="2573"/>
      <c r="E5" s="2574" t="s">
        <v>2477</v>
      </c>
      <c r="F5" s="2575" t="s">
        <v>2478</v>
      </c>
    </row>
    <row r="6" spans="1:6" ht="14.4">
      <c r="A6" s="2576">
        <f>'数据-取费表'!AN6</f>
        <v>0</v>
      </c>
      <c r="B6" s="2575" t="e">
        <f ca="1">IF(F6="是",'数据-取费表'!AO6,0)</f>
        <v>#REF!</v>
      </c>
      <c r="C6" s="2566" t="s">
        <v>2473</v>
      </c>
      <c r="D6" s="2569"/>
      <c r="E6" s="2577">
        <f>IF(OR(A6=0,F6="否"),0,'数据-取费表'!K6+'数据-取费表'!S6)</f>
        <v>0</v>
      </c>
      <c r="F6" s="2578" t="s">
        <v>2479</v>
      </c>
    </row>
    <row r="7" spans="1:6" ht="14.4">
      <c r="A7" s="2576" t="str">
        <f>'数据-取费表'!AN7</f>
        <v>收益法-商业</v>
      </c>
      <c r="B7" s="2575">
        <f ca="1">IF(F7="是",'数据-取费表'!AO7,0)</f>
        <v>2989</v>
      </c>
      <c r="C7" s="2566" t="s">
        <v>2473</v>
      </c>
      <c r="D7" s="2569"/>
      <c r="E7" s="2577">
        <f>IF(OR(A7=0,F7="否"),0,'数据-取费表'!K7+'数据-取费表'!S7)</f>
        <v>2543.7600000000002</v>
      </c>
      <c r="F7" s="2578" t="s">
        <v>2479</v>
      </c>
    </row>
    <row r="8" spans="1:6" ht="14.4">
      <c r="A8" s="2576" t="str">
        <f>'数据-取费表'!AN8</f>
        <v>收益法-地下车库</v>
      </c>
      <c r="B8" s="2575">
        <f ca="1">IF(F8="是",'数据-取费表'!AO8,0)</f>
        <v>5278</v>
      </c>
      <c r="C8" s="2566" t="s">
        <v>2473</v>
      </c>
      <c r="D8" s="2569"/>
      <c r="E8" s="2577">
        <f>IF(OR(A8=0,F8="否"),0,'数据-取费表'!K8+'数据-取费表'!S8)</f>
        <v>31499.21</v>
      </c>
      <c r="F8" s="2578" t="s">
        <v>2479</v>
      </c>
    </row>
    <row r="9" spans="1:6" ht="14.4">
      <c r="A9" s="2576">
        <f>'数据-取费表'!AN9</f>
        <v>0</v>
      </c>
      <c r="B9" s="2575" t="e">
        <f ca="1">IF(F9="是",'数据-取费表'!AO9,0)</f>
        <v>#REF!</v>
      </c>
      <c r="C9" s="2566" t="s">
        <v>2473</v>
      </c>
      <c r="D9" s="2569"/>
      <c r="E9" s="2577">
        <f>IF(OR(A9=0,F9="否"),0,'数据-取费表'!K9+'数据-取费表'!S9)</f>
        <v>0</v>
      </c>
      <c r="F9" s="2578" t="s">
        <v>2479</v>
      </c>
    </row>
    <row r="10" spans="1:6" ht="14.4">
      <c r="A10" s="2576">
        <f>'数据-取费表'!AN10</f>
        <v>0</v>
      </c>
      <c r="B10" s="2575" t="e">
        <f ca="1">IF(F10="是",'数据-取费表'!AO10,0)</f>
        <v>#REF!</v>
      </c>
      <c r="C10" s="2566" t="s">
        <v>2473</v>
      </c>
      <c r="D10" s="2569"/>
      <c r="E10" s="2577">
        <f>IF(OR(A10=0,F10="否"),0,'数据-取费表'!K10+'数据-取费表'!S10)</f>
        <v>0</v>
      </c>
      <c r="F10" s="2578" t="s">
        <v>2479</v>
      </c>
    </row>
    <row r="11" spans="1:6" ht="14.4">
      <c r="A11" s="2576">
        <f>'数据-取费表'!AN11</f>
        <v>0</v>
      </c>
      <c r="B11" s="2575" t="e">
        <f ca="1">IF(F11="是",'数据-取费表'!AO11,0)</f>
        <v>#REF!</v>
      </c>
      <c r="C11" s="2566" t="s">
        <v>2473</v>
      </c>
      <c r="D11" s="2569"/>
      <c r="E11" s="2577">
        <f>IF(OR(A11=0,F11="否"),0,'数据-取费表'!K11+'数据-取费表'!S11)</f>
        <v>0</v>
      </c>
      <c r="F11" s="2578" t="s">
        <v>2479</v>
      </c>
    </row>
    <row r="12" spans="1:6" ht="14.4">
      <c r="A12" s="2576">
        <f>'数据-取费表'!AN12</f>
        <v>0</v>
      </c>
      <c r="B12" s="2575" t="e">
        <f ca="1">IF(F12="是",'数据-取费表'!AO12,0)</f>
        <v>#REF!</v>
      </c>
      <c r="C12" s="2566" t="s">
        <v>2473</v>
      </c>
      <c r="D12" s="2569"/>
      <c r="E12" s="2577">
        <f>IF(OR(A12=0,F12="否"),0,'数据-取费表'!K12+'数据-取费表'!S12)</f>
        <v>0</v>
      </c>
      <c r="F12" s="2578" t="s">
        <v>2479</v>
      </c>
    </row>
    <row r="13" spans="1:6" ht="15" thickBot="1">
      <c r="A13" s="2579">
        <f>'数据-取费表'!AN13</f>
        <v>0</v>
      </c>
      <c r="B13" s="2575" t="e">
        <f ca="1">IF(F13="是",'数据-取费表'!AO13,0)</f>
        <v>#REF!</v>
      </c>
      <c r="C13" s="2580" t="s">
        <v>2473</v>
      </c>
      <c r="D13" s="2581"/>
      <c r="E13" s="2577">
        <f>IF(OR(A13=0,F13="否"),0,'数据-取费表'!K13+'数据-取费表'!S13)</f>
        <v>0</v>
      </c>
      <c r="F13" s="2578"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756" t="s">
        <v>1072</v>
      </c>
      <c r="B1" s="3757"/>
      <c r="C1" s="3758"/>
      <c r="D1" s="3759">
        <f>SUM(I10,I15,I20,I21,I23)</f>
        <v>0</v>
      </c>
      <c r="E1" s="3759"/>
      <c r="F1" s="3759"/>
      <c r="G1" s="3759"/>
      <c r="H1" s="3759"/>
      <c r="I1" s="3760"/>
    </row>
    <row r="2" spans="1:9">
      <c r="A2" s="3761" t="s">
        <v>1073</v>
      </c>
      <c r="B2" s="3762" t="s">
        <v>1074</v>
      </c>
      <c r="C2" s="3762"/>
      <c r="D2" s="1300" t="s">
        <v>1075</v>
      </c>
      <c r="E2" s="1300" t="s">
        <v>1076</v>
      </c>
      <c r="F2" s="1300" t="s">
        <v>1077</v>
      </c>
      <c r="G2" s="1300" t="s">
        <v>1078</v>
      </c>
      <c r="H2" s="1300" t="s">
        <v>1079</v>
      </c>
      <c r="I2" s="1301" t="s">
        <v>1080</v>
      </c>
    </row>
    <row r="3" spans="1:9">
      <c r="A3" s="3761"/>
      <c r="B3" s="3762" t="s">
        <v>1081</v>
      </c>
      <c r="C3" s="3762"/>
      <c r="D3" s="1302"/>
      <c r="E3" s="1300"/>
      <c r="F3" s="1303"/>
      <c r="G3" s="1303"/>
      <c r="H3" s="1304"/>
      <c r="I3" s="1305">
        <f>ROUND(D3*E3*F3*G3*H3/10000,0)</f>
        <v>0</v>
      </c>
    </row>
    <row r="4" spans="1:9">
      <c r="A4" s="3761"/>
      <c r="B4" s="3762" t="s">
        <v>1082</v>
      </c>
      <c r="C4" s="3762"/>
      <c r="D4" s="1302"/>
      <c r="E4" s="1300"/>
      <c r="F4" s="1303"/>
      <c r="G4" s="1303"/>
      <c r="H4" s="1304"/>
      <c r="I4" s="1305">
        <f t="shared" ref="I4:I9" si="0">ROUND(D4*E4*F4*G4*H4/10000,0)</f>
        <v>0</v>
      </c>
    </row>
    <row r="5" spans="1:9">
      <c r="A5" s="3761"/>
      <c r="B5" s="3762" t="s">
        <v>1083</v>
      </c>
      <c r="C5" s="3762"/>
      <c r="D5" s="1302"/>
      <c r="E5" s="1300"/>
      <c r="F5" s="1303"/>
      <c r="G5" s="1303"/>
      <c r="H5" s="1304"/>
      <c r="I5" s="1305">
        <f t="shared" si="0"/>
        <v>0</v>
      </c>
    </row>
    <row r="6" spans="1:9">
      <c r="A6" s="3761"/>
      <c r="B6" s="3762" t="s">
        <v>1084</v>
      </c>
      <c r="C6" s="3762"/>
      <c r="D6" s="1302"/>
      <c r="E6" s="1300"/>
      <c r="F6" s="1303"/>
      <c r="G6" s="1303"/>
      <c r="H6" s="1304"/>
      <c r="I6" s="1305">
        <f t="shared" si="0"/>
        <v>0</v>
      </c>
    </row>
    <row r="7" spans="1:9">
      <c r="A7" s="3761"/>
      <c r="B7" s="3762" t="s">
        <v>1085</v>
      </c>
      <c r="C7" s="3762"/>
      <c r="D7" s="1302"/>
      <c r="E7" s="1300"/>
      <c r="F7" s="1303"/>
      <c r="G7" s="1303"/>
      <c r="H7" s="1304"/>
      <c r="I7" s="1305">
        <f t="shared" si="0"/>
        <v>0</v>
      </c>
    </row>
    <row r="8" spans="1:9">
      <c r="A8" s="3761"/>
      <c r="B8" s="3762" t="s">
        <v>1086</v>
      </c>
      <c r="C8" s="3762"/>
      <c r="D8" s="1302"/>
      <c r="E8" s="1300"/>
      <c r="F8" s="1303"/>
      <c r="G8" s="1303"/>
      <c r="H8" s="1304"/>
      <c r="I8" s="1305">
        <f t="shared" si="0"/>
        <v>0</v>
      </c>
    </row>
    <row r="9" spans="1:9">
      <c r="A9" s="3761"/>
      <c r="B9" s="3762" t="s">
        <v>1087</v>
      </c>
      <c r="C9" s="3762"/>
      <c r="D9" s="1302"/>
      <c r="E9" s="1300"/>
      <c r="F9" s="1303"/>
      <c r="G9" s="1303"/>
      <c r="H9" s="1304"/>
      <c r="I9" s="1305">
        <f t="shared" si="0"/>
        <v>0</v>
      </c>
    </row>
    <row r="10" spans="1:9">
      <c r="A10" s="3761"/>
      <c r="B10" s="3763" t="s">
        <v>1088</v>
      </c>
      <c r="C10" s="3763"/>
      <c r="D10" s="1306"/>
      <c r="E10" s="1306" t="e">
        <f>ROUND(D1*10000/D10/H9,0)</f>
        <v>#DIV/0!</v>
      </c>
      <c r="F10" s="1307"/>
      <c r="G10" s="1307"/>
      <c r="H10" s="1308"/>
      <c r="I10" s="1309">
        <f>SUM(I3:I9)</f>
        <v>0</v>
      </c>
    </row>
    <row r="11" spans="1:9" ht="15.6">
      <c r="A11" s="3761" t="s">
        <v>1089</v>
      </c>
      <c r="B11" s="3762" t="s">
        <v>1090</v>
      </c>
      <c r="C11" s="3762"/>
      <c r="D11" s="1302" t="s">
        <v>1091</v>
      </c>
      <c r="E11" s="1302" t="s">
        <v>1092</v>
      </c>
      <c r="F11" s="1303" t="s">
        <v>1093</v>
      </c>
      <c r="G11" s="1303" t="s">
        <v>1079</v>
      </c>
      <c r="H11" s="1310" t="s">
        <v>1094</v>
      </c>
      <c r="I11" s="1301" t="s">
        <v>1080</v>
      </c>
    </row>
    <row r="12" spans="1:9">
      <c r="A12" s="3761"/>
      <c r="B12" s="3762" t="s">
        <v>1095</v>
      </c>
      <c r="C12" s="3762"/>
      <c r="D12" s="1302"/>
      <c r="E12" s="1302"/>
      <c r="F12" s="1303"/>
      <c r="G12" s="1304"/>
      <c r="H12" s="1311"/>
      <c r="I12" s="1301">
        <f>ROUND(D12*E12*F12*G12/10000,0)</f>
        <v>0</v>
      </c>
    </row>
    <row r="13" spans="1:9">
      <c r="A13" s="3761"/>
      <c r="B13" s="3762" t="s">
        <v>1096</v>
      </c>
      <c r="C13" s="3762"/>
      <c r="D13" s="1302"/>
      <c r="E13" s="1302"/>
      <c r="F13" s="1303"/>
      <c r="G13" s="1304"/>
      <c r="H13" s="1311"/>
      <c r="I13" s="1301">
        <f>ROUND(D13*E13*F13*G13/10000,0)</f>
        <v>0</v>
      </c>
    </row>
    <row r="14" spans="1:9">
      <c r="A14" s="3761"/>
      <c r="B14" s="3762" t="s">
        <v>1097</v>
      </c>
      <c r="C14" s="3762"/>
      <c r="D14" s="1302"/>
      <c r="E14" s="1302"/>
      <c r="F14" s="1303"/>
      <c r="G14" s="1304"/>
      <c r="H14" s="1311"/>
      <c r="I14" s="1301">
        <f>ROUND(D14*E14*F14*G14/10000,0)</f>
        <v>0</v>
      </c>
    </row>
    <row r="15" spans="1:9">
      <c r="A15" s="3761"/>
      <c r="B15" s="3763" t="s">
        <v>1088</v>
      </c>
      <c r="C15" s="3763"/>
      <c r="D15" s="1306"/>
      <c r="E15" s="1306">
        <f>SUM(E12:E14)</f>
        <v>0</v>
      </c>
      <c r="F15" s="1307"/>
      <c r="G15" s="1304"/>
      <c r="H15" s="1311"/>
      <c r="I15" s="1312">
        <f>SUM(I12:I14)</f>
        <v>0</v>
      </c>
    </row>
    <row r="16" spans="1:9" ht="24">
      <c r="A16" s="3761" t="s">
        <v>1098</v>
      </c>
      <c r="B16" s="3762" t="s">
        <v>1099</v>
      </c>
      <c r="C16" s="3762"/>
      <c r="D16" s="1302" t="s">
        <v>1075</v>
      </c>
      <c r="E16" s="1313" t="s">
        <v>1100</v>
      </c>
      <c r="F16" s="1303" t="s">
        <v>1101</v>
      </c>
      <c r="G16" s="1304" t="s">
        <v>1079</v>
      </c>
      <c r="H16" s="1310" t="s">
        <v>1094</v>
      </c>
      <c r="I16" s="1301" t="s">
        <v>1080</v>
      </c>
    </row>
    <row r="17" spans="1:9" ht="15.6">
      <c r="A17" s="3761"/>
      <c r="B17" s="3762" t="s">
        <v>1102</v>
      </c>
      <c r="C17" s="3762"/>
      <c r="D17" s="1302"/>
      <c r="E17" s="1302"/>
      <c r="F17" s="1303"/>
      <c r="G17" s="1304"/>
      <c r="H17" s="1314"/>
      <c r="I17" s="1315">
        <f>ROUND(D17*E17*F17*G17/10000,0)</f>
        <v>0</v>
      </c>
    </row>
    <row r="18" spans="1:9" ht="15.6">
      <c r="A18" s="3761"/>
      <c r="B18" s="3762" t="s">
        <v>1103</v>
      </c>
      <c r="C18" s="3762"/>
      <c r="D18" s="1302"/>
      <c r="E18" s="1302"/>
      <c r="F18" s="1303"/>
      <c r="G18" s="1304"/>
      <c r="H18" s="1314"/>
      <c r="I18" s="1315">
        <f>ROUND(D18*E18*F18*G18/10000,0)</f>
        <v>0</v>
      </c>
    </row>
    <row r="19" spans="1:9" ht="15.6">
      <c r="A19" s="3761"/>
      <c r="B19" s="3762" t="s">
        <v>1104</v>
      </c>
      <c r="C19" s="3762"/>
      <c r="D19" s="1302"/>
      <c r="E19" s="1302"/>
      <c r="F19" s="1303"/>
      <c r="G19" s="1304"/>
      <c r="H19" s="1314"/>
      <c r="I19" s="1315">
        <f>ROUND(D19*E19*F19*G19/10000,0)</f>
        <v>0</v>
      </c>
    </row>
    <row r="20" spans="1:9">
      <c r="A20" s="3761"/>
      <c r="B20" s="3763" t="s">
        <v>1088</v>
      </c>
      <c r="C20" s="3763"/>
      <c r="D20" s="1306">
        <f>SUM(D17:D19)</f>
        <v>0</v>
      </c>
      <c r="E20" s="1306"/>
      <c r="F20" s="1307"/>
      <c r="G20" s="1304"/>
      <c r="H20" s="1311"/>
      <c r="I20" s="1312">
        <f>SUM(I17:I19)</f>
        <v>0</v>
      </c>
    </row>
    <row r="21" spans="1:9">
      <c r="A21" s="3761" t="s">
        <v>1105</v>
      </c>
      <c r="B21" s="3765"/>
      <c r="C21" s="3765"/>
      <c r="D21" s="3765"/>
      <c r="E21" s="3765"/>
      <c r="F21" s="3765"/>
      <c r="G21" s="3765"/>
      <c r="H21" s="1764">
        <v>0.1</v>
      </c>
      <c r="I21" s="1309">
        <f>ROUND(I10*H21,0)</f>
        <v>0</v>
      </c>
    </row>
    <row r="22" spans="1:9" ht="15.6">
      <c r="A22" s="3766" t="s">
        <v>1106</v>
      </c>
      <c r="B22" s="3767"/>
      <c r="C22" s="3768"/>
      <c r="D22" s="1316" t="s">
        <v>1107</v>
      </c>
      <c r="E22" s="1316" t="s">
        <v>1108</v>
      </c>
      <c r="F22" s="1317" t="s">
        <v>1109</v>
      </c>
      <c r="G22" s="1317" t="s">
        <v>1110</v>
      </c>
      <c r="H22" s="1310" t="s">
        <v>1111</v>
      </c>
      <c r="I22" s="1301" t="s">
        <v>1112</v>
      </c>
    </row>
    <row r="23" spans="1:9" ht="15" thickBot="1">
      <c r="A23" s="3769"/>
      <c r="B23" s="3770"/>
      <c r="C23" s="3771"/>
      <c r="D23" s="1318"/>
      <c r="E23" s="1318"/>
      <c r="F23" s="1318"/>
      <c r="G23" s="1319"/>
      <c r="H23" s="1320"/>
      <c r="I23" s="1321">
        <f>ROUND(E23*D23*F23*(1-G23)/10000,0)</f>
        <v>0</v>
      </c>
    </row>
    <row r="26" spans="1:9">
      <c r="A26" s="1322" t="s">
        <v>1113</v>
      </c>
      <c r="B26" s="1322"/>
      <c r="C26" s="1322"/>
      <c r="D26" s="1322"/>
      <c r="E26" s="3772">
        <f>C27-C30-C31-C32</f>
        <v>0</v>
      </c>
      <c r="F26" s="3772"/>
      <c r="G26" s="3772"/>
      <c r="H26" s="1736" t="s">
        <v>1332</v>
      </c>
    </row>
    <row r="27" spans="1:9">
      <c r="A27" s="1323">
        <v>1</v>
      </c>
      <c r="B27" s="1324" t="s">
        <v>1114</v>
      </c>
      <c r="C27" s="1324">
        <f>C28+C29</f>
        <v>0</v>
      </c>
      <c r="D27" s="1324"/>
      <c r="E27" s="3773"/>
      <c r="F27" s="3773"/>
      <c r="G27" s="3773"/>
    </row>
    <row r="28" spans="1:9">
      <c r="A28" s="1325" t="s">
        <v>1115</v>
      </c>
      <c r="B28" s="1324" t="s">
        <v>1116</v>
      </c>
      <c r="C28" s="1324"/>
      <c r="D28" s="1324"/>
      <c r="E28" s="3773"/>
      <c r="F28" s="3773"/>
      <c r="G28" s="3773"/>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764"/>
      <c r="F32" s="3764"/>
      <c r="G32" s="3764"/>
    </row>
    <row r="33" spans="1:7" hidden="1">
      <c r="A33" s="3774" t="s">
        <v>1125</v>
      </c>
      <c r="B33" s="3775"/>
      <c r="C33" s="3775"/>
      <c r="D33" s="3776"/>
      <c r="E33" s="3772"/>
      <c r="F33" s="3772"/>
      <c r="G33" s="3772"/>
    </row>
    <row r="34" spans="1:7" hidden="1">
      <c r="A34" s="1327">
        <v>1</v>
      </c>
      <c r="B34" s="1324" t="s">
        <v>1126</v>
      </c>
      <c r="C34" s="1324"/>
      <c r="D34" s="1324"/>
      <c r="E34" s="3773"/>
      <c r="F34" s="3773"/>
      <c r="G34" s="3773"/>
    </row>
    <row r="35" spans="1:7" hidden="1">
      <c r="A35" s="1327">
        <v>2</v>
      </c>
      <c r="B35" s="1324" t="s">
        <v>1127</v>
      </c>
      <c r="C35" s="1324"/>
      <c r="D35" s="1324"/>
      <c r="E35" s="3773"/>
      <c r="F35" s="3773"/>
      <c r="G35" s="3773"/>
    </row>
    <row r="36" spans="1:7" hidden="1">
      <c r="A36" s="1327">
        <v>3</v>
      </c>
      <c r="B36" s="1324" t="s">
        <v>1128</v>
      </c>
      <c r="C36" s="1324"/>
      <c r="D36" s="1324"/>
      <c r="E36" s="3773"/>
      <c r="F36" s="3773"/>
      <c r="G36" s="3773"/>
    </row>
    <row r="37" spans="1:7" hidden="1">
      <c r="A37" s="1327">
        <v>4</v>
      </c>
      <c r="B37" s="1324" t="s">
        <v>1129</v>
      </c>
      <c r="C37" s="1324"/>
      <c r="D37" s="1324"/>
      <c r="E37" s="3773"/>
      <c r="F37" s="3773"/>
      <c r="G37" s="3773"/>
    </row>
    <row r="38" spans="1:7" hidden="1">
      <c r="A38" s="3774" t="s">
        <v>1130</v>
      </c>
      <c r="B38" s="3775"/>
      <c r="C38" s="3775"/>
      <c r="D38" s="3776"/>
      <c r="E38" s="3772"/>
      <c r="F38" s="3772"/>
      <c r="G38" s="37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2482</v>
      </c>
      <c r="B1" s="2582" t="s">
        <v>2595</v>
      </c>
      <c r="C1" s="1633" t="s">
        <v>2484</v>
      </c>
      <c r="D1" s="1620"/>
      <c r="E1" s="2657"/>
      <c r="F1" s="2584"/>
      <c r="G1" s="1630" t="s">
        <v>2596</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2284</v>
      </c>
      <c r="B2" s="1417" t="e">
        <f ca="1">IF(C2="——",ROUND(C49*D3/10000,0),ROUND(C49*D3/10000,0)-D2)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2286</v>
      </c>
      <c r="B3" s="609" t="e">
        <f ca="1">IF(C2="——",C49,ROUND(B2*10000/D3,0))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34" t="s">
        <v>2601</v>
      </c>
      <c r="AC4" s="3703" t="s">
        <v>2602</v>
      </c>
    </row>
    <row r="5" spans="1:29">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34"/>
      <c r="AC5" s="3704"/>
    </row>
    <row r="6" spans="1:29" ht="15" thickBot="1">
      <c r="A6" s="406"/>
      <c r="B6" s="407"/>
      <c r="C6" s="3716" t="s">
        <v>2500</v>
      </c>
      <c r="D6" s="3717"/>
      <c r="E6" s="3719" t="s">
        <v>2500</v>
      </c>
      <c r="F6" s="3720"/>
      <c r="G6" s="3716" t="s">
        <v>2500</v>
      </c>
      <c r="H6" s="3717"/>
      <c r="I6" s="3716" t="s">
        <v>2500</v>
      </c>
      <c r="J6" s="3717"/>
      <c r="K6" s="610" t="s">
        <v>2501</v>
      </c>
      <c r="L6" s="1129"/>
      <c r="M6" s="1130"/>
      <c r="N6" s="1130"/>
      <c r="O6" s="1130"/>
      <c r="P6" s="3730"/>
      <c r="Q6" s="3731"/>
      <c r="R6" s="3710"/>
      <c r="S6" s="3711"/>
      <c r="T6" s="3732"/>
      <c r="U6" s="3733"/>
      <c r="V6" s="3734"/>
      <c r="W6" s="3734"/>
      <c r="X6" s="1812"/>
      <c r="Y6" s="3732"/>
      <c r="Z6" s="3733"/>
      <c r="AA6" s="3705"/>
      <c r="AB6" s="3734"/>
      <c r="AC6" s="3705"/>
    </row>
    <row r="7" spans="1:29" s="117" customFormat="1" ht="15" thickBot="1">
      <c r="A7" s="408" t="s">
        <v>2502</v>
      </c>
      <c r="B7" s="409"/>
      <c r="C7" s="410">
        <f>'数据-取费表'!B2</f>
        <v>43685</v>
      </c>
      <c r="D7" s="411">
        <v>100</v>
      </c>
      <c r="E7" s="412"/>
      <c r="F7" s="413">
        <f>SUMIF(58:58,YEAR(E7)&amp;"-"&amp;MONTH(E7),59:59)</f>
        <v>0</v>
      </c>
      <c r="G7" s="412"/>
      <c r="H7" s="411">
        <f>SUMIF(58:58,YEAR(G7)&amp;"-"&amp;MONTH(G7),59:59)</f>
        <v>0</v>
      </c>
      <c r="I7" s="412"/>
      <c r="J7" s="411">
        <f>SUMIF(58:58,YEAR(I7)&amp;"-"&amp;MONTH(I7),59:59)</f>
        <v>0</v>
      </c>
      <c r="K7" s="611"/>
      <c r="L7" s="1131"/>
      <c r="M7" s="1132"/>
      <c r="N7" s="1132"/>
      <c r="O7" s="1132"/>
      <c r="P7" s="3706" t="s">
        <v>2503</v>
      </c>
      <c r="Q7" s="3735"/>
      <c r="R7" s="770" t="s">
        <v>17</v>
      </c>
      <c r="S7" s="771">
        <f t="shared" ref="S7:S15" si="0">F7</f>
        <v>0</v>
      </c>
      <c r="T7" s="770" t="s">
        <v>17</v>
      </c>
      <c r="U7" s="771">
        <f t="shared" ref="U7:U15" si="1">H7</f>
        <v>0</v>
      </c>
      <c r="V7" s="770" t="s">
        <v>17</v>
      </c>
      <c r="W7" s="771">
        <f t="shared" ref="W7:W15" si="2">J7</f>
        <v>0</v>
      </c>
      <c r="X7" s="772"/>
      <c r="Y7" s="3706" t="s">
        <v>2503</v>
      </c>
      <c r="Z7" s="3707"/>
      <c r="AA7" s="773" t="e">
        <f>D7/F7</f>
        <v>#DIV/0!</v>
      </c>
      <c r="AB7" s="773" t="e">
        <f>D7/H7</f>
        <v>#DIV/0!</v>
      </c>
      <c r="AC7" s="773" t="e">
        <f>D7/J7</f>
        <v>#DIV/0!</v>
      </c>
    </row>
    <row r="8" spans="1:29" s="117" customFormat="1" ht="1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46" si="3">D8/F8</f>
        <v>#DIV/0!</v>
      </c>
      <c r="AB8" s="773" t="e">
        <f t="shared" ref="AB8:AB46" si="4">D8/H8</f>
        <v>#DIV/0!</v>
      </c>
      <c r="AC8" s="773" t="e">
        <f t="shared" ref="AC8:AC46" si="5">D8/J8</f>
        <v>#DIV/0!</v>
      </c>
    </row>
    <row r="9" spans="1:29" s="117" customFormat="1" ht="14.4">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721"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773">
        <f t="shared" si="5"/>
        <v>1</v>
      </c>
    </row>
    <row r="10" spans="1:29" s="427" customFormat="1" ht="28.8">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721"/>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721"/>
      <c r="Q11" s="1794" t="str">
        <f t="shared" si="6"/>
        <v>容积率</v>
      </c>
      <c r="R11" s="770" t="s">
        <v>17</v>
      </c>
      <c r="S11" s="771" t="e">
        <f t="shared" si="0"/>
        <v>#N/A</v>
      </c>
      <c r="T11" s="770" t="s">
        <v>17</v>
      </c>
      <c r="U11" s="771" t="e">
        <f t="shared" si="1"/>
        <v>#N/A</v>
      </c>
      <c r="V11" s="770" t="s">
        <v>17</v>
      </c>
      <c r="W11" s="771" t="e">
        <f t="shared" si="2"/>
        <v>#N/A</v>
      </c>
      <c r="X11" s="772"/>
      <c r="Y11" s="353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721"/>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721"/>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773">
        <f t="shared" si="5"/>
        <v>1</v>
      </c>
    </row>
    <row r="14" spans="1:29" ht="15.6"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721"/>
      <c r="Q14" s="1794">
        <f t="shared" si="6"/>
        <v>111</v>
      </c>
      <c r="R14" s="770" t="s">
        <v>17</v>
      </c>
      <c r="S14" s="771">
        <f t="shared" si="0"/>
        <v>100</v>
      </c>
      <c r="T14" s="770" t="s">
        <v>17</v>
      </c>
      <c r="U14" s="771">
        <f t="shared" si="1"/>
        <v>100</v>
      </c>
      <c r="V14" s="770" t="s">
        <v>17</v>
      </c>
      <c r="W14" s="771">
        <f t="shared" si="2"/>
        <v>100</v>
      </c>
      <c r="X14" s="772"/>
      <c r="Y14" s="3538"/>
      <c r="Z14" s="55">
        <f t="shared" si="7"/>
        <v>111</v>
      </c>
      <c r="AA14" s="773">
        <f t="shared" si="3"/>
        <v>1</v>
      </c>
      <c r="AB14" s="773">
        <f t="shared" si="4"/>
        <v>1</v>
      </c>
      <c r="AC14" s="773">
        <f t="shared" si="5"/>
        <v>1</v>
      </c>
    </row>
    <row r="15" spans="1:29" ht="82.8">
      <c r="A15" s="440" t="s">
        <v>2513</v>
      </c>
      <c r="B15" s="69" t="s">
        <v>2606</v>
      </c>
      <c r="C15" s="2603" t="str">
        <f>估价对象房地状况!C4</f>
        <v>估价对象位于世纪大道南侧，周边商业氛围成熟一般，人流量一般，商业繁华度一般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748" t="s">
        <v>2514</v>
      </c>
      <c r="Q15" s="1809" t="str">
        <f t="shared" si="6"/>
        <v>商业繁华度</v>
      </c>
      <c r="R15" s="774" t="s">
        <v>17</v>
      </c>
      <c r="S15" s="775">
        <f t="shared" si="0"/>
        <v>100</v>
      </c>
      <c r="T15" s="774" t="s">
        <v>17</v>
      </c>
      <c r="U15" s="775">
        <f t="shared" si="1"/>
        <v>100</v>
      </c>
      <c r="V15" s="774" t="s">
        <v>17</v>
      </c>
      <c r="W15" s="775">
        <f t="shared" si="2"/>
        <v>100</v>
      </c>
      <c r="X15" s="1812"/>
      <c r="Y15" s="3741" t="s">
        <v>2514</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749"/>
      <c r="Q16" s="1809"/>
      <c r="R16" s="774"/>
      <c r="S16" s="775"/>
      <c r="T16" s="774"/>
      <c r="U16" s="775"/>
      <c r="V16" s="774"/>
      <c r="W16" s="775"/>
      <c r="X16" s="1812"/>
      <c r="Y16" s="3742"/>
      <c r="Z16" s="1813"/>
      <c r="AA16" s="1810">
        <v>1</v>
      </c>
      <c r="AB16" s="1810">
        <v>1</v>
      </c>
      <c r="AC16" s="1810">
        <v>1</v>
      </c>
    </row>
    <row r="17" spans="1:29" ht="96.6">
      <c r="A17" s="428"/>
      <c r="B17" s="451" t="s">
        <v>2055</v>
      </c>
      <c r="C17" s="2607"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749"/>
      <c r="Q17" s="1809" t="str">
        <f>B17</f>
        <v>交通便捷度</v>
      </c>
      <c r="R17" s="774" t="s">
        <v>17</v>
      </c>
      <c r="S17" s="775">
        <f>F17</f>
        <v>100</v>
      </c>
      <c r="T17" s="774" t="s">
        <v>17</v>
      </c>
      <c r="U17" s="775">
        <f>H17</f>
        <v>100</v>
      </c>
      <c r="V17" s="774" t="s">
        <v>17</v>
      </c>
      <c r="W17" s="775">
        <f>J17</f>
        <v>100</v>
      </c>
      <c r="X17" s="1812"/>
      <c r="Y17" s="374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0"/>
      <c r="P18" s="3749"/>
      <c r="Q18" s="1809"/>
      <c r="R18" s="774"/>
      <c r="S18" s="775"/>
      <c r="T18" s="774"/>
      <c r="U18" s="775"/>
      <c r="V18" s="774"/>
      <c r="W18" s="775"/>
      <c r="X18" s="1812"/>
      <c r="Y18" s="3742"/>
      <c r="Z18" s="1813"/>
      <c r="AA18" s="1810">
        <v>1</v>
      </c>
      <c r="AB18" s="1810">
        <v>1</v>
      </c>
      <c r="AC18" s="1810">
        <v>1</v>
      </c>
    </row>
    <row r="19" spans="1:29" ht="41.4">
      <c r="A19" s="428"/>
      <c r="B19" s="451" t="s">
        <v>2607</v>
      </c>
      <c r="C19" s="2607"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749"/>
      <c r="Q19" s="1809" t="str">
        <f>B19</f>
        <v>公共配套设施</v>
      </c>
      <c r="R19" s="774" t="s">
        <v>17</v>
      </c>
      <c r="S19" s="775">
        <f>F19</f>
        <v>100</v>
      </c>
      <c r="T19" s="774" t="s">
        <v>17</v>
      </c>
      <c r="U19" s="775">
        <f>H19</f>
        <v>100</v>
      </c>
      <c r="V19" s="774" t="s">
        <v>17</v>
      </c>
      <c r="W19" s="775">
        <f>J19</f>
        <v>100</v>
      </c>
      <c r="X19" s="1812"/>
      <c r="Y19" s="374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0"/>
      <c r="P20" s="3749"/>
      <c r="Q20" s="1809"/>
      <c r="R20" s="774"/>
      <c r="S20" s="775"/>
      <c r="T20" s="774"/>
      <c r="U20" s="775"/>
      <c r="V20" s="774"/>
      <c r="W20" s="775"/>
      <c r="X20" s="1812"/>
      <c r="Y20" s="3742"/>
      <c r="Z20" s="1813"/>
      <c r="AA20" s="1810">
        <v>1</v>
      </c>
      <c r="AB20" s="1810">
        <v>1</v>
      </c>
      <c r="AC20" s="1810">
        <v>1</v>
      </c>
    </row>
    <row r="21" spans="1:29" ht="41.4">
      <c r="A21" s="428"/>
      <c r="B21" s="1383" t="s">
        <v>2608</v>
      </c>
      <c r="C21" s="2607"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749"/>
      <c r="Q21" s="1809" t="str">
        <f>B21</f>
        <v>基础设施水平</v>
      </c>
      <c r="R21" s="774" t="s">
        <v>17</v>
      </c>
      <c r="S21" s="775">
        <f>F21</f>
        <v>100</v>
      </c>
      <c r="T21" s="774" t="s">
        <v>17</v>
      </c>
      <c r="U21" s="775">
        <f>H21</f>
        <v>100</v>
      </c>
      <c r="V21" s="774" t="s">
        <v>17</v>
      </c>
      <c r="W21" s="775">
        <f>J21</f>
        <v>100</v>
      </c>
      <c r="X21" s="1812"/>
      <c r="Y21" s="3742"/>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0"/>
      <c r="P22" s="3749"/>
      <c r="Q22" s="1809"/>
      <c r="R22" s="774"/>
      <c r="S22" s="775"/>
      <c r="T22" s="774"/>
      <c r="U22" s="775"/>
      <c r="V22" s="774"/>
      <c r="W22" s="775"/>
      <c r="X22" s="1812"/>
      <c r="Y22" s="3742"/>
      <c r="Z22" s="1813"/>
      <c r="AA22" s="1810">
        <v>1</v>
      </c>
      <c r="AB22" s="1810">
        <v>1</v>
      </c>
      <c r="AC22" s="1810">
        <v>1</v>
      </c>
    </row>
    <row r="23" spans="1:29" ht="69">
      <c r="A23" s="428"/>
      <c r="B23" s="451" t="s">
        <v>2058</v>
      </c>
      <c r="C23" s="2664"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749"/>
      <c r="Q23" s="1809" t="str">
        <f>B23</f>
        <v>自然及人文环境</v>
      </c>
      <c r="R23" s="774" t="s">
        <v>17</v>
      </c>
      <c r="S23" s="775">
        <f>F23</f>
        <v>100</v>
      </c>
      <c r="T23" s="774" t="s">
        <v>17</v>
      </c>
      <c r="U23" s="775">
        <f>H23</f>
        <v>100</v>
      </c>
      <c r="V23" s="774" t="s">
        <v>17</v>
      </c>
      <c r="W23" s="775">
        <f>J23</f>
        <v>100</v>
      </c>
      <c r="X23" s="1812"/>
      <c r="Y23" s="3742"/>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39"/>
      <c r="M24" s="1130"/>
      <c r="N24" s="1130"/>
      <c r="O24" s="1130"/>
      <c r="P24" s="3749"/>
      <c r="Q24" s="1809"/>
      <c r="R24" s="774"/>
      <c r="S24" s="775"/>
      <c r="T24" s="774"/>
      <c r="U24" s="775"/>
      <c r="V24" s="774"/>
      <c r="W24" s="775"/>
      <c r="X24" s="1812"/>
      <c r="Y24" s="3742"/>
      <c r="Z24" s="1813"/>
      <c r="AA24" s="1810">
        <v>1</v>
      </c>
      <c r="AB24" s="1810">
        <v>1</v>
      </c>
      <c r="AC24" s="1810">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749"/>
      <c r="Q25" s="1809" t="str">
        <f t="shared" ref="Q25:Q46" si="11">B25</f>
        <v>临街状况</v>
      </c>
      <c r="R25" s="774" t="s">
        <v>17</v>
      </c>
      <c r="S25" s="775">
        <f>F25</f>
        <v>100</v>
      </c>
      <c r="T25" s="774" t="s">
        <v>17</v>
      </c>
      <c r="U25" s="775">
        <f>H25</f>
        <v>100</v>
      </c>
      <c r="V25" s="774" t="s">
        <v>17</v>
      </c>
      <c r="W25" s="775">
        <f>J25</f>
        <v>100</v>
      </c>
      <c r="X25" s="1812"/>
      <c r="Y25" s="3742"/>
      <c r="Z25" s="1813" t="str">
        <f>Q25</f>
        <v>临街状况</v>
      </c>
      <c r="AA25" s="1810">
        <f t="shared" si="3"/>
        <v>1</v>
      </c>
      <c r="AB25" s="1810">
        <f t="shared" si="4"/>
        <v>1</v>
      </c>
      <c r="AC25" s="1810">
        <f t="shared" si="5"/>
        <v>1</v>
      </c>
    </row>
    <row r="26" spans="1:29" ht="15">
      <c r="A26" s="428"/>
      <c r="B26" s="1385" t="s">
        <v>2610</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749"/>
      <c r="Q26" s="1809" t="str">
        <f t="shared" si="11"/>
        <v>平面位置/可视性</v>
      </c>
      <c r="R26" s="774" t="s">
        <v>17</v>
      </c>
      <c r="S26" s="775">
        <f>F26</f>
        <v>100</v>
      </c>
      <c r="T26" s="774" t="s">
        <v>17</v>
      </c>
      <c r="U26" s="775">
        <f>H26</f>
        <v>100</v>
      </c>
      <c r="V26" s="774" t="s">
        <v>17</v>
      </c>
      <c r="W26" s="775">
        <f>J26</f>
        <v>100</v>
      </c>
      <c r="X26" s="1812"/>
      <c r="Y26" s="3742"/>
      <c r="Z26" s="1813" t="str">
        <f>Q26</f>
        <v>平面位置/可视性</v>
      </c>
      <c r="AA26" s="1810">
        <f t="shared" si="3"/>
        <v>1</v>
      </c>
      <c r="AB26" s="1810">
        <f t="shared" si="4"/>
        <v>1</v>
      </c>
      <c r="AC26" s="1810">
        <f t="shared" si="5"/>
        <v>1</v>
      </c>
    </row>
    <row r="27" spans="1:29" s="117" customFormat="1" ht="15">
      <c r="A27" s="431"/>
      <c r="B27" s="451" t="s">
        <v>2611</v>
      </c>
      <c r="C27" s="2665"/>
      <c r="D27" s="462">
        <v>100</v>
      </c>
      <c r="E27" s="2665"/>
      <c r="F27" s="464">
        <f>SUMIF(90:90,E27,91:91)-SUMIF(90:90,C27,91:91)+100</f>
        <v>100</v>
      </c>
      <c r="G27" s="2665"/>
      <c r="H27" s="462">
        <f>SUMIF(90:90,G27,91:91)-SUMIF(90:90,C27,91:91)+100</f>
        <v>100</v>
      </c>
      <c r="I27" s="2665"/>
      <c r="J27" s="462">
        <f>SUMIF(90:90,I27,91:91)-SUMIF(90:90,C27,91:91)+100</f>
        <v>100</v>
      </c>
      <c r="K27" s="612"/>
      <c r="L27" s="1131"/>
      <c r="M27" s="1132"/>
      <c r="N27" s="1132"/>
      <c r="O27" s="1132"/>
      <c r="P27" s="3749"/>
      <c r="Q27" s="1794" t="str">
        <f t="shared" si="11"/>
        <v>人流量</v>
      </c>
      <c r="R27" s="770" t="s">
        <v>17</v>
      </c>
      <c r="S27" s="771">
        <f>F27</f>
        <v>100</v>
      </c>
      <c r="T27" s="770" t="s">
        <v>17</v>
      </c>
      <c r="U27" s="771">
        <f>H27</f>
        <v>100</v>
      </c>
      <c r="V27" s="770" t="s">
        <v>17</v>
      </c>
      <c r="W27" s="771">
        <f>J27</f>
        <v>100</v>
      </c>
      <c r="X27" s="772"/>
      <c r="Y27" s="3742"/>
      <c r="Z27" s="55" t="str">
        <f>Q27</f>
        <v>人流量</v>
      </c>
      <c r="AA27" s="1810">
        <f>D27/F27</f>
        <v>1</v>
      </c>
      <c r="AB27" s="1810">
        <f>D27/H27</f>
        <v>1</v>
      </c>
      <c r="AC27" s="1810">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74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742"/>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749"/>
      <c r="Q29" s="1809">
        <f t="shared" si="11"/>
        <v>111</v>
      </c>
      <c r="R29" s="774" t="s">
        <v>17</v>
      </c>
      <c r="S29" s="775">
        <f t="shared" si="12"/>
        <v>100</v>
      </c>
      <c r="T29" s="774" t="s">
        <v>17</v>
      </c>
      <c r="U29" s="775">
        <f t="shared" si="13"/>
        <v>100</v>
      </c>
      <c r="V29" s="774" t="s">
        <v>17</v>
      </c>
      <c r="W29" s="775">
        <f t="shared" si="14"/>
        <v>100</v>
      </c>
      <c r="X29" s="1812"/>
      <c r="Y29" s="3742"/>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749"/>
      <c r="Q30" s="1809">
        <f t="shared" si="11"/>
        <v>111</v>
      </c>
      <c r="R30" s="774" t="s">
        <v>17</v>
      </c>
      <c r="S30" s="775">
        <f t="shared" si="12"/>
        <v>100</v>
      </c>
      <c r="T30" s="774" t="s">
        <v>17</v>
      </c>
      <c r="U30" s="775">
        <f t="shared" si="13"/>
        <v>100</v>
      </c>
      <c r="V30" s="774" t="s">
        <v>17</v>
      </c>
      <c r="W30" s="775">
        <f t="shared" si="14"/>
        <v>100</v>
      </c>
      <c r="X30" s="1812"/>
      <c r="Y30" s="3742"/>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749"/>
      <c r="Q31" s="1809">
        <f t="shared" si="11"/>
        <v>111</v>
      </c>
      <c r="R31" s="774" t="s">
        <v>17</v>
      </c>
      <c r="S31" s="775">
        <f t="shared" si="12"/>
        <v>100</v>
      </c>
      <c r="T31" s="774" t="s">
        <v>17</v>
      </c>
      <c r="U31" s="775">
        <f t="shared" si="13"/>
        <v>100</v>
      </c>
      <c r="V31" s="774" t="s">
        <v>17</v>
      </c>
      <c r="W31" s="775">
        <f t="shared" si="14"/>
        <v>100</v>
      </c>
      <c r="X31" s="1812"/>
      <c r="Y31" s="3742"/>
      <c r="Z31" s="1813">
        <f t="shared" si="15"/>
        <v>111</v>
      </c>
      <c r="AA31" s="1810">
        <f t="shared" si="3"/>
        <v>1</v>
      </c>
      <c r="AB31" s="1810">
        <f t="shared" si="4"/>
        <v>1</v>
      </c>
      <c r="AC31" s="1810">
        <f t="shared" si="5"/>
        <v>1</v>
      </c>
    </row>
    <row r="32" spans="1:29" ht="15">
      <c r="A32" s="440" t="s">
        <v>2517</v>
      </c>
      <c r="B32" s="71" t="s">
        <v>2613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9"/>
      <c r="M32" s="1130"/>
      <c r="N32" s="1130"/>
      <c r="O32" s="1130"/>
      <c r="P32" s="3743" t="s">
        <v>2519</v>
      </c>
      <c r="Q32" s="1809" t="str">
        <f t="shared" si="11"/>
        <v>商业类型</v>
      </c>
      <c r="R32" s="774" t="s">
        <v>17</v>
      </c>
      <c r="S32" s="775">
        <f t="shared" si="12"/>
        <v>100</v>
      </c>
      <c r="T32" s="774" t="s">
        <v>17</v>
      </c>
      <c r="U32" s="775">
        <f t="shared" si="13"/>
        <v>100</v>
      </c>
      <c r="V32" s="774" t="s">
        <v>17</v>
      </c>
      <c r="W32" s="775">
        <f t="shared" si="14"/>
        <v>100</v>
      </c>
      <c r="X32" s="1812"/>
      <c r="Y32" s="3746" t="s">
        <v>2519</v>
      </c>
      <c r="Z32" s="1813" t="str">
        <f t="shared" si="15"/>
        <v>商业类型</v>
      </c>
      <c r="AA32" s="1810">
        <f t="shared" si="3"/>
        <v>1</v>
      </c>
      <c r="AB32" s="1810">
        <f t="shared" si="4"/>
        <v>1</v>
      </c>
      <c r="AC32" s="1810">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744"/>
      <c r="Q33" s="776" t="str">
        <f t="shared" si="11"/>
        <v>项目建筑规模</v>
      </c>
      <c r="R33" s="777" t="s">
        <v>17</v>
      </c>
      <c r="S33" s="778" t="e">
        <f t="shared" si="12"/>
        <v>#N/A</v>
      </c>
      <c r="T33" s="777" t="s">
        <v>17</v>
      </c>
      <c r="U33" s="778" t="e">
        <f t="shared" si="13"/>
        <v>#N/A</v>
      </c>
      <c r="V33" s="777" t="s">
        <v>17</v>
      </c>
      <c r="W33" s="778" t="e">
        <f t="shared" si="14"/>
        <v>#N/A</v>
      </c>
      <c r="X33" s="779"/>
      <c r="Y33" s="3746"/>
      <c r="Z33" s="780" t="str">
        <f t="shared" si="15"/>
        <v>项目建筑规模</v>
      </c>
      <c r="AA33" s="1810" t="e">
        <f t="shared" si="3"/>
        <v>#N/A</v>
      </c>
      <c r="AB33" s="1810" t="e">
        <f t="shared" si="4"/>
        <v>#N/A</v>
      </c>
      <c r="AC33" s="1810" t="e">
        <f t="shared" si="5"/>
        <v>#N/A</v>
      </c>
    </row>
    <row r="34" spans="1:29" ht="15">
      <c r="A34" s="472"/>
      <c r="B34" s="422" t="s">
        <v>2521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9"/>
      <c r="M34" s="1130"/>
      <c r="N34" s="1130"/>
      <c r="O34" s="1130"/>
      <c r="P34" s="3744"/>
      <c r="Q34" s="1809" t="str">
        <f t="shared" si="11"/>
        <v>建筑结构</v>
      </c>
      <c r="R34" s="774" t="s">
        <v>17</v>
      </c>
      <c r="S34" s="775">
        <f t="shared" si="12"/>
        <v>100</v>
      </c>
      <c r="T34" s="774" t="s">
        <v>17</v>
      </c>
      <c r="U34" s="775">
        <f t="shared" si="13"/>
        <v>100</v>
      </c>
      <c r="V34" s="774" t="s">
        <v>17</v>
      </c>
      <c r="W34" s="775">
        <f t="shared" si="14"/>
        <v>100</v>
      </c>
      <c r="X34" s="1812"/>
      <c r="Y34" s="3746"/>
      <c r="Z34" s="1813" t="str">
        <f t="shared" si="15"/>
        <v>建筑结构</v>
      </c>
      <c r="AA34" s="1810">
        <f t="shared" si="3"/>
        <v>1</v>
      </c>
      <c r="AB34" s="1810">
        <f t="shared" si="4"/>
        <v>1</v>
      </c>
      <c r="AC34" s="1810">
        <f t="shared" si="5"/>
        <v>1</v>
      </c>
    </row>
    <row r="35" spans="1:29" ht="15">
      <c r="A35" s="472"/>
      <c r="B35" s="422" t="s">
        <v>2614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9"/>
      <c r="M35" s="1130"/>
      <c r="N35" s="1130"/>
      <c r="O35" s="1130"/>
      <c r="P35" s="3744"/>
      <c r="Q35" s="1809" t="str">
        <f t="shared" si="11"/>
        <v>公共部分装修</v>
      </c>
      <c r="R35" s="774" t="s">
        <v>17</v>
      </c>
      <c r="S35" s="775">
        <f t="shared" si="12"/>
        <v>100</v>
      </c>
      <c r="T35" s="774" t="s">
        <v>17</v>
      </c>
      <c r="U35" s="775">
        <f t="shared" si="13"/>
        <v>100</v>
      </c>
      <c r="V35" s="774" t="s">
        <v>17</v>
      </c>
      <c r="W35" s="775">
        <f t="shared" si="14"/>
        <v>100</v>
      </c>
      <c r="X35" s="1812"/>
      <c r="Y35" s="3746"/>
      <c r="Z35" s="1813" t="str">
        <f t="shared" si="15"/>
        <v>公共部分装修</v>
      </c>
      <c r="AA35" s="1810">
        <f t="shared" si="3"/>
        <v>1</v>
      </c>
      <c r="AB35" s="1810">
        <f t="shared" si="4"/>
        <v>1</v>
      </c>
      <c r="AC35" s="1810">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744"/>
      <c r="Q36" s="1809" t="str">
        <f t="shared" si="11"/>
        <v>成新度</v>
      </c>
      <c r="R36" s="774" t="s">
        <v>17</v>
      </c>
      <c r="S36" s="775" t="e">
        <f t="shared" si="12"/>
        <v>#N/A</v>
      </c>
      <c r="T36" s="774" t="s">
        <v>17</v>
      </c>
      <c r="U36" s="775" t="e">
        <f t="shared" si="13"/>
        <v>#N/A</v>
      </c>
      <c r="V36" s="774" t="s">
        <v>17</v>
      </c>
      <c r="W36" s="775" t="e">
        <f t="shared" si="14"/>
        <v>#N/A</v>
      </c>
      <c r="X36" s="1812"/>
      <c r="Y36" s="3746"/>
      <c r="Z36" s="1813" t="str">
        <f t="shared" si="15"/>
        <v>成新度</v>
      </c>
      <c r="AA36" s="1810" t="e">
        <f t="shared" si="3"/>
        <v>#N/A</v>
      </c>
      <c r="AB36" s="1810" t="e">
        <f t="shared" si="4"/>
        <v>#N/A</v>
      </c>
      <c r="AC36" s="1810" t="e">
        <f t="shared" si="5"/>
        <v>#N/A</v>
      </c>
    </row>
    <row r="37" spans="1:29" s="117" customFormat="1" ht="15">
      <c r="A37" s="473"/>
      <c r="B37" s="422" t="s">
        <v>2616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1"/>
      <c r="M37" s="1132"/>
      <c r="N37" s="1132"/>
      <c r="O37" s="1132"/>
      <c r="P37" s="3744"/>
      <c r="Q37" s="1794" t="str">
        <f t="shared" si="11"/>
        <v>市政基础设施</v>
      </c>
      <c r="R37" s="770" t="s">
        <v>17</v>
      </c>
      <c r="S37" s="771">
        <f t="shared" si="12"/>
        <v>100</v>
      </c>
      <c r="T37" s="770" t="s">
        <v>17</v>
      </c>
      <c r="U37" s="771">
        <f t="shared" si="13"/>
        <v>100</v>
      </c>
      <c r="V37" s="770" t="s">
        <v>17</v>
      </c>
      <c r="W37" s="771">
        <f t="shared" si="14"/>
        <v>100</v>
      </c>
      <c r="X37" s="772"/>
      <c r="Y37" s="3746"/>
      <c r="Z37" s="55" t="str">
        <f t="shared" si="15"/>
        <v>市政基础设施</v>
      </c>
      <c r="AA37" s="773">
        <f t="shared" si="3"/>
        <v>1</v>
      </c>
      <c r="AB37" s="773">
        <f t="shared" si="4"/>
        <v>1</v>
      </c>
      <c r="AC37" s="773">
        <f t="shared" si="5"/>
        <v>1</v>
      </c>
    </row>
    <row r="38" spans="1:29" ht="15">
      <c r="A38" s="472"/>
      <c r="B38" s="422" t="s">
        <v>2617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9"/>
      <c r="M38" s="1130"/>
      <c r="N38" s="1130"/>
      <c r="O38" s="1130"/>
      <c r="P38" s="3744" t="s">
        <v>2519</v>
      </c>
      <c r="Q38" s="1809" t="str">
        <f t="shared" si="11"/>
        <v>业态</v>
      </c>
      <c r="R38" s="774" t="s">
        <v>17</v>
      </c>
      <c r="S38" s="775">
        <f t="shared" si="12"/>
        <v>100</v>
      </c>
      <c r="T38" s="774" t="s">
        <v>17</v>
      </c>
      <c r="U38" s="775">
        <f t="shared" si="13"/>
        <v>100</v>
      </c>
      <c r="V38" s="774" t="s">
        <v>17</v>
      </c>
      <c r="W38" s="775">
        <f t="shared" si="14"/>
        <v>100</v>
      </c>
      <c r="X38" s="1812"/>
      <c r="Y38" s="3746" t="s">
        <v>2519</v>
      </c>
      <c r="Z38" s="1813" t="str">
        <f t="shared" si="15"/>
        <v>业态</v>
      </c>
      <c r="AA38" s="1810">
        <f t="shared" si="3"/>
        <v>1</v>
      </c>
      <c r="AB38" s="1810">
        <f t="shared" si="4"/>
        <v>1</v>
      </c>
      <c r="AC38" s="1810">
        <f t="shared" si="5"/>
        <v>1</v>
      </c>
    </row>
    <row r="39" spans="1:29" ht="15">
      <c r="A39" s="472"/>
      <c r="B39" s="422" t="s">
        <v>2618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9"/>
      <c r="M39" s="1130"/>
      <c r="N39" s="1130"/>
      <c r="O39" s="1130"/>
      <c r="P39" s="3744"/>
      <c r="Q39" s="1809" t="str">
        <f t="shared" si="11"/>
        <v>层高</v>
      </c>
      <c r="R39" s="774" t="s">
        <v>17</v>
      </c>
      <c r="S39" s="775">
        <f t="shared" si="12"/>
        <v>100</v>
      </c>
      <c r="T39" s="774" t="s">
        <v>17</v>
      </c>
      <c r="U39" s="775">
        <f t="shared" si="13"/>
        <v>100</v>
      </c>
      <c r="V39" s="774" t="s">
        <v>17</v>
      </c>
      <c r="W39" s="775">
        <f t="shared" si="14"/>
        <v>100</v>
      </c>
      <c r="X39" s="1812"/>
      <c r="Y39" s="3746"/>
      <c r="Z39" s="1813" t="str">
        <f t="shared" si="15"/>
        <v>层高</v>
      </c>
      <c r="AA39" s="1810">
        <f t="shared" si="3"/>
        <v>1</v>
      </c>
      <c r="AB39" s="1810">
        <f t="shared" si="4"/>
        <v>1</v>
      </c>
      <c r="AC39" s="1810">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744"/>
      <c r="Q40" s="1809" t="str">
        <f t="shared" si="11"/>
        <v>单套建筑面积</v>
      </c>
      <c r="R40" s="774" t="s">
        <v>17</v>
      </c>
      <c r="S40" s="775">
        <f t="shared" si="12"/>
        <v>100</v>
      </c>
      <c r="T40" s="774" t="s">
        <v>17</v>
      </c>
      <c r="U40" s="775">
        <f t="shared" si="13"/>
        <v>100</v>
      </c>
      <c r="V40" s="774" t="s">
        <v>17</v>
      </c>
      <c r="W40" s="775">
        <f t="shared" si="14"/>
        <v>100</v>
      </c>
      <c r="X40" s="1812"/>
      <c r="Y40" s="3746"/>
      <c r="Z40" s="1813" t="str">
        <f t="shared" si="15"/>
        <v>单套建筑面积</v>
      </c>
      <c r="AA40" s="1810">
        <f t="shared" si="3"/>
        <v>1</v>
      </c>
      <c r="AB40" s="1810">
        <f t="shared" si="4"/>
        <v>1</v>
      </c>
      <c r="AC40" s="1810">
        <f t="shared" si="5"/>
        <v>1</v>
      </c>
    </row>
    <row r="41" spans="1:29" s="471" customFormat="1" ht="15">
      <c r="A41" s="468"/>
      <c r="B41" s="1811"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744"/>
      <c r="Q41" s="776" t="str">
        <f t="shared" si="11"/>
        <v>进深比</v>
      </c>
      <c r="R41" s="777" t="s">
        <v>17</v>
      </c>
      <c r="S41" s="778">
        <f t="shared" si="12"/>
        <v>100</v>
      </c>
      <c r="T41" s="777" t="s">
        <v>17</v>
      </c>
      <c r="U41" s="778">
        <f t="shared" si="13"/>
        <v>100</v>
      </c>
      <c r="V41" s="777" t="s">
        <v>17</v>
      </c>
      <c r="W41" s="778">
        <f t="shared" si="14"/>
        <v>100</v>
      </c>
      <c r="X41" s="779"/>
      <c r="Y41" s="3746"/>
      <c r="Z41" s="780" t="str">
        <f t="shared" si="15"/>
        <v>进深比</v>
      </c>
      <c r="AA41" s="1810">
        <f t="shared" si="3"/>
        <v>1</v>
      </c>
      <c r="AB41" s="1810">
        <f t="shared" si="4"/>
        <v>1</v>
      </c>
      <c r="AC41" s="1810">
        <f t="shared" si="5"/>
        <v>1</v>
      </c>
    </row>
    <row r="42" spans="1:29" ht="15">
      <c r="A42" s="472"/>
      <c r="B42" s="422" t="s">
        <v>2621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9"/>
      <c r="M42" s="1130"/>
      <c r="N42" s="1130"/>
      <c r="O42" s="1130"/>
      <c r="P42" s="3744"/>
      <c r="Q42" s="1809" t="str">
        <f t="shared" si="11"/>
        <v>内部装修</v>
      </c>
      <c r="R42" s="774" t="s">
        <v>17</v>
      </c>
      <c r="S42" s="775">
        <f t="shared" si="12"/>
        <v>100</v>
      </c>
      <c r="T42" s="774" t="s">
        <v>17</v>
      </c>
      <c r="U42" s="775">
        <f t="shared" si="13"/>
        <v>100</v>
      </c>
      <c r="V42" s="774" t="s">
        <v>17</v>
      </c>
      <c r="W42" s="775">
        <f t="shared" si="14"/>
        <v>100</v>
      </c>
      <c r="X42" s="1812"/>
      <c r="Y42" s="3746"/>
      <c r="Z42" s="1813" t="str">
        <f t="shared" si="15"/>
        <v>内部装修</v>
      </c>
      <c r="AA42" s="1810">
        <f t="shared" si="3"/>
        <v>1</v>
      </c>
      <c r="AB42" s="1810">
        <f t="shared" si="4"/>
        <v>1</v>
      </c>
      <c r="AC42" s="1810">
        <f t="shared" si="5"/>
        <v>1</v>
      </c>
    </row>
    <row r="43" spans="1:29" ht="28.8">
      <c r="A43" s="472"/>
      <c r="B43" s="422" t="s">
        <v>2530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9"/>
      <c r="M43" s="1130"/>
      <c r="N43" s="1130"/>
      <c r="O43" s="1130"/>
      <c r="P43" s="3744"/>
      <c r="Q43" s="1809" t="str">
        <f t="shared" si="11"/>
        <v>内部装修维护情况</v>
      </c>
      <c r="R43" s="774" t="s">
        <v>17</v>
      </c>
      <c r="S43" s="775">
        <f t="shared" si="12"/>
        <v>100</v>
      </c>
      <c r="T43" s="774" t="s">
        <v>17</v>
      </c>
      <c r="U43" s="775">
        <f t="shared" si="13"/>
        <v>100</v>
      </c>
      <c r="V43" s="774" t="s">
        <v>17</v>
      </c>
      <c r="W43" s="775">
        <f t="shared" si="14"/>
        <v>100</v>
      </c>
      <c r="X43" s="1812"/>
      <c r="Y43" s="3746"/>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744"/>
      <c r="Q44" s="1794">
        <f t="shared" si="11"/>
        <v>111</v>
      </c>
      <c r="R44" s="770" t="s">
        <v>17</v>
      </c>
      <c r="S44" s="771">
        <f t="shared" si="12"/>
        <v>100</v>
      </c>
      <c r="T44" s="770" t="s">
        <v>17</v>
      </c>
      <c r="U44" s="771">
        <f t="shared" si="13"/>
        <v>100</v>
      </c>
      <c r="V44" s="770" t="s">
        <v>17</v>
      </c>
      <c r="W44" s="771">
        <f t="shared" si="14"/>
        <v>100</v>
      </c>
      <c r="X44" s="772"/>
      <c r="Y44" s="3746"/>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744"/>
      <c r="Q45" s="1809">
        <f t="shared" si="11"/>
        <v>111</v>
      </c>
      <c r="R45" s="774" t="s">
        <v>17</v>
      </c>
      <c r="S45" s="775">
        <f t="shared" si="12"/>
        <v>100</v>
      </c>
      <c r="T45" s="774" t="s">
        <v>17</v>
      </c>
      <c r="U45" s="775">
        <f t="shared" si="13"/>
        <v>100</v>
      </c>
      <c r="V45" s="774" t="s">
        <v>17</v>
      </c>
      <c r="W45" s="775">
        <f t="shared" si="14"/>
        <v>100</v>
      </c>
      <c r="X45" s="1812"/>
      <c r="Y45" s="3746"/>
      <c r="Z45" s="1813">
        <f t="shared" si="15"/>
        <v>111</v>
      </c>
      <c r="AA45" s="1810">
        <f t="shared" si="3"/>
        <v>1</v>
      </c>
      <c r="AB45" s="1810">
        <f t="shared" si="4"/>
        <v>1</v>
      </c>
      <c r="AC45" s="1810">
        <f t="shared" si="5"/>
        <v>1</v>
      </c>
    </row>
    <row r="46" spans="1:29" ht="15.6"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745"/>
      <c r="Q46" s="1809">
        <f t="shared" si="11"/>
        <v>111</v>
      </c>
      <c r="R46" s="774" t="s">
        <v>17</v>
      </c>
      <c r="S46" s="775">
        <f t="shared" si="12"/>
        <v>100</v>
      </c>
      <c r="T46" s="774" t="s">
        <v>17</v>
      </c>
      <c r="U46" s="775">
        <f t="shared" si="13"/>
        <v>100</v>
      </c>
      <c r="V46" s="774" t="s">
        <v>17</v>
      </c>
      <c r="W46" s="775">
        <f t="shared" si="14"/>
        <v>100</v>
      </c>
      <c r="X46" s="1812"/>
      <c r="Y46" s="3747"/>
      <c r="Z46" s="1813">
        <f t="shared" si="15"/>
        <v>111</v>
      </c>
      <c r="AA46" s="1810">
        <f t="shared" si="3"/>
        <v>1</v>
      </c>
      <c r="AB46" s="1810">
        <f t="shared" si="4"/>
        <v>1</v>
      </c>
      <c r="AC46" s="1810">
        <f t="shared" si="5"/>
        <v>1</v>
      </c>
    </row>
    <row r="47" spans="1:29" ht="14.4">
      <c r="A47" s="479" t="s">
        <v>2531</v>
      </c>
      <c r="B47" s="480"/>
      <c r="C47" s="1406" t="s">
        <v>1</v>
      </c>
      <c r="D47" s="1407"/>
      <c r="E47" s="1408"/>
      <c r="F47" s="1409"/>
      <c r="G47" s="1410"/>
      <c r="H47" s="1411"/>
      <c r="I47" s="1408"/>
      <c r="J47" s="1411"/>
      <c r="K47" s="783"/>
      <c r="L47" s="1142"/>
      <c r="M47" s="1143"/>
      <c r="N47" s="1130"/>
      <c r="O47" s="1143"/>
      <c r="P47" s="3739" t="str">
        <f>A47</f>
        <v>成交单价（元/平方米）</v>
      </c>
      <c r="Q47" s="3739"/>
      <c r="R47" s="3734">
        <f>E47</f>
        <v>0</v>
      </c>
      <c r="S47" s="3734"/>
      <c r="T47" s="3734">
        <f>G47</f>
        <v>0</v>
      </c>
      <c r="U47" s="3734"/>
      <c r="V47" s="3734">
        <f>I47</f>
        <v>0</v>
      </c>
      <c r="W47" s="3734"/>
      <c r="X47" s="759"/>
      <c r="Y47" s="781"/>
      <c r="Z47" s="759"/>
      <c r="AA47" s="759"/>
      <c r="AB47" s="759"/>
      <c r="AC47" s="759"/>
    </row>
    <row r="48" spans="1:29" ht="15" thickBot="1">
      <c r="A48" s="486" t="s">
        <v>2622</v>
      </c>
      <c r="B48" s="487"/>
      <c r="C48" s="1412" t="e">
        <f>R49</f>
        <v>#DIV/0!</v>
      </c>
      <c r="D48" s="1413"/>
      <c r="E48" s="1414" t="e">
        <f>R48</f>
        <v>#DIV/0!</v>
      </c>
      <c r="F48" s="1414"/>
      <c r="G48" s="1412" t="e">
        <f>T48</f>
        <v>#DIV/0!</v>
      </c>
      <c r="H48" s="1413"/>
      <c r="I48" s="1414" t="e">
        <f>V48</f>
        <v>#DIV/0!</v>
      </c>
      <c r="J48" s="1413"/>
      <c r="K48" s="784"/>
      <c r="L48" s="1142"/>
      <c r="M48" s="1143"/>
      <c r="N48" s="1130"/>
      <c r="O48" s="1143"/>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759"/>
      <c r="Y48" s="759"/>
      <c r="Z48" s="759"/>
      <c r="AA48" s="759"/>
      <c r="AB48" s="759"/>
      <c r="AC48" s="759"/>
    </row>
    <row r="49" spans="1:29" ht="15" thickBot="1">
      <c r="A49" s="492" t="s">
        <v>2623</v>
      </c>
      <c r="B49" s="493"/>
      <c r="C49" s="1416" t="e">
        <f>R49</f>
        <v>#DIV/0!</v>
      </c>
      <c r="D49" s="1416"/>
      <c r="E49" s="1416"/>
      <c r="F49" s="1416"/>
      <c r="G49" s="1416"/>
      <c r="H49" s="1416"/>
      <c r="I49" s="1416"/>
      <c r="J49" s="1416"/>
      <c r="K49" s="785"/>
      <c r="L49" s="1142"/>
      <c r="M49" s="1143"/>
      <c r="N49" s="1130"/>
      <c r="O49" s="1143"/>
      <c r="P49" s="3736" t="str">
        <f>A49</f>
        <v>估价对象XX用房的比较价值（楼面单价，元/平方米）</v>
      </c>
      <c r="Q49" s="3737"/>
      <c r="R49" s="3738" t="e">
        <f>IF(F1="售价",ROUND(AVERAGE(R48:V48),0),ROUND(AVERAGE(R48:V48),1))</f>
        <v>#DIV/0!</v>
      </c>
      <c r="S49" s="3738"/>
      <c r="T49" s="3738"/>
      <c r="U49" s="3738"/>
      <c r="V49" s="3738"/>
      <c r="W49" s="3738"/>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2627</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4.4">
      <c r="A58" s="505" t="s">
        <v>2502</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c r="A59" s="509"/>
      <c r="B59" s="510"/>
      <c r="C59" s="1572">
        <v>100</v>
      </c>
      <c r="D59" s="512"/>
      <c r="E59" s="512"/>
      <c r="F59" s="512"/>
      <c r="G59" s="512"/>
      <c r="H59" s="512"/>
      <c r="I59" s="512"/>
      <c r="J59" s="512"/>
      <c r="K59" s="512"/>
      <c r="L59" s="512"/>
      <c r="M59" s="513"/>
      <c r="N59" s="512"/>
      <c r="O59" s="513"/>
      <c r="P59" s="2628"/>
    </row>
    <row r="60" spans="1:29" s="117" customFormat="1" ht="15" thickBot="1">
      <c r="A60" s="515" t="s">
        <v>2538</v>
      </c>
      <c r="B60" s="516"/>
      <c r="C60" s="517"/>
      <c r="D60" s="518"/>
      <c r="E60" s="518"/>
      <c r="F60" s="518"/>
      <c r="G60" s="518"/>
      <c r="H60" s="518"/>
      <c r="I60" s="518"/>
      <c r="J60" s="518"/>
      <c r="K60" s="518"/>
      <c r="L60" s="518"/>
      <c r="M60" s="519"/>
      <c r="N60" s="518"/>
      <c r="O60" s="519"/>
      <c r="P60" s="2628"/>
      <c r="Q60" s="504"/>
    </row>
    <row r="61" spans="1:29" s="117" customFormat="1" ht="14.4">
      <c r="A61" s="521" t="s">
        <v>2504</v>
      </c>
      <c r="B61" s="510"/>
      <c r="C61" s="522" t="s">
        <v>2605</v>
      </c>
      <c r="D61" s="523"/>
      <c r="E61" s="523"/>
      <c r="F61" s="523"/>
      <c r="G61" s="523"/>
      <c r="H61" s="523"/>
      <c r="I61" s="523"/>
      <c r="J61" s="523"/>
      <c r="K61" s="523"/>
      <c r="L61" s="524"/>
      <c r="M61" s="525"/>
      <c r="N61" s="1150"/>
      <c r="O61" s="1150"/>
      <c r="P61" s="2629"/>
      <c r="Q61" s="504"/>
    </row>
    <row r="62" spans="1:29" s="117" customFormat="1" ht="14.4" thickBot="1">
      <c r="A62" s="521"/>
      <c r="B62" s="510"/>
      <c r="C62" s="511">
        <v>100</v>
      </c>
      <c r="D62" s="512"/>
      <c r="E62" s="512"/>
      <c r="F62" s="512"/>
      <c r="G62" s="512"/>
      <c r="H62" s="512"/>
      <c r="I62" s="512"/>
      <c r="J62" s="512"/>
      <c r="K62" s="512"/>
      <c r="L62" s="512"/>
      <c r="M62" s="514"/>
      <c r="N62" s="1150"/>
      <c r="O62" s="1150"/>
      <c r="P62" s="2628"/>
      <c r="Q62" s="504"/>
    </row>
    <row r="63" spans="1:29" ht="14.4">
      <c r="A63" s="527" t="s">
        <v>2541</v>
      </c>
      <c r="B63" s="528" t="s">
        <v>2508</v>
      </c>
      <c r="C63" s="529">
        <f>C9</f>
        <v>0</v>
      </c>
      <c r="D63" s="530"/>
      <c r="E63" s="530"/>
      <c r="F63" s="530"/>
      <c r="G63" s="530"/>
      <c r="H63" s="530"/>
      <c r="I63" s="530"/>
      <c r="J63" s="530"/>
      <c r="K63" s="531"/>
      <c r="L63" s="532"/>
      <c r="M63" s="533"/>
      <c r="N63" s="1151"/>
      <c r="O63" s="1151"/>
      <c r="P63" s="2630"/>
      <c r="Q63" s="504"/>
    </row>
    <row r="64" spans="1:29" ht="14.4" thickBot="1">
      <c r="A64" s="534"/>
      <c r="B64" s="535"/>
      <c r="C64" s="536">
        <v>100</v>
      </c>
      <c r="D64" s="536"/>
      <c r="E64" s="536"/>
      <c r="F64" s="536"/>
      <c r="G64" s="536"/>
      <c r="H64" s="536"/>
      <c r="I64" s="536"/>
      <c r="J64" s="536"/>
      <c r="K64" s="536"/>
      <c r="L64" s="536"/>
      <c r="M64" s="537"/>
      <c r="N64" s="1152"/>
      <c r="O64" s="1152"/>
      <c r="P64" s="2630"/>
      <c r="Q64" s="504"/>
    </row>
    <row r="65" spans="1:17" ht="29.4"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3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c r="A68" s="534"/>
      <c r="B68" s="548"/>
      <c r="C68" s="549"/>
      <c r="D68" s="549"/>
      <c r="E68" s="549"/>
      <c r="F68" s="549"/>
      <c r="G68" s="549"/>
      <c r="H68" s="549"/>
      <c r="I68" s="549"/>
      <c r="J68" s="549"/>
      <c r="K68" s="550"/>
      <c r="L68" s="551"/>
      <c r="M68" s="552"/>
      <c r="N68" s="1151"/>
      <c r="O68" s="1151"/>
      <c r="P68" s="263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4.4" thickTop="1">
      <c r="A70" s="553"/>
      <c r="B70" s="538">
        <f>B12</f>
        <v>111</v>
      </c>
      <c r="C70" s="554"/>
      <c r="D70" s="554"/>
      <c r="E70" s="554"/>
      <c r="F70" s="554"/>
      <c r="G70" s="554"/>
      <c r="H70" s="555"/>
      <c r="I70" s="555"/>
      <c r="J70" s="555"/>
      <c r="K70" s="555"/>
      <c r="L70" s="556"/>
      <c r="M70" s="557"/>
      <c r="N70" s="1153"/>
      <c r="O70" s="1153"/>
      <c r="P70" s="2631"/>
      <c r="Q70" s="559"/>
    </row>
    <row r="71" spans="1:17" s="471" customFormat="1" ht="14.4" thickBot="1">
      <c r="A71" s="553"/>
      <c r="B71" s="543"/>
      <c r="C71" s="560"/>
      <c r="D71" s="536"/>
      <c r="E71" s="536"/>
      <c r="F71" s="536"/>
      <c r="G71" s="536"/>
      <c r="H71" s="536"/>
      <c r="I71" s="536"/>
      <c r="J71" s="536"/>
      <c r="K71" s="536"/>
      <c r="L71" s="536"/>
      <c r="M71" s="537"/>
      <c r="N71" s="1152"/>
      <c r="O71" s="1152"/>
      <c r="P71" s="2631"/>
      <c r="Q71" s="559"/>
    </row>
    <row r="72" spans="1:17" s="471" customFormat="1" ht="14.4" thickTop="1">
      <c r="A72" s="553"/>
      <c r="B72" s="538">
        <f>B13</f>
        <v>111</v>
      </c>
      <c r="C72" s="554"/>
      <c r="D72" s="554"/>
      <c r="E72" s="554"/>
      <c r="F72" s="554"/>
      <c r="G72" s="554"/>
      <c r="H72" s="555"/>
      <c r="I72" s="555"/>
      <c r="J72" s="555"/>
      <c r="K72" s="555"/>
      <c r="L72" s="556"/>
      <c r="M72" s="557"/>
      <c r="N72" s="1153"/>
      <c r="O72" s="1153"/>
      <c r="P72" s="2632"/>
      <c r="Q72" s="561"/>
    </row>
    <row r="73" spans="1:17" s="471" customFormat="1" ht="14.4" thickBot="1">
      <c r="A73" s="553"/>
      <c r="B73" s="543"/>
      <c r="C73" s="560"/>
      <c r="D73" s="536"/>
      <c r="E73" s="536"/>
      <c r="F73" s="536"/>
      <c r="G73" s="560"/>
      <c r="H73" s="562"/>
      <c r="I73" s="562"/>
      <c r="J73" s="562"/>
      <c r="K73" s="562"/>
      <c r="L73" s="562"/>
      <c r="M73" s="563"/>
      <c r="N73" s="1153"/>
      <c r="O73" s="1153"/>
      <c r="P73" s="2631"/>
      <c r="Q73" s="559"/>
    </row>
    <row r="74" spans="1:17" s="471" customFormat="1" ht="14.4" thickTop="1">
      <c r="A74" s="553"/>
      <c r="B74" s="546">
        <f>B14</f>
        <v>111</v>
      </c>
      <c r="C74" s="554"/>
      <c r="D74" s="554"/>
      <c r="E74" s="554"/>
      <c r="F74" s="554"/>
      <c r="G74" s="523"/>
      <c r="H74" s="564"/>
      <c r="I74" s="564"/>
      <c r="J74" s="564"/>
      <c r="K74" s="564"/>
      <c r="L74" s="565"/>
      <c r="M74" s="566"/>
      <c r="N74" s="1153"/>
      <c r="O74" s="1153"/>
      <c r="P74" s="2633"/>
      <c r="Q74" s="559"/>
    </row>
    <row r="75" spans="1:17" s="471" customFormat="1" ht="14.4" thickBot="1">
      <c r="A75" s="568"/>
      <c r="B75" s="569"/>
      <c r="C75" s="570"/>
      <c r="D75" s="570"/>
      <c r="E75" s="570"/>
      <c r="F75" s="570"/>
      <c r="G75" s="570"/>
      <c r="H75" s="571"/>
      <c r="I75" s="571"/>
      <c r="J75" s="571"/>
      <c r="K75" s="571"/>
      <c r="L75" s="571"/>
      <c r="M75" s="572"/>
      <c r="N75" s="1153"/>
      <c r="O75" s="1153"/>
      <c r="P75" s="2631"/>
      <c r="Q75" s="559"/>
    </row>
    <row r="76" spans="1:17" ht="14.4">
      <c r="A76" s="527" t="s">
        <v>2513</v>
      </c>
      <c r="B76" s="528" t="s">
        <v>2549</v>
      </c>
      <c r="C76" s="573" t="s">
        <v>2550</v>
      </c>
      <c r="D76" s="573" t="s">
        <v>2551</v>
      </c>
      <c r="E76" s="573" t="s">
        <v>2552</v>
      </c>
      <c r="F76" s="573" t="s">
        <v>2553</v>
      </c>
      <c r="G76" s="573" t="s">
        <v>2554</v>
      </c>
      <c r="H76" s="529"/>
      <c r="I76" s="529"/>
      <c r="J76" s="529"/>
      <c r="K76" s="574"/>
      <c r="L76" s="575"/>
      <c r="M76" s="576"/>
      <c r="N76" s="1151"/>
      <c r="O76" s="1151"/>
      <c r="P76" s="263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51"/>
      <c r="O78" s="1151"/>
      <c r="P78" s="263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51"/>
      <c r="O80" s="1151"/>
      <c r="P80" s="263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 thickTop="1">
      <c r="A82" s="534"/>
      <c r="B82" s="546" t="s">
        <v>2608</v>
      </c>
      <c r="C82" s="660" t="s">
        <v>2628</v>
      </c>
      <c r="D82" s="660" t="s">
        <v>2629</v>
      </c>
      <c r="E82" s="660" t="s">
        <v>2630</v>
      </c>
      <c r="F82" s="660" t="s">
        <v>2631</v>
      </c>
      <c r="G82" s="660" t="s">
        <v>2632</v>
      </c>
      <c r="H82" s="539"/>
      <c r="I82" s="539"/>
      <c r="J82" s="539"/>
      <c r="K82" s="539"/>
      <c r="L82" s="539"/>
      <c r="M82" s="1381"/>
      <c r="N82" s="1152"/>
      <c r="O82" s="1152"/>
      <c r="P82" s="263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0"/>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51"/>
      <c r="O84" s="1151"/>
      <c r="P84" s="263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 thickTop="1">
      <c r="A86" s="579"/>
      <c r="B86" s="538" t="s">
        <v>2633</v>
      </c>
      <c r="C86" s="554"/>
      <c r="D86" s="554"/>
      <c r="E86" s="554"/>
      <c r="F86" s="554"/>
      <c r="G86" s="554"/>
      <c r="H86" s="554"/>
      <c r="I86" s="554"/>
      <c r="J86" s="554"/>
      <c r="K86" s="554"/>
      <c r="L86" s="580"/>
      <c r="M86" s="581"/>
      <c r="N86" s="1150"/>
      <c r="O86" s="1150"/>
      <c r="P86" s="263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0"/>
      <c r="Q87" s="504"/>
    </row>
    <row r="88" spans="1:17" s="117" customFormat="1" ht="14.4" thickTop="1">
      <c r="A88" s="579"/>
      <c r="B88" s="538" t="str">
        <f>B26</f>
        <v>平面位置/可视性</v>
      </c>
      <c r="C88" s="554"/>
      <c r="D88" s="554"/>
      <c r="E88" s="554"/>
      <c r="F88" s="2635"/>
      <c r="G88" s="554"/>
      <c r="H88" s="554"/>
      <c r="I88" s="554"/>
      <c r="J88" s="554"/>
      <c r="K88" s="554"/>
      <c r="L88" s="554"/>
      <c r="M88" s="581"/>
      <c r="N88" s="1150"/>
      <c r="O88" s="1150"/>
      <c r="P88" s="2630"/>
      <c r="Q88" s="504"/>
    </row>
    <row r="89" spans="1:17" s="117" customFormat="1" ht="14.4" thickBot="1">
      <c r="A89" s="579"/>
      <c r="B89" s="543"/>
      <c r="C89" s="560"/>
      <c r="D89" s="536"/>
      <c r="E89" s="536"/>
      <c r="F89" s="536"/>
      <c r="G89" s="536"/>
      <c r="H89" s="536"/>
      <c r="I89" s="536"/>
      <c r="J89" s="536"/>
      <c r="K89" s="536"/>
      <c r="L89" s="536"/>
      <c r="M89" s="536"/>
      <c r="N89" s="1152"/>
      <c r="O89" s="1152"/>
      <c r="P89" s="2630"/>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3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1"/>
      <c r="Q91" s="559"/>
    </row>
    <row r="92" spans="1:17" ht="14.4" thickTop="1">
      <c r="A92" s="534"/>
      <c r="B92" s="538" t="str">
        <f>B28</f>
        <v>楼层</v>
      </c>
      <c r="C92" s="554"/>
      <c r="D92" s="554"/>
      <c r="E92" s="554"/>
      <c r="F92" s="554"/>
      <c r="G92" s="554"/>
      <c r="H92" s="554"/>
      <c r="I92" s="554"/>
      <c r="J92" s="554"/>
      <c r="K92" s="554"/>
      <c r="L92" s="580"/>
      <c r="M92" s="581"/>
      <c r="N92" s="1151"/>
      <c r="O92" s="1151"/>
      <c r="P92" s="2630"/>
      <c r="Q92" s="504"/>
    </row>
    <row r="93" spans="1:17" ht="14.4" thickBot="1">
      <c r="A93" s="534"/>
      <c r="B93" s="543"/>
      <c r="C93" s="536"/>
      <c r="D93" s="536"/>
      <c r="E93" s="536"/>
      <c r="F93" s="536"/>
      <c r="G93" s="536"/>
      <c r="H93" s="536"/>
      <c r="I93" s="536"/>
      <c r="J93" s="536"/>
      <c r="K93" s="536"/>
      <c r="L93" s="536"/>
      <c r="M93" s="537"/>
      <c r="N93" s="1152"/>
      <c r="O93" s="1152"/>
      <c r="P93" s="2630"/>
      <c r="Q93" s="504"/>
    </row>
    <row r="94" spans="1:17" ht="14.4" thickTop="1">
      <c r="A94" s="534"/>
      <c r="B94" s="538">
        <f>B29</f>
        <v>111</v>
      </c>
      <c r="C94" s="554"/>
      <c r="D94" s="554"/>
      <c r="E94" s="554"/>
      <c r="F94" s="554"/>
      <c r="G94" s="583"/>
      <c r="H94" s="583"/>
      <c r="I94" s="583"/>
      <c r="J94" s="583"/>
      <c r="K94" s="584"/>
      <c r="L94" s="585"/>
      <c r="M94" s="586"/>
      <c r="N94" s="1151"/>
      <c r="O94" s="1151"/>
      <c r="P94" s="2630"/>
      <c r="Q94" s="504"/>
    </row>
    <row r="95" spans="1:17" ht="14.4" thickBot="1">
      <c r="A95" s="534"/>
      <c r="B95" s="543"/>
      <c r="C95" s="560"/>
      <c r="D95" s="536"/>
      <c r="E95" s="536"/>
      <c r="F95" s="536"/>
      <c r="G95" s="536"/>
      <c r="H95" s="536"/>
      <c r="I95" s="536"/>
      <c r="J95" s="536"/>
      <c r="K95" s="536"/>
      <c r="L95" s="536"/>
      <c r="M95" s="537"/>
      <c r="N95" s="1152"/>
      <c r="O95" s="1152"/>
      <c r="P95" s="2630"/>
      <c r="Q95" s="504"/>
    </row>
    <row r="96" spans="1:17" ht="14.4" thickTop="1">
      <c r="A96" s="534"/>
      <c r="B96" s="538">
        <f>B30</f>
        <v>111</v>
      </c>
      <c r="C96" s="554"/>
      <c r="D96" s="554"/>
      <c r="E96" s="554"/>
      <c r="F96" s="554"/>
      <c r="G96" s="583"/>
      <c r="H96" s="583"/>
      <c r="I96" s="583"/>
      <c r="J96" s="583"/>
      <c r="K96" s="584"/>
      <c r="L96" s="585"/>
      <c r="M96" s="586"/>
      <c r="N96" s="1151"/>
      <c r="O96" s="1151"/>
      <c r="P96" s="2630"/>
      <c r="Q96" s="504"/>
    </row>
    <row r="97" spans="1:17" ht="14.4" thickBot="1">
      <c r="A97" s="534"/>
      <c r="B97" s="543"/>
      <c r="C97" s="560"/>
      <c r="D97" s="536"/>
      <c r="E97" s="536"/>
      <c r="F97" s="536"/>
      <c r="G97" s="536"/>
      <c r="H97" s="536"/>
      <c r="I97" s="536"/>
      <c r="J97" s="536"/>
      <c r="K97" s="536"/>
      <c r="L97" s="536"/>
      <c r="M97" s="537"/>
      <c r="N97" s="1152"/>
      <c r="O97" s="1152"/>
      <c r="P97" s="2630"/>
      <c r="Q97" s="504"/>
    </row>
    <row r="98" spans="1:17" ht="14.4" thickTop="1">
      <c r="A98" s="534"/>
      <c r="B98" s="546">
        <f>B31</f>
        <v>111</v>
      </c>
      <c r="C98" s="554"/>
      <c r="D98" s="554"/>
      <c r="E98" s="554"/>
      <c r="F98" s="554"/>
      <c r="G98" s="587"/>
      <c r="H98" s="587"/>
      <c r="I98" s="587"/>
      <c r="J98" s="587"/>
      <c r="K98" s="588"/>
      <c r="L98" s="589"/>
      <c r="M98" s="590"/>
      <c r="N98" s="1151"/>
      <c r="O98" s="1151"/>
      <c r="P98" s="2630"/>
      <c r="Q98" s="504"/>
    </row>
    <row r="99" spans="1:17" ht="14.4" thickBot="1">
      <c r="A99" s="2636"/>
      <c r="B99" s="569"/>
      <c r="C99" s="570"/>
      <c r="D99" s="570"/>
      <c r="E99" s="570"/>
      <c r="F99" s="570"/>
      <c r="G99" s="591"/>
      <c r="H99" s="591"/>
      <c r="I99" s="591"/>
      <c r="J99" s="591"/>
      <c r="K99" s="591"/>
      <c r="L99" s="591"/>
      <c r="M99" s="592"/>
      <c r="N99" s="1152"/>
      <c r="O99" s="1152"/>
      <c r="P99" s="2630"/>
      <c r="Q99" s="504"/>
    </row>
    <row r="100" spans="1:17" ht="14.4">
      <c r="A100" s="527" t="s">
        <v>2517</v>
      </c>
      <c r="B100" s="528" t="s">
        <v>2634</v>
      </c>
      <c r="C100" s="530"/>
      <c r="D100" s="530"/>
      <c r="E100" s="530"/>
      <c r="F100" s="530"/>
      <c r="G100" s="530"/>
      <c r="H100" s="530"/>
      <c r="I100" s="530"/>
      <c r="J100" s="530"/>
      <c r="K100" s="531"/>
      <c r="L100" s="532"/>
      <c r="M100" s="533"/>
      <c r="N100" s="1151"/>
      <c r="O100" s="1151"/>
      <c r="P100" s="263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0"/>
      <c r="Q101" s="504"/>
    </row>
    <row r="102" spans="1:17" ht="1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4.4" thickBot="1">
      <c r="A104" s="553"/>
      <c r="B104" s="543"/>
      <c r="C104" s="560"/>
      <c r="D104" s="536"/>
      <c r="E104" s="536"/>
      <c r="F104" s="536"/>
      <c r="G104" s="536"/>
      <c r="H104" s="536"/>
      <c r="I104" s="536"/>
      <c r="J104" s="536"/>
      <c r="K104" s="536"/>
      <c r="L104" s="536"/>
      <c r="M104" s="537"/>
      <c r="N104" s="1152"/>
      <c r="O104" s="1152"/>
      <c r="P104" s="2631"/>
      <c r="Q104" s="559"/>
    </row>
    <row r="105" spans="1:17" ht="15" thickTop="1">
      <c r="A105" s="599"/>
      <c r="B105" s="538" t="s">
        <v>2567</v>
      </c>
      <c r="C105" s="554"/>
      <c r="D105" s="554"/>
      <c r="E105" s="583"/>
      <c r="F105" s="583"/>
      <c r="G105" s="583"/>
      <c r="H105" s="583"/>
      <c r="I105" s="583"/>
      <c r="J105" s="583"/>
      <c r="K105" s="584"/>
      <c r="L105" s="585"/>
      <c r="M105" s="586"/>
      <c r="N105" s="1151"/>
      <c r="O105" s="1151"/>
      <c r="P105" s="263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0"/>
      <c r="Q106" s="504"/>
    </row>
    <row r="107" spans="1:17" ht="15" thickTop="1">
      <c r="A107" s="599"/>
      <c r="B107" s="538" t="s">
        <v>2569</v>
      </c>
      <c r="C107" s="554"/>
      <c r="D107" s="554"/>
      <c r="E107" s="554"/>
      <c r="F107" s="583"/>
      <c r="G107" s="583"/>
      <c r="H107" s="583"/>
      <c r="I107" s="583"/>
      <c r="J107" s="583"/>
      <c r="K107" s="584"/>
      <c r="L107" s="585"/>
      <c r="M107" s="586"/>
      <c r="N107" s="1151"/>
      <c r="O107" s="1151"/>
      <c r="P107" s="263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0"/>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0"/>
      <c r="Q111" s="504"/>
    </row>
    <row r="112" spans="1:17" s="471" customFormat="1" ht="15" thickTop="1">
      <c r="A112" s="593"/>
      <c r="B112" s="538" t="s">
        <v>2571</v>
      </c>
      <c r="C112" s="554"/>
      <c r="D112" s="554"/>
      <c r="E112" s="554"/>
      <c r="F112" s="554"/>
      <c r="G112" s="554"/>
      <c r="H112" s="583"/>
      <c r="I112" s="583"/>
      <c r="J112" s="583"/>
      <c r="K112" s="584"/>
      <c r="L112" s="585"/>
      <c r="M112" s="586"/>
      <c r="N112" s="1153"/>
      <c r="O112" s="1153"/>
      <c r="P112" s="263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1"/>
      <c r="Q113" s="559"/>
    </row>
    <row r="114" spans="1:17" ht="15" thickTop="1">
      <c r="A114" s="599"/>
      <c r="B114" s="538" t="s">
        <v>2635</v>
      </c>
      <c r="C114" s="554"/>
      <c r="D114" s="554"/>
      <c r="E114" s="583"/>
      <c r="F114" s="583"/>
      <c r="G114" s="583"/>
      <c r="H114" s="583"/>
      <c r="I114" s="583"/>
      <c r="J114" s="583"/>
      <c r="K114" s="584"/>
      <c r="L114" s="585"/>
      <c r="M114" s="586"/>
      <c r="N114" s="1151"/>
      <c r="O114" s="1151"/>
      <c r="P114" s="263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0"/>
      <c r="Q115" s="504"/>
    </row>
    <row r="116" spans="1:17" ht="15" thickTop="1">
      <c r="A116" s="599"/>
      <c r="B116" s="538" t="s">
        <v>2636</v>
      </c>
      <c r="C116" s="554"/>
      <c r="D116" s="554"/>
      <c r="E116" s="554"/>
      <c r="F116" s="554"/>
      <c r="G116" s="554"/>
      <c r="H116" s="583"/>
      <c r="I116" s="583"/>
      <c r="J116" s="583"/>
      <c r="K116" s="584"/>
      <c r="L116" s="585"/>
      <c r="M116" s="586"/>
      <c r="N116" s="1151"/>
      <c r="O116" s="1151"/>
      <c r="P116" s="263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2637</v>
      </c>
      <c r="C118" s="627"/>
      <c r="D118" s="627"/>
      <c r="E118" s="627"/>
      <c r="F118" s="627"/>
      <c r="G118" s="627"/>
      <c r="H118" s="555"/>
      <c r="I118" s="555"/>
      <c r="J118" s="555"/>
      <c r="K118" s="555"/>
      <c r="L118" s="556"/>
      <c r="M118" s="557"/>
      <c r="N118" s="1151"/>
      <c r="O118" s="1151"/>
      <c r="P118" s="2630"/>
      <c r="Q118" s="504"/>
    </row>
    <row r="119" spans="1:17" ht="14.4"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2638</v>
      </c>
      <c r="C120" s="583"/>
      <c r="D120" s="583"/>
      <c r="E120" s="583"/>
      <c r="F120" s="583"/>
      <c r="G120" s="555"/>
      <c r="H120" s="555"/>
      <c r="I120" s="555"/>
      <c r="J120" s="555"/>
      <c r="K120" s="555"/>
      <c r="L120" s="556"/>
      <c r="M120" s="557"/>
      <c r="N120" s="1153"/>
      <c r="O120" s="1153"/>
      <c r="P120" s="263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1"/>
      <c r="Q121" s="559"/>
    </row>
    <row r="122" spans="1:17" ht="15" thickTop="1">
      <c r="A122" s="599"/>
      <c r="B122" s="538" t="s">
        <v>2573</v>
      </c>
      <c r="C122" s="554"/>
      <c r="D122" s="554"/>
      <c r="E122" s="554"/>
      <c r="F122" s="583"/>
      <c r="G122" s="583"/>
      <c r="H122" s="583"/>
      <c r="I122" s="583"/>
      <c r="J122" s="583"/>
      <c r="K122" s="584"/>
      <c r="L122" s="585"/>
      <c r="M122" s="586"/>
      <c r="N122" s="1151"/>
      <c r="O122" s="1151"/>
      <c r="P122" s="263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0"/>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3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1"/>
      <c r="Q127" s="559"/>
    </row>
    <row r="128" spans="1:17" ht="14.4" thickTop="1">
      <c r="A128" s="599"/>
      <c r="B128" s="538">
        <f>B45</f>
        <v>111</v>
      </c>
      <c r="C128" s="554"/>
      <c r="D128" s="554"/>
      <c r="E128" s="554"/>
      <c r="F128" s="554"/>
      <c r="G128" s="583"/>
      <c r="H128" s="583"/>
      <c r="I128" s="583"/>
      <c r="J128" s="583"/>
      <c r="K128" s="584"/>
      <c r="L128" s="585"/>
      <c r="M128" s="586"/>
      <c r="N128" s="1151"/>
      <c r="O128" s="1151"/>
      <c r="P128" s="2630"/>
      <c r="Q128" s="504"/>
    </row>
    <row r="129" spans="1:17" ht="14.4" thickBot="1">
      <c r="A129" s="534"/>
      <c r="B129" s="543"/>
      <c r="C129" s="560"/>
      <c r="D129" s="536"/>
      <c r="E129" s="536"/>
      <c r="F129" s="536"/>
      <c r="G129" s="536"/>
      <c r="H129" s="536"/>
      <c r="I129" s="536"/>
      <c r="J129" s="536"/>
      <c r="K129" s="536"/>
      <c r="L129" s="536"/>
      <c r="M129" s="537"/>
      <c r="N129" s="1152"/>
      <c r="O129" s="1152"/>
      <c r="P129" s="2630"/>
      <c r="Q129" s="504"/>
    </row>
    <row r="130" spans="1:17" ht="14.4" thickTop="1">
      <c r="A130" s="599"/>
      <c r="B130" s="546">
        <f>B46</f>
        <v>111</v>
      </c>
      <c r="C130" s="554"/>
      <c r="D130" s="554"/>
      <c r="E130" s="554"/>
      <c r="F130" s="554"/>
      <c r="G130" s="587"/>
      <c r="H130" s="587"/>
      <c r="I130" s="587"/>
      <c r="J130" s="587"/>
      <c r="K130" s="523"/>
      <c r="L130" s="524"/>
      <c r="M130" s="590"/>
      <c r="N130" s="1151"/>
      <c r="O130" s="1151"/>
      <c r="P130" s="2630"/>
      <c r="Q130" s="504"/>
    </row>
    <row r="131" spans="1:17" ht="14.4"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1602</v>
      </c>
    </row>
    <row r="2" spans="1:1">
      <c r="A2" s="1944"/>
    </row>
    <row r="3" spans="1:1" ht="17.399999999999999">
      <c r="A3" s="1945" t="str">
        <f>项目基本情况!B5&amp;"："</f>
        <v>：</v>
      </c>
    </row>
    <row r="4" spans="1:1" ht="34.799999999999997">
      <c r="A4" s="1946" t="str">
        <f>"受贵公司委托，我公司对"&amp;项目基本情况!S1&amp;"进行了预评估。"</f>
        <v>受贵公司委托，我公司对出让国有建设用地使用权及在建建筑物房地产抵押价值进行了预评估。</v>
      </c>
    </row>
    <row r="5" spans="1:1" ht="17.399999999999999">
      <c r="A5" s="1947" t="s">
        <v>1603</v>
      </c>
    </row>
    <row r="6" spans="1:1" ht="17.399999999999999">
      <c r="A6" s="1948" t="s">
        <v>1604</v>
      </c>
    </row>
    <row r="7" spans="1:1" ht="52.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估价对象为出让国有建设用地使用权及在建建筑物房地产，为所有。根据《国有土地使用证》[]，估价对象（分摊）出让国有建设用地使用权面积为26957.93平方米，建筑面积为75681.68平方米。</v>
      </c>
    </row>
    <row r="8" spans="1:1" ht="54.6">
      <c r="A8" s="1949" t="s">
        <v>1605</v>
      </c>
    </row>
    <row r="9" spans="1:1" ht="17.399999999999999">
      <c r="A9" s="1948" t="s">
        <v>1606</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26957.93平方米，规划建筑面积为75681.68平方米。</v>
      </c>
    </row>
    <row r="11" spans="1:1" ht="72">
      <c r="A11" s="1949" t="s">
        <v>1607</v>
      </c>
    </row>
    <row r="12" spans="1:1" ht="17.399999999999999">
      <c r="A12" s="1947" t="s">
        <v>1608</v>
      </c>
    </row>
    <row r="13" spans="1:1" ht="38.25" customHeight="1">
      <c r="A13" s="1950" t="str">
        <f>IF(项目基本情况!B8="抵押",IF(项目基本情况!B5=项目基本情况!B6,定义!C51,定义!B51),定义!D51)</f>
        <v>为估价委托人了解估价对象房地产市场价值提供参考依据。</v>
      </c>
    </row>
    <row r="14" spans="1:1" ht="17.399999999999999">
      <c r="A14" s="1951" t="s">
        <v>1609</v>
      </c>
    </row>
    <row r="15" spans="1:1" ht="17.399999999999999">
      <c r="A15" s="1952" t="str">
        <f>TEXT(项目基本情况!D3,"yyyy年m月d日;;")&amp;IF(项目基本情况!D3=项目基本情况!B3,"（评估专业人员实地查勘之日）","")</f>
        <v>2019年8月8日（评估专业人员实地查勘之日）</v>
      </c>
    </row>
    <row r="16" spans="1:1" ht="17.399999999999999">
      <c r="A16" s="1951" t="s">
        <v>1610</v>
      </c>
    </row>
    <row r="17" spans="1:1" ht="69.599999999999994">
      <c r="A17" s="1946" t="s">
        <v>1611</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1600</v>
      </c>
    </row>
    <row r="24" spans="1:1" ht="17.399999999999999">
      <c r="A24" s="1953" t="str">
        <f>"本次评估采用的主估价方法为"&amp;结果表!K4&amp;"和"&amp;结果表!L4&amp;"。"</f>
        <v>本次评估采用的主估价方法为成本法和假设开发法。</v>
      </c>
    </row>
    <row r="25" spans="1:1" ht="17.399999999999999">
      <c r="A25" s="1953"/>
    </row>
    <row r="26" spans="1:1" ht="17.399999999999999">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2482</v>
      </c>
      <c r="B1" s="2669" t="s">
        <v>2639</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IF(C2="——",ROUND(C50*D3/10000,0),ROUND(C50*D3/10000,0)-D2)</f>
        <v>#DIV/0!</v>
      </c>
      <c r="C2" s="2586"/>
      <c r="D2" s="1364"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IF(C2="——",C50,ROUND(B2*10000/D3,0))</f>
        <v>#DIV/0!</v>
      </c>
      <c r="C3" s="400" t="s">
        <v>2597</v>
      </c>
      <c r="D3" s="399">
        <f>IF(D1="",'数据-汇总表'!E3,SUMIF('数据-汇总表'!$C19:$C33,D1,'数据-汇总表'!$E19:$E33))</f>
        <v>75681.680000000008</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84" t="s">
        <v>2604</v>
      </c>
      <c r="Q4" s="3785"/>
      <c r="R4" s="3779" t="s">
        <v>2600</v>
      </c>
      <c r="S4" s="3780"/>
      <c r="T4" s="3779" t="s">
        <v>2601</v>
      </c>
      <c r="U4" s="3780"/>
      <c r="V4" s="3788" t="s">
        <v>2602</v>
      </c>
      <c r="W4" s="3788"/>
      <c r="X4" s="2670"/>
      <c r="Y4" s="3779" t="s">
        <v>2604</v>
      </c>
      <c r="Z4" s="3780"/>
      <c r="AA4" s="3778" t="s">
        <v>2600</v>
      </c>
      <c r="AB4" s="3778" t="s">
        <v>2601</v>
      </c>
      <c r="AC4" s="3781" t="s">
        <v>2602</v>
      </c>
    </row>
    <row r="5" spans="1:29">
      <c r="A5" s="404"/>
      <c r="B5" s="405"/>
      <c r="C5" s="3714" t="s">
        <v>2496</v>
      </c>
      <c r="D5" s="3715"/>
      <c r="E5" s="3777" t="s">
        <v>2497</v>
      </c>
      <c r="F5" s="3713"/>
      <c r="G5" s="3714" t="s">
        <v>2498</v>
      </c>
      <c r="H5" s="3715"/>
      <c r="I5" s="3714" t="s">
        <v>2499</v>
      </c>
      <c r="J5" s="3715"/>
      <c r="K5" s="610"/>
      <c r="L5" s="1129"/>
      <c r="M5" s="1130"/>
      <c r="N5" s="1130"/>
      <c r="O5" s="1130"/>
      <c r="P5" s="3786"/>
      <c r="Q5" s="3729"/>
      <c r="R5" s="3710"/>
      <c r="S5" s="3711"/>
      <c r="T5" s="3710"/>
      <c r="U5" s="3711"/>
      <c r="V5" s="3734"/>
      <c r="W5" s="3734"/>
      <c r="X5" s="1812"/>
      <c r="Y5" s="3710"/>
      <c r="Z5" s="3711"/>
      <c r="AA5" s="3704"/>
      <c r="AB5" s="3704"/>
      <c r="AC5" s="3782"/>
    </row>
    <row r="6" spans="1:29" ht="15" thickBot="1">
      <c r="A6" s="406"/>
      <c r="B6" s="407"/>
      <c r="C6" s="3716" t="s">
        <v>2500</v>
      </c>
      <c r="D6" s="3717"/>
      <c r="E6" s="3719" t="s">
        <v>2500</v>
      </c>
      <c r="F6" s="3720"/>
      <c r="G6" s="3716" t="s">
        <v>2500</v>
      </c>
      <c r="H6" s="3717"/>
      <c r="I6" s="3716" t="s">
        <v>2500</v>
      </c>
      <c r="J6" s="3717"/>
      <c r="K6" s="610" t="s">
        <v>2501</v>
      </c>
      <c r="L6" s="1129"/>
      <c r="M6" s="1130"/>
      <c r="N6" s="1130"/>
      <c r="O6" s="1130"/>
      <c r="P6" s="3787"/>
      <c r="Q6" s="3731"/>
      <c r="R6" s="3710"/>
      <c r="S6" s="3711"/>
      <c r="T6" s="3732"/>
      <c r="U6" s="3733"/>
      <c r="V6" s="3734"/>
      <c r="W6" s="3734"/>
      <c r="X6" s="1812"/>
      <c r="Y6" s="3732"/>
      <c r="Z6" s="3733"/>
      <c r="AA6" s="3705"/>
      <c r="AB6" s="3705"/>
      <c r="AC6" s="3783"/>
    </row>
    <row r="7" spans="1:29" s="117" customFormat="1" ht="15" thickBot="1">
      <c r="A7" s="408" t="s">
        <v>2502</v>
      </c>
      <c r="B7" s="409"/>
      <c r="C7" s="410">
        <f>'数据-取费表'!B2</f>
        <v>43685</v>
      </c>
      <c r="D7" s="411">
        <v>100</v>
      </c>
      <c r="E7" s="412"/>
      <c r="F7" s="413">
        <f>SUMIF(59:59,YEAR(E7)&amp;"-"&amp;MONTH(E7),60:60)</f>
        <v>0</v>
      </c>
      <c r="G7" s="412"/>
      <c r="H7" s="411">
        <f>SUMIF(59:59,YEAR(G7)&amp;"-"&amp;MONTH(G7),60:60)</f>
        <v>0</v>
      </c>
      <c r="I7" s="412"/>
      <c r="J7" s="411">
        <f>SUMIF(59:59,YEAR(I7)&amp;"-"&amp;MONTH(I7),60:60)</f>
        <v>0</v>
      </c>
      <c r="K7" s="611"/>
      <c r="L7" s="1131"/>
      <c r="M7" s="1132"/>
      <c r="N7" s="1132"/>
      <c r="O7" s="1132"/>
      <c r="P7" s="3789" t="s">
        <v>2503</v>
      </c>
      <c r="Q7" s="3735"/>
      <c r="R7" s="770" t="s">
        <v>17</v>
      </c>
      <c r="S7" s="771">
        <f t="shared" ref="S7:S15" si="0">F7</f>
        <v>0</v>
      </c>
      <c r="T7" s="770" t="s">
        <v>17</v>
      </c>
      <c r="U7" s="771">
        <f t="shared" ref="U7:U15" si="1">H7</f>
        <v>0</v>
      </c>
      <c r="V7" s="770" t="s">
        <v>17</v>
      </c>
      <c r="W7" s="771">
        <f t="shared" ref="W7:W15" si="2">J7</f>
        <v>0</v>
      </c>
      <c r="X7" s="772"/>
      <c r="Y7" s="3706" t="s">
        <v>2503</v>
      </c>
      <c r="Z7" s="3707"/>
      <c r="AA7" s="773" t="e">
        <f>D7/F7</f>
        <v>#DIV/0!</v>
      </c>
      <c r="AB7" s="773" t="e">
        <f>D7/H7</f>
        <v>#DIV/0!</v>
      </c>
      <c r="AC7" s="2671" t="e">
        <f>D7/J7</f>
        <v>#DIV/0!</v>
      </c>
    </row>
    <row r="8" spans="1:29" s="117" customFormat="1" ht="1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789" t="s">
        <v>2506</v>
      </c>
      <c r="Q8" s="3707"/>
      <c r="R8" s="770" t="s">
        <v>17</v>
      </c>
      <c r="S8" s="771">
        <f t="shared" si="0"/>
        <v>0</v>
      </c>
      <c r="T8" s="770" t="s">
        <v>17</v>
      </c>
      <c r="U8" s="771">
        <f t="shared" si="1"/>
        <v>0</v>
      </c>
      <c r="V8" s="770" t="s">
        <v>17</v>
      </c>
      <c r="W8" s="771">
        <f t="shared" si="2"/>
        <v>0</v>
      </c>
      <c r="X8" s="772"/>
      <c r="Y8" s="3706" t="s">
        <v>2506</v>
      </c>
      <c r="Z8" s="3707"/>
      <c r="AA8" s="773" t="e">
        <f t="shared" ref="AA8:AA47" si="3">D8/F8</f>
        <v>#DIV/0!</v>
      </c>
      <c r="AB8" s="773" t="e">
        <f t="shared" ref="AB8:AB47" si="4">D8/H8</f>
        <v>#DIV/0!</v>
      </c>
      <c r="AC8" s="2671" t="e">
        <f t="shared" ref="AC8:AC47" si="5">D8/J8</f>
        <v>#DIV/0!</v>
      </c>
    </row>
    <row r="9" spans="1:29" s="117" customFormat="1" ht="14.4">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721"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2671">
        <f t="shared" si="5"/>
        <v>1</v>
      </c>
    </row>
    <row r="10" spans="1:29" s="427" customFormat="1" ht="28.8">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721"/>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2671">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721"/>
      <c r="Q11" s="1794" t="str">
        <f t="shared" si="6"/>
        <v>容积率</v>
      </c>
      <c r="R11" s="770" t="s">
        <v>17</v>
      </c>
      <c r="S11" s="771" t="e">
        <f t="shared" si="0"/>
        <v>#N/A</v>
      </c>
      <c r="T11" s="770" t="s">
        <v>17</v>
      </c>
      <c r="U11" s="771" t="e">
        <f t="shared" si="1"/>
        <v>#N/A</v>
      </c>
      <c r="V11" s="770" t="s">
        <v>17</v>
      </c>
      <c r="W11" s="771" t="e">
        <f t="shared" si="2"/>
        <v>#N/A</v>
      </c>
      <c r="X11" s="772"/>
      <c r="Y11" s="353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721"/>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721"/>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2671">
        <f t="shared" si="5"/>
        <v>1</v>
      </c>
    </row>
    <row r="14" spans="1:29" ht="15.6"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721"/>
      <c r="Q14" s="1794">
        <f t="shared" si="6"/>
        <v>111</v>
      </c>
      <c r="R14" s="770" t="s">
        <v>17</v>
      </c>
      <c r="S14" s="771">
        <f t="shared" si="0"/>
        <v>100</v>
      </c>
      <c r="T14" s="770" t="s">
        <v>17</v>
      </c>
      <c r="U14" s="771">
        <f t="shared" si="1"/>
        <v>100</v>
      </c>
      <c r="V14" s="770" t="s">
        <v>17</v>
      </c>
      <c r="W14" s="771">
        <f t="shared" si="2"/>
        <v>100</v>
      </c>
      <c r="X14" s="772"/>
      <c r="Y14" s="3538"/>
      <c r="Z14" s="55">
        <f t="shared" si="7"/>
        <v>111</v>
      </c>
      <c r="AA14" s="773">
        <f t="shared" si="3"/>
        <v>1</v>
      </c>
      <c r="AB14" s="773">
        <f t="shared" si="4"/>
        <v>1</v>
      </c>
      <c r="AC14" s="2671">
        <f t="shared" si="5"/>
        <v>1</v>
      </c>
    </row>
    <row r="15" spans="1:29" ht="15">
      <c r="A15" s="440" t="s">
        <v>2513</v>
      </c>
      <c r="B15" s="629" t="s">
        <v>2640</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748" t="s">
        <v>2514</v>
      </c>
      <c r="Q15" s="1809" t="str">
        <f t="shared" si="6"/>
        <v>办公集聚程度</v>
      </c>
      <c r="R15" s="774" t="s">
        <v>17</v>
      </c>
      <c r="S15" s="775">
        <f t="shared" si="0"/>
        <v>100</v>
      </c>
      <c r="T15" s="774" t="s">
        <v>17</v>
      </c>
      <c r="U15" s="775">
        <f t="shared" si="1"/>
        <v>100</v>
      </c>
      <c r="V15" s="774" t="s">
        <v>17</v>
      </c>
      <c r="W15" s="775">
        <f t="shared" si="2"/>
        <v>100</v>
      </c>
      <c r="X15" s="1812"/>
      <c r="Y15" s="3741" t="s">
        <v>2514</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39"/>
      <c r="M16" s="1130"/>
      <c r="N16" s="1130"/>
      <c r="O16" s="1130"/>
      <c r="P16" s="3749"/>
      <c r="Q16" s="1809"/>
      <c r="R16" s="774"/>
      <c r="S16" s="775"/>
      <c r="T16" s="774"/>
      <c r="U16" s="775"/>
      <c r="V16" s="774"/>
      <c r="W16" s="775"/>
      <c r="X16" s="1812"/>
      <c r="Y16" s="3742"/>
      <c r="Z16" s="1813"/>
      <c r="AA16" s="1810">
        <v>1</v>
      </c>
      <c r="AB16" s="1810">
        <v>1</v>
      </c>
      <c r="AC16" s="2674">
        <v>1</v>
      </c>
    </row>
    <row r="17" spans="1:29" ht="96.6">
      <c r="A17" s="428"/>
      <c r="B17" s="631" t="s">
        <v>2055</v>
      </c>
      <c r="C17" s="2675"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749"/>
      <c r="Q17" s="1809" t="str">
        <f>B17</f>
        <v>交通便捷度</v>
      </c>
      <c r="R17" s="774" t="s">
        <v>17</v>
      </c>
      <c r="S17" s="775">
        <f>F17</f>
        <v>100</v>
      </c>
      <c r="T17" s="774" t="s">
        <v>17</v>
      </c>
      <c r="U17" s="775">
        <f>H17</f>
        <v>100</v>
      </c>
      <c r="V17" s="774" t="s">
        <v>17</v>
      </c>
      <c r="W17" s="775">
        <f>J17</f>
        <v>100</v>
      </c>
      <c r="X17" s="1812"/>
      <c r="Y17" s="3742"/>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39"/>
      <c r="M18" s="1130"/>
      <c r="N18" s="1130"/>
      <c r="O18" s="1130"/>
      <c r="P18" s="3749"/>
      <c r="Q18" s="1809"/>
      <c r="R18" s="774"/>
      <c r="S18" s="775"/>
      <c r="T18" s="774"/>
      <c r="U18" s="775"/>
      <c r="V18" s="774"/>
      <c r="W18" s="775"/>
      <c r="X18" s="1812"/>
      <c r="Y18" s="3742"/>
      <c r="Z18" s="1813"/>
      <c r="AA18" s="1810">
        <v>1</v>
      </c>
      <c r="AB18" s="1810">
        <v>1</v>
      </c>
      <c r="AC18" s="2674">
        <v>1</v>
      </c>
    </row>
    <row r="19" spans="1:29" ht="41.4">
      <c r="A19" s="428"/>
      <c r="B19" s="631" t="s">
        <v>2641</v>
      </c>
      <c r="C19" s="2675"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749"/>
      <c r="Q19" s="1809" t="str">
        <f>B19</f>
        <v>公共配套设施</v>
      </c>
      <c r="R19" s="774" t="s">
        <v>17</v>
      </c>
      <c r="S19" s="775">
        <f>F19</f>
        <v>100</v>
      </c>
      <c r="T19" s="774" t="s">
        <v>17</v>
      </c>
      <c r="U19" s="775">
        <f>H19</f>
        <v>100</v>
      </c>
      <c r="V19" s="774" t="s">
        <v>17</v>
      </c>
      <c r="W19" s="775">
        <f>J19</f>
        <v>100</v>
      </c>
      <c r="X19" s="1812"/>
      <c r="Y19" s="3742"/>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39"/>
      <c r="M20" s="1130"/>
      <c r="N20" s="1130"/>
      <c r="O20" s="1130"/>
      <c r="P20" s="3749"/>
      <c r="Q20" s="1809"/>
      <c r="R20" s="774"/>
      <c r="S20" s="775"/>
      <c r="T20" s="774"/>
      <c r="U20" s="775"/>
      <c r="V20" s="774"/>
      <c r="W20" s="775"/>
      <c r="X20" s="1812"/>
      <c r="Y20" s="3742"/>
      <c r="Z20" s="1813"/>
      <c r="AA20" s="1810">
        <v>1</v>
      </c>
      <c r="AB20" s="1810">
        <v>1</v>
      </c>
      <c r="AC20" s="2674">
        <v>1</v>
      </c>
    </row>
    <row r="21" spans="1:29" ht="41.4">
      <c r="A21" s="428"/>
      <c r="B21" s="633" t="s">
        <v>2642</v>
      </c>
      <c r="C21" s="2675"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749"/>
      <c r="Q21" s="1809" t="str">
        <f>B21</f>
        <v>基础设施水平</v>
      </c>
      <c r="R21" s="774" t="s">
        <v>17</v>
      </c>
      <c r="S21" s="775">
        <f>F21</f>
        <v>100</v>
      </c>
      <c r="T21" s="774" t="s">
        <v>17</v>
      </c>
      <c r="U21" s="775">
        <f>H21</f>
        <v>100</v>
      </c>
      <c r="V21" s="774" t="s">
        <v>17</v>
      </c>
      <c r="W21" s="775">
        <f>J21</f>
        <v>100</v>
      </c>
      <c r="X21" s="1812"/>
      <c r="Y21" s="3742"/>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39"/>
      <c r="M22" s="1130"/>
      <c r="N22" s="1130"/>
      <c r="O22" s="1130"/>
      <c r="P22" s="3749"/>
      <c r="Q22" s="1809"/>
      <c r="R22" s="774"/>
      <c r="S22" s="775"/>
      <c r="T22" s="774"/>
      <c r="U22" s="775"/>
      <c r="V22" s="774"/>
      <c r="W22" s="775"/>
      <c r="X22" s="1812"/>
      <c r="Y22" s="3742"/>
      <c r="Z22" s="1813"/>
      <c r="AA22" s="1810">
        <v>1</v>
      </c>
      <c r="AB22" s="1810">
        <v>1</v>
      </c>
      <c r="AC22" s="2674">
        <v>1</v>
      </c>
    </row>
    <row r="23" spans="1:29" ht="69">
      <c r="A23" s="428"/>
      <c r="B23" s="631" t="s">
        <v>2643</v>
      </c>
      <c r="C23" s="2675"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749"/>
      <c r="Q23" s="1809" t="str">
        <f>B23</f>
        <v>环境质量</v>
      </c>
      <c r="R23" s="774" t="s">
        <v>17</v>
      </c>
      <c r="S23" s="775">
        <f>F23</f>
        <v>100</v>
      </c>
      <c r="T23" s="774" t="s">
        <v>17</v>
      </c>
      <c r="U23" s="775">
        <f>H23</f>
        <v>100</v>
      </c>
      <c r="V23" s="774" t="s">
        <v>17</v>
      </c>
      <c r="W23" s="775">
        <f>J23</f>
        <v>100</v>
      </c>
      <c r="X23" s="1812"/>
      <c r="Y23" s="3742"/>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39"/>
      <c r="M24" s="1130"/>
      <c r="N24" s="1130"/>
      <c r="O24" s="1130"/>
      <c r="P24" s="3749"/>
      <c r="Q24" s="1809"/>
      <c r="R24" s="774"/>
      <c r="S24" s="775"/>
      <c r="T24" s="774"/>
      <c r="U24" s="775"/>
      <c r="V24" s="774"/>
      <c r="W24" s="775"/>
      <c r="X24" s="1812"/>
      <c r="Y24" s="3742"/>
      <c r="Z24" s="1813"/>
      <c r="AA24" s="1810">
        <v>1</v>
      </c>
      <c r="AB24" s="1810">
        <v>1</v>
      </c>
      <c r="AC24" s="2674">
        <v>1</v>
      </c>
    </row>
    <row r="25" spans="1:29" ht="28.8">
      <c r="A25" s="404"/>
      <c r="B25" s="631" t="s">
        <v>2644</v>
      </c>
      <c r="C25" s="2615"/>
      <c r="D25" s="435">
        <v>100</v>
      </c>
      <c r="E25" s="434"/>
      <c r="F25" s="435">
        <f>SUMIF(87:87,E26,88:88)-SUMIF(87:87,C26,88:88)+100</f>
        <v>100</v>
      </c>
      <c r="G25" s="2615"/>
      <c r="H25" s="435">
        <f>SUMIF(87:87,G26,88:88)-SUMIF(87:87,C26,88:88)+100</f>
        <v>100</v>
      </c>
      <c r="I25" s="434"/>
      <c r="J25" s="435">
        <f>SUMIF(87:87,I26,88:88)-SUMIF(87:87,C26,88:88)+100</f>
        <v>100</v>
      </c>
      <c r="K25" s="614"/>
      <c r="L25" s="1139"/>
      <c r="M25" s="1130"/>
      <c r="N25" s="1130"/>
      <c r="O25" s="1130"/>
      <c r="P25" s="3749"/>
      <c r="Q25" s="1809" t="str">
        <f>B25</f>
        <v>毗邻道路的类型与等级</v>
      </c>
      <c r="R25" s="774" t="s">
        <v>17</v>
      </c>
      <c r="S25" s="775">
        <f>F25</f>
        <v>100</v>
      </c>
      <c r="T25" s="774" t="s">
        <v>17</v>
      </c>
      <c r="U25" s="775">
        <f>H25</f>
        <v>100</v>
      </c>
      <c r="V25" s="774" t="s">
        <v>17</v>
      </c>
      <c r="W25" s="775">
        <f>J25</f>
        <v>100</v>
      </c>
      <c r="X25" s="1812"/>
      <c r="Y25" s="3742"/>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39"/>
      <c r="M26" s="1130"/>
      <c r="N26" s="1130"/>
      <c r="O26" s="1130"/>
      <c r="P26" s="3749"/>
      <c r="Q26" s="1809"/>
      <c r="R26" s="774"/>
      <c r="S26" s="775"/>
      <c r="T26" s="774"/>
      <c r="U26" s="775"/>
      <c r="V26" s="774"/>
      <c r="W26" s="775"/>
      <c r="X26" s="1812"/>
      <c r="Y26" s="3742"/>
      <c r="Z26" s="1813"/>
      <c r="AA26" s="1810">
        <v>1</v>
      </c>
      <c r="AB26" s="1810">
        <v>1</v>
      </c>
      <c r="AC26" s="2674">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749"/>
      <c r="Q27" s="1809" t="str">
        <f t="shared" ref="Q27:Q47" si="11">B27</f>
        <v>楼层</v>
      </c>
      <c r="R27" s="774" t="s">
        <v>17</v>
      </c>
      <c r="S27" s="775">
        <f>F27</f>
        <v>100</v>
      </c>
      <c r="T27" s="774" t="s">
        <v>17</v>
      </c>
      <c r="U27" s="775">
        <f>H27</f>
        <v>100</v>
      </c>
      <c r="V27" s="774" t="s">
        <v>17</v>
      </c>
      <c r="W27" s="775">
        <f>J27</f>
        <v>100</v>
      </c>
      <c r="X27" s="1812"/>
      <c r="Y27" s="3742"/>
      <c r="Z27" s="1813" t="str">
        <f>Q27</f>
        <v>楼层</v>
      </c>
      <c r="AA27" s="1810">
        <f t="shared" si="3"/>
        <v>1</v>
      </c>
      <c r="AB27" s="1810">
        <f t="shared" si="4"/>
        <v>1</v>
      </c>
      <c r="AC27" s="2674">
        <f t="shared" si="5"/>
        <v>1</v>
      </c>
    </row>
    <row r="28" spans="1:29" s="117" customFormat="1" ht="15">
      <c r="A28" s="431"/>
      <c r="B28" s="631" t="s">
        <v>2645</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749"/>
      <c r="Q28" s="1794" t="str">
        <f t="shared" si="11"/>
        <v>朝向</v>
      </c>
      <c r="R28" s="770" t="s">
        <v>17</v>
      </c>
      <c r="S28" s="771">
        <f>F28</f>
        <v>100</v>
      </c>
      <c r="T28" s="770" t="s">
        <v>17</v>
      </c>
      <c r="U28" s="771">
        <f>H28</f>
        <v>100</v>
      </c>
      <c r="V28" s="770" t="s">
        <v>17</v>
      </c>
      <c r="W28" s="771">
        <f>J28</f>
        <v>100</v>
      </c>
      <c r="X28" s="772"/>
      <c r="Y28" s="3742"/>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749"/>
      <c r="Q29" s="1809">
        <f t="shared" si="11"/>
        <v>111</v>
      </c>
      <c r="R29" s="774" t="s">
        <v>17</v>
      </c>
      <c r="S29" s="775">
        <f t="shared" ref="S29:S47" si="12">F29</f>
        <v>100</v>
      </c>
      <c r="T29" s="774" t="s">
        <v>17</v>
      </c>
      <c r="U29" s="775">
        <f t="shared" ref="U29:U47" si="13">H29</f>
        <v>100</v>
      </c>
      <c r="V29" s="774" t="s">
        <v>17</v>
      </c>
      <c r="W29" s="775">
        <f t="shared" ref="W29:W47" si="14">J29</f>
        <v>100</v>
      </c>
      <c r="X29" s="1812"/>
      <c r="Y29" s="3742"/>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749"/>
      <c r="Q30" s="1809">
        <f t="shared" si="11"/>
        <v>111</v>
      </c>
      <c r="R30" s="774" t="s">
        <v>17</v>
      </c>
      <c r="S30" s="775">
        <f t="shared" si="12"/>
        <v>100</v>
      </c>
      <c r="T30" s="774" t="s">
        <v>17</v>
      </c>
      <c r="U30" s="775">
        <f t="shared" si="13"/>
        <v>100</v>
      </c>
      <c r="V30" s="774" t="s">
        <v>17</v>
      </c>
      <c r="W30" s="775">
        <f t="shared" si="14"/>
        <v>100</v>
      </c>
      <c r="X30" s="1812"/>
      <c r="Y30" s="3742"/>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749"/>
      <c r="Q31" s="1809">
        <f t="shared" si="11"/>
        <v>111</v>
      </c>
      <c r="R31" s="774" t="s">
        <v>17</v>
      </c>
      <c r="S31" s="775">
        <f t="shared" si="12"/>
        <v>100</v>
      </c>
      <c r="T31" s="774" t="s">
        <v>17</v>
      </c>
      <c r="U31" s="775">
        <f t="shared" si="13"/>
        <v>100</v>
      </c>
      <c r="V31" s="774" t="s">
        <v>17</v>
      </c>
      <c r="W31" s="775">
        <f t="shared" si="14"/>
        <v>100</v>
      </c>
      <c r="X31" s="1812"/>
      <c r="Y31" s="3742"/>
      <c r="Z31" s="1813">
        <f t="shared" si="15"/>
        <v>111</v>
      </c>
      <c r="AA31" s="1810">
        <f t="shared" si="3"/>
        <v>1</v>
      </c>
      <c r="AB31" s="1810">
        <f t="shared" si="4"/>
        <v>1</v>
      </c>
      <c r="AC31" s="2674">
        <f t="shared" si="5"/>
        <v>1</v>
      </c>
    </row>
    <row r="32" spans="1:29" ht="15.6"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749"/>
      <c r="Q32" s="1809">
        <f t="shared" si="11"/>
        <v>111</v>
      </c>
      <c r="R32" s="774" t="s">
        <v>17</v>
      </c>
      <c r="S32" s="775">
        <f t="shared" si="12"/>
        <v>100</v>
      </c>
      <c r="T32" s="774" t="s">
        <v>17</v>
      </c>
      <c r="U32" s="775">
        <f t="shared" si="13"/>
        <v>100</v>
      </c>
      <c r="V32" s="774" t="s">
        <v>17</v>
      </c>
      <c r="W32" s="775">
        <f t="shared" si="14"/>
        <v>100</v>
      </c>
      <c r="X32" s="1812"/>
      <c r="Y32" s="3742"/>
      <c r="Z32" s="1813">
        <f t="shared" si="15"/>
        <v>111</v>
      </c>
      <c r="AA32" s="1810">
        <f t="shared" si="3"/>
        <v>1</v>
      </c>
      <c r="AB32" s="1810">
        <f t="shared" si="4"/>
        <v>1</v>
      </c>
      <c r="AC32" s="2674">
        <f t="shared" si="5"/>
        <v>1</v>
      </c>
    </row>
    <row r="33" spans="1:29" ht="15">
      <c r="A33" s="440" t="s">
        <v>2517</v>
      </c>
      <c r="B33" s="71" t="s">
        <v>2646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9"/>
      <c r="M33" s="1130"/>
      <c r="N33" s="1130"/>
      <c r="O33" s="1130"/>
      <c r="P33" s="3743" t="s">
        <v>2519</v>
      </c>
      <c r="Q33" s="1809" t="str">
        <f t="shared" si="11"/>
        <v>建筑类型</v>
      </c>
      <c r="R33" s="774" t="s">
        <v>17</v>
      </c>
      <c r="S33" s="775">
        <f t="shared" si="12"/>
        <v>100</v>
      </c>
      <c r="T33" s="774" t="s">
        <v>17</v>
      </c>
      <c r="U33" s="775">
        <f t="shared" si="13"/>
        <v>100</v>
      </c>
      <c r="V33" s="774" t="s">
        <v>17</v>
      </c>
      <c r="W33" s="775">
        <f t="shared" si="14"/>
        <v>100</v>
      </c>
      <c r="X33" s="1812"/>
      <c r="Y33" s="3746" t="s">
        <v>2519</v>
      </c>
      <c r="Z33" s="1813" t="str">
        <f t="shared" si="15"/>
        <v>建筑类型</v>
      </c>
      <c r="AA33" s="1810">
        <f t="shared" si="3"/>
        <v>1</v>
      </c>
      <c r="AB33" s="1810">
        <f t="shared" si="4"/>
        <v>1</v>
      </c>
      <c r="AC33" s="2674">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744"/>
      <c r="Q34" s="776" t="str">
        <f t="shared" si="11"/>
        <v>项目建筑规模</v>
      </c>
      <c r="R34" s="777" t="s">
        <v>17</v>
      </c>
      <c r="S34" s="778" t="e">
        <f t="shared" si="12"/>
        <v>#N/A</v>
      </c>
      <c r="T34" s="777" t="s">
        <v>17</v>
      </c>
      <c r="U34" s="778" t="e">
        <f t="shared" si="13"/>
        <v>#N/A</v>
      </c>
      <c r="V34" s="777" t="s">
        <v>17</v>
      </c>
      <c r="W34" s="778" t="e">
        <f t="shared" si="14"/>
        <v>#N/A</v>
      </c>
      <c r="X34" s="779"/>
      <c r="Y34" s="3746"/>
      <c r="Z34" s="780" t="str">
        <f t="shared" si="15"/>
        <v>项目建筑规模</v>
      </c>
      <c r="AA34" s="1810" t="e">
        <f t="shared" si="3"/>
        <v>#N/A</v>
      </c>
      <c r="AB34" s="1810" t="e">
        <f t="shared" si="4"/>
        <v>#N/A</v>
      </c>
      <c r="AC34" s="2674"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744"/>
      <c r="Q35" s="1809" t="str">
        <f t="shared" si="11"/>
        <v>建筑结构</v>
      </c>
      <c r="R35" s="774" t="s">
        <v>17</v>
      </c>
      <c r="S35" s="775">
        <f t="shared" si="12"/>
        <v>100</v>
      </c>
      <c r="T35" s="774" t="s">
        <v>17</v>
      </c>
      <c r="U35" s="775">
        <f t="shared" si="13"/>
        <v>100</v>
      </c>
      <c r="V35" s="774" t="s">
        <v>17</v>
      </c>
      <c r="W35" s="775">
        <f t="shared" si="14"/>
        <v>100</v>
      </c>
      <c r="X35" s="1812"/>
      <c r="Y35" s="3746"/>
      <c r="Z35" s="1813" t="str">
        <f t="shared" si="15"/>
        <v>建筑结构</v>
      </c>
      <c r="AA35" s="1810">
        <f t="shared" si="3"/>
        <v>1</v>
      </c>
      <c r="AB35" s="1810">
        <f t="shared" si="4"/>
        <v>1</v>
      </c>
      <c r="AC35" s="2674">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744"/>
      <c r="Q36" s="1809" t="str">
        <f t="shared" si="11"/>
        <v>公共部分装修</v>
      </c>
      <c r="R36" s="774" t="s">
        <v>17</v>
      </c>
      <c r="S36" s="775">
        <f t="shared" si="12"/>
        <v>100</v>
      </c>
      <c r="T36" s="774" t="s">
        <v>17</v>
      </c>
      <c r="U36" s="775">
        <f t="shared" si="13"/>
        <v>100</v>
      </c>
      <c r="V36" s="774" t="s">
        <v>17</v>
      </c>
      <c r="W36" s="775">
        <f t="shared" si="14"/>
        <v>100</v>
      </c>
      <c r="X36" s="1812"/>
      <c r="Y36" s="3746"/>
      <c r="Z36" s="1813" t="str">
        <f t="shared" si="15"/>
        <v>公共部分装修</v>
      </c>
      <c r="AA36" s="1810">
        <f t="shared" si="3"/>
        <v>1</v>
      </c>
      <c r="AB36" s="1810">
        <f t="shared" si="4"/>
        <v>1</v>
      </c>
      <c r="AC36" s="2674">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744"/>
      <c r="Q37" s="1809" t="str">
        <f t="shared" si="11"/>
        <v>成新度</v>
      </c>
      <c r="R37" s="774" t="s">
        <v>17</v>
      </c>
      <c r="S37" s="775" t="e">
        <f t="shared" si="12"/>
        <v>#N/A</v>
      </c>
      <c r="T37" s="774" t="s">
        <v>17</v>
      </c>
      <c r="U37" s="775" t="e">
        <f t="shared" si="13"/>
        <v>#N/A</v>
      </c>
      <c r="V37" s="774" t="s">
        <v>17</v>
      </c>
      <c r="W37" s="775" t="e">
        <f t="shared" si="14"/>
        <v>#N/A</v>
      </c>
      <c r="X37" s="1812"/>
      <c r="Y37" s="3746"/>
      <c r="Z37" s="1813" t="str">
        <f t="shared" si="15"/>
        <v>成新度</v>
      </c>
      <c r="AA37" s="1810" t="e">
        <f t="shared" si="3"/>
        <v>#N/A</v>
      </c>
      <c r="AB37" s="1810" t="e">
        <f t="shared" si="4"/>
        <v>#N/A</v>
      </c>
      <c r="AC37" s="2674"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744"/>
      <c r="Q38" s="1794" t="str">
        <f t="shared" si="11"/>
        <v>写字楼等级</v>
      </c>
      <c r="R38" s="770" t="s">
        <v>17</v>
      </c>
      <c r="S38" s="771">
        <f t="shared" si="12"/>
        <v>100</v>
      </c>
      <c r="T38" s="770" t="s">
        <v>17</v>
      </c>
      <c r="U38" s="771">
        <f t="shared" si="13"/>
        <v>100</v>
      </c>
      <c r="V38" s="770" t="s">
        <v>17</v>
      </c>
      <c r="W38" s="771">
        <f t="shared" si="14"/>
        <v>100</v>
      </c>
      <c r="X38" s="772"/>
      <c r="Y38" s="3746"/>
      <c r="Z38" s="55" t="str">
        <f t="shared" si="15"/>
        <v>写字楼等级</v>
      </c>
      <c r="AA38" s="773">
        <f t="shared" si="3"/>
        <v>1</v>
      </c>
      <c r="AB38" s="773">
        <f t="shared" si="4"/>
        <v>1</v>
      </c>
      <c r="AC38" s="2671">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744" t="s">
        <v>2519</v>
      </c>
      <c r="Q39" s="1809" t="str">
        <f t="shared" si="11"/>
        <v>物业管理</v>
      </c>
      <c r="R39" s="774" t="s">
        <v>17</v>
      </c>
      <c r="S39" s="775">
        <f t="shared" si="12"/>
        <v>100</v>
      </c>
      <c r="T39" s="774" t="s">
        <v>17</v>
      </c>
      <c r="U39" s="775">
        <f t="shared" si="13"/>
        <v>100</v>
      </c>
      <c r="V39" s="774" t="s">
        <v>17</v>
      </c>
      <c r="W39" s="775">
        <f t="shared" si="14"/>
        <v>100</v>
      </c>
      <c r="X39" s="1812"/>
      <c r="Y39" s="3746" t="s">
        <v>2519</v>
      </c>
      <c r="Z39" s="1813" t="str">
        <f t="shared" si="15"/>
        <v>物业管理</v>
      </c>
      <c r="AA39" s="1810">
        <f t="shared" si="3"/>
        <v>1</v>
      </c>
      <c r="AB39" s="1810">
        <f t="shared" si="4"/>
        <v>1</v>
      </c>
      <c r="AC39" s="2674">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744"/>
      <c r="Q40" s="1809" t="str">
        <f t="shared" si="11"/>
        <v>市政基础设施</v>
      </c>
      <c r="R40" s="774" t="s">
        <v>17</v>
      </c>
      <c r="S40" s="775">
        <f t="shared" si="12"/>
        <v>100</v>
      </c>
      <c r="T40" s="774" t="s">
        <v>17</v>
      </c>
      <c r="U40" s="775">
        <f t="shared" si="13"/>
        <v>100</v>
      </c>
      <c r="V40" s="774" t="s">
        <v>17</v>
      </c>
      <c r="W40" s="775">
        <f t="shared" si="14"/>
        <v>100</v>
      </c>
      <c r="X40" s="1812"/>
      <c r="Y40" s="3746"/>
      <c r="Z40" s="1813" t="str">
        <f t="shared" si="15"/>
        <v>市政基础设施</v>
      </c>
      <c r="AA40" s="1810">
        <f t="shared" si="3"/>
        <v>1</v>
      </c>
      <c r="AB40" s="1810">
        <f t="shared" si="4"/>
        <v>1</v>
      </c>
      <c r="AC40" s="2674">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744"/>
      <c r="Q41" s="1809" t="str">
        <f t="shared" si="11"/>
        <v>层高</v>
      </c>
      <c r="R41" s="774" t="s">
        <v>17</v>
      </c>
      <c r="S41" s="775">
        <f t="shared" si="12"/>
        <v>100</v>
      </c>
      <c r="T41" s="774" t="s">
        <v>17</v>
      </c>
      <c r="U41" s="775">
        <f t="shared" si="13"/>
        <v>100</v>
      </c>
      <c r="V41" s="774" t="s">
        <v>17</v>
      </c>
      <c r="W41" s="775">
        <f t="shared" si="14"/>
        <v>100</v>
      </c>
      <c r="X41" s="1812"/>
      <c r="Y41" s="3746"/>
      <c r="Z41" s="1813" t="str">
        <f t="shared" si="15"/>
        <v>层高</v>
      </c>
      <c r="AA41" s="1810">
        <f t="shared" si="3"/>
        <v>1</v>
      </c>
      <c r="AB41" s="1810">
        <f t="shared" si="4"/>
        <v>1</v>
      </c>
      <c r="AC41" s="2674">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744"/>
      <c r="Q42" s="776" t="str">
        <f t="shared" si="11"/>
        <v>单套建筑面积</v>
      </c>
      <c r="R42" s="777" t="s">
        <v>17</v>
      </c>
      <c r="S42" s="778">
        <f t="shared" si="12"/>
        <v>100</v>
      </c>
      <c r="T42" s="777" t="s">
        <v>17</v>
      </c>
      <c r="U42" s="778">
        <f t="shared" si="13"/>
        <v>100</v>
      </c>
      <c r="V42" s="777" t="s">
        <v>17</v>
      </c>
      <c r="W42" s="778">
        <f t="shared" si="14"/>
        <v>100</v>
      </c>
      <c r="X42" s="779"/>
      <c r="Y42" s="3746"/>
      <c r="Z42" s="780" t="str">
        <f t="shared" si="15"/>
        <v>单套建筑面积</v>
      </c>
      <c r="AA42" s="1810">
        <f t="shared" si="3"/>
        <v>1</v>
      </c>
      <c r="AB42" s="1810">
        <f t="shared" si="4"/>
        <v>1</v>
      </c>
      <c r="AC42" s="2674">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744"/>
      <c r="Q43" s="1809" t="str">
        <f t="shared" si="11"/>
        <v>内部装修</v>
      </c>
      <c r="R43" s="774" t="s">
        <v>17</v>
      </c>
      <c r="S43" s="775">
        <f t="shared" si="12"/>
        <v>100</v>
      </c>
      <c r="T43" s="774" t="s">
        <v>17</v>
      </c>
      <c r="U43" s="775">
        <f t="shared" si="13"/>
        <v>100</v>
      </c>
      <c r="V43" s="774" t="s">
        <v>17</v>
      </c>
      <c r="W43" s="775">
        <f t="shared" si="14"/>
        <v>100</v>
      </c>
      <c r="X43" s="1812"/>
      <c r="Y43" s="3746"/>
      <c r="Z43" s="1813" t="str">
        <f t="shared" si="15"/>
        <v>内部装修</v>
      </c>
      <c r="AA43" s="1810">
        <f t="shared" si="3"/>
        <v>1</v>
      </c>
      <c r="AB43" s="1810">
        <f t="shared" si="4"/>
        <v>1</v>
      </c>
      <c r="AC43" s="2674">
        <f t="shared" si="5"/>
        <v>1</v>
      </c>
    </row>
    <row r="44" spans="1:29" ht="28.8">
      <c r="A44" s="472"/>
      <c r="B44" s="422" t="s">
        <v>2530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9"/>
      <c r="M44" s="1130"/>
      <c r="N44" s="1130"/>
      <c r="O44" s="1130"/>
      <c r="P44" s="3744"/>
      <c r="Q44" s="1809" t="str">
        <f t="shared" si="11"/>
        <v>内部装修维护情况</v>
      </c>
      <c r="R44" s="774" t="s">
        <v>17</v>
      </c>
      <c r="S44" s="775">
        <f t="shared" si="12"/>
        <v>100</v>
      </c>
      <c r="T44" s="774" t="s">
        <v>17</v>
      </c>
      <c r="U44" s="775">
        <f t="shared" si="13"/>
        <v>100</v>
      </c>
      <c r="V44" s="774" t="s">
        <v>17</v>
      </c>
      <c r="W44" s="775">
        <f t="shared" si="14"/>
        <v>100</v>
      </c>
      <c r="X44" s="1812"/>
      <c r="Y44" s="3746"/>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744"/>
      <c r="Q45" s="1794">
        <f t="shared" si="11"/>
        <v>111</v>
      </c>
      <c r="R45" s="770" t="s">
        <v>17</v>
      </c>
      <c r="S45" s="771">
        <f t="shared" si="12"/>
        <v>100</v>
      </c>
      <c r="T45" s="770" t="s">
        <v>17</v>
      </c>
      <c r="U45" s="771">
        <f t="shared" si="13"/>
        <v>100</v>
      </c>
      <c r="V45" s="770" t="s">
        <v>17</v>
      </c>
      <c r="W45" s="771">
        <f t="shared" si="14"/>
        <v>100</v>
      </c>
      <c r="X45" s="772"/>
      <c r="Y45" s="3746"/>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744"/>
      <c r="Q46" s="1809">
        <f t="shared" si="11"/>
        <v>111</v>
      </c>
      <c r="R46" s="774" t="s">
        <v>17</v>
      </c>
      <c r="S46" s="775">
        <f t="shared" si="12"/>
        <v>100</v>
      </c>
      <c r="T46" s="774" t="s">
        <v>17</v>
      </c>
      <c r="U46" s="775">
        <f t="shared" si="13"/>
        <v>100</v>
      </c>
      <c r="V46" s="774" t="s">
        <v>17</v>
      </c>
      <c r="W46" s="775">
        <f t="shared" si="14"/>
        <v>100</v>
      </c>
      <c r="X46" s="1812"/>
      <c r="Y46" s="3746"/>
      <c r="Z46" s="1813">
        <f t="shared" si="15"/>
        <v>111</v>
      </c>
      <c r="AA46" s="1810">
        <f t="shared" si="3"/>
        <v>1</v>
      </c>
      <c r="AB46" s="1810">
        <f t="shared" si="4"/>
        <v>1</v>
      </c>
      <c r="AC46" s="2674">
        <f t="shared" si="5"/>
        <v>1</v>
      </c>
    </row>
    <row r="47" spans="1:29" ht="15.6"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745"/>
      <c r="Q47" s="1809">
        <f t="shared" si="11"/>
        <v>111</v>
      </c>
      <c r="R47" s="774" t="s">
        <v>17</v>
      </c>
      <c r="S47" s="775">
        <f t="shared" si="12"/>
        <v>100</v>
      </c>
      <c r="T47" s="774" t="s">
        <v>17</v>
      </c>
      <c r="U47" s="775">
        <f t="shared" si="13"/>
        <v>100</v>
      </c>
      <c r="V47" s="774" t="s">
        <v>17</v>
      </c>
      <c r="W47" s="775">
        <f t="shared" si="14"/>
        <v>100</v>
      </c>
      <c r="X47" s="1812"/>
      <c r="Y47" s="3747"/>
      <c r="Z47" s="1813">
        <f t="shared" si="15"/>
        <v>111</v>
      </c>
      <c r="AA47" s="1810">
        <f t="shared" si="3"/>
        <v>1</v>
      </c>
      <c r="AB47" s="1810">
        <f t="shared" si="4"/>
        <v>1</v>
      </c>
      <c r="AC47" s="2674">
        <f t="shared" si="5"/>
        <v>1</v>
      </c>
    </row>
    <row r="48" spans="1:29" ht="14.4">
      <c r="A48" s="479" t="s">
        <v>2531</v>
      </c>
      <c r="B48" s="480"/>
      <c r="C48" s="1406" t="s">
        <v>1</v>
      </c>
      <c r="D48" s="1407"/>
      <c r="E48" s="1408"/>
      <c r="F48" s="1409"/>
      <c r="G48" s="1410"/>
      <c r="H48" s="1411"/>
      <c r="I48" s="1408"/>
      <c r="J48" s="485"/>
      <c r="K48" s="783"/>
      <c r="L48" s="1142"/>
      <c r="M48" s="1130"/>
      <c r="N48" s="1130"/>
      <c r="O48" s="1130"/>
      <c r="P48" s="3721" t="str">
        <f>A48</f>
        <v>成交单价（元/平方米）</v>
      </c>
      <c r="Q48" s="3739"/>
      <c r="R48" s="3740">
        <f>E48</f>
        <v>0</v>
      </c>
      <c r="S48" s="3740"/>
      <c r="T48" s="3740">
        <f>G48</f>
        <v>0</v>
      </c>
      <c r="U48" s="3740"/>
      <c r="V48" s="3740">
        <f>I48</f>
        <v>0</v>
      </c>
      <c r="W48" s="3740"/>
      <c r="X48" s="446"/>
      <c r="Y48" s="781"/>
      <c r="Z48" s="446"/>
      <c r="AA48" s="446"/>
      <c r="AB48" s="446"/>
      <c r="AC48" s="630"/>
    </row>
    <row r="49" spans="1:29" ht="15" thickBot="1">
      <c r="A49" s="486" t="s">
        <v>2622</v>
      </c>
      <c r="B49" s="487"/>
      <c r="C49" s="1412" t="e">
        <f>R50</f>
        <v>#DIV/0!</v>
      </c>
      <c r="D49" s="1413"/>
      <c r="E49" s="1414" t="e">
        <f>R49</f>
        <v>#DIV/0!</v>
      </c>
      <c r="F49" s="1414"/>
      <c r="G49" s="1412" t="e">
        <f>T49</f>
        <v>#DIV/0!</v>
      </c>
      <c r="H49" s="1413"/>
      <c r="I49" s="1414" t="e">
        <f>V49</f>
        <v>#DIV/0!</v>
      </c>
      <c r="J49" s="489"/>
      <c r="K49" s="784"/>
      <c r="L49" s="1142"/>
      <c r="M49" s="1130"/>
      <c r="N49" s="1130"/>
      <c r="O49" s="1130"/>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446"/>
      <c r="Y49" s="446"/>
      <c r="Z49" s="446"/>
      <c r="AA49" s="446"/>
      <c r="AB49" s="446"/>
      <c r="AC49" s="630"/>
    </row>
    <row r="50" spans="1:29" ht="15" thickBot="1">
      <c r="A50" s="492" t="s">
        <v>2623</v>
      </c>
      <c r="B50" s="493"/>
      <c r="C50" s="1416" t="e">
        <f>R50</f>
        <v>#DIV/0!</v>
      </c>
      <c r="D50" s="1416"/>
      <c r="E50" s="1416"/>
      <c r="F50" s="1416"/>
      <c r="G50" s="1416"/>
      <c r="H50" s="1416"/>
      <c r="I50" s="1416"/>
      <c r="J50" s="494"/>
      <c r="K50" s="785"/>
      <c r="L50" s="1142"/>
      <c r="M50" s="1130"/>
      <c r="N50" s="1130"/>
      <c r="O50" s="1130"/>
      <c r="P50" s="3790" t="str">
        <f>A50</f>
        <v>估价对象XX用房的比较价值（楼面单价，元/平方米）</v>
      </c>
      <c r="Q50" s="3791"/>
      <c r="R50" s="3792" t="e">
        <f>IF(F1="售价",ROUND(AVERAGE(R49:V49),0),ROUND(AVERAGE(R49:V49),1))</f>
        <v>#DIV/0!</v>
      </c>
      <c r="S50" s="3792"/>
      <c r="T50" s="3792"/>
      <c r="U50" s="3792"/>
      <c r="V50" s="3792"/>
      <c r="W50" s="3792"/>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2.2" thickBot="1">
      <c r="A58" s="763" t="s">
        <v>2627</v>
      </c>
      <c r="B58" s="759"/>
      <c r="C58" s="764"/>
      <c r="D58" s="764"/>
      <c r="E58" s="764"/>
      <c r="F58" s="765"/>
      <c r="G58" s="765"/>
      <c r="H58" s="764"/>
      <c r="I58" s="764"/>
      <c r="J58" s="764"/>
      <c r="K58" s="766"/>
      <c r="L58" s="1160"/>
      <c r="M58" s="1158"/>
      <c r="N58" s="1158"/>
      <c r="O58" s="1158"/>
      <c r="P58" s="2681"/>
      <c r="Q58" s="504"/>
    </row>
    <row r="59" spans="1:29" s="508" customFormat="1" ht="14.4">
      <c r="A59" s="505" t="s">
        <v>2502</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c r="A60" s="509"/>
      <c r="B60" s="510"/>
      <c r="C60" s="1572">
        <v>100</v>
      </c>
      <c r="D60" s="512"/>
      <c r="E60" s="512"/>
      <c r="F60" s="512"/>
      <c r="G60" s="512"/>
      <c r="H60" s="512"/>
      <c r="I60" s="512"/>
      <c r="J60" s="512"/>
      <c r="K60" s="512"/>
      <c r="L60" s="512"/>
      <c r="M60" s="513"/>
      <c r="N60" s="512"/>
      <c r="O60" s="513"/>
      <c r="P60" s="2682"/>
    </row>
    <row r="61" spans="1:29" s="117" customFormat="1" ht="15" thickBot="1">
      <c r="A61" s="515" t="s">
        <v>2538</v>
      </c>
      <c r="B61" s="516"/>
      <c r="C61" s="517"/>
      <c r="D61" s="518"/>
      <c r="E61" s="518"/>
      <c r="F61" s="518"/>
      <c r="G61" s="518"/>
      <c r="H61" s="518"/>
      <c r="I61" s="518"/>
      <c r="J61" s="518"/>
      <c r="K61" s="518"/>
      <c r="L61" s="518"/>
      <c r="M61" s="519"/>
      <c r="N61" s="518"/>
      <c r="O61" s="519"/>
      <c r="P61" s="2682"/>
      <c r="Q61" s="504"/>
    </row>
    <row r="62" spans="1:29" s="117" customFormat="1" ht="14.4">
      <c r="A62" s="521" t="s">
        <v>2504</v>
      </c>
      <c r="B62" s="510"/>
      <c r="C62" s="522" t="s">
        <v>2605</v>
      </c>
      <c r="D62" s="523"/>
      <c r="E62" s="523"/>
      <c r="F62" s="523"/>
      <c r="G62" s="523"/>
      <c r="H62" s="523"/>
      <c r="I62" s="523"/>
      <c r="J62" s="523"/>
      <c r="K62" s="523"/>
      <c r="L62" s="524"/>
      <c r="M62" s="525"/>
      <c r="N62" s="1150"/>
      <c r="O62" s="1150"/>
      <c r="P62" s="2683"/>
      <c r="Q62" s="504"/>
    </row>
    <row r="63" spans="1:29" s="117" customFormat="1" ht="14.4" thickBot="1">
      <c r="A63" s="521"/>
      <c r="B63" s="510"/>
      <c r="C63" s="511">
        <v>100</v>
      </c>
      <c r="D63" s="512"/>
      <c r="E63" s="512"/>
      <c r="F63" s="512"/>
      <c r="G63" s="512"/>
      <c r="H63" s="512"/>
      <c r="I63" s="512"/>
      <c r="J63" s="512"/>
      <c r="K63" s="512"/>
      <c r="L63" s="512"/>
      <c r="M63" s="514"/>
      <c r="N63" s="1150"/>
      <c r="O63" s="1150"/>
      <c r="P63" s="2682"/>
      <c r="Q63" s="504"/>
    </row>
    <row r="64" spans="1:29" ht="14.4">
      <c r="A64" s="527" t="s">
        <v>2541</v>
      </c>
      <c r="B64" s="528" t="s">
        <v>2508</v>
      </c>
      <c r="C64" s="529">
        <f>C9</f>
        <v>0</v>
      </c>
      <c r="D64" s="530"/>
      <c r="E64" s="530"/>
      <c r="F64" s="530"/>
      <c r="G64" s="530"/>
      <c r="H64" s="530"/>
      <c r="I64" s="530"/>
      <c r="J64" s="530"/>
      <c r="K64" s="531"/>
      <c r="L64" s="532"/>
      <c r="M64" s="533"/>
      <c r="N64" s="1151"/>
      <c r="O64" s="1151"/>
      <c r="P64" s="2684"/>
      <c r="Q64" s="504"/>
    </row>
    <row r="65" spans="1:17" ht="14.4" thickBot="1">
      <c r="A65" s="534"/>
      <c r="B65" s="535"/>
      <c r="C65" s="536">
        <v>100</v>
      </c>
      <c r="D65" s="536"/>
      <c r="E65" s="536"/>
      <c r="F65" s="536"/>
      <c r="G65" s="536"/>
      <c r="H65" s="536"/>
      <c r="I65" s="536"/>
      <c r="J65" s="536"/>
      <c r="K65" s="536"/>
      <c r="L65" s="536"/>
      <c r="M65" s="537"/>
      <c r="N65" s="1152"/>
      <c r="O65" s="1152"/>
      <c r="P65" s="2684"/>
      <c r="Q65" s="504"/>
    </row>
    <row r="66" spans="1:17" ht="29.4"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c r="A69" s="534"/>
      <c r="B69" s="548"/>
      <c r="C69" s="549"/>
      <c r="D69" s="549"/>
      <c r="E69" s="549"/>
      <c r="F69" s="549"/>
      <c r="G69" s="549"/>
      <c r="H69" s="549"/>
      <c r="I69" s="549"/>
      <c r="J69" s="549"/>
      <c r="K69" s="550"/>
      <c r="L69" s="551"/>
      <c r="M69" s="552"/>
      <c r="N69" s="1151"/>
      <c r="O69" s="1151"/>
      <c r="P69" s="268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4.4" thickTop="1">
      <c r="A71" s="553"/>
      <c r="B71" s="538">
        <f>B12</f>
        <v>111</v>
      </c>
      <c r="C71" s="554"/>
      <c r="D71" s="554"/>
      <c r="E71" s="554"/>
      <c r="F71" s="554"/>
      <c r="G71" s="554"/>
      <c r="H71" s="555"/>
      <c r="I71" s="555"/>
      <c r="J71" s="555"/>
      <c r="K71" s="555"/>
      <c r="L71" s="556"/>
      <c r="M71" s="557"/>
      <c r="N71" s="1153"/>
      <c r="O71" s="1153"/>
      <c r="P71" s="2685"/>
      <c r="Q71" s="559"/>
    </row>
    <row r="72" spans="1:17" s="471" customFormat="1" ht="14.4" thickBot="1">
      <c r="A72" s="553"/>
      <c r="B72" s="543"/>
      <c r="C72" s="560"/>
      <c r="D72" s="536"/>
      <c r="E72" s="536"/>
      <c r="F72" s="536"/>
      <c r="G72" s="536"/>
      <c r="H72" s="536"/>
      <c r="I72" s="536"/>
      <c r="J72" s="536"/>
      <c r="K72" s="536"/>
      <c r="L72" s="536"/>
      <c r="M72" s="537"/>
      <c r="N72" s="1152"/>
      <c r="O72" s="1152"/>
      <c r="P72" s="2685"/>
      <c r="Q72" s="559"/>
    </row>
    <row r="73" spans="1:17" s="471" customFormat="1" ht="14.4" thickTop="1">
      <c r="A73" s="553"/>
      <c r="B73" s="538">
        <f>B13</f>
        <v>111</v>
      </c>
      <c r="C73" s="554"/>
      <c r="D73" s="554"/>
      <c r="E73" s="554"/>
      <c r="F73" s="554"/>
      <c r="G73" s="554"/>
      <c r="H73" s="555"/>
      <c r="I73" s="555"/>
      <c r="J73" s="555"/>
      <c r="K73" s="555"/>
      <c r="L73" s="556"/>
      <c r="M73" s="557"/>
      <c r="N73" s="1153"/>
      <c r="O73" s="1153"/>
      <c r="P73" s="2686"/>
      <c r="Q73" s="561"/>
    </row>
    <row r="74" spans="1:17" s="471" customFormat="1" ht="14.4" thickBot="1">
      <c r="A74" s="553"/>
      <c r="B74" s="543"/>
      <c r="C74" s="560"/>
      <c r="D74" s="560"/>
      <c r="E74" s="560"/>
      <c r="F74" s="560"/>
      <c r="G74" s="560"/>
      <c r="H74" s="562"/>
      <c r="I74" s="562"/>
      <c r="J74" s="562"/>
      <c r="K74" s="562"/>
      <c r="L74" s="562"/>
      <c r="M74" s="563"/>
      <c r="N74" s="1153"/>
      <c r="O74" s="1153"/>
      <c r="P74" s="2685"/>
      <c r="Q74" s="559"/>
    </row>
    <row r="75" spans="1:17" s="471" customFormat="1" ht="14.4" thickTop="1">
      <c r="A75" s="553"/>
      <c r="B75" s="546">
        <f>B14</f>
        <v>111</v>
      </c>
      <c r="C75" s="523"/>
      <c r="D75" s="523"/>
      <c r="E75" s="523"/>
      <c r="F75" s="523"/>
      <c r="G75" s="523"/>
      <c r="H75" s="564"/>
      <c r="I75" s="564"/>
      <c r="J75" s="564"/>
      <c r="K75" s="564"/>
      <c r="L75" s="565"/>
      <c r="M75" s="566"/>
      <c r="N75" s="1153"/>
      <c r="O75" s="1153"/>
      <c r="P75" s="2687"/>
      <c r="Q75" s="559"/>
    </row>
    <row r="76" spans="1:17" s="471" customFormat="1" ht="14.4" thickBot="1">
      <c r="A76" s="568"/>
      <c r="B76" s="569"/>
      <c r="C76" s="570"/>
      <c r="D76" s="570"/>
      <c r="E76" s="570"/>
      <c r="F76" s="570"/>
      <c r="G76" s="570"/>
      <c r="H76" s="571"/>
      <c r="I76" s="571"/>
      <c r="J76" s="571"/>
      <c r="K76" s="571"/>
      <c r="L76" s="571"/>
      <c r="M76" s="572"/>
      <c r="N76" s="1153"/>
      <c r="O76" s="1153"/>
      <c r="P76" s="2685"/>
      <c r="Q76" s="559"/>
    </row>
    <row r="77" spans="1:17" ht="14.4">
      <c r="A77" s="527" t="s">
        <v>2513</v>
      </c>
      <c r="B77" s="528" t="s">
        <v>2650</v>
      </c>
      <c r="C77" s="573" t="s">
        <v>2550</v>
      </c>
      <c r="D77" s="573" t="s">
        <v>2551</v>
      </c>
      <c r="E77" s="573" t="s">
        <v>2552</v>
      </c>
      <c r="F77" s="573" t="s">
        <v>2553</v>
      </c>
      <c r="G77" s="573" t="s">
        <v>2554</v>
      </c>
      <c r="H77" s="529"/>
      <c r="I77" s="529"/>
      <c r="J77" s="529"/>
      <c r="K77" s="574"/>
      <c r="L77" s="575"/>
      <c r="M77" s="576"/>
      <c r="N77" s="1151"/>
      <c r="O77" s="1151"/>
      <c r="P77" s="268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4"/>
      <c r="Q78" s="504"/>
    </row>
    <row r="79" spans="1:17" ht="15" thickTop="1">
      <c r="A79" s="534"/>
      <c r="B79" s="538" t="s">
        <v>2555</v>
      </c>
      <c r="C79" s="578" t="s">
        <v>2550</v>
      </c>
      <c r="D79" s="578" t="s">
        <v>2551</v>
      </c>
      <c r="E79" s="578" t="s">
        <v>2552</v>
      </c>
      <c r="F79" s="578" t="s">
        <v>2553</v>
      </c>
      <c r="G79" s="578" t="s">
        <v>2554</v>
      </c>
      <c r="H79" s="539"/>
      <c r="I79" s="539"/>
      <c r="J79" s="539"/>
      <c r="K79" s="540"/>
      <c r="L79" s="541"/>
      <c r="M79" s="542"/>
      <c r="N79" s="1151"/>
      <c r="O79" s="1151"/>
      <c r="P79" s="268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4"/>
      <c r="Q80" s="504"/>
    </row>
    <row r="81" spans="1:17" ht="15" thickTop="1">
      <c r="A81" s="534"/>
      <c r="B81" s="538" t="s">
        <v>2556</v>
      </c>
      <c r="C81" s="578" t="s">
        <v>2550</v>
      </c>
      <c r="D81" s="578" t="s">
        <v>2551</v>
      </c>
      <c r="E81" s="578" t="s">
        <v>2552</v>
      </c>
      <c r="F81" s="578" t="s">
        <v>2553</v>
      </c>
      <c r="G81" s="578" t="s">
        <v>2554</v>
      </c>
      <c r="H81" s="539"/>
      <c r="I81" s="539"/>
      <c r="J81" s="539"/>
      <c r="K81" s="540"/>
      <c r="L81" s="541"/>
      <c r="M81" s="542"/>
      <c r="N81" s="1151"/>
      <c r="O81" s="1151"/>
      <c r="P81" s="268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4"/>
      <c r="Q82" s="504"/>
    </row>
    <row r="83" spans="1:17" ht="15" thickTop="1">
      <c r="A83" s="534"/>
      <c r="B83" s="546" t="s">
        <v>2642</v>
      </c>
      <c r="C83" s="660" t="s">
        <v>2628</v>
      </c>
      <c r="D83" s="660" t="s">
        <v>2629</v>
      </c>
      <c r="E83" s="660" t="s">
        <v>2630</v>
      </c>
      <c r="F83" s="660" t="s">
        <v>2631</v>
      </c>
      <c r="G83" s="660" t="s">
        <v>2632</v>
      </c>
      <c r="H83" s="539"/>
      <c r="I83" s="539"/>
      <c r="J83" s="539"/>
      <c r="K83" s="539"/>
      <c r="L83" s="539"/>
      <c r="M83" s="1381"/>
      <c r="N83" s="1152"/>
      <c r="O83" s="1152"/>
      <c r="P83" s="268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2"/>
      <c r="O84" s="1152"/>
      <c r="P84" s="2684"/>
      <c r="Q84" s="504"/>
    </row>
    <row r="85" spans="1:17" ht="15" thickTop="1">
      <c r="A85" s="534"/>
      <c r="B85" s="538" t="s">
        <v>2651</v>
      </c>
      <c r="C85" s="578" t="s">
        <v>2550</v>
      </c>
      <c r="D85" s="578" t="s">
        <v>2551</v>
      </c>
      <c r="E85" s="578" t="s">
        <v>2552</v>
      </c>
      <c r="F85" s="578" t="s">
        <v>2553</v>
      </c>
      <c r="G85" s="578" t="s">
        <v>2554</v>
      </c>
      <c r="H85" s="539"/>
      <c r="I85" s="539"/>
      <c r="J85" s="539"/>
      <c r="K85" s="540"/>
      <c r="L85" s="541"/>
      <c r="M85" s="542"/>
      <c r="N85" s="1151"/>
      <c r="O85" s="1151"/>
      <c r="P85" s="268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4"/>
      <c r="Q86" s="504"/>
    </row>
    <row r="87" spans="1:17" s="117" customFormat="1" ht="29.4" thickTop="1">
      <c r="A87" s="579"/>
      <c r="B87" s="538" t="s">
        <v>2652</v>
      </c>
      <c r="C87" s="554"/>
      <c r="D87" s="554"/>
      <c r="E87" s="554"/>
      <c r="F87" s="554"/>
      <c r="G87" s="554"/>
      <c r="H87" s="554"/>
      <c r="I87" s="554"/>
      <c r="J87" s="554"/>
      <c r="K87" s="554"/>
      <c r="L87" s="580"/>
      <c r="M87" s="581"/>
      <c r="N87" s="1150"/>
      <c r="O87" s="1150"/>
      <c r="P87" s="268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4"/>
      <c r="Q88" s="504"/>
    </row>
    <row r="89" spans="1:17" s="117" customFormat="1" ht="14.4"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4.4" thickTop="1">
      <c r="A93" s="534"/>
      <c r="B93" s="538">
        <f>B29</f>
        <v>111</v>
      </c>
      <c r="C93" s="554"/>
      <c r="D93" s="554"/>
      <c r="E93" s="554"/>
      <c r="F93" s="554"/>
      <c r="G93" s="554"/>
      <c r="H93" s="554"/>
      <c r="I93" s="554"/>
      <c r="J93" s="554"/>
      <c r="K93" s="554"/>
      <c r="L93" s="580"/>
      <c r="M93" s="581"/>
      <c r="N93" s="1151"/>
      <c r="O93" s="1151"/>
      <c r="P93" s="2684"/>
      <c r="Q93" s="504"/>
    </row>
    <row r="94" spans="1:17" ht="14.4" thickBot="1">
      <c r="A94" s="534"/>
      <c r="B94" s="543"/>
      <c r="C94" s="560"/>
      <c r="D94" s="536"/>
      <c r="E94" s="536"/>
      <c r="F94" s="536"/>
      <c r="G94" s="536"/>
      <c r="H94" s="536"/>
      <c r="I94" s="536"/>
      <c r="J94" s="536"/>
      <c r="K94" s="536"/>
      <c r="L94" s="536"/>
      <c r="M94" s="537"/>
      <c r="N94" s="1152"/>
      <c r="O94" s="1152"/>
      <c r="P94" s="2684"/>
      <c r="Q94" s="504"/>
    </row>
    <row r="95" spans="1:17" ht="14.4" thickTop="1">
      <c r="A95" s="534"/>
      <c r="B95" s="538">
        <f>B30</f>
        <v>111</v>
      </c>
      <c r="C95" s="554"/>
      <c r="D95" s="554"/>
      <c r="E95" s="554"/>
      <c r="F95" s="554"/>
      <c r="G95" s="583"/>
      <c r="H95" s="583"/>
      <c r="I95" s="583"/>
      <c r="J95" s="583"/>
      <c r="K95" s="584"/>
      <c r="L95" s="585"/>
      <c r="M95" s="586"/>
      <c r="N95" s="1151"/>
      <c r="O95" s="1151"/>
      <c r="P95" s="2684"/>
      <c r="Q95" s="504"/>
    </row>
    <row r="96" spans="1:17" ht="14.4" thickBot="1">
      <c r="A96" s="534"/>
      <c r="B96" s="543"/>
      <c r="C96" s="560"/>
      <c r="D96" s="560"/>
      <c r="E96" s="560"/>
      <c r="F96" s="560"/>
      <c r="G96" s="536"/>
      <c r="H96" s="536"/>
      <c r="I96" s="536"/>
      <c r="J96" s="536"/>
      <c r="K96" s="536"/>
      <c r="L96" s="536"/>
      <c r="M96" s="537"/>
      <c r="N96" s="1152"/>
      <c r="O96" s="1152"/>
      <c r="P96" s="2684"/>
      <c r="Q96" s="504"/>
    </row>
    <row r="97" spans="1:17" ht="14.4" thickTop="1">
      <c r="A97" s="534"/>
      <c r="B97" s="538">
        <f>B31</f>
        <v>111</v>
      </c>
      <c r="C97" s="554"/>
      <c r="D97" s="554"/>
      <c r="E97" s="554"/>
      <c r="F97" s="554"/>
      <c r="G97" s="583"/>
      <c r="H97" s="583"/>
      <c r="I97" s="583"/>
      <c r="J97" s="583"/>
      <c r="K97" s="584"/>
      <c r="L97" s="585"/>
      <c r="M97" s="586"/>
      <c r="N97" s="1151"/>
      <c r="O97" s="1151"/>
      <c r="P97" s="2684"/>
      <c r="Q97" s="504"/>
    </row>
    <row r="98" spans="1:17" ht="14.4" thickBot="1">
      <c r="A98" s="534"/>
      <c r="B98" s="543"/>
      <c r="C98" s="560"/>
      <c r="D98" s="536"/>
      <c r="E98" s="536"/>
      <c r="F98" s="536"/>
      <c r="G98" s="536"/>
      <c r="H98" s="536"/>
      <c r="I98" s="536"/>
      <c r="J98" s="536"/>
      <c r="K98" s="536"/>
      <c r="L98" s="536"/>
      <c r="M98" s="537"/>
      <c r="N98" s="1152"/>
      <c r="O98" s="1152"/>
      <c r="P98" s="2684"/>
      <c r="Q98" s="504"/>
    </row>
    <row r="99" spans="1:17" ht="14.4" thickTop="1">
      <c r="A99" s="534"/>
      <c r="B99" s="546">
        <f>B32</f>
        <v>111</v>
      </c>
      <c r="C99" s="523"/>
      <c r="D99" s="523"/>
      <c r="E99" s="523"/>
      <c r="F99" s="523"/>
      <c r="G99" s="587"/>
      <c r="H99" s="587"/>
      <c r="I99" s="587"/>
      <c r="J99" s="587"/>
      <c r="K99" s="588"/>
      <c r="L99" s="589"/>
      <c r="M99" s="590"/>
      <c r="N99" s="1151"/>
      <c r="O99" s="1151"/>
      <c r="P99" s="2684"/>
      <c r="Q99" s="504"/>
    </row>
    <row r="100" spans="1:17" ht="14.4" thickBot="1">
      <c r="A100" s="2636"/>
      <c r="B100" s="569"/>
      <c r="C100" s="570"/>
      <c r="D100" s="570"/>
      <c r="E100" s="570"/>
      <c r="F100" s="570"/>
      <c r="G100" s="591"/>
      <c r="H100" s="591"/>
      <c r="I100" s="591"/>
      <c r="J100" s="591"/>
      <c r="K100" s="591"/>
      <c r="L100" s="591"/>
      <c r="M100" s="592"/>
      <c r="N100" s="1152"/>
      <c r="O100" s="1152"/>
      <c r="P100" s="2684"/>
      <c r="Q100" s="504"/>
    </row>
    <row r="101" spans="1:17" ht="14.4">
      <c r="A101" s="527" t="s">
        <v>2517</v>
      </c>
      <c r="B101" s="528" t="s">
        <v>2565</v>
      </c>
      <c r="C101" s="530"/>
      <c r="D101" s="530"/>
      <c r="E101" s="530"/>
      <c r="F101" s="530"/>
      <c r="G101" s="530"/>
      <c r="H101" s="530"/>
      <c r="I101" s="530"/>
      <c r="J101" s="530"/>
      <c r="K101" s="531"/>
      <c r="L101" s="532"/>
      <c r="M101" s="533"/>
      <c r="N101" s="1151"/>
      <c r="O101" s="1151"/>
      <c r="P101" s="268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4"/>
      <c r="Q102" s="504"/>
    </row>
    <row r="103" spans="1:17" ht="1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c r="D104" s="595"/>
      <c r="E104" s="595"/>
      <c r="F104" s="595"/>
      <c r="G104" s="595"/>
      <c r="H104" s="595"/>
      <c r="I104" s="595"/>
      <c r="J104" s="596"/>
      <c r="K104" s="596"/>
      <c r="L104" s="597"/>
      <c r="M104" s="598"/>
      <c r="N104" s="1153"/>
      <c r="O104" s="1153"/>
      <c r="P104" s="2685"/>
      <c r="Q104" s="559"/>
    </row>
    <row r="105" spans="1:17" s="471" customFormat="1" ht="14.4" thickBot="1">
      <c r="A105" s="553"/>
      <c r="B105" s="543"/>
      <c r="C105" s="560"/>
      <c r="D105" s="536"/>
      <c r="E105" s="536"/>
      <c r="F105" s="536"/>
      <c r="G105" s="536"/>
      <c r="H105" s="536"/>
      <c r="I105" s="536"/>
      <c r="J105" s="536"/>
      <c r="K105" s="536"/>
      <c r="L105" s="536"/>
      <c r="M105" s="537"/>
      <c r="N105" s="1152"/>
      <c r="O105" s="1152"/>
      <c r="P105" s="2685"/>
      <c r="Q105" s="559"/>
    </row>
    <row r="106" spans="1:17" ht="15" thickTop="1">
      <c r="A106" s="599"/>
      <c r="B106" s="538" t="s">
        <v>2567</v>
      </c>
      <c r="C106" s="554"/>
      <c r="D106" s="554"/>
      <c r="E106" s="583"/>
      <c r="F106" s="583"/>
      <c r="G106" s="583"/>
      <c r="H106" s="583"/>
      <c r="I106" s="583"/>
      <c r="J106" s="583"/>
      <c r="K106" s="584"/>
      <c r="L106" s="585"/>
      <c r="M106" s="586"/>
      <c r="N106" s="1151"/>
      <c r="O106" s="1151"/>
      <c r="P106" s="268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4"/>
      <c r="Q107" s="504"/>
    </row>
    <row r="108" spans="1:17" ht="15" thickTop="1">
      <c r="A108" s="599"/>
      <c r="B108" s="538" t="s">
        <v>2569</v>
      </c>
      <c r="C108" s="554"/>
      <c r="D108" s="554"/>
      <c r="E108" s="554"/>
      <c r="F108" s="583"/>
      <c r="G108" s="583"/>
      <c r="H108" s="583"/>
      <c r="I108" s="583"/>
      <c r="J108" s="583"/>
      <c r="K108" s="584"/>
      <c r="L108" s="585"/>
      <c r="M108" s="586"/>
      <c r="N108" s="1151"/>
      <c r="O108" s="1151"/>
      <c r="P108" s="268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4"/>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4"/>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5"/>
      <c r="Q114" s="559"/>
    </row>
    <row r="115" spans="1:17" ht="15" thickTop="1">
      <c r="A115" s="599"/>
      <c r="B115" s="538" t="s">
        <v>2570</v>
      </c>
      <c r="C115" s="554"/>
      <c r="D115" s="554"/>
      <c r="E115" s="583"/>
      <c r="F115" s="583"/>
      <c r="G115" s="583"/>
      <c r="H115" s="583"/>
      <c r="I115" s="583"/>
      <c r="J115" s="583"/>
      <c r="K115" s="584"/>
      <c r="L115" s="585"/>
      <c r="M115" s="586"/>
      <c r="N115" s="1151"/>
      <c r="O115" s="1151"/>
      <c r="P115" s="268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4"/>
      <c r="Q116" s="504"/>
    </row>
    <row r="117" spans="1:17" ht="15" thickTop="1">
      <c r="A117" s="599"/>
      <c r="B117" s="538" t="s">
        <v>2571</v>
      </c>
      <c r="C117" s="554"/>
      <c r="D117" s="554"/>
      <c r="E117" s="554"/>
      <c r="F117" s="554"/>
      <c r="G117" s="554"/>
      <c r="H117" s="583"/>
      <c r="I117" s="583"/>
      <c r="J117" s="583"/>
      <c r="K117" s="584"/>
      <c r="L117" s="585"/>
      <c r="M117" s="586"/>
      <c r="N117" s="1151"/>
      <c r="O117" s="1151"/>
      <c r="P117" s="268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4"/>
      <c r="Q118" s="504"/>
    </row>
    <row r="119" spans="1:17" ht="15" thickTop="1">
      <c r="A119" s="599"/>
      <c r="B119" s="636" t="s">
        <v>2654</v>
      </c>
      <c r="C119" s="583"/>
      <c r="D119" s="583"/>
      <c r="E119" s="583"/>
      <c r="F119" s="583"/>
      <c r="G119" s="583"/>
      <c r="H119" s="583"/>
      <c r="I119" s="583"/>
      <c r="J119" s="583"/>
      <c r="K119" s="583"/>
      <c r="L119" s="2689"/>
      <c r="M119" s="2690"/>
      <c r="N119" s="1152"/>
      <c r="O119" s="1152"/>
      <c r="P119" s="269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4"/>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5"/>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2573</v>
      </c>
      <c r="C123" s="554"/>
      <c r="D123" s="554"/>
      <c r="E123" s="554"/>
      <c r="F123" s="583"/>
      <c r="G123" s="583"/>
      <c r="H123" s="583"/>
      <c r="I123" s="583"/>
      <c r="J123" s="583"/>
      <c r="K123" s="584"/>
      <c r="L123" s="585"/>
      <c r="M123" s="586"/>
      <c r="N123" s="1151"/>
      <c r="O123" s="1151"/>
      <c r="P123" s="268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4"/>
      <c r="Q124" s="504"/>
    </row>
    <row r="125" spans="1:17" ht="29.4"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4"/>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5"/>
      <c r="Q128" s="559"/>
    </row>
    <row r="129" spans="1:17" ht="14.4" thickTop="1">
      <c r="A129" s="599"/>
      <c r="B129" s="538">
        <f>B46</f>
        <v>111</v>
      </c>
      <c r="C129" s="554"/>
      <c r="D129" s="554"/>
      <c r="E129" s="554"/>
      <c r="F129" s="554"/>
      <c r="G129" s="583"/>
      <c r="H129" s="583"/>
      <c r="I129" s="583"/>
      <c r="J129" s="583"/>
      <c r="K129" s="584"/>
      <c r="L129" s="585"/>
      <c r="M129" s="586"/>
      <c r="N129" s="1151"/>
      <c r="O129" s="1151"/>
      <c r="P129" s="2684"/>
      <c r="Q129" s="504"/>
    </row>
    <row r="130" spans="1:17" ht="14.4" thickBot="1">
      <c r="A130" s="534"/>
      <c r="B130" s="543"/>
      <c r="C130" s="560"/>
      <c r="D130" s="560"/>
      <c r="E130" s="560"/>
      <c r="F130" s="560"/>
      <c r="G130" s="536"/>
      <c r="H130" s="536"/>
      <c r="I130" s="536"/>
      <c r="J130" s="536"/>
      <c r="K130" s="536"/>
      <c r="L130" s="536"/>
      <c r="M130" s="537"/>
      <c r="N130" s="1152"/>
      <c r="O130" s="1152"/>
      <c r="P130" s="2684"/>
      <c r="Q130" s="504"/>
    </row>
    <row r="131" spans="1:17" ht="14.4" thickTop="1">
      <c r="A131" s="599"/>
      <c r="B131" s="546">
        <f>B47</f>
        <v>111</v>
      </c>
      <c r="C131" s="523"/>
      <c r="D131" s="523"/>
      <c r="E131" s="523"/>
      <c r="F131" s="523"/>
      <c r="G131" s="587"/>
      <c r="H131" s="587"/>
      <c r="I131" s="587"/>
      <c r="J131" s="587"/>
      <c r="K131" s="523"/>
      <c r="L131" s="524"/>
      <c r="M131" s="590"/>
      <c r="N131" s="1151"/>
      <c r="O131" s="1151"/>
      <c r="P131" s="2684"/>
      <c r="Q131" s="504"/>
    </row>
    <row r="132" spans="1:17" ht="14.4"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2482</v>
      </c>
      <c r="B1" s="2669" t="s">
        <v>2655</v>
      </c>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IF(C2="——",ROUND(C43*D3/10000,0),ROUND(C43*D3/10000,0)-D2)</f>
        <v>#DIV/0!</v>
      </c>
      <c r="C2" s="2586"/>
      <c r="D2" s="1123" t="e">
        <f ca="1">SUMIF(INDIRECT("'"&amp;F2&amp;"'"&amp;"!A:A"),"承租人权益价值",INDIRECT("'"&amp;F2&amp;"'"&amp;"!c:c"))</f>
        <v>#REF!</v>
      </c>
      <c r="E2" s="2587" t="s">
        <v>2285</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2286</v>
      </c>
      <c r="B3" s="609" t="e">
        <f ca="1">IF(C2="——",C43,ROUND(B2*10000/D3,0))</f>
        <v>#DIV/0!</v>
      </c>
      <c r="C3" s="400" t="s">
        <v>2597</v>
      </c>
      <c r="D3" s="399">
        <f>IF(D1="",'数据-汇总表'!E3,SUMIF('数据-汇总表'!$C19:$C33,D1,'数据-汇总表'!$E19:$E33))</f>
        <v>75681.680000000008</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04" t="s">
        <v>2601</v>
      </c>
      <c r="AC4" s="3703" t="s">
        <v>2602</v>
      </c>
    </row>
    <row r="5" spans="1:29">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04"/>
      <c r="AC5" s="3704"/>
    </row>
    <row r="6" spans="1:29" ht="15" thickBot="1">
      <c r="A6" s="406"/>
      <c r="B6" s="407"/>
      <c r="C6" s="3716" t="s">
        <v>2500</v>
      </c>
      <c r="D6" s="3717"/>
      <c r="E6" s="3719" t="s">
        <v>2500</v>
      </c>
      <c r="F6" s="3720"/>
      <c r="G6" s="3716" t="s">
        <v>2500</v>
      </c>
      <c r="H6" s="3717"/>
      <c r="I6" s="3716" t="s">
        <v>2500</v>
      </c>
      <c r="J6" s="3717"/>
      <c r="K6" s="610" t="s">
        <v>2501</v>
      </c>
      <c r="L6" s="1129"/>
      <c r="M6" s="1130"/>
      <c r="N6" s="1130"/>
      <c r="O6" s="1130"/>
      <c r="P6" s="3730"/>
      <c r="Q6" s="3731"/>
      <c r="R6" s="3710"/>
      <c r="S6" s="3711"/>
      <c r="T6" s="3732"/>
      <c r="U6" s="3733"/>
      <c r="V6" s="3734"/>
      <c r="W6" s="3734"/>
      <c r="X6" s="1812"/>
      <c r="Y6" s="3732"/>
      <c r="Z6" s="3733"/>
      <c r="AA6" s="3705"/>
      <c r="AB6" s="3705"/>
      <c r="AC6" s="3705"/>
    </row>
    <row r="7" spans="1:29" s="117" customFormat="1" ht="15" thickBot="1">
      <c r="A7" s="408" t="s">
        <v>2502</v>
      </c>
      <c r="B7" s="409"/>
      <c r="C7" s="410">
        <f>'数据-取费表'!B2</f>
        <v>43685</v>
      </c>
      <c r="D7" s="411">
        <v>100</v>
      </c>
      <c r="E7" s="412"/>
      <c r="F7" s="413">
        <f>SUMIF(52:52,YEAR(E7)&amp;"-"&amp;MONTH(E7),53:53)</f>
        <v>0</v>
      </c>
      <c r="G7" s="412"/>
      <c r="H7" s="411">
        <f>SUMIF(52:52,YEAR(G7)&amp;"-"&amp;MONTH(G7),53:53)</f>
        <v>0</v>
      </c>
      <c r="I7" s="412"/>
      <c r="J7" s="411">
        <f>SUMIF(52:52,YEAR(I7)&amp;"-"&amp;MONTH(I7),53:53)</f>
        <v>0</v>
      </c>
      <c r="K7" s="611"/>
      <c r="L7" s="1131"/>
      <c r="M7" s="1132"/>
      <c r="N7" s="1132"/>
      <c r="O7" s="1132"/>
      <c r="P7" s="3706" t="s">
        <v>2503</v>
      </c>
      <c r="Q7" s="3735"/>
      <c r="R7" s="770" t="s">
        <v>17</v>
      </c>
      <c r="S7" s="771">
        <f t="shared" ref="S7:S15" si="0">F7</f>
        <v>0</v>
      </c>
      <c r="T7" s="770" t="s">
        <v>17</v>
      </c>
      <c r="U7" s="771">
        <f t="shared" ref="U7:U15" si="1">H7</f>
        <v>0</v>
      </c>
      <c r="V7" s="770" t="s">
        <v>17</v>
      </c>
      <c r="W7" s="771">
        <f t="shared" ref="W7:W15" si="2">J7</f>
        <v>0</v>
      </c>
      <c r="X7" s="772"/>
      <c r="Y7" s="3706" t="s">
        <v>2503</v>
      </c>
      <c r="Z7" s="3707"/>
      <c r="AA7" s="773" t="e">
        <f>D7/F7</f>
        <v>#DIV/0!</v>
      </c>
      <c r="AB7" s="773" t="e">
        <f>D7/H7</f>
        <v>#DIV/0!</v>
      </c>
      <c r="AC7" s="773" t="e">
        <f>D7/J7</f>
        <v>#DIV/0!</v>
      </c>
    </row>
    <row r="8" spans="1:29" s="117" customFormat="1" ht="1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40" si="3">D8/F8</f>
        <v>#DIV/0!</v>
      </c>
      <c r="AB8" s="773" t="e">
        <f t="shared" ref="AB8:AB40" si="4">D8/H8</f>
        <v>#DIV/0!</v>
      </c>
      <c r="AC8" s="773" t="e">
        <f t="shared" ref="AC8:AC40" si="5">D8/J8</f>
        <v>#DIV/0!</v>
      </c>
    </row>
    <row r="9" spans="1:29" s="117" customFormat="1" ht="14.4">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739"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773">
        <f t="shared" si="5"/>
        <v>1</v>
      </c>
    </row>
    <row r="10" spans="1:29" s="427" customFormat="1" ht="28.8">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739"/>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739"/>
      <c r="Q11" s="1794" t="str">
        <f t="shared" si="6"/>
        <v>容积率</v>
      </c>
      <c r="R11" s="770" t="s">
        <v>17</v>
      </c>
      <c r="S11" s="771" t="e">
        <f t="shared" si="0"/>
        <v>#N/A</v>
      </c>
      <c r="T11" s="770" t="s">
        <v>17</v>
      </c>
      <c r="U11" s="771" t="e">
        <f t="shared" si="1"/>
        <v>#N/A</v>
      </c>
      <c r="V11" s="770" t="s">
        <v>17</v>
      </c>
      <c r="W11" s="771" t="e">
        <f t="shared" si="2"/>
        <v>#N/A</v>
      </c>
      <c r="X11" s="772"/>
      <c r="Y11" s="353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739"/>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739"/>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773">
        <f t="shared" si="5"/>
        <v>1</v>
      </c>
    </row>
    <row r="14" spans="1:29" ht="15.6"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739"/>
      <c r="Q14" s="1794">
        <f t="shared" si="6"/>
        <v>111</v>
      </c>
      <c r="R14" s="770" t="s">
        <v>17</v>
      </c>
      <c r="S14" s="771">
        <f t="shared" si="0"/>
        <v>100</v>
      </c>
      <c r="T14" s="770" t="s">
        <v>17</v>
      </c>
      <c r="U14" s="771">
        <f t="shared" si="1"/>
        <v>100</v>
      </c>
      <c r="V14" s="770" t="s">
        <v>17</v>
      </c>
      <c r="W14" s="771">
        <f t="shared" si="2"/>
        <v>100</v>
      </c>
      <c r="X14" s="772"/>
      <c r="Y14" s="3538"/>
      <c r="Z14" s="55">
        <f t="shared" si="7"/>
        <v>111</v>
      </c>
      <c r="AA14" s="773">
        <f t="shared" si="3"/>
        <v>1</v>
      </c>
      <c r="AB14" s="773">
        <f t="shared" si="4"/>
        <v>1</v>
      </c>
      <c r="AC14" s="773">
        <f t="shared" si="5"/>
        <v>1</v>
      </c>
    </row>
    <row r="15" spans="1:29" ht="15">
      <c r="A15" s="440" t="s">
        <v>2513</v>
      </c>
      <c r="B15" s="69" t="s">
        <v>2656</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741" t="s">
        <v>2514</v>
      </c>
      <c r="Q15" s="1809" t="str">
        <f t="shared" si="6"/>
        <v>产业集聚程度</v>
      </c>
      <c r="R15" s="774" t="s">
        <v>17</v>
      </c>
      <c r="S15" s="775">
        <f t="shared" si="0"/>
        <v>100</v>
      </c>
      <c r="T15" s="774" t="s">
        <v>17</v>
      </c>
      <c r="U15" s="775">
        <f t="shared" si="1"/>
        <v>100</v>
      </c>
      <c r="V15" s="774" t="s">
        <v>17</v>
      </c>
      <c r="W15" s="775">
        <f t="shared" si="2"/>
        <v>100</v>
      </c>
      <c r="X15" s="1812"/>
      <c r="Y15" s="3741"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742"/>
      <c r="Q16" s="1809"/>
      <c r="R16" s="774"/>
      <c r="S16" s="775"/>
      <c r="T16" s="774"/>
      <c r="U16" s="775"/>
      <c r="V16" s="774"/>
      <c r="W16" s="775"/>
      <c r="X16" s="1812"/>
      <c r="Y16" s="3742"/>
      <c r="Z16" s="1813"/>
      <c r="AA16" s="1810">
        <v>1</v>
      </c>
      <c r="AB16" s="1810">
        <v>1</v>
      </c>
      <c r="AC16" s="1810">
        <v>1</v>
      </c>
    </row>
    <row r="17" spans="1:29" ht="15">
      <c r="A17" s="428"/>
      <c r="B17" s="451" t="s">
        <v>2055</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742"/>
      <c r="Q17" s="1809" t="str">
        <f>B17</f>
        <v>交通便捷度</v>
      </c>
      <c r="R17" s="774" t="s">
        <v>17</v>
      </c>
      <c r="S17" s="775">
        <f>F17</f>
        <v>100</v>
      </c>
      <c r="T17" s="774" t="s">
        <v>17</v>
      </c>
      <c r="U17" s="775">
        <f>H17</f>
        <v>100</v>
      </c>
      <c r="V17" s="774" t="s">
        <v>17</v>
      </c>
      <c r="W17" s="775">
        <f>J17</f>
        <v>100</v>
      </c>
      <c r="X17" s="1812"/>
      <c r="Y17" s="3742"/>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742"/>
      <c r="Q18" s="1809"/>
      <c r="R18" s="774"/>
      <c r="S18" s="775"/>
      <c r="T18" s="774"/>
      <c r="U18" s="775"/>
      <c r="V18" s="774"/>
      <c r="W18" s="775"/>
      <c r="X18" s="1812"/>
      <c r="Y18" s="3742"/>
      <c r="Z18" s="1813"/>
      <c r="AA18" s="1810">
        <v>1</v>
      </c>
      <c r="AB18" s="1810">
        <v>1</v>
      </c>
      <c r="AC18" s="1810">
        <v>1</v>
      </c>
    </row>
    <row r="19" spans="1:29" ht="15">
      <c r="A19" s="428"/>
      <c r="B19" s="451" t="s">
        <v>2641</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742"/>
      <c r="Q19" s="1809" t="str">
        <f>B19</f>
        <v>公共配套设施</v>
      </c>
      <c r="R19" s="774" t="s">
        <v>17</v>
      </c>
      <c r="S19" s="775">
        <f>F19</f>
        <v>100</v>
      </c>
      <c r="T19" s="774" t="s">
        <v>17</v>
      </c>
      <c r="U19" s="775">
        <f>H19</f>
        <v>100</v>
      </c>
      <c r="V19" s="774" t="s">
        <v>17</v>
      </c>
      <c r="W19" s="775">
        <f>J19</f>
        <v>100</v>
      </c>
      <c r="X19" s="1812"/>
      <c r="Y19" s="3742"/>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742"/>
      <c r="Q20" s="1809"/>
      <c r="R20" s="774"/>
      <c r="S20" s="775"/>
      <c r="T20" s="774"/>
      <c r="U20" s="775"/>
      <c r="V20" s="774"/>
      <c r="W20" s="775"/>
      <c r="X20" s="1812"/>
      <c r="Y20" s="3742"/>
      <c r="Z20" s="1813"/>
      <c r="AA20" s="1810">
        <v>1</v>
      </c>
      <c r="AB20" s="1810">
        <v>1</v>
      </c>
      <c r="AC20" s="1810">
        <v>1</v>
      </c>
    </row>
    <row r="21" spans="1:29" ht="15">
      <c r="A21" s="428"/>
      <c r="B21" s="1383" t="s">
        <v>2642</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742"/>
      <c r="Q21" s="1809" t="str">
        <f>B21</f>
        <v>基础设施水平</v>
      </c>
      <c r="R21" s="774" t="s">
        <v>17</v>
      </c>
      <c r="S21" s="775">
        <f>F21</f>
        <v>100</v>
      </c>
      <c r="T21" s="774" t="s">
        <v>17</v>
      </c>
      <c r="U21" s="775">
        <f>H21</f>
        <v>100</v>
      </c>
      <c r="V21" s="774" t="s">
        <v>17</v>
      </c>
      <c r="W21" s="775">
        <f>J21</f>
        <v>100</v>
      </c>
      <c r="X21" s="1812"/>
      <c r="Y21" s="3742"/>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742"/>
      <c r="Q22" s="1809"/>
      <c r="R22" s="774"/>
      <c r="S22" s="775"/>
      <c r="T22" s="774"/>
      <c r="U22" s="775"/>
      <c r="V22" s="774"/>
      <c r="W22" s="775"/>
      <c r="X22" s="1812"/>
      <c r="Y22" s="3742"/>
      <c r="Z22" s="1813"/>
      <c r="AA22" s="1810">
        <v>1</v>
      </c>
      <c r="AB22" s="1810">
        <v>1</v>
      </c>
      <c r="AC22" s="1810">
        <v>1</v>
      </c>
    </row>
    <row r="23" spans="1:29" ht="15">
      <c r="A23" s="428"/>
      <c r="B23" s="451" t="s">
        <v>2643</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742"/>
      <c r="Q23" s="1809" t="str">
        <f>B23</f>
        <v>环境质量</v>
      </c>
      <c r="R23" s="774" t="s">
        <v>17</v>
      </c>
      <c r="S23" s="775">
        <f>F23</f>
        <v>100</v>
      </c>
      <c r="T23" s="774" t="s">
        <v>17</v>
      </c>
      <c r="U23" s="775">
        <f>H23</f>
        <v>100</v>
      </c>
      <c r="V23" s="774" t="s">
        <v>17</v>
      </c>
      <c r="W23" s="775">
        <f>J23</f>
        <v>100</v>
      </c>
      <c r="X23" s="1812"/>
      <c r="Y23" s="3742"/>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742"/>
      <c r="Q24" s="1809"/>
      <c r="R24" s="774"/>
      <c r="S24" s="775"/>
      <c r="T24" s="774"/>
      <c r="U24" s="775"/>
      <c r="V24" s="774"/>
      <c r="W24" s="775"/>
      <c r="X24" s="1812"/>
      <c r="Y24" s="3742"/>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742"/>
      <c r="Q25" s="1809">
        <f>B25</f>
        <v>111</v>
      </c>
      <c r="R25" s="774" t="s">
        <v>17</v>
      </c>
      <c r="S25" s="775">
        <f>F25</f>
        <v>100</v>
      </c>
      <c r="T25" s="774" t="s">
        <v>17</v>
      </c>
      <c r="U25" s="775">
        <f>H25</f>
        <v>100</v>
      </c>
      <c r="V25" s="774" t="s">
        <v>17</v>
      </c>
      <c r="W25" s="775">
        <f>J25</f>
        <v>100</v>
      </c>
      <c r="X25" s="1812"/>
      <c r="Y25" s="3742"/>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742"/>
      <c r="Q26" s="1809">
        <f t="shared" ref="Q26:Q40" si="11">B26</f>
        <v>111</v>
      </c>
      <c r="R26" s="774" t="s">
        <v>17</v>
      </c>
      <c r="S26" s="775">
        <f>F26</f>
        <v>100</v>
      </c>
      <c r="T26" s="774" t="s">
        <v>17</v>
      </c>
      <c r="U26" s="775">
        <f>H26</f>
        <v>100</v>
      </c>
      <c r="V26" s="774" t="s">
        <v>17</v>
      </c>
      <c r="W26" s="775">
        <f>J26</f>
        <v>100</v>
      </c>
      <c r="X26" s="1812"/>
      <c r="Y26" s="3742"/>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742"/>
      <c r="Q27" s="1794">
        <f t="shared" si="11"/>
        <v>111</v>
      </c>
      <c r="R27" s="770" t="s">
        <v>17</v>
      </c>
      <c r="S27" s="771">
        <f>F27</f>
        <v>100</v>
      </c>
      <c r="T27" s="770" t="s">
        <v>17</v>
      </c>
      <c r="U27" s="771">
        <f>H27</f>
        <v>100</v>
      </c>
      <c r="V27" s="770" t="s">
        <v>17</v>
      </c>
      <c r="W27" s="771">
        <f>J27</f>
        <v>100</v>
      </c>
      <c r="X27" s="772"/>
      <c r="Y27" s="3742"/>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742"/>
      <c r="Q28" s="1809">
        <f t="shared" si="11"/>
        <v>111</v>
      </c>
      <c r="R28" s="774" t="s">
        <v>17</v>
      </c>
      <c r="S28" s="775">
        <f t="shared" ref="S28:S40" si="12">F28</f>
        <v>100</v>
      </c>
      <c r="T28" s="774" t="s">
        <v>17</v>
      </c>
      <c r="U28" s="775">
        <f t="shared" ref="U28:U40" si="13">H28</f>
        <v>100</v>
      </c>
      <c r="V28" s="774" t="s">
        <v>17</v>
      </c>
      <c r="W28" s="775">
        <f t="shared" ref="W28:W40" si="14">J28</f>
        <v>100</v>
      </c>
      <c r="X28" s="1812"/>
      <c r="Y28" s="3742"/>
      <c r="Z28" s="1813">
        <f t="shared" ref="Z28:Z40" si="15">Q28</f>
        <v>111</v>
      </c>
      <c r="AA28" s="1810">
        <f t="shared" si="3"/>
        <v>1</v>
      </c>
      <c r="AB28" s="1810">
        <f t="shared" si="4"/>
        <v>1</v>
      </c>
      <c r="AC28" s="1810">
        <f t="shared" si="5"/>
        <v>1</v>
      </c>
    </row>
    <row r="29" spans="1:29" ht="30">
      <c r="A29" s="466" t="s">
        <v>2517</v>
      </c>
      <c r="B29" s="71" t="s">
        <v>2646</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793" t="s">
        <v>2519</v>
      </c>
      <c r="Q29" s="1809" t="str">
        <f t="shared" si="11"/>
        <v>建筑类型</v>
      </c>
      <c r="R29" s="774" t="s">
        <v>17</v>
      </c>
      <c r="S29" s="775">
        <f t="shared" si="12"/>
        <v>100</v>
      </c>
      <c r="T29" s="774" t="s">
        <v>17</v>
      </c>
      <c r="U29" s="775">
        <f t="shared" si="13"/>
        <v>100</v>
      </c>
      <c r="V29" s="774" t="s">
        <v>17</v>
      </c>
      <c r="W29" s="775">
        <f t="shared" si="14"/>
        <v>100</v>
      </c>
      <c r="X29" s="1812"/>
      <c r="Y29" s="3746"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746"/>
      <c r="Q30" s="776" t="str">
        <f t="shared" si="11"/>
        <v>项目建筑规模</v>
      </c>
      <c r="R30" s="777" t="s">
        <v>17</v>
      </c>
      <c r="S30" s="778" t="e">
        <f t="shared" si="12"/>
        <v>#N/A</v>
      </c>
      <c r="T30" s="777" t="s">
        <v>17</v>
      </c>
      <c r="U30" s="778" t="e">
        <f t="shared" si="13"/>
        <v>#N/A</v>
      </c>
      <c r="V30" s="777" t="s">
        <v>17</v>
      </c>
      <c r="W30" s="778" t="e">
        <f t="shared" si="14"/>
        <v>#N/A</v>
      </c>
      <c r="X30" s="779"/>
      <c r="Y30" s="3746"/>
      <c r="Z30" s="780"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746"/>
      <c r="Q31" s="1809" t="str">
        <f t="shared" si="11"/>
        <v>建筑结构</v>
      </c>
      <c r="R31" s="774" t="s">
        <v>17</v>
      </c>
      <c r="S31" s="775">
        <f t="shared" si="12"/>
        <v>100</v>
      </c>
      <c r="T31" s="774" t="s">
        <v>17</v>
      </c>
      <c r="U31" s="775">
        <f t="shared" si="13"/>
        <v>100</v>
      </c>
      <c r="V31" s="774" t="s">
        <v>17</v>
      </c>
      <c r="W31" s="775">
        <f t="shared" si="14"/>
        <v>100</v>
      </c>
      <c r="X31" s="1812"/>
      <c r="Y31" s="3746"/>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746"/>
      <c r="Q32" s="1809" t="str">
        <f t="shared" si="11"/>
        <v>公共部分装修</v>
      </c>
      <c r="R32" s="774" t="s">
        <v>17</v>
      </c>
      <c r="S32" s="775">
        <f t="shared" si="12"/>
        <v>100</v>
      </c>
      <c r="T32" s="774" t="s">
        <v>17</v>
      </c>
      <c r="U32" s="775">
        <f t="shared" si="13"/>
        <v>100</v>
      </c>
      <c r="V32" s="774" t="s">
        <v>17</v>
      </c>
      <c r="W32" s="775">
        <f t="shared" si="14"/>
        <v>100</v>
      </c>
      <c r="X32" s="1812"/>
      <c r="Y32" s="3746"/>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746"/>
      <c r="Q33" s="1809" t="str">
        <f t="shared" si="11"/>
        <v>成新度</v>
      </c>
      <c r="R33" s="774" t="s">
        <v>17</v>
      </c>
      <c r="S33" s="775" t="e">
        <f t="shared" si="12"/>
        <v>#N/A</v>
      </c>
      <c r="T33" s="774" t="s">
        <v>17</v>
      </c>
      <c r="U33" s="775" t="e">
        <f t="shared" si="13"/>
        <v>#N/A</v>
      </c>
      <c r="V33" s="774" t="s">
        <v>17</v>
      </c>
      <c r="W33" s="775" t="e">
        <f t="shared" si="14"/>
        <v>#N/A</v>
      </c>
      <c r="X33" s="1812"/>
      <c r="Y33" s="3746"/>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746"/>
      <c r="Q34" s="1794" t="str">
        <f t="shared" si="11"/>
        <v>物业管理</v>
      </c>
      <c r="R34" s="770" t="s">
        <v>17</v>
      </c>
      <c r="S34" s="771">
        <f t="shared" si="12"/>
        <v>100</v>
      </c>
      <c r="T34" s="770" t="s">
        <v>17</v>
      </c>
      <c r="U34" s="771">
        <f t="shared" si="13"/>
        <v>100</v>
      </c>
      <c r="V34" s="770" t="s">
        <v>17</v>
      </c>
      <c r="W34" s="771">
        <f t="shared" si="14"/>
        <v>100</v>
      </c>
      <c r="X34" s="772"/>
      <c r="Y34" s="3746"/>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746" t="s">
        <v>2519</v>
      </c>
      <c r="Q35" s="1809" t="str">
        <f t="shared" si="11"/>
        <v>市政基础设施</v>
      </c>
      <c r="R35" s="774" t="s">
        <v>17</v>
      </c>
      <c r="S35" s="775">
        <f t="shared" si="12"/>
        <v>100</v>
      </c>
      <c r="T35" s="774" t="s">
        <v>17</v>
      </c>
      <c r="U35" s="775">
        <f t="shared" si="13"/>
        <v>100</v>
      </c>
      <c r="V35" s="774" t="s">
        <v>17</v>
      </c>
      <c r="W35" s="775">
        <f t="shared" si="14"/>
        <v>100</v>
      </c>
      <c r="X35" s="1812"/>
      <c r="Y35" s="3746"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746"/>
      <c r="Q36" s="1809" t="str">
        <f t="shared" si="11"/>
        <v>内部装修</v>
      </c>
      <c r="R36" s="774" t="s">
        <v>17</v>
      </c>
      <c r="S36" s="775">
        <f t="shared" si="12"/>
        <v>100</v>
      </c>
      <c r="T36" s="774" t="s">
        <v>17</v>
      </c>
      <c r="U36" s="775">
        <f t="shared" si="13"/>
        <v>100</v>
      </c>
      <c r="V36" s="774" t="s">
        <v>17</v>
      </c>
      <c r="W36" s="775">
        <f t="shared" si="14"/>
        <v>100</v>
      </c>
      <c r="X36" s="1812"/>
      <c r="Y36" s="3746"/>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746"/>
      <c r="Q37" s="1809" t="str">
        <f t="shared" si="11"/>
        <v>内部装修状况</v>
      </c>
      <c r="R37" s="774" t="s">
        <v>17</v>
      </c>
      <c r="S37" s="775">
        <f t="shared" si="12"/>
        <v>100</v>
      </c>
      <c r="T37" s="774" t="s">
        <v>17</v>
      </c>
      <c r="U37" s="775">
        <f t="shared" si="13"/>
        <v>100</v>
      </c>
      <c r="V37" s="774" t="s">
        <v>17</v>
      </c>
      <c r="W37" s="775">
        <f t="shared" si="14"/>
        <v>100</v>
      </c>
      <c r="X37" s="1812"/>
      <c r="Y37" s="3746"/>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746"/>
      <c r="Q38" s="776">
        <f t="shared" si="11"/>
        <v>111</v>
      </c>
      <c r="R38" s="777" t="s">
        <v>17</v>
      </c>
      <c r="S38" s="778">
        <f t="shared" si="12"/>
        <v>100</v>
      </c>
      <c r="T38" s="777" t="s">
        <v>17</v>
      </c>
      <c r="U38" s="778">
        <f t="shared" si="13"/>
        <v>100</v>
      </c>
      <c r="V38" s="777" t="s">
        <v>17</v>
      </c>
      <c r="W38" s="778">
        <f t="shared" si="14"/>
        <v>100</v>
      </c>
      <c r="X38" s="779"/>
      <c r="Y38" s="3746"/>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746"/>
      <c r="Q39" s="1809">
        <f t="shared" si="11"/>
        <v>111</v>
      </c>
      <c r="R39" s="774" t="s">
        <v>17</v>
      </c>
      <c r="S39" s="775">
        <f t="shared" si="12"/>
        <v>100</v>
      </c>
      <c r="T39" s="774" t="s">
        <v>17</v>
      </c>
      <c r="U39" s="775">
        <f t="shared" si="13"/>
        <v>100</v>
      </c>
      <c r="V39" s="774" t="s">
        <v>17</v>
      </c>
      <c r="W39" s="775">
        <f t="shared" si="14"/>
        <v>100</v>
      </c>
      <c r="X39" s="1812"/>
      <c r="Y39" s="3746"/>
      <c r="Z39" s="1813">
        <f t="shared" si="15"/>
        <v>111</v>
      </c>
      <c r="AA39" s="1810">
        <f t="shared" si="3"/>
        <v>1</v>
      </c>
      <c r="AB39" s="1810">
        <f t="shared" si="4"/>
        <v>1</v>
      </c>
      <c r="AC39" s="1810">
        <f t="shared" si="5"/>
        <v>1</v>
      </c>
    </row>
    <row r="40" spans="1:29" ht="15.6"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747"/>
      <c r="Q40" s="1809">
        <f t="shared" si="11"/>
        <v>111</v>
      </c>
      <c r="R40" s="774" t="s">
        <v>17</v>
      </c>
      <c r="S40" s="775">
        <f t="shared" si="12"/>
        <v>100</v>
      </c>
      <c r="T40" s="774" t="s">
        <v>17</v>
      </c>
      <c r="U40" s="775">
        <f t="shared" si="13"/>
        <v>100</v>
      </c>
      <c r="V40" s="774" t="s">
        <v>17</v>
      </c>
      <c r="W40" s="775">
        <f t="shared" si="14"/>
        <v>100</v>
      </c>
      <c r="X40" s="1812"/>
      <c r="Y40" s="3747"/>
      <c r="Z40" s="1813">
        <f t="shared" si="15"/>
        <v>111</v>
      </c>
      <c r="AA40" s="1810">
        <f t="shared" si="3"/>
        <v>1</v>
      </c>
      <c r="AB40" s="1810">
        <f t="shared" si="4"/>
        <v>1</v>
      </c>
      <c r="AC40" s="1810">
        <f t="shared" si="5"/>
        <v>1</v>
      </c>
    </row>
    <row r="41" spans="1:29" ht="14.4">
      <c r="A41" s="479" t="s">
        <v>2531</v>
      </c>
      <c r="B41" s="480"/>
      <c r="C41" s="1406" t="s">
        <v>1</v>
      </c>
      <c r="D41" s="1407"/>
      <c r="E41" s="1408"/>
      <c r="F41" s="1409"/>
      <c r="G41" s="1410"/>
      <c r="H41" s="1411"/>
      <c r="I41" s="1408"/>
      <c r="J41" s="1411"/>
      <c r="K41" s="783"/>
      <c r="L41" s="1142"/>
      <c r="M41" s="1143"/>
      <c r="N41" s="1130"/>
      <c r="O41" s="1143"/>
      <c r="P41" s="3739" t="str">
        <f>A41</f>
        <v>成交单价（元/平方米）</v>
      </c>
      <c r="Q41" s="3739"/>
      <c r="R41" s="3740">
        <f>E41</f>
        <v>0</v>
      </c>
      <c r="S41" s="3740"/>
      <c r="T41" s="3740">
        <f>G41</f>
        <v>0</v>
      </c>
      <c r="U41" s="3740"/>
      <c r="V41" s="3740">
        <f>I41</f>
        <v>0</v>
      </c>
      <c r="W41" s="3740"/>
      <c r="X41" s="759"/>
      <c r="Y41" s="781"/>
      <c r="Z41" s="759"/>
      <c r="AA41" s="759"/>
      <c r="AB41" s="759"/>
      <c r="AC41" s="759"/>
    </row>
    <row r="42" spans="1:29" ht="15" thickBot="1">
      <c r="A42" s="486" t="s">
        <v>2622</v>
      </c>
      <c r="B42" s="487"/>
      <c r="C42" s="1412" t="e">
        <f>R43</f>
        <v>#DIV/0!</v>
      </c>
      <c r="D42" s="1413"/>
      <c r="E42" s="1414" t="e">
        <f>R42</f>
        <v>#DIV/0!</v>
      </c>
      <c r="F42" s="1414"/>
      <c r="G42" s="1412" t="e">
        <f>T42</f>
        <v>#DIV/0!</v>
      </c>
      <c r="H42" s="1413"/>
      <c r="I42" s="1414" t="e">
        <f>V42</f>
        <v>#DIV/0!</v>
      </c>
      <c r="J42" s="1413"/>
      <c r="K42" s="784"/>
      <c r="L42" s="1142"/>
      <c r="M42" s="1143"/>
      <c r="N42" s="1130"/>
      <c r="O42" s="1143"/>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759"/>
      <c r="Y42" s="759"/>
      <c r="Z42" s="759"/>
      <c r="AA42" s="759"/>
      <c r="AB42" s="759"/>
      <c r="AC42" s="759"/>
    </row>
    <row r="43" spans="1:29" ht="15" thickBot="1">
      <c r="A43" s="492" t="s">
        <v>2623</v>
      </c>
      <c r="B43" s="493"/>
      <c r="C43" s="1416" t="e">
        <f>R43</f>
        <v>#DIV/0!</v>
      </c>
      <c r="D43" s="1416"/>
      <c r="E43" s="1416"/>
      <c r="F43" s="1416"/>
      <c r="G43" s="1416"/>
      <c r="H43" s="1416"/>
      <c r="I43" s="1416"/>
      <c r="J43" s="1416"/>
      <c r="K43" s="785"/>
      <c r="L43" s="1142"/>
      <c r="M43" s="1143"/>
      <c r="N43" s="1143"/>
      <c r="O43" s="1143"/>
      <c r="P43" s="3736" t="str">
        <f>A43</f>
        <v>估价对象XX用房的比较价值（楼面单价，元/平方米）</v>
      </c>
      <c r="Q43" s="3737"/>
      <c r="R43" s="3738" t="e">
        <f>IF(F1="售价",ROUND(AVERAGE(R42:V42),0),ROUND(AVERAGE(R42:V42),1))</f>
        <v>#DIV/0!</v>
      </c>
      <c r="S43" s="3738"/>
      <c r="T43" s="3738"/>
      <c r="U43" s="3738"/>
      <c r="V43" s="3738"/>
      <c r="W43" s="3738"/>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2627</v>
      </c>
      <c r="B51" s="759"/>
      <c r="C51" s="764"/>
      <c r="D51" s="764"/>
      <c r="E51" s="764"/>
      <c r="F51" s="765"/>
      <c r="G51" s="765"/>
      <c r="H51" s="764"/>
      <c r="I51" s="764"/>
      <c r="J51" s="764"/>
      <c r="K51" s="1159"/>
      <c r="L51" s="1160"/>
      <c r="M51" s="1158"/>
      <c r="N51" s="1158"/>
      <c r="O51" s="1158"/>
      <c r="P51" s="503"/>
      <c r="Q51" s="504"/>
    </row>
    <row r="52" spans="1:17" s="508" customFormat="1" ht="14.4">
      <c r="A52" s="505" t="s">
        <v>2502</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2538</v>
      </c>
      <c r="B54" s="516"/>
      <c r="C54" s="517"/>
      <c r="D54" s="518"/>
      <c r="E54" s="518"/>
      <c r="F54" s="518"/>
      <c r="G54" s="518"/>
      <c r="H54" s="518"/>
      <c r="I54" s="518"/>
      <c r="J54" s="518"/>
      <c r="K54" s="518"/>
      <c r="L54" s="518"/>
      <c r="M54" s="519"/>
      <c r="N54" s="518"/>
      <c r="O54" s="520"/>
      <c r="P54" s="504"/>
      <c r="Q54" s="504"/>
    </row>
    <row r="55" spans="1:17" s="117" customFormat="1" ht="14.4">
      <c r="A55" s="521" t="s">
        <v>2504</v>
      </c>
      <c r="B55" s="510"/>
      <c r="C55" s="522" t="s">
        <v>2605</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2541</v>
      </c>
      <c r="B57" s="528" t="s">
        <v>2508</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2642</v>
      </c>
      <c r="C76" s="660" t="s">
        <v>2628</v>
      </c>
      <c r="D76" s="660" t="s">
        <v>2629</v>
      </c>
      <c r="E76" s="660" t="s">
        <v>2630</v>
      </c>
      <c r="F76" s="660" t="s">
        <v>2631</v>
      </c>
      <c r="G76" s="660" t="s">
        <v>2632</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6"/>
      <c r="B87" s="569"/>
      <c r="C87" s="570"/>
      <c r="D87" s="570"/>
      <c r="E87" s="570"/>
      <c r="F87" s="570"/>
      <c r="G87" s="591"/>
      <c r="H87" s="591"/>
      <c r="I87" s="591"/>
      <c r="J87" s="591"/>
      <c r="K87" s="591"/>
      <c r="L87" s="591"/>
      <c r="M87" s="592"/>
      <c r="N87" s="1152"/>
      <c r="O87" s="1152"/>
      <c r="P87" s="45"/>
      <c r="Q87" s="504"/>
    </row>
    <row r="88" spans="1:17" ht="14.4">
      <c r="A88" s="527" t="s">
        <v>2517</v>
      </c>
      <c r="B88" s="528" t="s">
        <v>2565</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2659</v>
      </c>
      <c r="C106" s="578" t="s">
        <v>2550</v>
      </c>
      <c r="D106" s="578" t="s">
        <v>2551</v>
      </c>
      <c r="E106" s="578" t="s">
        <v>2552</v>
      </c>
      <c r="F106" s="578" t="s">
        <v>2553</v>
      </c>
      <c r="G106" s="578" t="s">
        <v>2554</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2660</v>
      </c>
      <c r="B1" s="1618"/>
      <c r="C1" s="1619" t="s">
        <v>2484</v>
      </c>
      <c r="D1" s="1620"/>
      <c r="E1" s="1621"/>
      <c r="F1" s="2584"/>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2284</v>
      </c>
      <c r="B2" s="1417" t="e">
        <f ca="1">IF(C2="——",IF(B37="元/平方米",ROUND(C39*D3/10000,0),ROUND(F3*C39/10000,0)),IF(B37="元/平方米",ROUND(C39*D3/10000,0),ROUND(F3*C39/10000,0))-D2)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2286</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04" t="s">
        <v>2601</v>
      </c>
      <c r="AC4" s="3703" t="s">
        <v>2602</v>
      </c>
    </row>
    <row r="5" spans="1:29">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04"/>
      <c r="AC5" s="3704"/>
    </row>
    <row r="6" spans="1:29" ht="15" thickBot="1">
      <c r="A6" s="406"/>
      <c r="B6" s="407"/>
      <c r="C6" s="3716" t="s">
        <v>2500</v>
      </c>
      <c r="D6" s="3717"/>
      <c r="E6" s="3719" t="s">
        <v>2500</v>
      </c>
      <c r="F6" s="3720"/>
      <c r="G6" s="3716" t="s">
        <v>2500</v>
      </c>
      <c r="H6" s="3717"/>
      <c r="I6" s="3716" t="s">
        <v>2500</v>
      </c>
      <c r="J6" s="3717"/>
      <c r="K6" s="610" t="s">
        <v>2501</v>
      </c>
      <c r="L6" s="1129"/>
      <c r="M6" s="1130"/>
      <c r="N6" s="1130"/>
      <c r="O6" s="1130"/>
      <c r="P6" s="3730"/>
      <c r="Q6" s="3731"/>
      <c r="R6" s="3710"/>
      <c r="S6" s="3711"/>
      <c r="T6" s="3732"/>
      <c r="U6" s="3733"/>
      <c r="V6" s="3734"/>
      <c r="W6" s="3734"/>
      <c r="X6" s="1812"/>
      <c r="Y6" s="3732"/>
      <c r="Z6" s="3733"/>
      <c r="AA6" s="3705"/>
      <c r="AB6" s="3705"/>
      <c r="AC6" s="3705"/>
    </row>
    <row r="7" spans="1:29" s="117" customFormat="1" ht="15" thickBot="1">
      <c r="A7" s="408" t="s">
        <v>2502</v>
      </c>
      <c r="B7" s="409"/>
      <c r="C7" s="410">
        <f>'数据-取费表'!B2</f>
        <v>43685</v>
      </c>
      <c r="D7" s="411">
        <v>100</v>
      </c>
      <c r="E7" s="412"/>
      <c r="F7" s="413">
        <f>SUMIF(48:48,YEAR(E7)&amp;"-"&amp;MONTH(E7),49:49)</f>
        <v>0</v>
      </c>
      <c r="G7" s="412"/>
      <c r="H7" s="411">
        <f>SUMIF(48:48,YEAR(G7)&amp;"-"&amp;MONTH(G7),49:49)</f>
        <v>0</v>
      </c>
      <c r="I7" s="412"/>
      <c r="J7" s="411">
        <f>SUMIF(48:48,YEAR(I7)&amp;"-"&amp;MONTH(I7),49:49)</f>
        <v>0</v>
      </c>
      <c r="K7" s="611"/>
      <c r="L7" s="1131"/>
      <c r="M7" s="1132"/>
      <c r="N7" s="1132"/>
      <c r="O7" s="1132"/>
      <c r="P7" s="3706" t="s">
        <v>2503</v>
      </c>
      <c r="Q7" s="3735"/>
      <c r="R7" s="770" t="s">
        <v>17</v>
      </c>
      <c r="S7" s="771">
        <f t="shared" ref="S7:S14" si="0">F7</f>
        <v>0</v>
      </c>
      <c r="T7" s="770" t="s">
        <v>17</v>
      </c>
      <c r="U7" s="771">
        <f t="shared" ref="U7:U14" si="1">H7</f>
        <v>0</v>
      </c>
      <c r="V7" s="770" t="s">
        <v>17</v>
      </c>
      <c r="W7" s="771">
        <f t="shared" ref="W7:W14" si="2">J7</f>
        <v>0</v>
      </c>
      <c r="X7" s="772"/>
      <c r="Y7" s="3706" t="s">
        <v>2503</v>
      </c>
      <c r="Z7" s="3707"/>
      <c r="AA7" s="773" t="e">
        <f>D7/F7</f>
        <v>#DIV/0!</v>
      </c>
      <c r="AB7" s="773" t="e">
        <f>D7/H7</f>
        <v>#DIV/0!</v>
      </c>
      <c r="AC7" s="773" t="e">
        <f>D7/J7</f>
        <v>#DIV/0!</v>
      </c>
    </row>
    <row r="8" spans="1:29" s="117" customFormat="1" ht="1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36" si="3">D8/F8</f>
        <v>#DIV/0!</v>
      </c>
      <c r="AB8" s="773" t="e">
        <f t="shared" ref="AB8:AB36" si="4">D8/H8</f>
        <v>#DIV/0!</v>
      </c>
      <c r="AC8" s="773" t="e">
        <f t="shared" ref="AC8:AC36" si="5">D8/J8</f>
        <v>#DIV/0!</v>
      </c>
    </row>
    <row r="9" spans="1:29" s="117" customFormat="1" ht="14.4">
      <c r="A9" s="68" t="s">
        <v>2507</v>
      </c>
      <c r="B9" s="640"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739" t="s">
        <v>2509</v>
      </c>
      <c r="Q9" s="1794" t="str">
        <f t="shared" ref="Q9:Q14" si="6">B9</f>
        <v>用途</v>
      </c>
      <c r="R9" s="770" t="s">
        <v>17</v>
      </c>
      <c r="S9" s="771">
        <f t="shared" si="0"/>
        <v>100</v>
      </c>
      <c r="T9" s="770" t="s">
        <v>17</v>
      </c>
      <c r="U9" s="771">
        <f t="shared" si="1"/>
        <v>100</v>
      </c>
      <c r="V9" s="770" t="s">
        <v>17</v>
      </c>
      <c r="W9" s="771">
        <f t="shared" si="2"/>
        <v>100</v>
      </c>
      <c r="X9" s="772"/>
      <c r="Y9" s="3538" t="s">
        <v>2510</v>
      </c>
      <c r="Z9" s="55" t="str">
        <f t="shared" ref="Z9:Z14" si="7">Q9</f>
        <v>用途</v>
      </c>
      <c r="AA9" s="773">
        <f t="shared" si="3"/>
        <v>1</v>
      </c>
      <c r="AB9" s="773">
        <f t="shared" si="4"/>
        <v>1</v>
      </c>
      <c r="AC9" s="773">
        <f t="shared" si="5"/>
        <v>1</v>
      </c>
    </row>
    <row r="10" spans="1:29" s="427" customFormat="1" ht="28.8">
      <c r="A10" s="641"/>
      <c r="B10" s="642"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739"/>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739"/>
      <c r="Q11" s="1794">
        <f t="shared" si="6"/>
        <v>111</v>
      </c>
      <c r="R11" s="770" t="s">
        <v>17</v>
      </c>
      <c r="S11" s="771">
        <f t="shared" si="0"/>
        <v>100</v>
      </c>
      <c r="T11" s="770" t="s">
        <v>17</v>
      </c>
      <c r="U11" s="771">
        <f t="shared" si="1"/>
        <v>100</v>
      </c>
      <c r="V11" s="770" t="s">
        <v>17</v>
      </c>
      <c r="W11" s="771">
        <f t="shared" si="2"/>
        <v>100</v>
      </c>
      <c r="X11" s="772"/>
      <c r="Y11" s="35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739"/>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739"/>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773">
        <f t="shared" si="5"/>
        <v>1</v>
      </c>
    </row>
    <row r="14" spans="1:29" ht="110.4">
      <c r="A14" s="401" t="s">
        <v>2513</v>
      </c>
      <c r="B14" s="629" t="s">
        <v>2662</v>
      </c>
      <c r="C14" s="2693"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741" t="s">
        <v>2514</v>
      </c>
      <c r="Q14" s="1809" t="str">
        <f t="shared" si="6"/>
        <v>交通便捷度</v>
      </c>
      <c r="R14" s="774" t="s">
        <v>17</v>
      </c>
      <c r="S14" s="775">
        <f t="shared" si="0"/>
        <v>100</v>
      </c>
      <c r="T14" s="774" t="s">
        <v>17</v>
      </c>
      <c r="U14" s="775">
        <f t="shared" si="1"/>
        <v>100</v>
      </c>
      <c r="V14" s="774" t="s">
        <v>17</v>
      </c>
      <c r="W14" s="775">
        <f t="shared" si="2"/>
        <v>100</v>
      </c>
      <c r="X14" s="1812"/>
      <c r="Y14" s="3741" t="s">
        <v>2514</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742"/>
      <c r="Q15" s="1809"/>
      <c r="R15" s="774"/>
      <c r="S15" s="775"/>
      <c r="T15" s="774"/>
      <c r="U15" s="775"/>
      <c r="V15" s="774"/>
      <c r="W15" s="775"/>
      <c r="X15" s="1812"/>
      <c r="Y15" s="3742"/>
      <c r="Z15" s="1813"/>
      <c r="AA15" s="1810">
        <v>1</v>
      </c>
      <c r="AB15" s="1810">
        <v>1</v>
      </c>
      <c r="AC15" s="1810">
        <v>1</v>
      </c>
    </row>
    <row r="16" spans="1:29" ht="55.2">
      <c r="A16" s="404"/>
      <c r="B16" s="631" t="s">
        <v>2641</v>
      </c>
      <c r="C16" s="2607"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742"/>
      <c r="Q16" s="1809" t="str">
        <f>B16</f>
        <v>公共配套设施</v>
      </c>
      <c r="R16" s="774" t="s">
        <v>17</v>
      </c>
      <c r="S16" s="775">
        <f>F16</f>
        <v>100</v>
      </c>
      <c r="T16" s="774" t="s">
        <v>17</v>
      </c>
      <c r="U16" s="775">
        <f>H16</f>
        <v>100</v>
      </c>
      <c r="V16" s="774" t="s">
        <v>17</v>
      </c>
      <c r="W16" s="775">
        <f>J16</f>
        <v>100</v>
      </c>
      <c r="X16" s="1812"/>
      <c r="Y16" s="3742"/>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39"/>
      <c r="M17" s="1130"/>
      <c r="N17" s="1130"/>
      <c r="O17" s="1130"/>
      <c r="P17" s="3742"/>
      <c r="Q17" s="1809"/>
      <c r="R17" s="774"/>
      <c r="S17" s="775"/>
      <c r="T17" s="774"/>
      <c r="U17" s="775"/>
      <c r="V17" s="774"/>
      <c r="W17" s="775"/>
      <c r="X17" s="1812"/>
      <c r="Y17" s="3742"/>
      <c r="Z17" s="1813"/>
      <c r="AA17" s="1810">
        <v>1</v>
      </c>
      <c r="AB17" s="1810">
        <v>1</v>
      </c>
      <c r="AC17" s="1810">
        <v>1</v>
      </c>
    </row>
    <row r="18" spans="1:29" ht="41.4">
      <c r="A18" s="404"/>
      <c r="B18" s="633" t="s">
        <v>2642</v>
      </c>
      <c r="C18" s="2607"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742"/>
      <c r="Q18" s="1809" t="str">
        <f>B18</f>
        <v>基础设施水平</v>
      </c>
      <c r="R18" s="774" t="s">
        <v>17</v>
      </c>
      <c r="S18" s="775">
        <f>F18</f>
        <v>100</v>
      </c>
      <c r="T18" s="774" t="s">
        <v>17</v>
      </c>
      <c r="U18" s="775">
        <f>H18</f>
        <v>100</v>
      </c>
      <c r="V18" s="774" t="s">
        <v>17</v>
      </c>
      <c r="W18" s="775">
        <f>J18</f>
        <v>100</v>
      </c>
      <c r="X18" s="1812"/>
      <c r="Y18" s="3742"/>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39"/>
      <c r="M19" s="1130"/>
      <c r="N19" s="1130"/>
      <c r="O19" s="1130"/>
      <c r="P19" s="3742"/>
      <c r="Q19" s="1809"/>
      <c r="R19" s="774"/>
      <c r="S19" s="775"/>
      <c r="T19" s="774"/>
      <c r="U19" s="775"/>
      <c r="V19" s="774"/>
      <c r="W19" s="775"/>
      <c r="X19" s="1812"/>
      <c r="Y19" s="3742"/>
      <c r="Z19" s="1813"/>
      <c r="AA19" s="1810">
        <v>1</v>
      </c>
      <c r="AB19" s="1810">
        <v>1</v>
      </c>
      <c r="AC19" s="1810">
        <v>1</v>
      </c>
    </row>
    <row r="20" spans="1:29" ht="69">
      <c r="A20" s="404"/>
      <c r="B20" s="631" t="s">
        <v>2663</v>
      </c>
      <c r="C20" s="2607"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742"/>
      <c r="Q20" s="1809" t="str">
        <f>B20</f>
        <v>自然及人文环境</v>
      </c>
      <c r="R20" s="774" t="s">
        <v>17</v>
      </c>
      <c r="S20" s="775">
        <f>F20</f>
        <v>100</v>
      </c>
      <c r="T20" s="774" t="s">
        <v>17</v>
      </c>
      <c r="U20" s="775">
        <f>H20</f>
        <v>100</v>
      </c>
      <c r="V20" s="774" t="s">
        <v>17</v>
      </c>
      <c r="W20" s="775">
        <f>J20</f>
        <v>100</v>
      </c>
      <c r="X20" s="1812"/>
      <c r="Y20" s="3742"/>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742"/>
      <c r="Q21" s="1809"/>
      <c r="R21" s="774"/>
      <c r="S21" s="775"/>
      <c r="T21" s="774"/>
      <c r="U21" s="775"/>
      <c r="V21" s="774"/>
      <c r="W21" s="775"/>
      <c r="X21" s="1812"/>
      <c r="Y21" s="3742"/>
      <c r="Z21" s="1813"/>
      <c r="AA21" s="1810">
        <v>1</v>
      </c>
      <c r="AB21" s="1810">
        <v>1</v>
      </c>
      <c r="AC21" s="1810">
        <v>1</v>
      </c>
    </row>
    <row r="22" spans="1:29" ht="15">
      <c r="A22" s="404"/>
      <c r="B22" s="631"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742"/>
      <c r="Q22" s="1809" t="str">
        <f>B22</f>
        <v>楼层</v>
      </c>
      <c r="R22" s="774" t="s">
        <v>17</v>
      </c>
      <c r="S22" s="775">
        <f>F22</f>
        <v>100</v>
      </c>
      <c r="T22" s="774" t="s">
        <v>17</v>
      </c>
      <c r="U22" s="775">
        <f>H22</f>
        <v>100</v>
      </c>
      <c r="V22" s="774" t="s">
        <v>17</v>
      </c>
      <c r="W22" s="775">
        <f>J22</f>
        <v>100</v>
      </c>
      <c r="X22" s="1812"/>
      <c r="Y22" s="3742"/>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742"/>
      <c r="Q23" s="1809">
        <f>B23</f>
        <v>111</v>
      </c>
      <c r="R23" s="774" t="s">
        <v>17</v>
      </c>
      <c r="S23" s="775">
        <f>F23</f>
        <v>100</v>
      </c>
      <c r="T23" s="774" t="s">
        <v>17</v>
      </c>
      <c r="U23" s="775">
        <f>H23</f>
        <v>100</v>
      </c>
      <c r="V23" s="774" t="s">
        <v>17</v>
      </c>
      <c r="W23" s="775">
        <f>J23</f>
        <v>100</v>
      </c>
      <c r="X23" s="1812"/>
      <c r="Y23" s="3742"/>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742"/>
      <c r="Q24" s="1809">
        <f t="shared" ref="Q24:Q36" si="11">B24</f>
        <v>111</v>
      </c>
      <c r="R24" s="774" t="s">
        <v>17</v>
      </c>
      <c r="S24" s="775">
        <f>F24</f>
        <v>100</v>
      </c>
      <c r="T24" s="774" t="s">
        <v>17</v>
      </c>
      <c r="U24" s="775">
        <f>H24</f>
        <v>100</v>
      </c>
      <c r="V24" s="774" t="s">
        <v>17</v>
      </c>
      <c r="W24" s="775">
        <f>J24</f>
        <v>100</v>
      </c>
      <c r="X24" s="1812"/>
      <c r="Y24" s="3742"/>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742"/>
      <c r="Q25" s="1794">
        <f t="shared" si="11"/>
        <v>111</v>
      </c>
      <c r="R25" s="770" t="s">
        <v>17</v>
      </c>
      <c r="S25" s="771">
        <f>F25</f>
        <v>100</v>
      </c>
      <c r="T25" s="770" t="s">
        <v>17</v>
      </c>
      <c r="U25" s="771">
        <f>H25</f>
        <v>100</v>
      </c>
      <c r="V25" s="770" t="s">
        <v>17</v>
      </c>
      <c r="W25" s="771">
        <f>J25</f>
        <v>100</v>
      </c>
      <c r="X25" s="772"/>
      <c r="Y25" s="3742"/>
      <c r="Z25" s="55">
        <f>Q25</f>
        <v>111</v>
      </c>
      <c r="AA25" s="1810">
        <f>D25/F25</f>
        <v>1</v>
      </c>
      <c r="AB25" s="1810">
        <f>D25/H25</f>
        <v>1</v>
      </c>
      <c r="AC25" s="1810">
        <f>D25/J25</f>
        <v>1</v>
      </c>
    </row>
    <row r="26" spans="1:29" ht="30">
      <c r="A26" s="652" t="s">
        <v>2517</v>
      </c>
      <c r="B26" s="70" t="s">
        <v>2665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793" t="s">
        <v>2519</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746" t="s">
        <v>2519</v>
      </c>
      <c r="Z26" s="1813" t="str">
        <f t="shared" ref="Z26:Z36" si="15">Q26</f>
        <v>配套类型</v>
      </c>
      <c r="AA26" s="1810">
        <f t="shared" si="3"/>
        <v>1</v>
      </c>
      <c r="AB26" s="1810">
        <f t="shared" si="4"/>
        <v>1</v>
      </c>
      <c r="AC26" s="1810">
        <f t="shared" si="5"/>
        <v>1</v>
      </c>
    </row>
    <row r="27" spans="1:29" s="471" customFormat="1" ht="15">
      <c r="A27" s="653"/>
      <c r="B27" s="654" t="s">
        <v>2666</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746"/>
      <c r="Q27" s="776" t="str">
        <f t="shared" si="11"/>
        <v>项目停车位配比</v>
      </c>
      <c r="R27" s="777" t="s">
        <v>17</v>
      </c>
      <c r="S27" s="778">
        <f t="shared" si="12"/>
        <v>100</v>
      </c>
      <c r="T27" s="777" t="s">
        <v>17</v>
      </c>
      <c r="U27" s="778">
        <f t="shared" si="13"/>
        <v>100</v>
      </c>
      <c r="V27" s="777" t="s">
        <v>17</v>
      </c>
      <c r="W27" s="778">
        <f t="shared" si="14"/>
        <v>100</v>
      </c>
      <c r="X27" s="779"/>
      <c r="Y27" s="3746"/>
      <c r="Z27" s="780" t="str">
        <f t="shared" si="15"/>
        <v>项目停车位配比</v>
      </c>
      <c r="AA27" s="1810">
        <f t="shared" si="3"/>
        <v>1</v>
      </c>
      <c r="AB27" s="1810">
        <f t="shared" si="4"/>
        <v>1</v>
      </c>
      <c r="AC27" s="1810">
        <f t="shared" si="5"/>
        <v>1</v>
      </c>
    </row>
    <row r="28" spans="1:29" ht="15">
      <c r="A28" s="656"/>
      <c r="B28" s="654"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746"/>
      <c r="Q28" s="1809" t="str">
        <f t="shared" si="11"/>
        <v>公共部分装修</v>
      </c>
      <c r="R28" s="774" t="s">
        <v>17</v>
      </c>
      <c r="S28" s="775">
        <f t="shared" si="12"/>
        <v>100</v>
      </c>
      <c r="T28" s="774" t="s">
        <v>17</v>
      </c>
      <c r="U28" s="775">
        <f t="shared" si="13"/>
        <v>100</v>
      </c>
      <c r="V28" s="774" t="s">
        <v>17</v>
      </c>
      <c r="W28" s="775">
        <f t="shared" si="14"/>
        <v>100</v>
      </c>
      <c r="X28" s="1812"/>
      <c r="Y28" s="3746"/>
      <c r="Z28" s="1813" t="str">
        <f t="shared" si="15"/>
        <v>公共部分装修</v>
      </c>
      <c r="AA28" s="1810">
        <f t="shared" si="3"/>
        <v>1</v>
      </c>
      <c r="AB28" s="1810">
        <f t="shared" si="4"/>
        <v>1</v>
      </c>
      <c r="AC28" s="1810">
        <f t="shared" si="5"/>
        <v>1</v>
      </c>
    </row>
    <row r="29" spans="1:29" ht="15">
      <c r="A29" s="656"/>
      <c r="B29" s="654"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746"/>
      <c r="Q29" s="1809" t="str">
        <f t="shared" si="11"/>
        <v>成新率</v>
      </c>
      <c r="R29" s="774" t="s">
        <v>17</v>
      </c>
      <c r="S29" s="775" t="e">
        <f t="shared" si="12"/>
        <v>#N/A</v>
      </c>
      <c r="T29" s="774" t="s">
        <v>17</v>
      </c>
      <c r="U29" s="775" t="e">
        <f t="shared" si="13"/>
        <v>#N/A</v>
      </c>
      <c r="V29" s="774" t="s">
        <v>17</v>
      </c>
      <c r="W29" s="775" t="e">
        <f t="shared" si="14"/>
        <v>#N/A</v>
      </c>
      <c r="X29" s="1812"/>
      <c r="Y29" s="3746"/>
      <c r="Z29" s="1813" t="str">
        <f t="shared" si="15"/>
        <v>成新率</v>
      </c>
      <c r="AA29" s="1810" t="e">
        <f t="shared" si="3"/>
        <v>#N/A</v>
      </c>
      <c r="AB29" s="1810" t="e">
        <f t="shared" si="4"/>
        <v>#N/A</v>
      </c>
      <c r="AC29" s="1810" t="e">
        <f t="shared" si="5"/>
        <v>#N/A</v>
      </c>
    </row>
    <row r="30" spans="1:29" ht="15">
      <c r="A30" s="656"/>
      <c r="B30" s="654" t="s">
        <v>2669</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746"/>
      <c r="Q30" s="1809" t="str">
        <f t="shared" si="11"/>
        <v>物业等级</v>
      </c>
      <c r="R30" s="774" t="s">
        <v>17</v>
      </c>
      <c r="S30" s="775">
        <f t="shared" si="12"/>
        <v>100</v>
      </c>
      <c r="T30" s="774" t="s">
        <v>17</v>
      </c>
      <c r="U30" s="775">
        <f t="shared" si="13"/>
        <v>100</v>
      </c>
      <c r="V30" s="774" t="s">
        <v>17</v>
      </c>
      <c r="W30" s="775">
        <f t="shared" si="14"/>
        <v>100</v>
      </c>
      <c r="X30" s="1812"/>
      <c r="Y30" s="3746"/>
      <c r="Z30" s="1813" t="str">
        <f t="shared" si="15"/>
        <v>物业等级</v>
      </c>
      <c r="AA30" s="1810">
        <f t="shared" si="3"/>
        <v>1</v>
      </c>
      <c r="AB30" s="1810">
        <f t="shared" si="4"/>
        <v>1</v>
      </c>
      <c r="AC30" s="1810">
        <f t="shared" si="5"/>
        <v>1</v>
      </c>
    </row>
    <row r="31" spans="1:29" s="117" customFormat="1" ht="15">
      <c r="A31" s="658"/>
      <c r="B31" s="654"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746"/>
      <c r="Q31" s="1794" t="str">
        <f t="shared" si="11"/>
        <v>停车位面积</v>
      </c>
      <c r="R31" s="770" t="s">
        <v>17</v>
      </c>
      <c r="S31" s="771" t="e">
        <f t="shared" si="12"/>
        <v>#N/A</v>
      </c>
      <c r="T31" s="770" t="s">
        <v>17</v>
      </c>
      <c r="U31" s="771" t="e">
        <f t="shared" si="13"/>
        <v>#N/A</v>
      </c>
      <c r="V31" s="770" t="s">
        <v>17</v>
      </c>
      <c r="W31" s="771" t="e">
        <f t="shared" si="14"/>
        <v>#N/A</v>
      </c>
      <c r="X31" s="772"/>
      <c r="Y31" s="3746"/>
      <c r="Z31" s="55" t="str">
        <f t="shared" si="15"/>
        <v>停车位面积</v>
      </c>
      <c r="AA31" s="773" t="e">
        <f t="shared" si="3"/>
        <v>#N/A</v>
      </c>
      <c r="AB31" s="773" t="e">
        <f t="shared" si="4"/>
        <v>#N/A</v>
      </c>
      <c r="AC31" s="773" t="e">
        <f t="shared" si="5"/>
        <v>#N/A</v>
      </c>
    </row>
    <row r="32" spans="1:29" ht="15">
      <c r="A32" s="656"/>
      <c r="B32" s="654"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746" t="s">
        <v>2519</v>
      </c>
      <c r="Q32" s="1809" t="str">
        <f t="shared" si="11"/>
        <v>车位类型</v>
      </c>
      <c r="R32" s="774" t="s">
        <v>17</v>
      </c>
      <c r="S32" s="775">
        <f t="shared" si="12"/>
        <v>100</v>
      </c>
      <c r="T32" s="774" t="s">
        <v>17</v>
      </c>
      <c r="U32" s="775">
        <f t="shared" si="13"/>
        <v>100</v>
      </c>
      <c r="V32" s="774" t="s">
        <v>17</v>
      </c>
      <c r="W32" s="775">
        <f t="shared" si="14"/>
        <v>100</v>
      </c>
      <c r="X32" s="1812"/>
      <c r="Y32" s="3746" t="s">
        <v>2519</v>
      </c>
      <c r="Z32" s="1813" t="str">
        <f t="shared" si="15"/>
        <v>车位类型</v>
      </c>
      <c r="AA32" s="1810">
        <f t="shared" si="3"/>
        <v>1</v>
      </c>
      <c r="AB32" s="1810">
        <f t="shared" si="4"/>
        <v>1</v>
      </c>
      <c r="AC32" s="1810">
        <f t="shared" si="5"/>
        <v>1</v>
      </c>
    </row>
    <row r="33" spans="1:29" ht="15">
      <c r="A33" s="656"/>
      <c r="B33" s="654"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746"/>
      <c r="Q33" s="1809" t="str">
        <f t="shared" si="11"/>
        <v>是否直接入户</v>
      </c>
      <c r="R33" s="774" t="s">
        <v>17</v>
      </c>
      <c r="S33" s="775">
        <f t="shared" si="12"/>
        <v>100</v>
      </c>
      <c r="T33" s="774" t="s">
        <v>17</v>
      </c>
      <c r="U33" s="775">
        <f t="shared" si="13"/>
        <v>100</v>
      </c>
      <c r="V33" s="774" t="s">
        <v>17</v>
      </c>
      <c r="W33" s="775">
        <f t="shared" si="14"/>
        <v>100</v>
      </c>
      <c r="X33" s="1812"/>
      <c r="Y33" s="374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746"/>
      <c r="Q34" s="1809">
        <f t="shared" si="11"/>
        <v>111</v>
      </c>
      <c r="R34" s="774" t="s">
        <v>17</v>
      </c>
      <c r="S34" s="775">
        <f t="shared" si="12"/>
        <v>100</v>
      </c>
      <c r="T34" s="774" t="s">
        <v>17</v>
      </c>
      <c r="U34" s="775">
        <f t="shared" si="13"/>
        <v>100</v>
      </c>
      <c r="V34" s="774" t="s">
        <v>17</v>
      </c>
      <c r="W34" s="775">
        <f t="shared" si="14"/>
        <v>100</v>
      </c>
      <c r="X34" s="1812"/>
      <c r="Y34" s="374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746"/>
      <c r="Q35" s="776">
        <f t="shared" si="11"/>
        <v>111</v>
      </c>
      <c r="R35" s="777" t="s">
        <v>17</v>
      </c>
      <c r="S35" s="778">
        <f t="shared" si="12"/>
        <v>100</v>
      </c>
      <c r="T35" s="777" t="s">
        <v>17</v>
      </c>
      <c r="U35" s="778">
        <f t="shared" si="13"/>
        <v>100</v>
      </c>
      <c r="V35" s="777" t="s">
        <v>17</v>
      </c>
      <c r="W35" s="778">
        <f t="shared" si="14"/>
        <v>100</v>
      </c>
      <c r="X35" s="779"/>
      <c r="Y35" s="374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746"/>
      <c r="Q36" s="1809">
        <f t="shared" si="11"/>
        <v>111</v>
      </c>
      <c r="R36" s="774" t="s">
        <v>17</v>
      </c>
      <c r="S36" s="775">
        <f t="shared" si="12"/>
        <v>100</v>
      </c>
      <c r="T36" s="774" t="s">
        <v>17</v>
      </c>
      <c r="U36" s="775">
        <f t="shared" si="13"/>
        <v>100</v>
      </c>
      <c r="V36" s="774" t="s">
        <v>17</v>
      </c>
      <c r="W36" s="775">
        <f t="shared" si="14"/>
        <v>100</v>
      </c>
      <c r="X36" s="1812"/>
      <c r="Y36" s="3746"/>
      <c r="Z36" s="1813">
        <f t="shared" si="15"/>
        <v>111</v>
      </c>
      <c r="AA36" s="1810">
        <f t="shared" si="3"/>
        <v>1</v>
      </c>
      <c r="AB36" s="1810">
        <f t="shared" si="4"/>
        <v>1</v>
      </c>
      <c r="AC36" s="1810">
        <f t="shared" si="5"/>
        <v>1</v>
      </c>
    </row>
    <row r="37" spans="1:29" ht="14.4">
      <c r="A37" s="479" t="s">
        <v>2673</v>
      </c>
      <c r="B37" s="2695" t="s">
        <v>2674</v>
      </c>
      <c r="C37" s="1406" t="s">
        <v>1</v>
      </c>
      <c r="D37" s="1407"/>
      <c r="E37" s="1408"/>
      <c r="F37" s="1409"/>
      <c r="G37" s="1410"/>
      <c r="H37" s="1411"/>
      <c r="I37" s="1408"/>
      <c r="J37" s="1411"/>
      <c r="K37" s="619"/>
      <c r="L37" s="1142"/>
      <c r="M37" s="1143"/>
      <c r="N37" s="1130"/>
      <c r="O37" s="1143"/>
      <c r="P37" s="3739" t="str">
        <f>A37</f>
        <v>成交单价</v>
      </c>
      <c r="Q37" s="3739"/>
      <c r="R37" s="3740">
        <f>E37</f>
        <v>0</v>
      </c>
      <c r="S37" s="3740"/>
      <c r="T37" s="3740">
        <f>G37</f>
        <v>0</v>
      </c>
      <c r="U37" s="3740"/>
      <c r="V37" s="3740">
        <f>I37</f>
        <v>0</v>
      </c>
      <c r="W37" s="3740"/>
      <c r="X37" s="759"/>
      <c r="Y37" s="781"/>
      <c r="Z37" s="759"/>
      <c r="AA37" s="759"/>
      <c r="AB37" s="759"/>
      <c r="AC37" s="759"/>
    </row>
    <row r="38" spans="1:29" ht="15" thickBot="1">
      <c r="A38" s="486" t="s">
        <v>2675</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759"/>
      <c r="Y38" s="759"/>
      <c r="Z38" s="759"/>
      <c r="AA38" s="759"/>
      <c r="AB38" s="759"/>
      <c r="AC38" s="759"/>
    </row>
    <row r="39" spans="1:29" ht="15" thickBot="1">
      <c r="A39" s="492" t="s">
        <v>2676</v>
      </c>
      <c r="B39" s="493"/>
      <c r="C39" s="1416" t="e">
        <f>R39</f>
        <v>#DIV/0!</v>
      </c>
      <c r="D39" s="1416"/>
      <c r="E39" s="1416"/>
      <c r="F39" s="1416"/>
      <c r="G39" s="1416"/>
      <c r="H39" s="1416"/>
      <c r="I39" s="1416"/>
      <c r="J39" s="1416"/>
      <c r="K39" s="621"/>
      <c r="L39" s="1142"/>
      <c r="M39" s="1143"/>
      <c r="N39" s="1143"/>
      <c r="O39" s="1143"/>
      <c r="P39" s="3736" t="str">
        <f>A39</f>
        <v>估价对象XX用房的比较价值（楼面单价，元/平方米）</v>
      </c>
      <c r="Q39" s="3737"/>
      <c r="R39" s="3738" t="e">
        <f>IF(F1="售价",ROUND(AVERAGE(R38:V38),0),ROUND(AVERAGE(R38:V38),1))</f>
        <v>#DIV/0!</v>
      </c>
      <c r="S39" s="3738"/>
      <c r="T39" s="3738"/>
      <c r="U39" s="3738"/>
      <c r="V39" s="3738"/>
      <c r="W39" s="3738"/>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2681</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2642</v>
      </c>
      <c r="C67" s="660" t="s">
        <v>2628</v>
      </c>
      <c r="D67" s="660" t="s">
        <v>2629</v>
      </c>
      <c r="E67" s="660" t="s">
        <v>2630</v>
      </c>
      <c r="F67" s="660" t="s">
        <v>2631</v>
      </c>
      <c r="G67" s="660"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2684</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2660</v>
      </c>
      <c r="B1" s="1618"/>
      <c r="C1" s="1619" t="s">
        <v>2484</v>
      </c>
      <c r="D1" s="1620"/>
      <c r="E1" s="1629"/>
      <c r="F1" s="2584"/>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2284</v>
      </c>
      <c r="B2" s="1417" t="e">
        <f ca="1">IF(C2="——",ROUND(C37*D3/10000,0),ROUND(C37*D3/10000,0)-D2)</f>
        <v>#DIV/0!</v>
      </c>
      <c r="C2" s="2586"/>
      <c r="D2" s="1123" t="e">
        <f ca="1">SUMIF(INDIRECT("'"&amp;F2&amp;"'"&amp;"!A:A"),"承租人权益价值",INDIRECT("'"&amp;F2&amp;"'"&amp;"!c:c"))</f>
        <v>#REF!</v>
      </c>
      <c r="E2" s="2587" t="s">
        <v>2285</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04" t="s">
        <v>2601</v>
      </c>
      <c r="AC4" s="3703" t="s">
        <v>2602</v>
      </c>
    </row>
    <row r="5" spans="1:29">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04"/>
      <c r="AC5" s="3704"/>
    </row>
    <row r="6" spans="1:29" ht="15" thickBot="1">
      <c r="A6" s="406"/>
      <c r="B6" s="407"/>
      <c r="C6" s="3716" t="s">
        <v>2500</v>
      </c>
      <c r="D6" s="3717"/>
      <c r="E6" s="3719" t="s">
        <v>2500</v>
      </c>
      <c r="F6" s="3720"/>
      <c r="G6" s="3716" t="s">
        <v>2500</v>
      </c>
      <c r="H6" s="3717"/>
      <c r="I6" s="3716" t="s">
        <v>2500</v>
      </c>
      <c r="J6" s="3717"/>
      <c r="K6" s="610" t="s">
        <v>2501</v>
      </c>
      <c r="L6" s="1129"/>
      <c r="M6" s="1130"/>
      <c r="N6" s="1130"/>
      <c r="O6" s="1130"/>
      <c r="P6" s="3730"/>
      <c r="Q6" s="3731"/>
      <c r="R6" s="3710"/>
      <c r="S6" s="3711"/>
      <c r="T6" s="3732"/>
      <c r="U6" s="3733"/>
      <c r="V6" s="3734"/>
      <c r="W6" s="3734"/>
      <c r="X6" s="1812"/>
      <c r="Y6" s="3732"/>
      <c r="Z6" s="3733"/>
      <c r="AA6" s="3705"/>
      <c r="AB6" s="3705"/>
      <c r="AC6" s="3705"/>
    </row>
    <row r="7" spans="1:29" s="117" customFormat="1" ht="15" thickBot="1">
      <c r="A7" s="408" t="s">
        <v>2502</v>
      </c>
      <c r="B7" s="409"/>
      <c r="C7" s="410">
        <f>'数据-取费表'!B2</f>
        <v>43685</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706" t="s">
        <v>2503</v>
      </c>
      <c r="Q7" s="3735"/>
      <c r="R7" s="770" t="s">
        <v>17</v>
      </c>
      <c r="S7" s="771">
        <f t="shared" ref="S7:S14" si="0">F7</f>
        <v>0</v>
      </c>
      <c r="T7" s="770" t="s">
        <v>17</v>
      </c>
      <c r="U7" s="771">
        <f t="shared" ref="U7:U14" si="1">H7</f>
        <v>0</v>
      </c>
      <c r="V7" s="770" t="s">
        <v>17</v>
      </c>
      <c r="W7" s="771">
        <f t="shared" ref="W7:W14" si="2">J7</f>
        <v>0</v>
      </c>
      <c r="X7" s="772"/>
      <c r="Y7" s="3706" t="s">
        <v>2503</v>
      </c>
      <c r="Z7" s="3707"/>
      <c r="AA7" s="773" t="e">
        <f>D7/F7</f>
        <v>#DIV/0!</v>
      </c>
      <c r="AB7" s="773" t="e">
        <f>D7/H7</f>
        <v>#DIV/0!</v>
      </c>
      <c r="AC7" s="773" t="e">
        <f>D7/J7</f>
        <v>#DIV/0!</v>
      </c>
    </row>
    <row r="8" spans="1:29" s="117" customFormat="1" ht="1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34" si="3">D8/F8</f>
        <v>#DIV/0!</v>
      </c>
      <c r="AB8" s="773" t="e">
        <f t="shared" ref="AB8:AB34" si="4">D8/H8</f>
        <v>#DIV/0!</v>
      </c>
      <c r="AC8" s="773" t="e">
        <f t="shared" ref="AC8:AC34" si="5">D8/J8</f>
        <v>#DIV/0!</v>
      </c>
    </row>
    <row r="9" spans="1:29" s="117" customFormat="1" ht="14.4">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739" t="s">
        <v>2509</v>
      </c>
      <c r="Q9" s="1794" t="str">
        <f t="shared" ref="Q9:Q14" si="6">B9</f>
        <v>用途</v>
      </c>
      <c r="R9" s="770" t="s">
        <v>17</v>
      </c>
      <c r="S9" s="771">
        <f t="shared" si="0"/>
        <v>100</v>
      </c>
      <c r="T9" s="770" t="s">
        <v>17</v>
      </c>
      <c r="U9" s="771">
        <f t="shared" si="1"/>
        <v>100</v>
      </c>
      <c r="V9" s="770" t="s">
        <v>17</v>
      </c>
      <c r="W9" s="771">
        <f t="shared" si="2"/>
        <v>100</v>
      </c>
      <c r="X9" s="772"/>
      <c r="Y9" s="3538" t="s">
        <v>2510</v>
      </c>
      <c r="Z9" s="55" t="str">
        <f t="shared" ref="Z9:Z14" si="7">Q9</f>
        <v>用途</v>
      </c>
      <c r="AA9" s="773">
        <f t="shared" si="3"/>
        <v>1</v>
      </c>
      <c r="AB9" s="773">
        <f t="shared" si="4"/>
        <v>1</v>
      </c>
      <c r="AC9" s="773">
        <f t="shared" si="5"/>
        <v>1</v>
      </c>
    </row>
    <row r="10" spans="1:29" s="427" customFormat="1" ht="28.8">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739"/>
      <c r="Q10" s="1794" t="str">
        <f t="shared" si="6"/>
        <v>土地使用年限（年）</v>
      </c>
      <c r="R10" s="770" t="s">
        <v>17</v>
      </c>
      <c r="S10" s="771">
        <f t="shared" si="0"/>
        <v>100</v>
      </c>
      <c r="T10" s="770" t="s">
        <v>17</v>
      </c>
      <c r="U10" s="771">
        <f t="shared" si="1"/>
        <v>100</v>
      </c>
      <c r="V10" s="770" t="s">
        <v>17</v>
      </c>
      <c r="W10" s="771">
        <f t="shared" si="2"/>
        <v>100</v>
      </c>
      <c r="X10" s="772"/>
      <c r="Y10" s="353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739"/>
      <c r="Q11" s="1794">
        <f t="shared" si="6"/>
        <v>111</v>
      </c>
      <c r="R11" s="770" t="s">
        <v>17</v>
      </c>
      <c r="S11" s="771">
        <f t="shared" si="0"/>
        <v>100</v>
      </c>
      <c r="T11" s="770" t="s">
        <v>17</v>
      </c>
      <c r="U11" s="771">
        <f t="shared" si="1"/>
        <v>100</v>
      </c>
      <c r="V11" s="770" t="s">
        <v>17</v>
      </c>
      <c r="W11" s="771">
        <f t="shared" si="2"/>
        <v>100</v>
      </c>
      <c r="X11" s="772"/>
      <c r="Y11" s="353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739"/>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773">
        <f>D12/J12</f>
        <v>1</v>
      </c>
    </row>
    <row r="13" spans="1:29" ht="15.6"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739"/>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773">
        <f t="shared" si="5"/>
        <v>1</v>
      </c>
    </row>
    <row r="14" spans="1:29" ht="110.4">
      <c r="A14" s="440" t="s">
        <v>2513</v>
      </c>
      <c r="B14" s="69" t="s">
        <v>2662</v>
      </c>
      <c r="C14" s="2693"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741" t="s">
        <v>2514</v>
      </c>
      <c r="Q14" s="1809" t="str">
        <f t="shared" si="6"/>
        <v>交通便捷度</v>
      </c>
      <c r="R14" s="774" t="s">
        <v>17</v>
      </c>
      <c r="S14" s="775">
        <f t="shared" si="0"/>
        <v>100</v>
      </c>
      <c r="T14" s="774" t="s">
        <v>17</v>
      </c>
      <c r="U14" s="775">
        <f t="shared" si="1"/>
        <v>100</v>
      </c>
      <c r="V14" s="774" t="s">
        <v>17</v>
      </c>
      <c r="W14" s="775">
        <f t="shared" si="2"/>
        <v>100</v>
      </c>
      <c r="X14" s="1812"/>
      <c r="Y14" s="3741"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742"/>
      <c r="Q15" s="1809"/>
      <c r="R15" s="774"/>
      <c r="S15" s="775"/>
      <c r="T15" s="774"/>
      <c r="U15" s="775"/>
      <c r="V15" s="774"/>
      <c r="W15" s="775"/>
      <c r="X15" s="1812"/>
      <c r="Y15" s="3742"/>
      <c r="Z15" s="1813"/>
      <c r="AA15" s="1810">
        <v>1</v>
      </c>
      <c r="AB15" s="1810">
        <v>1</v>
      </c>
      <c r="AC15" s="1810">
        <v>1</v>
      </c>
    </row>
    <row r="16" spans="1:29" ht="55.2">
      <c r="A16" s="428"/>
      <c r="B16" s="451" t="s">
        <v>2641</v>
      </c>
      <c r="C16" s="2607"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742"/>
      <c r="Q16" s="1809" t="str">
        <f>B16</f>
        <v>公共配套设施</v>
      </c>
      <c r="R16" s="774" t="s">
        <v>17</v>
      </c>
      <c r="S16" s="775">
        <f>F16</f>
        <v>100</v>
      </c>
      <c r="T16" s="774" t="s">
        <v>17</v>
      </c>
      <c r="U16" s="775">
        <f>H16</f>
        <v>100</v>
      </c>
      <c r="V16" s="774" t="s">
        <v>17</v>
      </c>
      <c r="W16" s="775">
        <f>J16</f>
        <v>100</v>
      </c>
      <c r="X16" s="1812"/>
      <c r="Y16" s="3742"/>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742"/>
      <c r="Q17" s="1809"/>
      <c r="R17" s="774"/>
      <c r="S17" s="775"/>
      <c r="T17" s="774"/>
      <c r="U17" s="775"/>
      <c r="V17" s="774"/>
      <c r="W17" s="775"/>
      <c r="X17" s="1812"/>
      <c r="Y17" s="3742"/>
      <c r="Z17" s="1813"/>
      <c r="AA17" s="1810">
        <v>1</v>
      </c>
      <c r="AB17" s="1810">
        <v>1</v>
      </c>
      <c r="AC17" s="1810">
        <v>1</v>
      </c>
    </row>
    <row r="18" spans="1:29" ht="41.4">
      <c r="A18" s="428"/>
      <c r="B18" s="1383" t="s">
        <v>2642</v>
      </c>
      <c r="C18" s="2607"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742"/>
      <c r="Q18" s="1809" t="str">
        <f>B18</f>
        <v>基础设施水平</v>
      </c>
      <c r="R18" s="774" t="s">
        <v>17</v>
      </c>
      <c r="S18" s="775">
        <f>F18</f>
        <v>100</v>
      </c>
      <c r="T18" s="774" t="s">
        <v>17</v>
      </c>
      <c r="U18" s="775">
        <f>H18</f>
        <v>100</v>
      </c>
      <c r="V18" s="774" t="s">
        <v>17</v>
      </c>
      <c r="W18" s="775">
        <f>J18</f>
        <v>100</v>
      </c>
      <c r="X18" s="1812"/>
      <c r="Y18" s="3742"/>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742"/>
      <c r="Q19" s="1809"/>
      <c r="R19" s="774"/>
      <c r="S19" s="775"/>
      <c r="T19" s="774"/>
      <c r="U19" s="775"/>
      <c r="V19" s="774"/>
      <c r="W19" s="775"/>
      <c r="X19" s="1812"/>
      <c r="Y19" s="3742"/>
      <c r="Z19" s="1813"/>
      <c r="AA19" s="1810">
        <v>1</v>
      </c>
      <c r="AB19" s="1810">
        <v>1</v>
      </c>
      <c r="AC19" s="1810">
        <v>1</v>
      </c>
    </row>
    <row r="20" spans="1:29" ht="69">
      <c r="A20" s="428"/>
      <c r="B20" s="451" t="s">
        <v>2663</v>
      </c>
      <c r="C20" s="2607"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742"/>
      <c r="Q20" s="1809" t="str">
        <f>B20</f>
        <v>自然及人文环境</v>
      </c>
      <c r="R20" s="774" t="s">
        <v>17</v>
      </c>
      <c r="S20" s="775">
        <f>F20</f>
        <v>100</v>
      </c>
      <c r="T20" s="774" t="s">
        <v>17</v>
      </c>
      <c r="U20" s="775">
        <f>H20</f>
        <v>100</v>
      </c>
      <c r="V20" s="774" t="s">
        <v>17</v>
      </c>
      <c r="W20" s="775">
        <f>J20</f>
        <v>100</v>
      </c>
      <c r="X20" s="1812"/>
      <c r="Y20" s="3742"/>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742"/>
      <c r="Q21" s="1809"/>
      <c r="R21" s="774"/>
      <c r="S21" s="775"/>
      <c r="T21" s="774"/>
      <c r="U21" s="775"/>
      <c r="V21" s="774"/>
      <c r="W21" s="775"/>
      <c r="X21" s="1812"/>
      <c r="Y21" s="3742"/>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742"/>
      <c r="Q22" s="1809" t="str">
        <f>B22</f>
        <v>楼层</v>
      </c>
      <c r="R22" s="774" t="s">
        <v>17</v>
      </c>
      <c r="S22" s="775">
        <f>F22</f>
        <v>100</v>
      </c>
      <c r="T22" s="774" t="s">
        <v>17</v>
      </c>
      <c r="U22" s="775">
        <f>H22</f>
        <v>100</v>
      </c>
      <c r="V22" s="774" t="s">
        <v>17</v>
      </c>
      <c r="W22" s="775">
        <f>J22</f>
        <v>100</v>
      </c>
      <c r="X22" s="1812"/>
      <c r="Y22" s="3742"/>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742"/>
      <c r="Q23" s="1809">
        <f>B23</f>
        <v>111</v>
      </c>
      <c r="R23" s="774" t="s">
        <v>17</v>
      </c>
      <c r="S23" s="775">
        <f>F23</f>
        <v>100</v>
      </c>
      <c r="T23" s="774" t="s">
        <v>17</v>
      </c>
      <c r="U23" s="775">
        <f>H23</f>
        <v>100</v>
      </c>
      <c r="V23" s="774" t="s">
        <v>17</v>
      </c>
      <c r="W23" s="775">
        <f>J23</f>
        <v>100</v>
      </c>
      <c r="X23" s="1812"/>
      <c r="Y23" s="3742"/>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742"/>
      <c r="Q24" s="1809">
        <f t="shared" ref="Q24:Q34" si="11">B24</f>
        <v>111</v>
      </c>
      <c r="R24" s="774" t="s">
        <v>17</v>
      </c>
      <c r="S24" s="775">
        <f>F24</f>
        <v>100</v>
      </c>
      <c r="T24" s="774" t="s">
        <v>17</v>
      </c>
      <c r="U24" s="775">
        <f>H24</f>
        <v>100</v>
      </c>
      <c r="V24" s="774" t="s">
        <v>17</v>
      </c>
      <c r="W24" s="775">
        <f>J24</f>
        <v>100</v>
      </c>
      <c r="X24" s="1812"/>
      <c r="Y24" s="3742"/>
      <c r="Z24" s="1813">
        <f>Q24</f>
        <v>111</v>
      </c>
      <c r="AA24" s="1810">
        <f t="shared" si="3"/>
        <v>1</v>
      </c>
      <c r="AB24" s="1810">
        <f t="shared" si="4"/>
        <v>1</v>
      </c>
      <c r="AC24" s="1810">
        <f t="shared" si="5"/>
        <v>1</v>
      </c>
    </row>
    <row r="25" spans="1:29" s="117" customFormat="1" ht="15.6"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742"/>
      <c r="Q25" s="1794">
        <f t="shared" si="11"/>
        <v>111</v>
      </c>
      <c r="R25" s="770" t="s">
        <v>17</v>
      </c>
      <c r="S25" s="771">
        <f>F25</f>
        <v>100</v>
      </c>
      <c r="T25" s="770" t="s">
        <v>17</v>
      </c>
      <c r="U25" s="771">
        <f>H25</f>
        <v>100</v>
      </c>
      <c r="V25" s="770" t="s">
        <v>17</v>
      </c>
      <c r="W25" s="771">
        <f>J25</f>
        <v>100</v>
      </c>
      <c r="X25" s="772"/>
      <c r="Y25" s="3742"/>
      <c r="Z25" s="55">
        <f>Q25</f>
        <v>111</v>
      </c>
      <c r="AA25" s="1810">
        <f>D25/F25</f>
        <v>1</v>
      </c>
      <c r="AB25" s="1810">
        <f>D25/H25</f>
        <v>1</v>
      </c>
      <c r="AC25" s="1810">
        <f>D25/J25</f>
        <v>1</v>
      </c>
    </row>
    <row r="26" spans="1:29" ht="30">
      <c r="A26" s="466" t="s">
        <v>2517</v>
      </c>
      <c r="B26" s="71" t="s">
        <v>2667</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793" t="s">
        <v>2519</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746"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746"/>
      <c r="Q27" s="776" t="str">
        <f t="shared" si="11"/>
        <v>成新率</v>
      </c>
      <c r="R27" s="777" t="s">
        <v>17</v>
      </c>
      <c r="S27" s="778" t="e">
        <f t="shared" si="12"/>
        <v>#N/A</v>
      </c>
      <c r="T27" s="777" t="s">
        <v>17</v>
      </c>
      <c r="U27" s="778" t="e">
        <f t="shared" si="13"/>
        <v>#N/A</v>
      </c>
      <c r="V27" s="777" t="s">
        <v>17</v>
      </c>
      <c r="W27" s="778" t="e">
        <f t="shared" si="14"/>
        <v>#N/A</v>
      </c>
      <c r="X27" s="779"/>
      <c r="Y27" s="3746"/>
      <c r="Z27" s="780"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746"/>
      <c r="Q28" s="1809" t="str">
        <f t="shared" si="11"/>
        <v>物业等级</v>
      </c>
      <c r="R28" s="774" t="s">
        <v>17</v>
      </c>
      <c r="S28" s="775">
        <f t="shared" si="12"/>
        <v>100</v>
      </c>
      <c r="T28" s="774" t="s">
        <v>17</v>
      </c>
      <c r="U28" s="775">
        <f t="shared" si="13"/>
        <v>100</v>
      </c>
      <c r="V28" s="774" t="s">
        <v>17</v>
      </c>
      <c r="W28" s="775">
        <f t="shared" si="14"/>
        <v>100</v>
      </c>
      <c r="X28" s="1812"/>
      <c r="Y28" s="3746"/>
      <c r="Z28" s="1813" t="str">
        <f t="shared" si="15"/>
        <v>物业等级</v>
      </c>
      <c r="AA28" s="1810">
        <f t="shared" si="3"/>
        <v>1</v>
      </c>
      <c r="AB28" s="1810">
        <f t="shared" si="4"/>
        <v>1</v>
      </c>
      <c r="AC28" s="1810">
        <f t="shared" si="5"/>
        <v>1</v>
      </c>
    </row>
    <row r="29" spans="1:29" ht="15">
      <c r="A29" s="472"/>
      <c r="B29" s="422" t="s">
        <v>2690</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746"/>
      <c r="Q29" s="1809" t="str">
        <f t="shared" si="11"/>
        <v>有无电梯</v>
      </c>
      <c r="R29" s="774" t="s">
        <v>17</v>
      </c>
      <c r="S29" s="775">
        <f t="shared" si="12"/>
        <v>100</v>
      </c>
      <c r="T29" s="774" t="s">
        <v>17</v>
      </c>
      <c r="U29" s="775">
        <f t="shared" si="13"/>
        <v>100</v>
      </c>
      <c r="V29" s="774" t="s">
        <v>17</v>
      </c>
      <c r="W29" s="775">
        <f t="shared" si="14"/>
        <v>100</v>
      </c>
      <c r="X29" s="1812"/>
      <c r="Y29" s="3746"/>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746"/>
      <c r="Q30" s="1809" t="str">
        <f t="shared" si="11"/>
        <v>建筑面积</v>
      </c>
      <c r="R30" s="774" t="s">
        <v>17</v>
      </c>
      <c r="S30" s="775" t="e">
        <f t="shared" si="12"/>
        <v>#N/A</v>
      </c>
      <c r="T30" s="774" t="s">
        <v>17</v>
      </c>
      <c r="U30" s="775" t="e">
        <f t="shared" si="13"/>
        <v>#N/A</v>
      </c>
      <c r="V30" s="774" t="s">
        <v>17</v>
      </c>
      <c r="W30" s="775" t="e">
        <f t="shared" si="14"/>
        <v>#N/A</v>
      </c>
      <c r="X30" s="1812"/>
      <c r="Y30" s="3746"/>
      <c r="Z30" s="1813" t="str">
        <f t="shared" si="15"/>
        <v>建筑面积</v>
      </c>
      <c r="AA30" s="1810" t="e">
        <f t="shared" si="3"/>
        <v>#N/A</v>
      </c>
      <c r="AB30" s="1810" t="e">
        <f t="shared" si="4"/>
        <v>#N/A</v>
      </c>
      <c r="AC30" s="1810" t="e">
        <f t="shared" si="5"/>
        <v>#N/A</v>
      </c>
    </row>
    <row r="31" spans="1:29" s="117" customFormat="1" ht="15">
      <c r="A31" s="473"/>
      <c r="B31" s="422" t="s">
        <v>2692</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746"/>
      <c r="Q31" s="1794" t="str">
        <f t="shared" si="11"/>
        <v>是否封闭</v>
      </c>
      <c r="R31" s="770" t="s">
        <v>17</v>
      </c>
      <c r="S31" s="771">
        <f t="shared" si="12"/>
        <v>100</v>
      </c>
      <c r="T31" s="770" t="s">
        <v>17</v>
      </c>
      <c r="U31" s="771">
        <f t="shared" si="13"/>
        <v>100</v>
      </c>
      <c r="V31" s="770" t="s">
        <v>17</v>
      </c>
      <c r="W31" s="771">
        <f t="shared" si="14"/>
        <v>100</v>
      </c>
      <c r="X31" s="772"/>
      <c r="Y31" s="374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746" t="s">
        <v>2519</v>
      </c>
      <c r="Q32" s="1809">
        <f t="shared" si="11"/>
        <v>111</v>
      </c>
      <c r="R32" s="774" t="s">
        <v>17</v>
      </c>
      <c r="S32" s="775">
        <f t="shared" si="12"/>
        <v>100</v>
      </c>
      <c r="T32" s="774" t="s">
        <v>17</v>
      </c>
      <c r="U32" s="775">
        <f t="shared" si="13"/>
        <v>100</v>
      </c>
      <c r="V32" s="774" t="s">
        <v>17</v>
      </c>
      <c r="W32" s="775">
        <f t="shared" si="14"/>
        <v>100</v>
      </c>
      <c r="X32" s="1812"/>
      <c r="Y32" s="3746" t="s">
        <v>2519</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746"/>
      <c r="Q33" s="1809">
        <f t="shared" si="11"/>
        <v>111</v>
      </c>
      <c r="R33" s="774" t="s">
        <v>17</v>
      </c>
      <c r="S33" s="775">
        <f t="shared" si="12"/>
        <v>100</v>
      </c>
      <c r="T33" s="774" t="s">
        <v>17</v>
      </c>
      <c r="U33" s="775">
        <f t="shared" si="13"/>
        <v>100</v>
      </c>
      <c r="V33" s="774" t="s">
        <v>17</v>
      </c>
      <c r="W33" s="775">
        <f t="shared" si="14"/>
        <v>100</v>
      </c>
      <c r="X33" s="1812"/>
      <c r="Y33" s="3746"/>
      <c r="Z33" s="1813">
        <f t="shared" si="15"/>
        <v>111</v>
      </c>
      <c r="AA33" s="1810">
        <f t="shared" si="3"/>
        <v>1</v>
      </c>
      <c r="AB33" s="1810">
        <f t="shared" si="4"/>
        <v>1</v>
      </c>
      <c r="AC33" s="1810">
        <f t="shared" si="5"/>
        <v>1</v>
      </c>
    </row>
    <row r="34" spans="1:29" ht="15.6"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746"/>
      <c r="Q34" s="1809">
        <f t="shared" si="11"/>
        <v>111</v>
      </c>
      <c r="R34" s="774" t="s">
        <v>17</v>
      </c>
      <c r="S34" s="775">
        <f t="shared" si="12"/>
        <v>100</v>
      </c>
      <c r="T34" s="774" t="s">
        <v>17</v>
      </c>
      <c r="U34" s="775">
        <f t="shared" si="13"/>
        <v>100</v>
      </c>
      <c r="V34" s="774" t="s">
        <v>17</v>
      </c>
      <c r="W34" s="775">
        <f t="shared" si="14"/>
        <v>100</v>
      </c>
      <c r="X34" s="1812"/>
      <c r="Y34" s="3746"/>
      <c r="Z34" s="1813">
        <f t="shared" si="15"/>
        <v>111</v>
      </c>
      <c r="AA34" s="1810">
        <f t="shared" si="3"/>
        <v>1</v>
      </c>
      <c r="AB34" s="1810">
        <f t="shared" si="4"/>
        <v>1</v>
      </c>
      <c r="AC34" s="1810">
        <f t="shared" si="5"/>
        <v>1</v>
      </c>
    </row>
    <row r="35" spans="1:29" ht="14.4">
      <c r="A35" s="479" t="s">
        <v>2531</v>
      </c>
      <c r="B35" s="480"/>
      <c r="C35" s="1406" t="s">
        <v>1</v>
      </c>
      <c r="D35" s="1407"/>
      <c r="E35" s="1408"/>
      <c r="F35" s="1409"/>
      <c r="G35" s="1410"/>
      <c r="H35" s="1411"/>
      <c r="I35" s="1408"/>
      <c r="J35" s="1411"/>
      <c r="K35" s="783"/>
      <c r="L35" s="1142"/>
      <c r="M35" s="1143"/>
      <c r="N35" s="1130"/>
      <c r="O35" s="1143"/>
      <c r="P35" s="3739" t="str">
        <f>A35</f>
        <v>成交单价（元/平方米）</v>
      </c>
      <c r="Q35" s="3739"/>
      <c r="R35" s="3740">
        <f>E35</f>
        <v>0</v>
      </c>
      <c r="S35" s="3740"/>
      <c r="T35" s="3740">
        <f>G35</f>
        <v>0</v>
      </c>
      <c r="U35" s="3740"/>
      <c r="V35" s="3740">
        <f>I35</f>
        <v>0</v>
      </c>
      <c r="W35" s="3740"/>
      <c r="X35" s="759"/>
      <c r="Y35" s="781"/>
      <c r="Z35" s="759"/>
      <c r="AA35" s="759"/>
      <c r="AB35" s="759"/>
      <c r="AC35" s="759"/>
    </row>
    <row r="36" spans="1:29" ht="15" thickBot="1">
      <c r="A36" s="486" t="s">
        <v>2622</v>
      </c>
      <c r="B36" s="487"/>
      <c r="C36" s="1412" t="e">
        <f>R37</f>
        <v>#DIV/0!</v>
      </c>
      <c r="D36" s="1413"/>
      <c r="E36" s="1414" t="e">
        <f>R36</f>
        <v>#DIV/0!</v>
      </c>
      <c r="F36" s="1414"/>
      <c r="G36" s="1412" t="e">
        <f>T36</f>
        <v>#DIV/0!</v>
      </c>
      <c r="H36" s="1413"/>
      <c r="I36" s="1414" t="e">
        <f>V36</f>
        <v>#DIV/0!</v>
      </c>
      <c r="J36" s="1413"/>
      <c r="K36" s="784"/>
      <c r="L36" s="1142"/>
      <c r="M36" s="1143"/>
      <c r="N36" s="1130"/>
      <c r="O36" s="1143"/>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759"/>
      <c r="Y36" s="759"/>
      <c r="Z36" s="759"/>
      <c r="AA36" s="759"/>
      <c r="AB36" s="759"/>
      <c r="AC36" s="759"/>
    </row>
    <row r="37" spans="1:29" ht="15" thickBot="1">
      <c r="A37" s="492" t="s">
        <v>2623</v>
      </c>
      <c r="B37" s="493"/>
      <c r="C37" s="1416" t="e">
        <f>R37</f>
        <v>#DIV/0!</v>
      </c>
      <c r="D37" s="1416"/>
      <c r="E37" s="1416"/>
      <c r="F37" s="1416"/>
      <c r="G37" s="1416"/>
      <c r="H37" s="1416"/>
      <c r="I37" s="1416"/>
      <c r="J37" s="1416"/>
      <c r="K37" s="785"/>
      <c r="L37" s="1142"/>
      <c r="M37" s="1143"/>
      <c r="N37" s="1143"/>
      <c r="O37" s="1143"/>
      <c r="P37" s="3736" t="str">
        <f>A37</f>
        <v>估价对象XX用房的比较价值（楼面单价，元/平方米）</v>
      </c>
      <c r="Q37" s="3737"/>
      <c r="R37" s="3738" t="e">
        <f>IF(F1="售价",ROUND(AVERAGE(R36:V36),0),ROUND(AVERAGE(R36:V36),1))</f>
        <v>#DIV/0!</v>
      </c>
      <c r="S37" s="3738"/>
      <c r="T37" s="3738"/>
      <c r="U37" s="3738"/>
      <c r="V37" s="3738"/>
      <c r="W37" s="3738"/>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2627</v>
      </c>
      <c r="B45" s="759"/>
      <c r="C45" s="764"/>
      <c r="D45" s="764"/>
      <c r="E45" s="764"/>
      <c r="F45" s="765"/>
      <c r="G45" s="765"/>
      <c r="H45" s="764"/>
      <c r="I45" s="764"/>
      <c r="J45" s="764"/>
      <c r="K45" s="766"/>
      <c r="L45" s="767"/>
      <c r="M45" s="764"/>
      <c r="N45" s="764"/>
      <c r="O45" s="764"/>
      <c r="P45" s="503"/>
      <c r="Q45" s="504"/>
    </row>
    <row r="46" spans="1:29" s="508" customFormat="1" ht="14.4">
      <c r="A46" s="505" t="s">
        <v>2502</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2538</v>
      </c>
      <c r="B48" s="516"/>
      <c r="C48" s="517"/>
      <c r="D48" s="518"/>
      <c r="E48" s="518"/>
      <c r="F48" s="518"/>
      <c r="G48" s="518"/>
      <c r="H48" s="518"/>
      <c r="I48" s="518"/>
      <c r="J48" s="518"/>
      <c r="K48" s="518"/>
      <c r="L48" s="518"/>
      <c r="M48" s="519"/>
      <c r="N48" s="518"/>
      <c r="O48" s="520"/>
      <c r="P48" s="504"/>
      <c r="Q48" s="504"/>
    </row>
    <row r="49" spans="1:17" s="117" customFormat="1" ht="14.4">
      <c r="A49" s="521" t="s">
        <v>2504</v>
      </c>
      <c r="B49" s="510"/>
      <c r="C49" s="522" t="s">
        <v>2605</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2541</v>
      </c>
      <c r="B51" s="528" t="s">
        <v>2508</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2642</v>
      </c>
      <c r="C65" s="660" t="s">
        <v>2628</v>
      </c>
      <c r="D65" s="660" t="s">
        <v>2629</v>
      </c>
      <c r="E65" s="660" t="s">
        <v>2630</v>
      </c>
      <c r="F65" s="660" t="s">
        <v>2631</v>
      </c>
      <c r="G65" s="660" t="s">
        <v>2632</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2682</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9" sqref="I3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3"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1580</v>
      </c>
      <c r="B1" s="782"/>
      <c r="C1" s="1836" t="s">
        <v>3331</v>
      </c>
      <c r="D1" s="1819" t="s">
        <v>3045</v>
      </c>
      <c r="E1" s="1820" t="s">
        <v>1378</v>
      </c>
      <c r="F1" s="1282">
        <f ca="1">J53</f>
        <v>47.050000000000004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5278</v>
      </c>
      <c r="C2" s="1844" t="s">
        <v>1507</v>
      </c>
      <c r="D2" s="1844"/>
      <c r="E2" s="1845"/>
      <c r="F2" s="1846"/>
      <c r="G2" s="1847"/>
      <c r="H2" s="1839"/>
      <c r="I2" s="1839"/>
      <c r="J2" s="1839"/>
      <c r="K2" s="1840"/>
      <c r="L2" s="1839"/>
      <c r="M2" s="1839"/>
    </row>
    <row r="3" spans="1:37" ht="18" customHeight="1" thickBot="1">
      <c r="A3" s="1848" t="s">
        <v>1508</v>
      </c>
      <c r="B3" s="1849">
        <f ca="1">IF(ISERROR(B2*10000/F43),0,ROUND(B2*10000/F43,0))</f>
        <v>1859</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1">
        <f ca="1">C6+C10+C12</f>
        <v>491</v>
      </c>
      <c r="D5" s="1821" t="s">
        <v>1393</v>
      </c>
      <c r="E5" s="1292"/>
      <c r="F5" s="1293"/>
      <c r="G5" s="1850"/>
      <c r="H5" s="344">
        <v>1</v>
      </c>
      <c r="I5" s="345" t="s">
        <v>1392</v>
      </c>
      <c r="J5" s="1291">
        <f ca="1">J6+J10+J12</f>
        <v>0</v>
      </c>
      <c r="K5" s="1821" t="s">
        <v>1393</v>
      </c>
      <c r="L5" s="1292"/>
      <c r="M5" s="1293"/>
    </row>
    <row r="6" spans="1:37" ht="18" customHeight="1">
      <c r="A6" s="1290" t="s">
        <v>1031</v>
      </c>
      <c r="B6" s="3752" t="s">
        <v>1394</v>
      </c>
      <c r="C6" s="1295">
        <f ca="1">ROUND(F6*F8*F7*(1-F9)/10000,0)</f>
        <v>491</v>
      </c>
      <c r="D6" s="164" t="s">
        <v>2985</v>
      </c>
      <c r="E6" s="347" t="s">
        <v>1396</v>
      </c>
      <c r="F6" s="348">
        <f ca="1">INDIRECT("'数据-取费表'!u"&amp;$G$1)</f>
        <v>800</v>
      </c>
      <c r="G6" s="1850"/>
      <c r="H6" s="1290" t="s">
        <v>1031</v>
      </c>
      <c r="I6" s="3752" t="s">
        <v>1394</v>
      </c>
      <c r="J6" s="346">
        <f ca="1">ROUND(M6*M8*M7*(1-M9)/10000,0)</f>
        <v>0</v>
      </c>
      <c r="K6" s="164" t="s">
        <v>2984</v>
      </c>
      <c r="L6" s="347" t="s">
        <v>1396</v>
      </c>
      <c r="M6" s="348">
        <f ca="1">INDIRECT("'数据-取费表'!z"&amp;$G$1)</f>
        <v>0</v>
      </c>
    </row>
    <row r="7" spans="1:37" ht="18" customHeight="1">
      <c r="A7" s="1294"/>
      <c r="B7" s="3753"/>
      <c r="C7" s="1296"/>
      <c r="D7" s="352"/>
      <c r="E7" s="3355" t="s">
        <v>1397</v>
      </c>
      <c r="F7" s="348">
        <f ca="1">IF(INDIRECT("'数据-取费表'!ah"&amp;$G$1)="",INDIRECT("'数据-取费表'!k"&amp;$G$1),INDIRECT("'数据-取费表'!ah"&amp;$G$1))</f>
        <v>568</v>
      </c>
      <c r="G7" s="1850"/>
      <c r="H7" s="349"/>
      <c r="I7" s="3753"/>
      <c r="J7" s="351"/>
      <c r="K7" s="352"/>
      <c r="L7" s="347" t="s">
        <v>1397</v>
      </c>
      <c r="M7" s="348">
        <f ca="1">F7</f>
        <v>568</v>
      </c>
    </row>
    <row r="8" spans="1:37" ht="18" customHeight="1">
      <c r="A8" s="349"/>
      <c r="B8" s="3753"/>
      <c r="C8" s="351"/>
      <c r="D8" s="352"/>
      <c r="E8" s="347" t="s">
        <v>1398</v>
      </c>
      <c r="F8" s="348">
        <f ca="1">INDIRECT("'数据-取费表'!ai"&amp;$G$1)</f>
        <v>12</v>
      </c>
      <c r="G8" s="1850"/>
      <c r="H8" s="349"/>
      <c r="I8" s="3753"/>
      <c r="J8" s="351"/>
      <c r="K8" s="352"/>
      <c r="L8" s="347" t="s">
        <v>1398</v>
      </c>
      <c r="M8" s="348">
        <f ca="1">INDIRECT("'数据-取费表'!ai"&amp;$G$1)</f>
        <v>12</v>
      </c>
    </row>
    <row r="9" spans="1:37" ht="18" customHeight="1">
      <c r="A9" s="349"/>
      <c r="B9" s="3754"/>
      <c r="C9" s="351"/>
      <c r="D9" s="352"/>
      <c r="E9" s="347" t="s">
        <v>1399</v>
      </c>
      <c r="F9" s="357">
        <f ca="1">INDIRECT("'数据-取费表'!w"&amp;$G$1)</f>
        <v>0.1</v>
      </c>
      <c r="G9" s="1850"/>
      <c r="H9" s="349"/>
      <c r="I9" s="3754"/>
      <c r="J9" s="351"/>
      <c r="K9" s="352"/>
      <c r="L9" s="358" t="s">
        <v>1399</v>
      </c>
      <c r="M9" s="359">
        <f ca="1">INDIRECT("'数据-取费表'!ab"&amp;$G$1)</f>
        <v>0</v>
      </c>
    </row>
    <row r="10" spans="1:37" ht="18" customHeight="1">
      <c r="A10" s="1290" t="s">
        <v>1035</v>
      </c>
      <c r="B10" s="1822" t="s">
        <v>1400</v>
      </c>
      <c r="C10" s="361">
        <f ca="1">ROUND(IF(F10="押一",C6/12*F11,IF(F10="押二",C6/12*2*F11,IF(F10="押三",C6/12*3*F11,C11*F11))),0)</f>
        <v>0</v>
      </c>
      <c r="D10" s="1823" t="s">
        <v>2993</v>
      </c>
      <c r="E10" s="358" t="s">
        <v>1401</v>
      </c>
      <c r="F10" s="1365" t="s">
        <v>3353</v>
      </c>
      <c r="G10" s="1850"/>
      <c r="H10" s="1290" t="s">
        <v>1035</v>
      </c>
      <c r="I10" s="1822" t="s">
        <v>1400</v>
      </c>
      <c r="J10" s="346">
        <f ca="1">ROUND(IF(M10="押一",J6/12*M11,IF(M10="押二",J6/12*2*M11,IF(M10="押三",J6/12*3*M11,J11*M11))),0)</f>
        <v>0</v>
      </c>
      <c r="K10" s="1823" t="s">
        <v>2993</v>
      </c>
      <c r="L10" s="358" t="s">
        <v>1401</v>
      </c>
      <c r="M10" s="1365" t="s">
        <v>1402</v>
      </c>
    </row>
    <row r="11" spans="1:37" ht="18" customHeight="1">
      <c r="A11" s="353"/>
      <c r="B11" s="1824" t="s">
        <v>1379</v>
      </c>
      <c r="C11" s="1177"/>
      <c r="D11" s="1825"/>
      <c r="E11" s="358" t="s">
        <v>1403</v>
      </c>
      <c r="F11" s="359">
        <f ca="1">'数据-取费表'!B39</f>
        <v>1.4999999999999999E-2</v>
      </c>
      <c r="G11" s="1850"/>
      <c r="H11" s="1298"/>
      <c r="I11" s="1824" t="s">
        <v>1379</v>
      </c>
      <c r="J11" s="1177"/>
      <c r="K11" s="748"/>
      <c r="L11" s="358" t="s">
        <v>1403</v>
      </c>
      <c r="M11" s="1055">
        <f ca="1">'数据-取费表'!B39</f>
        <v>1.4999999999999999E-2</v>
      </c>
    </row>
    <row r="12" spans="1:37" ht="18" customHeight="1" thickBot="1">
      <c r="A12" s="1332" t="s">
        <v>1071</v>
      </c>
      <c r="B12" s="1826" t="s">
        <v>1404</v>
      </c>
      <c r="C12" s="1333"/>
      <c r="D12" s="1334"/>
      <c r="E12" s="1339"/>
      <c r="F12" s="1335"/>
      <c r="G12" s="1850"/>
      <c r="H12" s="1332" t="s">
        <v>1071</v>
      </c>
      <c r="I12" s="1826" t="s">
        <v>1404</v>
      </c>
      <c r="J12" s="1333"/>
      <c r="K12" s="1347"/>
      <c r="L12" s="1339"/>
      <c r="M12" s="1348"/>
    </row>
    <row r="13" spans="1:37" ht="18" customHeight="1" thickTop="1">
      <c r="A13" s="1328">
        <v>2</v>
      </c>
      <c r="B13" s="1329" t="s">
        <v>1405</v>
      </c>
      <c r="C13" s="355">
        <f ca="1">ROUND(C29*F13,0)</f>
        <v>8534</v>
      </c>
      <c r="D13" s="1330" t="s">
        <v>1406</v>
      </c>
      <c r="E13" s="1330" t="s">
        <v>1407</v>
      </c>
      <c r="F13" s="1331">
        <f ca="1">INDIRECT("'数据-取费表'!y"&amp;$G$1)</f>
        <v>1</v>
      </c>
      <c r="G13" s="1850"/>
      <c r="H13" s="1328">
        <v>2</v>
      </c>
      <c r="I13" s="1329" t="s">
        <v>1405</v>
      </c>
      <c r="J13" s="1289">
        <f ca="1">ROUND(J14*J15,0)</f>
        <v>0</v>
      </c>
      <c r="K13" s="1336" t="s">
        <v>1406</v>
      </c>
      <c r="L13" s="1851"/>
      <c r="M13" s="1852"/>
    </row>
    <row r="14" spans="1:37" ht="18" customHeight="1">
      <c r="A14" s="1200" t="s">
        <v>1030</v>
      </c>
      <c r="B14" s="347" t="s">
        <v>1408</v>
      </c>
      <c r="C14" s="363">
        <f ca="1">INDIRECT("'数据-取费表'!m"&amp;$G$1)+INDIRECT("'数据-取费表'!t"&amp;$G$1)</f>
        <v>6300</v>
      </c>
      <c r="D14" s="3348" t="s">
        <v>1409</v>
      </c>
      <c r="E14" s="3346"/>
      <c r="F14" s="364"/>
      <c r="G14" s="1850"/>
      <c r="H14" s="1200" t="s">
        <v>1031</v>
      </c>
      <c r="I14" s="347" t="s">
        <v>1410</v>
      </c>
      <c r="J14" s="24">
        <f ca="1">C29</f>
        <v>8534</v>
      </c>
      <c r="K14" s="3354"/>
      <c r="L14" s="978"/>
      <c r="M14" s="979"/>
    </row>
    <row r="15" spans="1:37" s="1857" customFormat="1" ht="18" customHeight="1" thickBot="1">
      <c r="A15" s="1200" t="s">
        <v>1032</v>
      </c>
      <c r="B15" s="347" t="s">
        <v>1411</v>
      </c>
      <c r="C15" s="24">
        <f ca="1">ROUND(C14*F15,0)</f>
        <v>189</v>
      </c>
      <c r="D15" s="365" t="s">
        <v>1412</v>
      </c>
      <c r="E15" s="365" t="s">
        <v>1413</v>
      </c>
      <c r="F15" s="366">
        <f>'数据-取费表'!B33</f>
        <v>0.03</v>
      </c>
      <c r="G15" s="1853"/>
      <c r="H15" s="1338" t="s">
        <v>1035</v>
      </c>
      <c r="I15" s="1339" t="s">
        <v>1407</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1380</v>
      </c>
      <c r="B16" s="347" t="s">
        <v>1414</v>
      </c>
      <c r="C16" s="24">
        <f ca="1">ROUND(INDIRECT("'数据-取费表'!m"&amp;$G$1)*F16,0)</f>
        <v>0</v>
      </c>
      <c r="D16" s="347" t="s">
        <v>1412</v>
      </c>
      <c r="E16" s="347" t="s">
        <v>1413</v>
      </c>
      <c r="F16" s="367">
        <f ca="1">IF(INDIRECT("'数据-取费表'!c"&amp;$G$1)="住宅",'数据-取费表'!B34,0)</f>
        <v>0</v>
      </c>
      <c r="G16" s="1850"/>
      <c r="H16" s="1328" t="s">
        <v>1026</v>
      </c>
      <c r="I16" s="1329" t="s">
        <v>1415</v>
      </c>
      <c r="J16" s="355">
        <f ca="1">ROUND(J17+J22+J23+J24,0)</f>
        <v>211</v>
      </c>
      <c r="K16" s="1336" t="s">
        <v>1416</v>
      </c>
      <c r="L16" s="3349"/>
      <c r="M16" s="1293"/>
    </row>
    <row r="17" spans="1:37" s="1857" customFormat="1" ht="18" customHeight="1">
      <c r="A17" s="1200" t="s">
        <v>1381</v>
      </c>
      <c r="B17" s="347" t="s">
        <v>1417</v>
      </c>
      <c r="C17" s="24">
        <f ca="1">ROUND(F17*(F43+INDIRECT("'数据-取费表'!S"&amp;$G$1))/10000,0)</f>
        <v>472</v>
      </c>
      <c r="D17" s="347" t="s">
        <v>1418</v>
      </c>
      <c r="E17" s="347" t="s">
        <v>1419</v>
      </c>
      <c r="F17" s="26">
        <f>'数据-取费表'!B35</f>
        <v>150</v>
      </c>
      <c r="G17" s="1853"/>
      <c r="H17" s="1200" t="s">
        <v>1031</v>
      </c>
      <c r="I17" s="347" t="s">
        <v>1420</v>
      </c>
      <c r="J17" s="24">
        <f ca="1">ROUND(IF(项目基本情况!B11="自然人",J6*M17/(1+'数据-取费表'!C42),J18+J19+J20),1)</f>
        <v>82.9</v>
      </c>
      <c r="K17" s="3348" t="s">
        <v>1421</v>
      </c>
      <c r="L17" s="334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1382</v>
      </c>
      <c r="B18" s="347" t="s">
        <v>1423</v>
      </c>
      <c r="C18" s="24">
        <f ca="1">ROUND(C14*F18,0)</f>
        <v>95</v>
      </c>
      <c r="D18" s="347" t="s">
        <v>1412</v>
      </c>
      <c r="E18" s="347" t="s">
        <v>1413</v>
      </c>
      <c r="F18" s="367">
        <f>'数据-取费表'!B36</f>
        <v>1.4999999999999999E-2</v>
      </c>
      <c r="G18" s="1853"/>
      <c r="H18" s="1200" t="s">
        <v>1030</v>
      </c>
      <c r="I18" s="347" t="s">
        <v>1424</v>
      </c>
      <c r="J18" s="24">
        <f ca="1">ROUND(J6*M18/(1+'数据-取费表'!C42),2)</f>
        <v>0</v>
      </c>
      <c r="K18" s="334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1426</v>
      </c>
      <c r="C19" s="24">
        <f ca="1">SUM(C14:C18)</f>
        <v>7056</v>
      </c>
      <c r="D19" s="140" t="s">
        <v>1427</v>
      </c>
      <c r="E19" s="3353"/>
      <c r="F19" s="26"/>
      <c r="G19" s="1850"/>
      <c r="H19" s="1200" t="s">
        <v>1032</v>
      </c>
      <c r="I19" s="347" t="s">
        <v>1428</v>
      </c>
      <c r="J19" s="24">
        <f ca="1">IF(K19="按租金收入计税",ROUND(J6*M19/(1+'数据-取费表'!C42),2),ROUND(C29*M19*0.7,2))</f>
        <v>71.69</v>
      </c>
      <c r="K19" s="1827" t="s">
        <v>1429</v>
      </c>
      <c r="L19" s="347" t="s">
        <v>1413</v>
      </c>
      <c r="M19" s="367">
        <f>IF(K19="按租金收入计税",'数据-取费表'!B51,'数据-取费表'!B50)</f>
        <v>1.2E-2</v>
      </c>
    </row>
    <row r="20" spans="1:37" s="1857" customFormat="1" ht="18" customHeight="1">
      <c r="A20" s="1200" t="s">
        <v>1035</v>
      </c>
      <c r="B20" s="347" t="s">
        <v>1430</v>
      </c>
      <c r="C20" s="24">
        <f ca="1">ROUND(C19*F20,0)</f>
        <v>141</v>
      </c>
      <c r="D20" s="369" t="s">
        <v>1431</v>
      </c>
      <c r="E20" s="347" t="s">
        <v>1413</v>
      </c>
      <c r="F20" s="367">
        <f>'数据-取费表'!B37</f>
        <v>0.02</v>
      </c>
      <c r="G20" s="1853"/>
      <c r="H20" s="1200" t="s">
        <v>1380</v>
      </c>
      <c r="I20" s="164" t="s">
        <v>1432</v>
      </c>
      <c r="J20" s="25">
        <f ca="1">ROUND(M20*M21/10000,2)</f>
        <v>11.22</v>
      </c>
      <c r="K20" s="370" t="s">
        <v>1433</v>
      </c>
      <c r="L20" s="347" t="s">
        <v>1434</v>
      </c>
      <c r="M20" s="371">
        <f>'数据-取费表'!B52</f>
        <v>10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1435</v>
      </c>
      <c r="C21" s="24" t="s">
        <v>1</v>
      </c>
      <c r="D21" s="369" t="s">
        <v>1436</v>
      </c>
      <c r="E21" s="347" t="s">
        <v>1437</v>
      </c>
      <c r="F21" s="367">
        <f>'数据-取费表'!B38</f>
        <v>0.02</v>
      </c>
      <c r="G21" s="1853"/>
      <c r="H21" s="372"/>
      <c r="I21" s="356"/>
      <c r="J21" s="29"/>
      <c r="K21" s="373"/>
      <c r="L21" s="347" t="s">
        <v>1438</v>
      </c>
      <c r="M21" s="348">
        <f ca="1">INDIRECT("'数据-取费表'!r"&amp;$G$1)</f>
        <v>11220.06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1383</v>
      </c>
      <c r="B22" s="347" t="s">
        <v>1439</v>
      </c>
      <c r="C22" s="24"/>
      <c r="D22" s="140" t="str">
        <f>IF(F23&lt;=1,"单利计息。","复利计息。")&amp;"建造成本、管理费用、销售费用产生的利息。"</f>
        <v>复利计息。建造成本、管理费用、销售费用产生的利息。</v>
      </c>
      <c r="E22" s="3353"/>
      <c r="F22" s="26"/>
      <c r="G22" s="1850"/>
      <c r="H22" s="1200" t="s">
        <v>1035</v>
      </c>
      <c r="I22" s="347" t="s">
        <v>1440</v>
      </c>
      <c r="J22" s="24">
        <f ca="1">ROUND(J14*M22,1)</f>
        <v>128</v>
      </c>
      <c r="K22" s="3347" t="s">
        <v>1441</v>
      </c>
      <c r="L22" s="347" t="s">
        <v>1413</v>
      </c>
      <c r="M22" s="374">
        <f ca="1">INDIRECT("'数据-取费表'!Ak"&amp;$G$1)</f>
        <v>1.4999999999999999E-2</v>
      </c>
    </row>
    <row r="23" spans="1:37" s="1857" customFormat="1" ht="18" customHeight="1">
      <c r="A23" s="1200" t="s">
        <v>1030</v>
      </c>
      <c r="B23" s="347" t="s">
        <v>1442</v>
      </c>
      <c r="C23" s="24">
        <f ca="1">IF('数据-取费表'!B22&lt;=1,ROUND(C19*F24*F23/2,0)+ROUND(C20*F24*F23/2,0),ROUND(C19*(POWER((1+F24),F23/2)-1),0)+ROUND(C20*(POWER((1+F24),F23/2)-1),0))</f>
        <v>342</v>
      </c>
      <c r="D23" s="375" t="str">
        <f>IF(F23&lt;=1,"(建造成本+管理费用)×利率×(建设周期÷2)","(建造成本+管理费用)×((1+利率)^(建设周期÷2)-1)")</f>
        <v>(建造成本+管理费用)×((1+利率)^(建设周期÷2)-1)</v>
      </c>
      <c r="E23" s="347" t="s">
        <v>1443</v>
      </c>
      <c r="F23" s="371">
        <f>'数据-取费表'!B20</f>
        <v>2</v>
      </c>
      <c r="G23" s="1853"/>
      <c r="H23" s="1200" t="s">
        <v>1071</v>
      </c>
      <c r="I23" s="347" t="s">
        <v>1444</v>
      </c>
      <c r="J23" s="24">
        <f ca="1">ROUND(J13*M23,1)</f>
        <v>0</v>
      </c>
      <c r="K23" s="3347" t="s">
        <v>1445</v>
      </c>
      <c r="L23" s="347" t="s">
        <v>1413</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8" t="s">
        <v>1383</v>
      </c>
      <c r="I24" s="1339" t="s">
        <v>1430</v>
      </c>
      <c r="J24" s="1340">
        <f ca="1">ROUND(J5*M24,1)</f>
        <v>0</v>
      </c>
      <c r="K24" s="1341" t="s">
        <v>1450</v>
      </c>
      <c r="L24" s="1339" t="s">
        <v>1413</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1451</v>
      </c>
      <c r="B25" s="347" t="s">
        <v>1452</v>
      </c>
      <c r="C25" s="24"/>
      <c r="D25" s="140" t="s">
        <v>1453</v>
      </c>
      <c r="E25" s="3353"/>
      <c r="F25" s="26"/>
      <c r="G25" s="1850"/>
      <c r="H25" s="1328" t="s">
        <v>1027</v>
      </c>
      <c r="I25" s="1343" t="s">
        <v>1454</v>
      </c>
      <c r="J25" s="355">
        <f ca="1">J5-J16</f>
        <v>-211</v>
      </c>
      <c r="K25" s="1344" t="s">
        <v>1455</v>
      </c>
      <c r="L25" s="1345"/>
      <c r="M25" s="1346"/>
    </row>
    <row r="26" spans="1:37">
      <c r="A26" s="1200" t="s">
        <v>1030</v>
      </c>
      <c r="B26" s="347" t="s">
        <v>1456</v>
      </c>
      <c r="C26" s="24">
        <f ca="1">ROUND((C19+C20)*F26,0)</f>
        <v>360</v>
      </c>
      <c r="D26" s="369" t="s">
        <v>1457</v>
      </c>
      <c r="E26" s="358" t="s">
        <v>1458</v>
      </c>
      <c r="F26" s="357">
        <f ca="1">INDIRECT("'数据-取费表'!q"&amp;$G$1)</f>
        <v>0.05</v>
      </c>
      <c r="G26" s="1850"/>
      <c r="H26" s="344" t="s">
        <v>1028</v>
      </c>
      <c r="I26" s="345" t="s">
        <v>1459</v>
      </c>
      <c r="J26" s="346">
        <f ca="1">IF(J5&lt;&gt;0,ROUND(J25*(1-((1+M28)/(1+M26))^M27)/(M26-M28),0),0)</f>
        <v>0</v>
      </c>
      <c r="K26" s="370" t="s">
        <v>1460</v>
      </c>
      <c r="L26" s="347" t="s">
        <v>1461</v>
      </c>
      <c r="M26" s="357">
        <f ca="1">INDIRECT("'数据-取费表'!I"&amp;$G$1)</f>
        <v>5.5E-2</v>
      </c>
    </row>
    <row r="27" spans="1:37" ht="18" customHeight="1">
      <c r="A27" s="1200" t="s">
        <v>1032</v>
      </c>
      <c r="B27" s="347" t="s">
        <v>1462</v>
      </c>
      <c r="C27" s="24">
        <f ca="1">ROUND(F21*F26,4)</f>
        <v>1E-3</v>
      </c>
      <c r="D27" s="369" t="s">
        <v>1463</v>
      </c>
      <c r="E27" s="365"/>
      <c r="F27" s="366"/>
      <c r="G27" s="1850"/>
      <c r="H27" s="349"/>
      <c r="I27" s="350"/>
      <c r="J27" s="351"/>
      <c r="K27" s="378" t="s">
        <v>1464</v>
      </c>
      <c r="L27" s="347" t="s">
        <v>1465</v>
      </c>
      <c r="M27" s="379">
        <f ca="1">INDIRECT("'数据-取费表'!ag"&amp;$G$1)</f>
        <v>0</v>
      </c>
    </row>
    <row r="28" spans="1:37" s="1857" customFormat="1" ht="18" customHeight="1">
      <c r="A28" s="1200"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1469</v>
      </c>
      <c r="C29" s="1340">
        <f ca="1">ROUND((C19+C20+C23+C26)/(1-F21-C24-C27-C28),0)</f>
        <v>8534</v>
      </c>
      <c r="D29" s="1341"/>
      <c r="E29" s="1339"/>
      <c r="F29" s="1342"/>
      <c r="G29" s="1853"/>
      <c r="H29" s="380" t="s">
        <v>1029</v>
      </c>
      <c r="I29" s="381" t="s">
        <v>1470</v>
      </c>
      <c r="J29" s="382">
        <f ca="1">ROUND(J26/(1+F40)^F41,0)</f>
        <v>0</v>
      </c>
      <c r="K29" s="383" t="s">
        <v>1471</v>
      </c>
      <c r="L29" s="384"/>
      <c r="M29" s="385">
        <f ca="1">INDIRECT("'数据-取费表'!k"&amp;$G$1)</f>
        <v>28390.01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1415</v>
      </c>
      <c r="C30" s="355">
        <f ca="1">ROUND(C31+C36+C37+C38,0)</f>
        <v>239</v>
      </c>
      <c r="D30" s="1336" t="s">
        <v>1416</v>
      </c>
      <c r="E30" s="3349"/>
      <c r="F30" s="1293"/>
      <c r="G30" s="1850"/>
      <c r="H30" s="745"/>
      <c r="I30" s="746"/>
      <c r="J30" s="747"/>
      <c r="K30" s="748"/>
      <c r="L30" s="749"/>
      <c r="M30" s="750"/>
    </row>
    <row r="31" spans="1:37" ht="18" customHeight="1">
      <c r="A31" s="1200" t="s">
        <v>1031</v>
      </c>
      <c r="B31" s="347" t="s">
        <v>1420</v>
      </c>
      <c r="C31" s="24">
        <f ca="1">ROUND(IF(项目基本情况!B11="自然人",C6*F31/(1+'数据-取费表'!C42),C32+C33+C34),1)</f>
        <v>93.1</v>
      </c>
      <c r="D31" s="3348" t="s">
        <v>1421</v>
      </c>
      <c r="E31" s="334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1424</v>
      </c>
      <c r="C32" s="24">
        <f ca="1">IF(项目基本情况!B11="自然人","——",ROUND(C6*F32/(1+'数据-取费表'!C42),2))</f>
        <v>25.72</v>
      </c>
      <c r="D32" s="3347" t="s">
        <v>1425</v>
      </c>
      <c r="E32" s="347" t="s">
        <v>1413</v>
      </c>
      <c r="F32" s="377">
        <f>'数据-取费表'!B41</f>
        <v>5.5000000000000007E-2</v>
      </c>
      <c r="G32" s="1850"/>
      <c r="H32" s="745"/>
      <c r="I32" s="746"/>
      <c r="J32" s="747"/>
      <c r="K32" s="748"/>
      <c r="L32" s="749"/>
      <c r="M32" s="750"/>
    </row>
    <row r="33" spans="1:18" ht="18" customHeight="1">
      <c r="A33" s="1200" t="s">
        <v>1032</v>
      </c>
      <c r="B33" s="347" t="s">
        <v>1428</v>
      </c>
      <c r="C33" s="24">
        <f ca="1">IF(项目基本情况!B11="自然人","——",IF(D33="按租金收入计税",ROUND(C6*F33/(1+'数据-取费表'!C42),2),IF(D33="按房产原值计税",ROUND(C29*F33*0.7,2),INDIRECT("'数据-取费表'!Aj"&amp;$G$1))))</f>
        <v>56.11</v>
      </c>
      <c r="D33" s="1827" t="s">
        <v>3047</v>
      </c>
      <c r="E33" s="347" t="s">
        <v>1413</v>
      </c>
      <c r="F33" s="367">
        <f>IF(D33="按票据","——",IF(D33="按租金收入计税",'数据-取费表'!B51,'数据-取费表'!B50))</f>
        <v>0.12</v>
      </c>
      <c r="G33" s="1850"/>
      <c r="H33" s="1858"/>
      <c r="I33" s="1859"/>
      <c r="J33" s="1860"/>
      <c r="K33" s="1861"/>
      <c r="L33" s="1858"/>
      <c r="M33" s="1858"/>
    </row>
    <row r="34" spans="1:18" ht="18" customHeight="1">
      <c r="A34" s="1290" t="s">
        <v>1380</v>
      </c>
      <c r="B34" s="164" t="s">
        <v>1432</v>
      </c>
      <c r="C34" s="25">
        <f ca="1">IF(项目基本情况!B11="自然人","——",ROUND(F34*F35/10000,2))</f>
        <v>11.22</v>
      </c>
      <c r="D34" s="370" t="s">
        <v>1433</v>
      </c>
      <c r="E34" s="347" t="s">
        <v>1434</v>
      </c>
      <c r="F34" s="371">
        <f>'数据-取费表'!B52</f>
        <v>10</v>
      </c>
      <c r="G34" s="1850"/>
      <c r="H34" s="745"/>
      <c r="I34" s="1859"/>
      <c r="J34" s="1860"/>
      <c r="K34" s="1862"/>
      <c r="L34" s="1863"/>
      <c r="M34" s="1863"/>
    </row>
    <row r="35" spans="1:18" ht="18" customHeight="1">
      <c r="A35" s="1352"/>
      <c r="B35" s="1350"/>
      <c r="C35" s="29"/>
      <c r="D35" s="373"/>
      <c r="E35" s="347" t="s">
        <v>1438</v>
      </c>
      <c r="F35" s="348">
        <f ca="1">INDIRECT("'数据-取费表'!r"&amp;$G$1)</f>
        <v>11220.06</v>
      </c>
      <c r="G35" s="1850"/>
      <c r="H35" s="745"/>
      <c r="I35" s="1859"/>
      <c r="J35" s="1860"/>
      <c r="K35" s="1861"/>
      <c r="L35" s="1858"/>
      <c r="M35" s="1858"/>
    </row>
    <row r="36" spans="1:18" ht="18" customHeight="1">
      <c r="A36" s="1351" t="s">
        <v>1035</v>
      </c>
      <c r="B36" s="347" t="s">
        <v>1440</v>
      </c>
      <c r="C36" s="24">
        <f ca="1">ROUND(C29*F36,1)</f>
        <v>128</v>
      </c>
      <c r="D36" s="3347" t="s">
        <v>1473</v>
      </c>
      <c r="E36" s="347" t="s">
        <v>1413</v>
      </c>
      <c r="F36" s="374">
        <f ca="1">INDIRECT("'数据-取费表'!Ak"&amp;$G$1)</f>
        <v>1.4999999999999999E-2</v>
      </c>
      <c r="G36" s="1850"/>
      <c r="H36" s="1858"/>
      <c r="I36" s="1859"/>
      <c r="J36" s="1860"/>
      <c r="K36" s="751"/>
      <c r="L36" s="1858"/>
      <c r="M36" s="1858"/>
    </row>
    <row r="37" spans="1:18" ht="18" customHeight="1">
      <c r="A37" s="1200" t="s">
        <v>1071</v>
      </c>
      <c r="B37" s="347" t="s">
        <v>1444</v>
      </c>
      <c r="C37" s="24">
        <f ca="1">ROUND(C13*F37,1)</f>
        <v>12.8</v>
      </c>
      <c r="D37" s="3347" t="s">
        <v>1445</v>
      </c>
      <c r="E37" s="347" t="s">
        <v>1413</v>
      </c>
      <c r="F37" s="376">
        <f ca="1">INDIRECT("'数据-取费表'!Al"&amp;$G$1)</f>
        <v>1.5E-3</v>
      </c>
      <c r="G37" s="1850"/>
      <c r="H37" s="1858"/>
      <c r="I37" s="1859"/>
      <c r="J37" s="1860"/>
      <c r="K37" s="751"/>
      <c r="L37" s="1858"/>
      <c r="M37" s="1858"/>
    </row>
    <row r="38" spans="1:18" ht="18" customHeight="1" thickBot="1">
      <c r="A38" s="1338" t="s">
        <v>1383</v>
      </c>
      <c r="B38" s="1339" t="s">
        <v>1430</v>
      </c>
      <c r="C38" s="1340">
        <f ca="1">ROUND(C5*F38,1)</f>
        <v>4.9000000000000004</v>
      </c>
      <c r="D38" s="1341" t="s">
        <v>1450</v>
      </c>
      <c r="E38" s="1339" t="s">
        <v>1413</v>
      </c>
      <c r="F38" s="1335">
        <f ca="1">INDIRECT("'数据-取费表'!Am"&amp;$G$1)</f>
        <v>0.01</v>
      </c>
      <c r="G38" s="1850"/>
      <c r="H38" s="1858"/>
      <c r="I38" s="1859"/>
      <c r="J38" s="1860"/>
      <c r="K38" s="1864"/>
      <c r="L38" s="1858"/>
      <c r="M38" s="1858"/>
    </row>
    <row r="39" spans="1:18" ht="24.6" customHeight="1" thickTop="1">
      <c r="A39" s="1328" t="s">
        <v>1027</v>
      </c>
      <c r="B39" s="1343" t="s">
        <v>1454</v>
      </c>
      <c r="C39" s="355">
        <f ca="1">C5-C30</f>
        <v>252</v>
      </c>
      <c r="D39" s="1344" t="s">
        <v>1455</v>
      </c>
      <c r="E39" s="1345"/>
      <c r="F39" s="1346"/>
      <c r="G39" s="1850"/>
      <c r="H39" s="1858"/>
      <c r="I39" s="1859"/>
      <c r="J39" s="1860"/>
      <c r="K39" s="1864"/>
      <c r="L39" s="1858"/>
      <c r="M39" s="1858"/>
    </row>
    <row r="40" spans="1:18" ht="18" customHeight="1">
      <c r="A40" s="344" t="s">
        <v>1028</v>
      </c>
      <c r="B40" s="345" t="s">
        <v>1476</v>
      </c>
      <c r="C40" s="346">
        <f ca="1">ROUND(C39*(1-((1+F42)/(1+F40))^F41)/(F40-F42),0)</f>
        <v>5278</v>
      </c>
      <c r="D40" s="370" t="s">
        <v>1460</v>
      </c>
      <c r="E40" s="347" t="s">
        <v>1461</v>
      </c>
      <c r="F40" s="357">
        <f ca="1">INDIRECT("'数据-取费表'!I"&amp;$G$1)</f>
        <v>5.5E-2</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47.050000000000004</v>
      </c>
      <c r="G41" s="1850"/>
      <c r="H41" s="732"/>
      <c r="I41" s="1859"/>
      <c r="J41" s="1860"/>
      <c r="K41" s="751"/>
      <c r="L41" s="732"/>
      <c r="M41" s="732"/>
    </row>
    <row r="42" spans="1:18" ht="18" customHeight="1">
      <c r="A42" s="353"/>
      <c r="B42" s="354"/>
      <c r="C42" s="355"/>
      <c r="D42" s="373"/>
      <c r="E42" s="347" t="s">
        <v>1468</v>
      </c>
      <c r="F42" s="357">
        <f ca="1">INDIRECT("'数据-取费表'!v"&amp;$G$1)</f>
        <v>1.4999999999999999E-2</v>
      </c>
      <c r="G42" s="1850"/>
      <c r="H42" s="732"/>
      <c r="I42" s="1859"/>
      <c r="J42" s="1860"/>
      <c r="K42" s="751"/>
      <c r="L42" s="732"/>
      <c r="M42" s="732"/>
    </row>
    <row r="43" spans="1:18" ht="18" customHeight="1" thickBot="1">
      <c r="A43" s="380" t="s">
        <v>1029</v>
      </c>
      <c r="B43" s="381" t="s">
        <v>1478</v>
      </c>
      <c r="C43" s="382">
        <f ca="1">ROUND(C40*10000/F43,0)</f>
        <v>1859</v>
      </c>
      <c r="D43" s="383" t="s">
        <v>1479</v>
      </c>
      <c r="E43" s="384" t="s">
        <v>1480</v>
      </c>
      <c r="F43" s="385">
        <f ca="1">INDIRECT("'数据-取费表'!k"&amp;$G$1)</f>
        <v>28390.01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H45" s="1841">
        <f>1867/'数据-取费表'!AH8</f>
        <v>3.2869718309859155</v>
      </c>
      <c r="J45" s="796"/>
      <c r="O45" s="1868" t="s">
        <v>1510</v>
      </c>
      <c r="P45" s="1838"/>
      <c r="Q45" s="1838"/>
      <c r="R45" s="1838"/>
    </row>
    <row r="46" spans="1:18" s="1841" customFormat="1" ht="13.8" thickBot="1">
      <c r="A46" s="1869" t="s">
        <v>1511</v>
      </c>
      <c r="C46" s="1870">
        <f ca="1">C68-C40</f>
        <v>-19806</v>
      </c>
      <c r="D46" s="1871" t="str">
        <f>C2</f>
        <v>万元</v>
      </c>
      <c r="E46" s="1865"/>
      <c r="F46" s="1865"/>
      <c r="I46" s="1872" t="s">
        <v>1512</v>
      </c>
      <c r="J46" s="1873"/>
      <c r="K46" s="1874"/>
      <c r="L46" s="1875" t="str">
        <f ca="1">IF(M47="住宅",0,IF(L48&gt;J51,L60,J60))</f>
        <v>0</v>
      </c>
      <c r="O46" s="1876" t="s">
        <v>1513</v>
      </c>
      <c r="P46" s="1877" t="s">
        <v>1514</v>
      </c>
      <c r="Q46" s="1878" t="s">
        <v>1515</v>
      </c>
      <c r="R46" s="1878" t="s">
        <v>1516</v>
      </c>
    </row>
    <row r="47" spans="1:18" s="1841" customFormat="1" ht="13.8" thickBot="1">
      <c r="A47" s="1164" t="s">
        <v>1387</v>
      </c>
      <c r="B47" s="1196" t="s">
        <v>1388</v>
      </c>
      <c r="C47" s="1366" t="s">
        <v>1389</v>
      </c>
      <c r="D47" s="1196" t="s">
        <v>1390</v>
      </c>
      <c r="E47" s="1278" t="s">
        <v>1391</v>
      </c>
      <c r="F47" s="1279"/>
      <c r="G47" s="792"/>
      <c r="I47" s="1879" t="s">
        <v>1517</v>
      </c>
      <c r="J47" s="1880" t="s">
        <v>3048</v>
      </c>
      <c r="K47" s="1881" t="s">
        <v>1518</v>
      </c>
      <c r="L47" s="1882">
        <f ca="1">INDIRECT("'数据-取费表'!d"&amp;$G$1)</f>
        <v>50</v>
      </c>
      <c r="M47" s="1837" t="str">
        <f>IF(ISNUMBER(FIND("住宅",C1)),"住宅","非住宅")</f>
        <v>非住宅</v>
      </c>
      <c r="O47" s="1883" t="s">
        <v>1036</v>
      </c>
      <c r="P47" s="1884" t="s">
        <v>1519</v>
      </c>
      <c r="Q47" s="1885">
        <f ca="1">C40+J29</f>
        <v>5278</v>
      </c>
      <c r="R47" s="1885" t="s">
        <v>1520</v>
      </c>
    </row>
    <row r="48" spans="1:18" s="1841" customFormat="1" ht="40.200000000000003" thickBot="1">
      <c r="A48" s="1359" t="s">
        <v>1131</v>
      </c>
      <c r="B48" s="345" t="s">
        <v>1392</v>
      </c>
      <c r="C48" s="3352">
        <f ca="1">C49+C53+C55</f>
        <v>0</v>
      </c>
      <c r="D48" s="1361"/>
      <c r="E48" s="1362"/>
      <c r="F48" s="1180"/>
      <c r="G48" s="792"/>
      <c r="H48" s="793"/>
      <c r="I48" s="1886" t="s">
        <v>1521</v>
      </c>
      <c r="J48" s="1887" t="s">
        <v>3049</v>
      </c>
      <c r="K48" s="1888" t="s">
        <v>1522</v>
      </c>
      <c r="L48" s="1889">
        <f ca="1">INDIRECT("'数据-取费表'!f"&amp;$G$1)</f>
        <v>48.45</v>
      </c>
      <c r="O48" s="1883" t="s">
        <v>1037</v>
      </c>
      <c r="P48" s="1884" t="s">
        <v>1523</v>
      </c>
      <c r="Q48" s="1885" t="str">
        <f ca="1">J60</f>
        <v>0</v>
      </c>
      <c r="R48" s="1885" t="s">
        <v>1524</v>
      </c>
    </row>
    <row r="49" spans="1:18" s="1841" customFormat="1" ht="13.8" thickBot="1">
      <c r="A49" s="1193" t="s">
        <v>1132</v>
      </c>
      <c r="B49" s="1828" t="s">
        <v>1481</v>
      </c>
      <c r="C49" s="1363">
        <f ca="1">ROUND(F49*F51*F50*(1-F52)/10000,0)</f>
        <v>0</v>
      </c>
      <c r="D49" s="1275" t="s">
        <v>2984</v>
      </c>
      <c r="E49" s="1829" t="s">
        <v>1482</v>
      </c>
      <c r="F49" s="1280"/>
      <c r="G49" s="1890"/>
      <c r="H49" s="793"/>
      <c r="I49" s="1886" t="s">
        <v>1525</v>
      </c>
      <c r="J49" s="1891">
        <v>2020</v>
      </c>
      <c r="K49" s="1888" t="s">
        <v>1526</v>
      </c>
      <c r="L49" s="1892"/>
      <c r="O49" s="1893" t="s">
        <v>1038</v>
      </c>
      <c r="P49" s="1884" t="s">
        <v>1527</v>
      </c>
      <c r="Q49" s="1885">
        <f ca="1">C29</f>
        <v>8534</v>
      </c>
      <c r="R49" s="1885" t="s">
        <v>1520</v>
      </c>
    </row>
    <row r="50" spans="1:18" s="1841" customFormat="1" ht="13.8" thickBot="1">
      <c r="A50" s="1194"/>
      <c r="B50" s="1197"/>
      <c r="C50" s="1367"/>
      <c r="D50" s="1171"/>
      <c r="E50" s="1276" t="s">
        <v>1397</v>
      </c>
      <c r="F50" s="1277">
        <f ca="1">F7</f>
        <v>568</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8" thickBot="1">
      <c r="A51" s="1195"/>
      <c r="B51" s="1197"/>
      <c r="C51" s="1198"/>
      <c r="D51" s="1171"/>
      <c r="E51" s="1199" t="s">
        <v>1398</v>
      </c>
      <c r="F51" s="348">
        <f ca="1">F8</f>
        <v>12</v>
      </c>
      <c r="I51" s="1897" t="s">
        <v>1531</v>
      </c>
      <c r="J51" s="1898">
        <f>IF(J49="",J50,J49+J50-YEAR('数据-取费表'!B2))</f>
        <v>61</v>
      </c>
      <c r="K51" s="1899" t="s">
        <v>1532</v>
      </c>
      <c r="L51" s="1900">
        <f ca="1">ROUND(-PV(INDIRECT("'数据-取费表'!h"&amp;$G$1),L48,(C39-C13*C76),0),0)</f>
        <v>-8577</v>
      </c>
      <c r="M51" s="1901"/>
      <c r="O51" s="1893" t="s">
        <v>1040</v>
      </c>
      <c r="P51" s="1884" t="s">
        <v>1533</v>
      </c>
      <c r="Q51" s="1896">
        <f>J52</f>
        <v>0.09</v>
      </c>
      <c r="R51" s="1885"/>
    </row>
    <row r="52" spans="1:18" s="1841" customFormat="1" ht="13.8" thickBot="1">
      <c r="A52" s="1195"/>
      <c r="B52" s="1197"/>
      <c r="C52" s="1198"/>
      <c r="D52" s="1171"/>
      <c r="E52" s="1199" t="s">
        <v>1399</v>
      </c>
      <c r="F52" s="1274"/>
      <c r="I52" s="1902" t="s">
        <v>1534</v>
      </c>
      <c r="J52" s="1903">
        <v>0.09</v>
      </c>
      <c r="K52" s="1902" t="s">
        <v>1535</v>
      </c>
      <c r="L52" s="1903"/>
      <c r="O52" s="1893" t="s">
        <v>1041</v>
      </c>
      <c r="P52" s="1884" t="s">
        <v>1536</v>
      </c>
      <c r="Q52" s="1885">
        <f ca="1">J53</f>
        <v>47.050000000000004</v>
      </c>
      <c r="R52" s="1885" t="s">
        <v>1537</v>
      </c>
    </row>
    <row r="53" spans="1:18" s="1841" customFormat="1" ht="36.6" thickBot="1">
      <c r="A53" s="1404" t="s">
        <v>1133</v>
      </c>
      <c r="B53" s="1830" t="s">
        <v>1400</v>
      </c>
      <c r="C53" s="361">
        <f ca="1">ROUND(IF(F53="押一",C49/12*F11,IF(F53="押二",C49/12*2*F11,IF(F53="押三",C49/12*3*F11,C54*F11))),0)</f>
        <v>0</v>
      </c>
      <c r="D53" s="1823" t="s">
        <v>2993</v>
      </c>
      <c r="E53" s="358" t="s">
        <v>1401</v>
      </c>
      <c r="F53" s="1365"/>
      <c r="I53" s="1904" t="s">
        <v>1538</v>
      </c>
      <c r="J53" s="2950">
        <f ca="1">IF(M47="住宅",IF(D1="——",MAX(J51,L48),MAX(J51,L48-'数据-取费表'!B24)),IF(D1="——",MIN(J51,L48),MIN(J51,L48-'数据-取费表'!B24)))</f>
        <v>47.050000000000004</v>
      </c>
      <c r="K53" s="3750" t="s">
        <v>1539</v>
      </c>
      <c r="L53" s="3751"/>
      <c r="O53" s="1883" t="s">
        <v>1042</v>
      </c>
      <c r="P53" s="1884" t="s">
        <v>1540</v>
      </c>
      <c r="Q53" s="1885">
        <f ca="1">Q47+Q48</f>
        <v>5278</v>
      </c>
      <c r="R53" s="1885" t="s">
        <v>1043</v>
      </c>
    </row>
    <row r="54" spans="1:18" s="1841" customFormat="1" ht="24.6" thickBot="1">
      <c r="A54" s="1405"/>
      <c r="B54" s="1824" t="s">
        <v>1379</v>
      </c>
      <c r="C54" s="1177"/>
      <c r="D54" s="1823"/>
      <c r="E54" s="335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1541</v>
      </c>
      <c r="P54" s="1838"/>
      <c r="Q54" s="1838"/>
      <c r="R54" s="1838"/>
    </row>
    <row r="55" spans="1:18" s="1841" customFormat="1" ht="13.8" thickBot="1">
      <c r="A55" s="1332" t="s">
        <v>1071</v>
      </c>
      <c r="B55" s="1826" t="s">
        <v>1404</v>
      </c>
      <c r="C55" s="1333"/>
      <c r="D55" s="1823"/>
      <c r="E55" s="335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37.200000000000003" thickTop="1" thickBot="1">
      <c r="A56" s="1175">
        <v>2</v>
      </c>
      <c r="B56" s="1176" t="s">
        <v>1405</v>
      </c>
      <c r="C56" s="276">
        <f ca="1">C13</f>
        <v>8534</v>
      </c>
      <c r="D56" s="1912"/>
      <c r="E56" s="1913"/>
      <c r="F56" s="1905"/>
      <c r="I56" s="1914" t="s">
        <v>1545</v>
      </c>
      <c r="J56" s="1915" t="s">
        <v>3014</v>
      </c>
      <c r="K56" s="1886" t="s">
        <v>1546</v>
      </c>
      <c r="L56" s="1889" t="str">
        <f ca="1">IF(L48&lt;J51,"——",L48-J53)</f>
        <v>——</v>
      </c>
      <c r="O56" s="1883" t="s">
        <v>1036</v>
      </c>
      <c r="P56" s="1884" t="s">
        <v>1519</v>
      </c>
      <c r="Q56" s="1885">
        <f ca="1">C40+J29</f>
        <v>5278</v>
      </c>
      <c r="R56" s="1885" t="s">
        <v>1520</v>
      </c>
    </row>
    <row r="57" spans="1:18" s="1841" customFormat="1" ht="24.6" thickBot="1">
      <c r="A57" s="1916"/>
      <c r="B57" s="1168" t="s">
        <v>1469</v>
      </c>
      <c r="C57" s="282">
        <f ca="1">C29</f>
        <v>8534</v>
      </c>
      <c r="D57" s="1917"/>
      <c r="E57" s="1918"/>
      <c r="F57" s="1919"/>
      <c r="I57" s="1920" t="s">
        <v>1547</v>
      </c>
      <c r="J57" s="1921" t="str">
        <f ca="1">IF(OR(M47="住宅",J51&lt;L48,J56="是"),"——",J51-L48)</f>
        <v>——</v>
      </c>
      <c r="K57" s="1886" t="s">
        <v>1548</v>
      </c>
      <c r="L57" s="1889" t="str">
        <f ca="1">IF(L48&lt;J51,"——",IF(L55="比较法",L49,IF(L55="基准地价",L50,L51)))</f>
        <v>——</v>
      </c>
      <c r="O57" s="1883" t="s">
        <v>1037</v>
      </c>
      <c r="P57" s="1884" t="s">
        <v>1549</v>
      </c>
      <c r="Q57" s="1885">
        <f ca="1">L60</f>
        <v>0</v>
      </c>
      <c r="R57" s="1885" t="s">
        <v>1550</v>
      </c>
    </row>
    <row r="58" spans="1:18" s="1841" customFormat="1" ht="24.6" thickBot="1">
      <c r="A58" s="360" t="s">
        <v>1026</v>
      </c>
      <c r="B58" s="1176" t="s">
        <v>1415</v>
      </c>
      <c r="C58" s="361">
        <f ca="1">ROUND(C59+C64+C65+C66,0)</f>
        <v>869</v>
      </c>
      <c r="D58" s="1178" t="s">
        <v>1416</v>
      </c>
      <c r="E58" s="1179"/>
      <c r="F58" s="1180"/>
      <c r="I58" s="1920" t="s">
        <v>1551</v>
      </c>
      <c r="J58" s="1922" t="e">
        <f ca="1">IF(J55&lt;0.4,0.4,J55)</f>
        <v>#VALUE!</v>
      </c>
      <c r="K58" s="1899" t="s">
        <v>1552</v>
      </c>
      <c r="L58" s="1889" t="e">
        <f ca="1">ROUND(POWER(1+L52,L47-L48)*(POWER(1+L52,L48)-1)/(POWER(1+L52,L47)-1),4)</f>
        <v>#DIV/0!</v>
      </c>
      <c r="O58" s="1893" t="s">
        <v>1038</v>
      </c>
      <c r="P58" s="1884" t="s">
        <v>1553</v>
      </c>
      <c r="Q58" s="1885">
        <f>IF(L55="比较法",L49,IF(L55="基准地价",L50,0))</f>
        <v>0</v>
      </c>
      <c r="R58" s="1885" t="s">
        <v>1520</v>
      </c>
    </row>
    <row r="59" spans="1:18" s="1841" customFormat="1" ht="24.6" thickBot="1">
      <c r="A59" s="1200" t="s">
        <v>1031</v>
      </c>
      <c r="B59" s="1168" t="s">
        <v>1420</v>
      </c>
      <c r="C59" s="24">
        <f ca="1">ROUND(IF(项目基本情况!B11="自然人",C48*F59,C60+C61+C62),1)</f>
        <v>728.1</v>
      </c>
      <c r="D59" s="1181" t="s">
        <v>1421</v>
      </c>
      <c r="E59" s="1182"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1555</v>
      </c>
      <c r="Q59" s="1896">
        <f>L52</f>
        <v>0</v>
      </c>
      <c r="R59" s="1885"/>
    </row>
    <row r="60" spans="1:18" s="1841" customFormat="1" ht="16.2" thickBot="1">
      <c r="A60" s="1200" t="s">
        <v>1030</v>
      </c>
      <c r="B60" s="1168" t="s">
        <v>1424</v>
      </c>
      <c r="C60" s="24">
        <f ca="1">IF(项目基本情况!B11="自然人","——",ROUND(C48*F60/(1+'数据-取费表'!C42),2))</f>
        <v>0</v>
      </c>
      <c r="D60" s="1182" t="s">
        <v>1425</v>
      </c>
      <c r="E60" s="1168"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t="e">
        <f ca="1">L58</f>
        <v>#DIV/0!</v>
      </c>
      <c r="R60" s="1885" t="s">
        <v>1559</v>
      </c>
    </row>
    <row r="61" spans="1:18" s="1841" customFormat="1" ht="13.8" thickBot="1">
      <c r="A61" s="1200" t="s">
        <v>1483</v>
      </c>
      <c r="B61" s="1168" t="s">
        <v>1428</v>
      </c>
      <c r="C61" s="24">
        <f ca="1">IF(项目基本情况!B11="自然人","——",IF(D61="按租金收入计税",ROUND(C48*F61,2),IF(D61="按房产原值计税",ROUND(C57*F61*0.7,2),INDIRECT("'数据-取费表'!Aj"&amp;$G$1))))</f>
        <v>716.86</v>
      </c>
      <c r="D61" s="1827" t="s">
        <v>1429</v>
      </c>
      <c r="E61" s="1168" t="s">
        <v>1413</v>
      </c>
      <c r="F61" s="367">
        <f t="shared" si="0"/>
        <v>0.12</v>
      </c>
      <c r="I61" s="1926"/>
      <c r="J61" s="1926"/>
      <c r="K61" s="1926"/>
      <c r="L61" s="1926"/>
      <c r="O61" s="1893" t="s">
        <v>1041</v>
      </c>
      <c r="P61" s="1884" t="str">
        <f>K59</f>
        <v>续建工期及建筑物耐用年限下的土地年期修正系数Kn</v>
      </c>
      <c r="Q61" s="1885" t="e">
        <f ca="1">L59</f>
        <v>#DIV/0!</v>
      </c>
      <c r="R61" s="1885" t="s">
        <v>1560</v>
      </c>
    </row>
    <row r="62" spans="1:18" s="1841" customFormat="1" ht="13.8" thickBot="1">
      <c r="A62" s="1200" t="s">
        <v>1486</v>
      </c>
      <c r="B62" s="1167" t="s">
        <v>1432</v>
      </c>
      <c r="C62" s="25">
        <f ca="1">IF(项目基本情况!B11="自然人","——",ROUND(F62*F63/10000,2))</f>
        <v>11.22</v>
      </c>
      <c r="D62" s="1183" t="s">
        <v>1433</v>
      </c>
      <c r="E62" s="1168" t="s">
        <v>1434</v>
      </c>
      <c r="F62" s="371">
        <f t="shared" si="0"/>
        <v>10</v>
      </c>
      <c r="I62" s="1927" t="s">
        <v>1561</v>
      </c>
      <c r="J62" s="1928" t="s">
        <v>1562</v>
      </c>
      <c r="K62" s="1928" t="s">
        <v>1563</v>
      </c>
      <c r="L62" s="1928" t="s">
        <v>1564</v>
      </c>
      <c r="M62" s="1929" t="s">
        <v>1565</v>
      </c>
      <c r="O62" s="1883" t="s">
        <v>1042</v>
      </c>
      <c r="P62" s="1884" t="s">
        <v>1540</v>
      </c>
      <c r="Q62" s="1885">
        <f ca="1">Q56+Q57</f>
        <v>5278</v>
      </c>
      <c r="R62" s="1885" t="s">
        <v>1043</v>
      </c>
    </row>
    <row r="63" spans="1:18" s="1841" customFormat="1" ht="13.8" thickBot="1">
      <c r="A63" s="372"/>
      <c r="B63" s="1174"/>
      <c r="C63" s="29"/>
      <c r="D63" s="1184"/>
      <c r="E63" s="1168" t="s">
        <v>1438</v>
      </c>
      <c r="F63" s="348">
        <f t="shared" ca="1" si="0"/>
        <v>11220.06</v>
      </c>
      <c r="I63" s="1927" t="s">
        <v>1567</v>
      </c>
      <c r="J63" s="1928">
        <v>70</v>
      </c>
      <c r="K63" s="1928">
        <v>50</v>
      </c>
      <c r="L63" s="1928">
        <v>80</v>
      </c>
      <c r="M63" s="1930">
        <v>0.02</v>
      </c>
      <c r="O63" s="1868" t="s">
        <v>1568</v>
      </c>
      <c r="P63" s="1838"/>
      <c r="Q63" s="1838"/>
      <c r="R63" s="1838"/>
    </row>
    <row r="64" spans="1:18" s="1841" customFormat="1" ht="13.8" thickBot="1">
      <c r="A64" s="1200" t="s">
        <v>1491</v>
      </c>
      <c r="B64" s="1168" t="s">
        <v>1440</v>
      </c>
      <c r="C64" s="24">
        <f ca="1">ROUND(C57*F64,1)</f>
        <v>128</v>
      </c>
      <c r="D64" s="1182" t="s">
        <v>1473</v>
      </c>
      <c r="E64" s="1168" t="s">
        <v>1413</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8" thickBot="1">
      <c r="A65" s="1200" t="s">
        <v>1494</v>
      </c>
      <c r="B65" s="1168" t="s">
        <v>1444</v>
      </c>
      <c r="C65" s="24">
        <f ca="1">ROUND(C56*F65,1)</f>
        <v>12.8</v>
      </c>
      <c r="D65" s="1182" t="s">
        <v>1445</v>
      </c>
      <c r="E65" s="1168" t="s">
        <v>1413</v>
      </c>
      <c r="F65" s="376">
        <f t="shared" ca="1" si="0"/>
        <v>1.5E-3</v>
      </c>
      <c r="I65" s="1927" t="s">
        <v>1570</v>
      </c>
      <c r="J65" s="1928">
        <v>40</v>
      </c>
      <c r="K65" s="1928">
        <v>30</v>
      </c>
      <c r="L65" s="1928">
        <v>50</v>
      </c>
      <c r="M65" s="1930">
        <v>0.02</v>
      </c>
      <c r="O65" s="1883" t="s">
        <v>1036</v>
      </c>
      <c r="P65" s="1884" t="s">
        <v>1519</v>
      </c>
      <c r="Q65" s="1885">
        <f ca="1">C40+J29</f>
        <v>5278</v>
      </c>
      <c r="R65" s="1885" t="s">
        <v>1520</v>
      </c>
    </row>
    <row r="66" spans="1:18" s="1841" customFormat="1" ht="16.2" thickBot="1">
      <c r="A66" s="1200" t="s">
        <v>1495</v>
      </c>
      <c r="B66" s="1168" t="s">
        <v>1430</v>
      </c>
      <c r="C66" s="24">
        <f ca="1">ROUND(C48*F66,1)</f>
        <v>0</v>
      </c>
      <c r="D66" s="1182" t="s">
        <v>1450</v>
      </c>
      <c r="E66" s="1168" t="s">
        <v>1413</v>
      </c>
      <c r="F66" s="357">
        <f t="shared" ca="1" si="0"/>
        <v>0.01</v>
      </c>
      <c r="O66" s="1883" t="s">
        <v>1037</v>
      </c>
      <c r="P66" s="1884" t="s">
        <v>1549</v>
      </c>
      <c r="Q66" s="1885">
        <f ca="1">L60</f>
        <v>0</v>
      </c>
      <c r="R66" s="1885" t="s">
        <v>1572</v>
      </c>
    </row>
    <row r="67" spans="1:18" s="1841" customFormat="1" ht="24.6" thickBot="1">
      <c r="A67" s="1175" t="s">
        <v>1027</v>
      </c>
      <c r="B67" s="1185" t="s">
        <v>1454</v>
      </c>
      <c r="C67" s="361">
        <f ca="1">C48-C58</f>
        <v>-869</v>
      </c>
      <c r="D67" s="1181" t="s">
        <v>1455</v>
      </c>
      <c r="E67" s="1186"/>
      <c r="F67" s="1187"/>
      <c r="O67" s="1893" t="s">
        <v>1038</v>
      </c>
      <c r="P67" s="1884" t="s">
        <v>1553</v>
      </c>
      <c r="Q67" s="1931">
        <f ca="1">L51</f>
        <v>-8577</v>
      </c>
      <c r="R67" s="1885" t="s">
        <v>1573</v>
      </c>
    </row>
    <row r="68" spans="1:18" s="1841" customFormat="1" ht="16.2" thickBot="1">
      <c r="A68" s="1165" t="s">
        <v>1028</v>
      </c>
      <c r="B68" s="1166" t="s">
        <v>1476</v>
      </c>
      <c r="C68" s="346">
        <f ca="1">ROUND(C67*(1-((1+F70)/(1+F68))^F69)/(F68-F70),0)</f>
        <v>-14528</v>
      </c>
      <c r="D68" s="1183" t="s">
        <v>1460</v>
      </c>
      <c r="E68" s="1168" t="s">
        <v>1461</v>
      </c>
      <c r="F68" s="357">
        <f ca="1">F40</f>
        <v>5.5E-2</v>
      </c>
      <c r="O68" s="1893" t="s">
        <v>1039</v>
      </c>
      <c r="P68" s="1932" t="s">
        <v>1574</v>
      </c>
      <c r="Q68" s="1885">
        <f ca="1">ROUND(Q69-Q70*Q71,0)</f>
        <v>-473</v>
      </c>
      <c r="R68" s="1885" t="s">
        <v>1047</v>
      </c>
    </row>
    <row r="69" spans="1:18" s="1841" customFormat="1" ht="13.8" thickBot="1">
      <c r="A69" s="1169"/>
      <c r="B69" s="1170"/>
      <c r="C69" s="351"/>
      <c r="D69" s="1188" t="s">
        <v>1464</v>
      </c>
      <c r="E69" s="1168" t="s">
        <v>1465</v>
      </c>
      <c r="F69" s="379">
        <f ca="1">F41</f>
        <v>47.050000000000004</v>
      </c>
      <c r="O69" s="1893" t="s">
        <v>1044</v>
      </c>
      <c r="P69" s="1932" t="s">
        <v>1575</v>
      </c>
      <c r="Q69" s="1885">
        <f ca="1">C39</f>
        <v>252</v>
      </c>
      <c r="R69" s="1885" t="s">
        <v>1520</v>
      </c>
    </row>
    <row r="70" spans="1:18" s="1841" customFormat="1" ht="13.8" thickBot="1">
      <c r="A70" s="1172"/>
      <c r="B70" s="1173"/>
      <c r="C70" s="355"/>
      <c r="D70" s="1184"/>
      <c r="E70" s="1168" t="s">
        <v>1468</v>
      </c>
      <c r="F70" s="1274"/>
      <c r="O70" s="1893" t="s">
        <v>1045</v>
      </c>
      <c r="P70" s="1932" t="s">
        <v>1576</v>
      </c>
      <c r="Q70" s="1885">
        <f ca="1">C13</f>
        <v>8534</v>
      </c>
      <c r="R70" s="1885" t="s">
        <v>1520</v>
      </c>
    </row>
    <row r="71" spans="1:18" s="1841" customFormat="1" ht="13.8" thickBot="1">
      <c r="A71" s="1189" t="s">
        <v>1029</v>
      </c>
      <c r="B71" s="1190" t="s">
        <v>1478</v>
      </c>
      <c r="C71" s="382">
        <f ca="1">ROUND(C68*10000/F71,0)</f>
        <v>-5117</v>
      </c>
      <c r="D71" s="1191" t="s">
        <v>1479</v>
      </c>
      <c r="E71" s="1192" t="s">
        <v>1480</v>
      </c>
      <c r="F71" s="385">
        <f ca="1">F43</f>
        <v>28390.01</v>
      </c>
      <c r="O71" s="1893" t="s">
        <v>1046</v>
      </c>
      <c r="P71" s="1932" t="s">
        <v>1577</v>
      </c>
      <c r="Q71" s="1896">
        <f ca="1">C76</f>
        <v>8.5000000000000006E-2</v>
      </c>
      <c r="R71" s="1885"/>
    </row>
    <row r="72" spans="1:18" s="1841" customFormat="1" ht="13.8" thickBot="1">
      <c r="B72" s="796"/>
      <c r="C72" s="796"/>
      <c r="O72" s="1893" t="s">
        <v>1040</v>
      </c>
      <c r="P72" s="1884" t="s">
        <v>1555</v>
      </c>
      <c r="Q72" s="1896">
        <f>L52</f>
        <v>0</v>
      </c>
      <c r="R72" s="1885"/>
    </row>
    <row r="73" spans="1:18" ht="16.2" thickBot="1">
      <c r="A73" s="1841"/>
      <c r="B73" s="796"/>
      <c r="C73" s="796"/>
      <c r="D73" s="1841"/>
      <c r="E73" s="1841"/>
      <c r="F73" s="1841"/>
      <c r="O73" s="1893" t="s">
        <v>1041</v>
      </c>
      <c r="P73" s="1884" t="s">
        <v>1558</v>
      </c>
      <c r="Q73" s="1885" t="e">
        <f ca="1">L58</f>
        <v>#DIV/0!</v>
      </c>
      <c r="R73" s="1885" t="s">
        <v>1559</v>
      </c>
    </row>
    <row r="74" spans="1:18" ht="13.8" thickBot="1">
      <c r="A74" s="1841"/>
      <c r="B74" s="317" t="s">
        <v>1578</v>
      </c>
      <c r="C74" s="1934"/>
      <c r="D74" s="1841"/>
      <c r="E74" s="1841"/>
      <c r="F74" s="1841"/>
      <c r="O74" s="1893" t="s">
        <v>1048</v>
      </c>
      <c r="P74" s="1884" t="str">
        <f>K59</f>
        <v>续建工期及建筑物耐用年限下的土地年期修正系数Kn</v>
      </c>
      <c r="Q74" s="1885" t="e">
        <f ca="1">L59</f>
        <v>#DIV/0!</v>
      </c>
      <c r="R74" s="1885" t="s">
        <v>1560</v>
      </c>
    </row>
    <row r="75" spans="1:18" ht="13.8" thickBot="1">
      <c r="A75" s="1841"/>
      <c r="B75" s="386" t="s">
        <v>1497</v>
      </c>
      <c r="C75" s="387">
        <f ca="1">ROUND(C13*C76,0)</f>
        <v>725</v>
      </c>
      <c r="D75" s="1841"/>
      <c r="E75" s="1841"/>
      <c r="F75" s="1841"/>
      <c r="K75" s="1867"/>
      <c r="L75" s="1841"/>
      <c r="O75" s="1883" t="s">
        <v>1042</v>
      </c>
      <c r="P75" s="1884" t="s">
        <v>1540</v>
      </c>
      <c r="Q75" s="1885">
        <f ca="1">Q65+Q66</f>
        <v>5278</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-1.8769999999999998</v>
      </c>
    </row>
    <row r="80" spans="1:18">
      <c r="B80" s="386" t="s">
        <v>1502</v>
      </c>
      <c r="C80" s="318">
        <f ca="1">ROUND(C75/C39,3)</f>
        <v>2.8769999999999998</v>
      </c>
    </row>
    <row r="81" spans="2:3">
      <c r="B81" s="314" t="s">
        <v>1503</v>
      </c>
      <c r="C81" s="282"/>
    </row>
    <row r="82" spans="2:3">
      <c r="B82" s="317" t="s">
        <v>1504</v>
      </c>
      <c r="C82" s="319">
        <f ca="1">1-C83</f>
        <v>-0.61699999999999999</v>
      </c>
    </row>
    <row r="83" spans="2:3">
      <c r="B83" s="317" t="s">
        <v>1505</v>
      </c>
      <c r="C83" s="318">
        <f ca="1">ROUND(C13/C40,3)</f>
        <v>1.617</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2697</v>
      </c>
      <c r="B1" s="395"/>
      <c r="C1" s="396" t="s">
        <v>2698</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2284</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04" t="s">
        <v>2601</v>
      </c>
      <c r="AC4" s="3703" t="s">
        <v>2602</v>
      </c>
    </row>
    <row r="5" spans="1:30">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04"/>
      <c r="AC5" s="3704"/>
    </row>
    <row r="6" spans="1:30" ht="15" thickBot="1">
      <c r="A6" s="406"/>
      <c r="B6" s="407"/>
      <c r="C6" s="3716" t="s">
        <v>2500</v>
      </c>
      <c r="D6" s="3717"/>
      <c r="E6" s="3719" t="s">
        <v>2500</v>
      </c>
      <c r="F6" s="3720"/>
      <c r="G6" s="3716" t="s">
        <v>2500</v>
      </c>
      <c r="H6" s="3717"/>
      <c r="I6" s="3716" t="s">
        <v>2500</v>
      </c>
      <c r="J6" s="3717"/>
      <c r="K6" s="610" t="s">
        <v>2501</v>
      </c>
      <c r="L6" s="1129"/>
      <c r="M6" s="1130"/>
      <c r="N6" s="1130"/>
      <c r="O6" s="1130"/>
      <c r="P6" s="3730"/>
      <c r="Q6" s="3731"/>
      <c r="R6" s="3710"/>
      <c r="S6" s="3711"/>
      <c r="T6" s="3732"/>
      <c r="U6" s="3733"/>
      <c r="V6" s="3734"/>
      <c r="W6" s="3734"/>
      <c r="X6" s="1812"/>
      <c r="Y6" s="3732"/>
      <c r="Z6" s="3733"/>
      <c r="AA6" s="3705"/>
      <c r="AB6" s="3705"/>
      <c r="AC6" s="3705"/>
    </row>
    <row r="7" spans="1:30" s="117" customFormat="1" ht="15" thickBot="1">
      <c r="A7" s="408" t="s">
        <v>2502</v>
      </c>
      <c r="B7" s="409"/>
      <c r="C7" s="410">
        <f>'数据-取费表'!B2</f>
        <v>43685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1"/>
      <c r="M7" s="1132"/>
      <c r="N7" s="1132"/>
      <c r="O7" s="1132"/>
      <c r="P7" s="3706" t="s">
        <v>2503</v>
      </c>
      <c r="Q7" s="3735"/>
      <c r="R7" s="770" t="s">
        <v>17</v>
      </c>
      <c r="S7" s="771">
        <f t="shared" ref="S7:S15" si="0">F7</f>
        <v>0</v>
      </c>
      <c r="T7" s="770" t="s">
        <v>17</v>
      </c>
      <c r="U7" s="771">
        <f t="shared" ref="U7:U15" si="1">H7</f>
        <v>0</v>
      </c>
      <c r="V7" s="770" t="s">
        <v>17</v>
      </c>
      <c r="W7" s="771">
        <f t="shared" ref="W7:W15" si="2">J7</f>
        <v>0</v>
      </c>
      <c r="X7" s="772"/>
      <c r="Y7" s="3706" t="s">
        <v>2503</v>
      </c>
      <c r="Z7" s="3707"/>
      <c r="AA7" s="773" t="e">
        <f>D7/F7</f>
        <v>#DIV/0!</v>
      </c>
      <c r="AB7" s="773" t="e">
        <f>D7/H7</f>
        <v>#DIV/0!</v>
      </c>
      <c r="AC7" s="773" t="e">
        <f>D7/J7</f>
        <v>#DIV/0!</v>
      </c>
    </row>
    <row r="8" spans="1:30" s="117" customFormat="1" ht="1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45" si="3">D8/F8</f>
        <v>#DIV/0!</v>
      </c>
      <c r="AB8" s="773" t="e">
        <f t="shared" ref="AB8:AB45" si="4">D8/H8</f>
        <v>#DIV/0!</v>
      </c>
      <c r="AC8" s="773" t="e">
        <f t="shared" ref="AC8:AC45" si="5">D8/J8</f>
        <v>#DIV/0!</v>
      </c>
    </row>
    <row r="9" spans="1:30" s="117" customFormat="1" ht="14.4">
      <c r="A9" s="415" t="s">
        <v>2507</v>
      </c>
      <c r="B9" s="71" t="s">
        <v>2508</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739"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773">
        <f t="shared" si="5"/>
        <v>1</v>
      </c>
    </row>
    <row r="10" spans="1:30" s="427" customFormat="1" ht="28.8">
      <c r="A10" s="421"/>
      <c r="B10" s="422" t="s">
        <v>2511</v>
      </c>
      <c r="C10" s="432"/>
      <c r="D10" s="136">
        <v>100</v>
      </c>
      <c r="E10" s="465"/>
      <c r="F10" s="136">
        <f>ROUND(100/'数据-取费表'!G16,0)</f>
        <v>101</v>
      </c>
      <c r="G10" s="463"/>
      <c r="H10" s="136">
        <f>ROUND(100/'数据-取费表'!G16,0)</f>
        <v>101</v>
      </c>
      <c r="I10" s="463"/>
      <c r="J10" s="136">
        <f>ROUND(100/'数据-取费表'!G16,0)</f>
        <v>101</v>
      </c>
      <c r="K10" s="672"/>
      <c r="L10" s="1134"/>
      <c r="M10" s="1135"/>
      <c r="N10" s="1135"/>
      <c r="O10" s="1136"/>
      <c r="P10" s="3739"/>
      <c r="Q10" s="1794" t="str">
        <f t="shared" si="6"/>
        <v>土地使用年限（年）</v>
      </c>
      <c r="R10" s="770" t="s">
        <v>17</v>
      </c>
      <c r="S10" s="771">
        <f t="shared" si="0"/>
        <v>101</v>
      </c>
      <c r="T10" s="770" t="s">
        <v>17</v>
      </c>
      <c r="U10" s="771">
        <f t="shared" si="1"/>
        <v>101</v>
      </c>
      <c r="V10" s="770" t="s">
        <v>17</v>
      </c>
      <c r="W10" s="771">
        <f t="shared" si="2"/>
        <v>101</v>
      </c>
      <c r="X10" s="772"/>
      <c r="Y10" s="3538"/>
      <c r="Z10" s="55" t="str">
        <f t="shared" si="7"/>
        <v>土地使用年限（年）</v>
      </c>
      <c r="AA10" s="773">
        <f t="shared" si="3"/>
        <v>0.99009900990099009</v>
      </c>
      <c r="AB10" s="773">
        <f t="shared" si="4"/>
        <v>0.99009900990099009</v>
      </c>
      <c r="AC10" s="773">
        <f t="shared" si="5"/>
        <v>0.99009900990099009</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739"/>
      <c r="Q11" s="1794" t="str">
        <f t="shared" si="6"/>
        <v>容积率</v>
      </c>
      <c r="R11" s="770" t="s">
        <v>17</v>
      </c>
      <c r="S11" s="771" t="e">
        <f t="shared" si="0"/>
        <v>#N/A</v>
      </c>
      <c r="T11" s="770" t="s">
        <v>17</v>
      </c>
      <c r="U11" s="771" t="e">
        <f t="shared" si="1"/>
        <v>#N/A</v>
      </c>
      <c r="V11" s="770" t="s">
        <v>17</v>
      </c>
      <c r="W11" s="771" t="e">
        <f t="shared" si="2"/>
        <v>#N/A</v>
      </c>
      <c r="X11" s="772"/>
      <c r="Y11" s="3538"/>
      <c r="Z11" s="55" t="str">
        <f t="shared" si="7"/>
        <v>容积率</v>
      </c>
      <c r="AA11" s="773" t="e">
        <f t="shared" si="3"/>
        <v>#N/A</v>
      </c>
      <c r="AB11" s="773" t="e">
        <f t="shared" si="4"/>
        <v>#N/A</v>
      </c>
      <c r="AC11" s="773" t="e">
        <f t="shared" si="5"/>
        <v>#N/A</v>
      </c>
    </row>
    <row r="12" spans="1:30" s="117" customFormat="1" ht="15">
      <c r="A12" s="431"/>
      <c r="B12" s="2600" t="s">
        <v>2700</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739"/>
      <c r="Q12" s="1794" t="str">
        <f t="shared" si="6"/>
        <v>配建</v>
      </c>
      <c r="R12" s="770" t="s">
        <v>17</v>
      </c>
      <c r="S12" s="771">
        <f t="shared" si="0"/>
        <v>100</v>
      </c>
      <c r="T12" s="770" t="s">
        <v>17</v>
      </c>
      <c r="U12" s="771">
        <f t="shared" si="1"/>
        <v>100</v>
      </c>
      <c r="V12" s="770" t="s">
        <v>17</v>
      </c>
      <c r="W12" s="771">
        <f t="shared" si="2"/>
        <v>100</v>
      </c>
      <c r="X12" s="772"/>
      <c r="Y12" s="353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739"/>
      <c r="Q13" s="1794">
        <f t="shared" si="6"/>
        <v>111</v>
      </c>
      <c r="R13" s="770" t="s">
        <v>17</v>
      </c>
      <c r="S13" s="771">
        <f t="shared" si="0"/>
        <v>100</v>
      </c>
      <c r="T13" s="770" t="s">
        <v>17</v>
      </c>
      <c r="U13" s="771">
        <f t="shared" si="1"/>
        <v>100</v>
      </c>
      <c r="V13" s="770" t="s">
        <v>17</v>
      </c>
      <c r="W13" s="771">
        <f t="shared" si="2"/>
        <v>100</v>
      </c>
      <c r="X13" s="772"/>
      <c r="Y13" s="3538"/>
      <c r="Z13" s="55">
        <f t="shared" si="7"/>
        <v>111</v>
      </c>
      <c r="AA13" s="773">
        <f>D13/F13</f>
        <v>1</v>
      </c>
      <c r="AB13" s="773">
        <f>D13/H13</f>
        <v>1</v>
      </c>
      <c r="AC13" s="773">
        <f>D13/J13</f>
        <v>1</v>
      </c>
    </row>
    <row r="14" spans="1:30" ht="15.6"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739"/>
      <c r="Q14" s="1794">
        <f t="shared" si="6"/>
        <v>111</v>
      </c>
      <c r="R14" s="770" t="s">
        <v>17</v>
      </c>
      <c r="S14" s="771">
        <f t="shared" si="0"/>
        <v>100</v>
      </c>
      <c r="T14" s="770" t="s">
        <v>17</v>
      </c>
      <c r="U14" s="771">
        <f t="shared" si="1"/>
        <v>100</v>
      </c>
      <c r="V14" s="770" t="s">
        <v>17</v>
      </c>
      <c r="W14" s="771">
        <f t="shared" si="2"/>
        <v>100</v>
      </c>
      <c r="X14" s="772"/>
      <c r="Y14" s="3538"/>
      <c r="Z14" s="55">
        <f t="shared" si="7"/>
        <v>111</v>
      </c>
      <c r="AA14" s="773">
        <f>D14/F14</f>
        <v>1</v>
      </c>
      <c r="AB14" s="773">
        <f>D14/H14</f>
        <v>1</v>
      </c>
      <c r="AC14" s="773">
        <f>D14/J14</f>
        <v>1</v>
      </c>
    </row>
    <row r="15" spans="1:30" ht="110.4">
      <c r="A15" s="440" t="s">
        <v>2513</v>
      </c>
      <c r="B15" s="69" t="s">
        <v>2049</v>
      </c>
      <c r="C15" s="2603" t="str">
        <f>估价对象房地状况!C15</f>
        <v>估价对象周边居住用地比例较好、居住小区规模和社区发展完善程度较好，综合评价居住社区成熟度较好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741" t="s">
        <v>2514</v>
      </c>
      <c r="Q15" s="1809" t="str">
        <f t="shared" si="6"/>
        <v>居住社区成熟度</v>
      </c>
      <c r="R15" s="774" t="s">
        <v>17</v>
      </c>
      <c r="S15" s="775">
        <f t="shared" si="0"/>
        <v>100</v>
      </c>
      <c r="T15" s="774" t="s">
        <v>17</v>
      </c>
      <c r="U15" s="775">
        <f t="shared" si="1"/>
        <v>100</v>
      </c>
      <c r="V15" s="774" t="s">
        <v>17</v>
      </c>
      <c r="W15" s="775">
        <f t="shared" si="2"/>
        <v>100</v>
      </c>
      <c r="X15" s="1812"/>
      <c r="Y15" s="3741" t="s">
        <v>2514</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742"/>
      <c r="Q16" s="1809"/>
      <c r="R16" s="774"/>
      <c r="S16" s="775"/>
      <c r="T16" s="774"/>
      <c r="U16" s="775"/>
      <c r="V16" s="774"/>
      <c r="W16" s="775"/>
      <c r="X16" s="1812"/>
      <c r="Y16" s="3742"/>
      <c r="Z16" s="1813"/>
      <c r="AA16" s="1810">
        <v>1</v>
      </c>
      <c r="AB16" s="1810">
        <v>1</v>
      </c>
      <c r="AC16" s="1810">
        <v>1</v>
      </c>
    </row>
    <row r="17" spans="1:29" ht="96.6">
      <c r="A17" s="428"/>
      <c r="B17" s="451" t="s">
        <v>2606</v>
      </c>
      <c r="C17" s="2664" t="str">
        <f>估价对象房地状况!C16</f>
        <v>估价对象位于世纪大道南侧，周边商业氛围成熟一般，人流量一般，商业繁华度一般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742"/>
      <c r="Q17" s="1809" t="str">
        <f>B17</f>
        <v>商业繁华度</v>
      </c>
      <c r="R17" s="774" t="s">
        <v>17</v>
      </c>
      <c r="S17" s="775">
        <f>F17</f>
        <v>100</v>
      </c>
      <c r="T17" s="774" t="s">
        <v>17</v>
      </c>
      <c r="U17" s="775">
        <f>H17</f>
        <v>100</v>
      </c>
      <c r="V17" s="774" t="s">
        <v>17</v>
      </c>
      <c r="W17" s="775">
        <f>J17</f>
        <v>100</v>
      </c>
      <c r="X17" s="1812"/>
      <c r="Y17" s="3742"/>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742"/>
      <c r="Q18" s="1809"/>
      <c r="R18" s="774"/>
      <c r="S18" s="775"/>
      <c r="T18" s="774"/>
      <c r="U18" s="775"/>
      <c r="V18" s="774"/>
      <c r="W18" s="775"/>
      <c r="X18" s="1812"/>
      <c r="Y18" s="3742"/>
      <c r="Z18" s="1813"/>
      <c r="AA18" s="1810">
        <v>1</v>
      </c>
      <c r="AB18" s="1810">
        <v>1</v>
      </c>
      <c r="AC18" s="1810">
        <v>1</v>
      </c>
    </row>
    <row r="19" spans="1:29" ht="15">
      <c r="A19" s="428"/>
      <c r="B19" s="451" t="s">
        <v>2640</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742"/>
      <c r="Q19" s="1809" t="str">
        <f>B19</f>
        <v>办公集聚程度</v>
      </c>
      <c r="R19" s="774" t="s">
        <v>17</v>
      </c>
      <c r="S19" s="775">
        <f>F19</f>
        <v>100</v>
      </c>
      <c r="T19" s="774" t="s">
        <v>17</v>
      </c>
      <c r="U19" s="775">
        <f>H19</f>
        <v>100</v>
      </c>
      <c r="V19" s="774" t="s">
        <v>17</v>
      </c>
      <c r="W19" s="775">
        <f>J19</f>
        <v>100</v>
      </c>
      <c r="X19" s="1812"/>
      <c r="Y19" s="3742"/>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742"/>
      <c r="Q20" s="1809"/>
      <c r="R20" s="774"/>
      <c r="S20" s="775"/>
      <c r="T20" s="774"/>
      <c r="U20" s="775"/>
      <c r="V20" s="774"/>
      <c r="W20" s="775"/>
      <c r="X20" s="1812"/>
      <c r="Y20" s="3742"/>
      <c r="Z20" s="1813"/>
      <c r="AA20" s="1810">
        <v>1</v>
      </c>
      <c r="AB20" s="1810">
        <v>1</v>
      </c>
      <c r="AC20" s="1810">
        <v>1</v>
      </c>
    </row>
    <row r="21" spans="1:29" ht="110.4">
      <c r="A21" s="428"/>
      <c r="B21" s="451" t="s">
        <v>2662</v>
      </c>
      <c r="C21" s="2607"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742"/>
      <c r="Q21" s="1809" t="str">
        <f>B21</f>
        <v>交通便捷度</v>
      </c>
      <c r="R21" s="774" t="s">
        <v>17</v>
      </c>
      <c r="S21" s="775">
        <f>F21</f>
        <v>100</v>
      </c>
      <c r="T21" s="774" t="s">
        <v>17</v>
      </c>
      <c r="U21" s="775">
        <f>H21</f>
        <v>100</v>
      </c>
      <c r="V21" s="774" t="s">
        <v>17</v>
      </c>
      <c r="W21" s="775">
        <f>J21</f>
        <v>100</v>
      </c>
      <c r="X21" s="1812"/>
      <c r="Y21" s="3742"/>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742"/>
      <c r="Q22" s="1809"/>
      <c r="R22" s="774"/>
      <c r="S22" s="775"/>
      <c r="T22" s="774"/>
      <c r="U22" s="775"/>
      <c r="V22" s="774"/>
      <c r="W22" s="775"/>
      <c r="X22" s="1812"/>
      <c r="Y22" s="3742"/>
      <c r="Z22" s="1813"/>
      <c r="AA22" s="1810">
        <v>1</v>
      </c>
      <c r="AB22" s="1810">
        <v>1</v>
      </c>
      <c r="AC22" s="1810">
        <v>1</v>
      </c>
    </row>
    <row r="23" spans="1:29" ht="28.8">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742"/>
      <c r="Q23" s="1809" t="str">
        <f t="shared" ref="Q23:Q37" si="8">B23</f>
        <v>区域土地利用方向</v>
      </c>
      <c r="R23" s="774" t="s">
        <v>17</v>
      </c>
      <c r="S23" s="775">
        <f>F23</f>
        <v>100</v>
      </c>
      <c r="T23" s="774" t="s">
        <v>17</v>
      </c>
      <c r="U23" s="775">
        <f>H23</f>
        <v>100</v>
      </c>
      <c r="V23" s="774" t="s">
        <v>17</v>
      </c>
      <c r="W23" s="775">
        <f>J23</f>
        <v>100</v>
      </c>
      <c r="X23" s="1812"/>
      <c r="Y23" s="3742"/>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742"/>
      <c r="Q24" s="1809"/>
      <c r="R24" s="774"/>
      <c r="S24" s="775"/>
      <c r="T24" s="774"/>
      <c r="U24" s="775"/>
      <c r="V24" s="774"/>
      <c r="W24" s="775"/>
      <c r="X24" s="1812"/>
      <c r="Y24" s="3742"/>
      <c r="Z24" s="1813"/>
      <c r="AA24" s="1810"/>
      <c r="AB24" s="1810"/>
      <c r="AC24" s="1810"/>
    </row>
    <row r="25" spans="1:29" ht="69">
      <c r="A25" s="404"/>
      <c r="B25" s="1383" t="s">
        <v>2702</v>
      </c>
      <c r="C25" s="2664"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742"/>
      <c r="Q25" s="1809" t="str">
        <f t="shared" si="8"/>
        <v>自然及人文环境状况</v>
      </c>
      <c r="R25" s="774" t="s">
        <v>17</v>
      </c>
      <c r="S25" s="775">
        <f>F25</f>
        <v>100</v>
      </c>
      <c r="T25" s="774" t="s">
        <v>17</v>
      </c>
      <c r="U25" s="775">
        <f>H25</f>
        <v>100</v>
      </c>
      <c r="V25" s="774" t="s">
        <v>17</v>
      </c>
      <c r="W25" s="775">
        <f>J25</f>
        <v>100</v>
      </c>
      <c r="X25" s="1812"/>
      <c r="Y25" s="3742"/>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742"/>
      <c r="Q26" s="1809"/>
      <c r="R26" s="774"/>
      <c r="S26" s="775"/>
      <c r="T26" s="774"/>
      <c r="U26" s="775"/>
      <c r="V26" s="774"/>
      <c r="W26" s="775"/>
      <c r="X26" s="1812"/>
      <c r="Y26" s="3742"/>
      <c r="Z26" s="1813"/>
      <c r="AA26" s="1810">
        <v>1</v>
      </c>
      <c r="AB26" s="1810">
        <v>1</v>
      </c>
      <c r="AC26" s="1810">
        <v>1</v>
      </c>
    </row>
    <row r="27" spans="1:29" s="117" customFormat="1" ht="55.2">
      <c r="A27" s="649"/>
      <c r="B27" s="1383" t="s">
        <v>2607</v>
      </c>
      <c r="C27" s="2607"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742"/>
      <c r="Q27" s="1794" t="str">
        <f t="shared" si="8"/>
        <v>公共配套设施</v>
      </c>
      <c r="R27" s="770" t="s">
        <v>17</v>
      </c>
      <c r="S27" s="771">
        <f>F27</f>
        <v>100</v>
      </c>
      <c r="T27" s="770" t="s">
        <v>17</v>
      </c>
      <c r="U27" s="771">
        <f>H27</f>
        <v>100</v>
      </c>
      <c r="V27" s="770" t="s">
        <v>17</v>
      </c>
      <c r="W27" s="771">
        <f>J27</f>
        <v>100</v>
      </c>
      <c r="X27" s="772"/>
      <c r="Y27" s="3742"/>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742"/>
      <c r="Q28" s="1794"/>
      <c r="R28" s="770"/>
      <c r="S28" s="771"/>
      <c r="T28" s="770"/>
      <c r="U28" s="771"/>
      <c r="V28" s="770"/>
      <c r="W28" s="771"/>
      <c r="X28" s="772"/>
      <c r="Y28" s="3742"/>
      <c r="Z28" s="55"/>
      <c r="AA28" s="1810">
        <v>1</v>
      </c>
      <c r="AB28" s="1810">
        <v>1</v>
      </c>
      <c r="AC28" s="1810">
        <v>1</v>
      </c>
    </row>
    <row r="29" spans="1:29" s="117" customFormat="1" ht="41.4">
      <c r="A29" s="649"/>
      <c r="B29" s="1383" t="s">
        <v>2608</v>
      </c>
      <c r="C29" s="2607"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742"/>
      <c r="Q29" s="1794" t="str">
        <f t="shared" ref="Q29" si="9">B29</f>
        <v>基础设施水平</v>
      </c>
      <c r="R29" s="770" t="s">
        <v>17</v>
      </c>
      <c r="S29" s="771">
        <f>F29</f>
        <v>100</v>
      </c>
      <c r="T29" s="770" t="s">
        <v>17</v>
      </c>
      <c r="U29" s="771">
        <f>H29</f>
        <v>100</v>
      </c>
      <c r="V29" s="770" t="s">
        <v>17</v>
      </c>
      <c r="W29" s="771">
        <f>J29</f>
        <v>100</v>
      </c>
      <c r="X29" s="772"/>
      <c r="Y29" s="3742"/>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742"/>
      <c r="Q30" s="1794"/>
      <c r="R30" s="770"/>
      <c r="S30" s="771"/>
      <c r="T30" s="770"/>
      <c r="U30" s="771"/>
      <c r="V30" s="770"/>
      <c r="W30" s="771"/>
      <c r="X30" s="772"/>
      <c r="Y30" s="3742"/>
      <c r="Z30" s="55"/>
      <c r="AA30" s="1810">
        <v>1</v>
      </c>
      <c r="AB30" s="1810">
        <v>1</v>
      </c>
      <c r="AC30" s="1810">
        <v>1</v>
      </c>
    </row>
    <row r="31" spans="1:29" ht="15">
      <c r="A31" s="428"/>
      <c r="B31" s="456" t="s">
        <v>2609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742"/>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742"/>
      <c r="Z31" s="1813" t="str">
        <f t="shared" ref="Z31:Z45" si="13">Q31</f>
        <v>临街状况</v>
      </c>
      <c r="AA31" s="1810">
        <f t="shared" si="3"/>
        <v>1</v>
      </c>
      <c r="AB31" s="1810">
        <f t="shared" si="4"/>
        <v>1</v>
      </c>
      <c r="AC31" s="1810">
        <f t="shared" si="5"/>
        <v>1</v>
      </c>
    </row>
    <row r="32" spans="1:29" ht="28.8">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742"/>
      <c r="Q32" s="1809" t="str">
        <f t="shared" si="8"/>
        <v>毗邻道路的类型与等级</v>
      </c>
      <c r="R32" s="774" t="s">
        <v>17</v>
      </c>
      <c r="S32" s="775">
        <f t="shared" si="10"/>
        <v>100</v>
      </c>
      <c r="T32" s="774" t="s">
        <v>17</v>
      </c>
      <c r="U32" s="775">
        <f t="shared" si="11"/>
        <v>100</v>
      </c>
      <c r="V32" s="774" t="s">
        <v>17</v>
      </c>
      <c r="W32" s="775">
        <f t="shared" si="12"/>
        <v>100</v>
      </c>
      <c r="X32" s="1812"/>
      <c r="Y32" s="3742"/>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742"/>
      <c r="Q33" s="1809"/>
      <c r="R33" s="774"/>
      <c r="S33" s="775"/>
      <c r="T33" s="774"/>
      <c r="U33" s="775"/>
      <c r="V33" s="774"/>
      <c r="W33" s="775"/>
      <c r="X33" s="1812"/>
      <c r="Y33" s="3742"/>
      <c r="Z33" s="1813"/>
      <c r="AA33" s="1810">
        <v>1</v>
      </c>
      <c r="AB33" s="1810">
        <v>1</v>
      </c>
      <c r="AC33" s="1810">
        <v>1</v>
      </c>
    </row>
    <row r="34" spans="1:29" ht="15">
      <c r="A34" s="428"/>
      <c r="B34" s="422" t="s">
        <v>2703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742"/>
      <c r="Q34" s="1809" t="str">
        <f t="shared" si="8"/>
        <v>土地级别</v>
      </c>
      <c r="R34" s="774" t="s">
        <v>17</v>
      </c>
      <c r="S34" s="775">
        <f t="shared" si="10"/>
        <v>100</v>
      </c>
      <c r="T34" s="774" t="s">
        <v>17</v>
      </c>
      <c r="U34" s="775">
        <f t="shared" si="11"/>
        <v>100</v>
      </c>
      <c r="V34" s="774" t="s">
        <v>17</v>
      </c>
      <c r="W34" s="775">
        <f t="shared" si="12"/>
        <v>100</v>
      </c>
      <c r="X34" s="1812"/>
      <c r="Y34" s="3742"/>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742"/>
      <c r="Q35" s="1809">
        <f t="shared" si="8"/>
        <v>111</v>
      </c>
      <c r="R35" s="774" t="s">
        <v>17</v>
      </c>
      <c r="S35" s="775">
        <f t="shared" si="10"/>
        <v>100</v>
      </c>
      <c r="T35" s="774" t="s">
        <v>17</v>
      </c>
      <c r="U35" s="775">
        <f t="shared" si="11"/>
        <v>100</v>
      </c>
      <c r="V35" s="774" t="s">
        <v>17</v>
      </c>
      <c r="W35" s="775">
        <f t="shared" si="12"/>
        <v>100</v>
      </c>
      <c r="X35" s="1812"/>
      <c r="Y35" s="3742"/>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793" t="s">
        <v>2519</v>
      </c>
      <c r="Q36" s="1809">
        <f t="shared" si="8"/>
        <v>111</v>
      </c>
      <c r="R36" s="774" t="s">
        <v>17</v>
      </c>
      <c r="S36" s="775">
        <f t="shared" si="10"/>
        <v>100</v>
      </c>
      <c r="T36" s="774" t="s">
        <v>17</v>
      </c>
      <c r="U36" s="775">
        <f t="shared" si="11"/>
        <v>100</v>
      </c>
      <c r="V36" s="774" t="s">
        <v>17</v>
      </c>
      <c r="W36" s="775">
        <f t="shared" si="12"/>
        <v>100</v>
      </c>
      <c r="X36" s="1812"/>
      <c r="Y36" s="3746" t="s">
        <v>2519</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746"/>
      <c r="Q37" s="1809">
        <f t="shared" si="8"/>
        <v>111</v>
      </c>
      <c r="R37" s="777" t="s">
        <v>17</v>
      </c>
      <c r="S37" s="778">
        <f t="shared" si="10"/>
        <v>100</v>
      </c>
      <c r="T37" s="777" t="s">
        <v>17</v>
      </c>
      <c r="U37" s="778">
        <f t="shared" si="11"/>
        <v>100</v>
      </c>
      <c r="V37" s="777" t="s">
        <v>17</v>
      </c>
      <c r="W37" s="778">
        <f t="shared" si="12"/>
        <v>100</v>
      </c>
      <c r="X37" s="779"/>
      <c r="Y37" s="3746"/>
      <c r="Z37" s="780">
        <f t="shared" si="13"/>
        <v>111</v>
      </c>
      <c r="AA37" s="1810">
        <f t="shared" si="3"/>
        <v>1</v>
      </c>
      <c r="AB37" s="1810">
        <f t="shared" si="4"/>
        <v>1</v>
      </c>
      <c r="AC37" s="1810">
        <f t="shared" si="5"/>
        <v>1</v>
      </c>
    </row>
    <row r="38" spans="1:29" ht="15.6">
      <c r="A38" s="472" t="s">
        <v>2517</v>
      </c>
      <c r="B38" s="456" t="s">
        <v>2704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746"/>
      <c r="Q38" s="1809" t="str">
        <f>B38</f>
        <v>宗地面积</v>
      </c>
      <c r="R38" s="774" t="s">
        <v>17</v>
      </c>
      <c r="S38" s="775" t="e">
        <f t="shared" si="10"/>
        <v>#N/A</v>
      </c>
      <c r="T38" s="774" t="s">
        <v>17</v>
      </c>
      <c r="U38" s="775" t="e">
        <f t="shared" si="11"/>
        <v>#N/A</v>
      </c>
      <c r="V38" s="774" t="s">
        <v>17</v>
      </c>
      <c r="W38" s="775" t="e">
        <f t="shared" si="12"/>
        <v>#N/A</v>
      </c>
      <c r="X38" s="1812"/>
      <c r="Y38" s="3746"/>
      <c r="Z38" s="1813" t="str">
        <f t="shared" si="13"/>
        <v>宗地面积</v>
      </c>
      <c r="AA38" s="1810" t="e">
        <f t="shared" si="3"/>
        <v>#N/A</v>
      </c>
      <c r="AB38" s="1810" t="e">
        <f t="shared" si="4"/>
        <v>#N/A</v>
      </c>
      <c r="AC38" s="1810" t="e">
        <f t="shared" si="5"/>
        <v>#N/A</v>
      </c>
    </row>
    <row r="39" spans="1:29" ht="15">
      <c r="A39" s="472"/>
      <c r="B39" s="422" t="s">
        <v>2705</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746"/>
      <c r="Q39" s="1809" t="str">
        <f t="shared" ref="Q39:Q45" si="14">B39</f>
        <v>宗地形状</v>
      </c>
      <c r="R39" s="774" t="s">
        <v>17</v>
      </c>
      <c r="S39" s="775">
        <f t="shared" si="10"/>
        <v>100</v>
      </c>
      <c r="T39" s="774" t="s">
        <v>17</v>
      </c>
      <c r="U39" s="775">
        <f t="shared" si="11"/>
        <v>100</v>
      </c>
      <c r="V39" s="774" t="s">
        <v>17</v>
      </c>
      <c r="W39" s="775">
        <f t="shared" si="12"/>
        <v>100</v>
      </c>
      <c r="X39" s="1812"/>
      <c r="Y39" s="3746"/>
      <c r="Z39" s="1813" t="str">
        <f t="shared" si="13"/>
        <v>宗地形状</v>
      </c>
      <c r="AA39" s="1810">
        <f t="shared" si="3"/>
        <v>1</v>
      </c>
      <c r="AB39" s="1810">
        <f t="shared" si="4"/>
        <v>1</v>
      </c>
      <c r="AC39" s="1810">
        <f t="shared" si="5"/>
        <v>1</v>
      </c>
    </row>
    <row r="40" spans="1:29" ht="15">
      <c r="A40" s="472"/>
      <c r="B40" s="422" t="s">
        <v>2706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746"/>
      <c r="Q40" s="1809" t="str">
        <f t="shared" si="14"/>
        <v>临街宽度及深度</v>
      </c>
      <c r="R40" s="774" t="s">
        <v>17</v>
      </c>
      <c r="S40" s="775">
        <f t="shared" si="10"/>
        <v>100</v>
      </c>
      <c r="T40" s="774" t="s">
        <v>17</v>
      </c>
      <c r="U40" s="775">
        <f t="shared" si="11"/>
        <v>100</v>
      </c>
      <c r="V40" s="774" t="s">
        <v>17</v>
      </c>
      <c r="W40" s="775">
        <f t="shared" si="12"/>
        <v>100</v>
      </c>
      <c r="X40" s="1812"/>
      <c r="Y40" s="3746"/>
      <c r="Z40" s="1813" t="str">
        <f t="shared" si="13"/>
        <v>临街宽度及深度</v>
      </c>
      <c r="AA40" s="1810">
        <f t="shared" si="3"/>
        <v>1</v>
      </c>
      <c r="AB40" s="1810">
        <f t="shared" si="4"/>
        <v>1</v>
      </c>
      <c r="AC40" s="1810">
        <f t="shared" si="5"/>
        <v>1</v>
      </c>
    </row>
    <row r="41" spans="1:29" s="117" customFormat="1" ht="15">
      <c r="A41" s="473"/>
      <c r="B41" s="422" t="s">
        <v>2707</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746"/>
      <c r="Q41" s="1809" t="str">
        <f t="shared" si="14"/>
        <v>宗地开发程度</v>
      </c>
      <c r="R41" s="770" t="s">
        <v>17</v>
      </c>
      <c r="S41" s="771">
        <f t="shared" si="10"/>
        <v>100</v>
      </c>
      <c r="T41" s="770" t="s">
        <v>17</v>
      </c>
      <c r="U41" s="771">
        <f t="shared" si="11"/>
        <v>100</v>
      </c>
      <c r="V41" s="770" t="s">
        <v>17</v>
      </c>
      <c r="W41" s="771">
        <f t="shared" si="12"/>
        <v>100</v>
      </c>
      <c r="X41" s="772"/>
      <c r="Y41" s="3746"/>
      <c r="Z41" s="55" t="str">
        <f t="shared" si="13"/>
        <v>宗地开发程度</v>
      </c>
      <c r="AA41" s="773">
        <f t="shared" si="3"/>
        <v>1</v>
      </c>
      <c r="AB41" s="773">
        <f t="shared" si="4"/>
        <v>1</v>
      </c>
      <c r="AC41" s="773">
        <f t="shared" si="5"/>
        <v>1</v>
      </c>
    </row>
    <row r="42" spans="1:29" ht="15">
      <c r="A42" s="472"/>
      <c r="B42" s="422" t="s">
        <v>2708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746" t="s">
        <v>2519</v>
      </c>
      <c r="Q42" s="1809" t="str">
        <f t="shared" si="14"/>
        <v>工程地质条件</v>
      </c>
      <c r="R42" s="774" t="s">
        <v>17</v>
      </c>
      <c r="S42" s="775">
        <f t="shared" si="10"/>
        <v>100</v>
      </c>
      <c r="T42" s="774" t="s">
        <v>17</v>
      </c>
      <c r="U42" s="775">
        <f t="shared" si="11"/>
        <v>100</v>
      </c>
      <c r="V42" s="774" t="s">
        <v>17</v>
      </c>
      <c r="W42" s="775">
        <f t="shared" si="12"/>
        <v>100</v>
      </c>
      <c r="X42" s="1812"/>
      <c r="Y42" s="3746" t="s">
        <v>2519</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746"/>
      <c r="Q43" s="1809">
        <f t="shared" si="14"/>
        <v>111</v>
      </c>
      <c r="R43" s="774" t="s">
        <v>17</v>
      </c>
      <c r="S43" s="775">
        <f t="shared" si="10"/>
        <v>100</v>
      </c>
      <c r="T43" s="774" t="s">
        <v>17</v>
      </c>
      <c r="U43" s="775">
        <f t="shared" si="11"/>
        <v>100</v>
      </c>
      <c r="V43" s="774" t="s">
        <v>17</v>
      </c>
      <c r="W43" s="775">
        <f t="shared" si="12"/>
        <v>100</v>
      </c>
      <c r="X43" s="1812"/>
      <c r="Y43" s="3746"/>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746"/>
      <c r="Q44" s="1809">
        <f t="shared" si="14"/>
        <v>111</v>
      </c>
      <c r="R44" s="774" t="s">
        <v>17</v>
      </c>
      <c r="S44" s="775">
        <f t="shared" si="10"/>
        <v>100</v>
      </c>
      <c r="T44" s="774" t="s">
        <v>17</v>
      </c>
      <c r="U44" s="775">
        <f t="shared" si="11"/>
        <v>100</v>
      </c>
      <c r="V44" s="774" t="s">
        <v>17</v>
      </c>
      <c r="W44" s="775">
        <f t="shared" si="12"/>
        <v>100</v>
      </c>
      <c r="X44" s="1812"/>
      <c r="Y44" s="3746"/>
      <c r="Z44" s="1813">
        <f t="shared" si="13"/>
        <v>111</v>
      </c>
      <c r="AA44" s="1810">
        <f t="shared" si="3"/>
        <v>1</v>
      </c>
      <c r="AB44" s="1810">
        <f t="shared" si="4"/>
        <v>1</v>
      </c>
      <c r="AC44" s="1810">
        <f t="shared" si="5"/>
        <v>1</v>
      </c>
    </row>
    <row r="45" spans="1:29" s="471" customFormat="1" ht="15.6"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746"/>
      <c r="Q45" s="1809">
        <f t="shared" si="14"/>
        <v>111</v>
      </c>
      <c r="R45" s="777" t="s">
        <v>17</v>
      </c>
      <c r="S45" s="778">
        <f t="shared" si="10"/>
        <v>100</v>
      </c>
      <c r="T45" s="777" t="s">
        <v>17</v>
      </c>
      <c r="U45" s="778">
        <f t="shared" si="11"/>
        <v>100</v>
      </c>
      <c r="V45" s="777" t="s">
        <v>17</v>
      </c>
      <c r="W45" s="778">
        <f t="shared" si="12"/>
        <v>100</v>
      </c>
      <c r="X45" s="779"/>
      <c r="Y45" s="3746"/>
      <c r="Z45" s="780">
        <f t="shared" si="13"/>
        <v>111</v>
      </c>
      <c r="AA45" s="1810">
        <f t="shared" si="3"/>
        <v>1</v>
      </c>
      <c r="AB45" s="1810">
        <f t="shared" si="4"/>
        <v>1</v>
      </c>
      <c r="AC45" s="1810">
        <f t="shared" si="5"/>
        <v>1</v>
      </c>
    </row>
    <row r="46" spans="1:29" ht="14.4">
      <c r="A46" s="479" t="s">
        <v>2673</v>
      </c>
      <c r="B46" s="2704" t="s">
        <v>2709</v>
      </c>
      <c r="C46" s="682" t="s">
        <v>1</v>
      </c>
      <c r="D46" s="481"/>
      <c r="E46" s="482"/>
      <c r="F46" s="483"/>
      <c r="G46" s="484"/>
      <c r="H46" s="485"/>
      <c r="I46" s="482"/>
      <c r="J46" s="485"/>
      <c r="K46" s="783"/>
      <c r="L46" s="1142"/>
      <c r="M46" s="1143"/>
      <c r="N46" s="1130"/>
      <c r="O46" s="1143"/>
      <c r="P46" s="3739" t="str">
        <f>A46</f>
        <v>成交单价</v>
      </c>
      <c r="Q46" s="3739"/>
      <c r="R46" s="3734">
        <f>E46</f>
        <v>0</v>
      </c>
      <c r="S46" s="3734"/>
      <c r="T46" s="3734">
        <f>G46</f>
        <v>0</v>
      </c>
      <c r="U46" s="3734"/>
      <c r="V46" s="3734">
        <f>I46</f>
        <v>0</v>
      </c>
      <c r="W46" s="3734"/>
      <c r="X46" s="759"/>
      <c r="Y46" s="781"/>
      <c r="Z46" s="759"/>
      <c r="AA46" s="759"/>
      <c r="AB46" s="759"/>
      <c r="AC46" s="759"/>
    </row>
    <row r="47" spans="1:29" ht="15" thickBot="1">
      <c r="A47" s="486" t="s">
        <v>2622</v>
      </c>
      <c r="B47" s="683"/>
      <c r="C47" s="490" t="e">
        <f>R48</f>
        <v>#DIV/0!</v>
      </c>
      <c r="D47" s="489"/>
      <c r="E47" s="490" t="e">
        <f>R47</f>
        <v>#DIV/0!</v>
      </c>
      <c r="F47" s="491"/>
      <c r="G47" s="488" t="e">
        <f>T47</f>
        <v>#DIV/0!</v>
      </c>
      <c r="H47" s="489"/>
      <c r="I47" s="490" t="e">
        <f>V47</f>
        <v>#DIV/0!</v>
      </c>
      <c r="J47" s="489"/>
      <c r="K47" s="784"/>
      <c r="L47" s="1142"/>
      <c r="M47" s="1143"/>
      <c r="N47" s="1143"/>
      <c r="O47" s="1143"/>
      <c r="P47" s="3739" t="str">
        <f>A47</f>
        <v>比较价值（元/平方米）</v>
      </c>
      <c r="Q47" s="3739"/>
      <c r="R47" s="3794" t="e">
        <f>ROUND(PRODUCT(R46,AA7:AA45),0)</f>
        <v>#DIV/0!</v>
      </c>
      <c r="S47" s="3794"/>
      <c r="T47" s="3794" t="e">
        <f>ROUND(PRODUCT(T46,AB7:AB45),0)</f>
        <v>#DIV/0!</v>
      </c>
      <c r="U47" s="3794"/>
      <c r="V47" s="3794" t="e">
        <f>ROUND(PRODUCT(V46,AC7:AC45),0)</f>
        <v>#DIV/0!</v>
      </c>
      <c r="W47" s="3794"/>
      <c r="X47" s="759"/>
      <c r="Y47" s="759"/>
      <c r="Z47" s="759"/>
      <c r="AA47" s="759"/>
      <c r="AB47" s="759"/>
      <c r="AC47" s="759"/>
    </row>
    <row r="48" spans="1:29" ht="15" thickBot="1">
      <c r="A48" s="492" t="s">
        <v>2710</v>
      </c>
      <c r="B48" s="493"/>
      <c r="C48" s="494" t="e">
        <f>R48</f>
        <v>#DIV/0!</v>
      </c>
      <c r="D48" s="494"/>
      <c r="E48" s="494"/>
      <c r="F48" s="494"/>
      <c r="G48" s="494"/>
      <c r="H48" s="494"/>
      <c r="I48" s="494"/>
      <c r="J48" s="494"/>
      <c r="K48" s="785"/>
      <c r="L48" s="1142"/>
      <c r="M48" s="1143"/>
      <c r="N48" s="1143"/>
      <c r="O48" s="1143"/>
      <c r="P48" s="3736" t="str">
        <f>A48</f>
        <v>估价对象XX用房的比较价值（楼面单价，元/平方米）</v>
      </c>
      <c r="Q48" s="3737"/>
      <c r="R48" s="3795" t="e">
        <f>ROUND(AVERAGE(R47:V47),0)</f>
        <v>#DIV/0!</v>
      </c>
      <c r="S48" s="3795"/>
      <c r="T48" s="3795"/>
      <c r="U48" s="3795"/>
      <c r="V48" s="3795"/>
      <c r="W48" s="3795"/>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2711</v>
      </c>
      <c r="B55" s="685" t="s">
        <v>2712</v>
      </c>
      <c r="C55" s="2705" t="s">
        <v>2713</v>
      </c>
      <c r="D55" s="2706" t="s">
        <v>2714</v>
      </c>
      <c r="E55" s="686" t="s">
        <v>2715</v>
      </c>
      <c r="F55" s="1106" t="s">
        <v>2716</v>
      </c>
      <c r="G55" s="3722" t="s">
        <v>2717</v>
      </c>
      <c r="H55" s="3796"/>
      <c r="I55" s="144" t="s">
        <v>2718</v>
      </c>
      <c r="J55" s="2707">
        <f>项目基本情况!F35</f>
        <v>0</v>
      </c>
      <c r="K55" s="2708" t="s">
        <v>2719</v>
      </c>
      <c r="L55" s="1105"/>
      <c r="M55" s="1143"/>
      <c r="N55" s="1143"/>
      <c r="O55" s="1143"/>
    </row>
    <row r="56" spans="1:15" s="692" customFormat="1">
      <c r="A56" s="688" t="s">
        <v>2720</v>
      </c>
      <c r="B56" s="689" t="e">
        <f>C48</f>
        <v>#DIV/0!</v>
      </c>
      <c r="C56" s="690">
        <v>1</v>
      </c>
      <c r="D56" s="1162">
        <v>1</v>
      </c>
      <c r="E56" s="690">
        <f>'数据-汇总表'!E8+'数据-汇总表'!E9</f>
        <v>39821.340000000004</v>
      </c>
      <c r="F56" s="1102" t="e">
        <f t="shared" ref="F56:F65" si="15">ROUND(B56*E56/10000,0)</f>
        <v>#DIV/0!</v>
      </c>
      <c r="G56" s="3721"/>
      <c r="H56" s="3739"/>
      <c r="I56" s="1107">
        <v>1</v>
      </c>
      <c r="J56" s="1110">
        <v>1</v>
      </c>
      <c r="K56" s="1144"/>
      <c r="L56" s="940"/>
      <c r="M56" s="940"/>
      <c r="N56" s="940"/>
      <c r="O56" s="940"/>
    </row>
    <row r="57" spans="1:15" s="692" customFormat="1">
      <c r="A57" s="693" t="s">
        <v>2721</v>
      </c>
      <c r="B57" s="262" t="e">
        <f>ROUND($C$48*C57*D57,0)</f>
        <v>#DIV/0!</v>
      </c>
      <c r="C57" s="200">
        <f t="shared" ref="C57:C65" si="16">IF($C$55="北京市系数",I57,J57)</f>
        <v>0</v>
      </c>
      <c r="D57" s="1163">
        <v>0.25</v>
      </c>
      <c r="E57" s="694"/>
      <c r="F57" s="1102" t="e">
        <f t="shared" si="15"/>
        <v>#DIV/0!</v>
      </c>
      <c r="G57" s="3797" t="s">
        <v>2722</v>
      </c>
      <c r="H57" s="1103">
        <f>项目基本情况!B37</f>
        <v>0</v>
      </c>
      <c r="I57" s="1107">
        <f>SUMIF(修正!A45:A56,H57,修正!B45:B56)</f>
        <v>0</v>
      </c>
      <c r="J57" s="1111"/>
      <c r="K57" s="1143"/>
      <c r="L57" s="940"/>
      <c r="M57" s="940"/>
      <c r="N57" s="940"/>
      <c r="O57" s="940"/>
    </row>
    <row r="58" spans="1:15" s="692" customFormat="1">
      <c r="A58" s="693" t="s">
        <v>2723</v>
      </c>
      <c r="B58" s="262" t="e">
        <f t="shared" ref="B58:B65" si="17">ROUND($C$48*C58*D58,0)</f>
        <v>#DIV/0!</v>
      </c>
      <c r="C58" s="200">
        <f t="shared" si="16"/>
        <v>0</v>
      </c>
      <c r="D58" s="1163">
        <v>0.25</v>
      </c>
      <c r="E58" s="694"/>
      <c r="F58" s="1102" t="e">
        <f t="shared" si="15"/>
        <v>#DIV/0!</v>
      </c>
      <c r="G58" s="3797"/>
      <c r="H58" s="1103">
        <f>项目基本情况!B37</f>
        <v>0</v>
      </c>
      <c r="I58" s="1107">
        <f>SUMIF(修正!A45:A56,H58,修正!C45:C56)</f>
        <v>0</v>
      </c>
      <c r="J58" s="1111"/>
      <c r="K58" s="1144"/>
      <c r="L58" s="940"/>
      <c r="M58" s="940"/>
      <c r="N58" s="940"/>
      <c r="O58" s="940"/>
    </row>
    <row r="59" spans="1:15" s="692" customFormat="1">
      <c r="A59" s="693" t="s">
        <v>2724</v>
      </c>
      <c r="B59" s="262" t="e">
        <f t="shared" si="17"/>
        <v>#DIV/0!</v>
      </c>
      <c r="C59" s="200">
        <f t="shared" si="16"/>
        <v>0</v>
      </c>
      <c r="D59" s="1163">
        <v>0.25</v>
      </c>
      <c r="E59" s="694"/>
      <c r="F59" s="1102" t="e">
        <f t="shared" si="15"/>
        <v>#DIV/0!</v>
      </c>
      <c r="G59" s="3797"/>
      <c r="H59" s="1103">
        <f>项目基本情况!B37</f>
        <v>0</v>
      </c>
      <c r="I59" s="1107">
        <f>SUMIF(修正!A45:A56,H59,修正!D45:D56)</f>
        <v>0</v>
      </c>
      <c r="J59" s="1111"/>
      <c r="K59" s="1143"/>
      <c r="L59" s="940"/>
      <c r="M59" s="940"/>
      <c r="N59" s="940"/>
      <c r="O59" s="940"/>
    </row>
    <row r="60" spans="1:15" s="692" customFormat="1">
      <c r="A60" s="693" t="s">
        <v>2725</v>
      </c>
      <c r="B60" s="262" t="e">
        <f t="shared" si="17"/>
        <v>#DIV/0!</v>
      </c>
      <c r="C60" s="200">
        <f t="shared" si="16"/>
        <v>0</v>
      </c>
      <c r="D60" s="1163">
        <v>0.25</v>
      </c>
      <c r="E60" s="694"/>
      <c r="F60" s="1102" t="e">
        <f t="shared" si="15"/>
        <v>#DIV/0!</v>
      </c>
      <c r="G60" s="3797"/>
      <c r="H60" s="1103">
        <f>项目基本情况!B37</f>
        <v>0</v>
      </c>
      <c r="I60" s="1107">
        <f>SUMIF(修正!A45:A56,H60,修正!E45:E56)</f>
        <v>0</v>
      </c>
      <c r="J60" s="1111"/>
      <c r="K60" s="1144"/>
      <c r="L60" s="940"/>
      <c r="M60" s="940"/>
      <c r="N60" s="940"/>
      <c r="O60" s="940"/>
    </row>
    <row r="61" spans="1:15" s="692" customFormat="1">
      <c r="A61" s="693" t="s">
        <v>2726</v>
      </c>
      <c r="B61" s="262" t="e">
        <f t="shared" si="17"/>
        <v>#DIV/0!</v>
      </c>
      <c r="C61" s="200">
        <f t="shared" si="16"/>
        <v>0</v>
      </c>
      <c r="D61" s="1163">
        <v>0.25</v>
      </c>
      <c r="E61" s="261">
        <f>'数据-汇总表'!E11</f>
        <v>0</v>
      </c>
      <c r="F61" s="1102" t="e">
        <f t="shared" si="15"/>
        <v>#DIV/0!</v>
      </c>
      <c r="G61" s="2709" t="s">
        <v>2727</v>
      </c>
      <c r="H61" s="1103">
        <f>项目基本情况!C37</f>
        <v>0</v>
      </c>
      <c r="I61" s="1107">
        <f>SUMIF(修正!A45:A56,H61,修正!F45:F56)</f>
        <v>0</v>
      </c>
      <c r="J61" s="1111"/>
      <c r="K61" s="1143"/>
      <c r="L61" s="940"/>
      <c r="M61" s="940"/>
      <c r="N61" s="940"/>
      <c r="O61" s="940"/>
    </row>
    <row r="62" spans="1:15" s="692" customFormat="1">
      <c r="A62" s="693"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2730</v>
      </c>
      <c r="B63" s="262" t="e">
        <f t="shared" si="17"/>
        <v>#DIV/0!</v>
      </c>
      <c r="C63" s="200">
        <f t="shared" si="16"/>
        <v>0</v>
      </c>
      <c r="D63" s="1163">
        <v>0.25</v>
      </c>
      <c r="E63" s="261">
        <f>'数据-汇总表'!E13</f>
        <v>28390.01</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2732</v>
      </c>
      <c r="B64" s="262" t="e">
        <f t="shared" si="17"/>
        <v>#DIV/0!</v>
      </c>
      <c r="C64" s="200">
        <f t="shared" si="16"/>
        <v>0</v>
      </c>
      <c r="D64" s="1163">
        <v>0.25</v>
      </c>
      <c r="E64" s="261">
        <f>'数据-汇总表'!E14</f>
        <v>0</v>
      </c>
      <c r="F64" s="1102" t="e">
        <f t="shared" si="15"/>
        <v>#DIV/0!</v>
      </c>
      <c r="G64" s="2709" t="s">
        <v>2722</v>
      </c>
      <c r="H64" s="1103">
        <f>项目基本情况!B37</f>
        <v>0</v>
      </c>
      <c r="I64" s="1107">
        <f>SUMIF(修正!A45:A56,H64,修正!H45:H56)</f>
        <v>0</v>
      </c>
      <c r="J64" s="1111"/>
      <c r="K64" s="1144"/>
      <c r="L64" s="940"/>
      <c r="M64" s="940"/>
      <c r="N64" s="940"/>
      <c r="O64" s="940"/>
    </row>
    <row r="65" spans="1:17" s="692" customFormat="1" ht="14.4" thickBot="1">
      <c r="A65" s="693" t="s">
        <v>2733</v>
      </c>
      <c r="B65" s="262" t="e">
        <f t="shared" si="17"/>
        <v>#DIV/0!</v>
      </c>
      <c r="C65" s="200">
        <f t="shared" si="16"/>
        <v>0</v>
      </c>
      <c r="D65" s="1163">
        <v>0.25</v>
      </c>
      <c r="E65" s="261">
        <f>'数据-汇总表'!E15</f>
        <v>0</v>
      </c>
      <c r="F65" s="1102" t="e">
        <f t="shared" si="15"/>
        <v>#DIV/0!</v>
      </c>
      <c r="G65" s="2710" t="s">
        <v>2727</v>
      </c>
      <c r="H65" s="1113">
        <f>项目基本情况!C37</f>
        <v>0</v>
      </c>
      <c r="I65" s="1109">
        <f>SUMIF(修正!A45:A56,H65,修正!H45:H56)</f>
        <v>0</v>
      </c>
      <c r="J65" s="1112"/>
      <c r="K65" s="1143"/>
      <c r="L65" s="940"/>
      <c r="M65" s="940"/>
      <c r="N65" s="940"/>
      <c r="O65" s="940"/>
    </row>
    <row r="66" spans="1:17" s="692" customFormat="1" thickBot="1">
      <c r="A66" s="695" t="s">
        <v>2734</v>
      </c>
      <c r="B66" s="696" t="s">
        <v>28</v>
      </c>
      <c r="C66" s="696" t="s">
        <v>29</v>
      </c>
      <c r="D66" s="696" t="s">
        <v>1025</v>
      </c>
      <c r="E66" s="696">
        <f>IF(B46="楼面地价",SUM(E56:E65),'数据-汇总表'!D3)</f>
        <v>68211.350000000006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2.2" thickBot="1">
      <c r="A69" s="763" t="s">
        <v>2627</v>
      </c>
      <c r="B69" s="759"/>
      <c r="C69" s="764"/>
      <c r="D69" s="764"/>
      <c r="E69" s="764"/>
      <c r="F69" s="765"/>
      <c r="G69" s="765"/>
      <c r="H69" s="764"/>
      <c r="I69" s="764"/>
      <c r="J69" s="1158"/>
      <c r="K69" s="1159"/>
      <c r="L69" s="1160"/>
      <c r="M69" s="1158"/>
      <c r="N69" s="1158"/>
      <c r="O69" s="1158"/>
      <c r="P69" s="503"/>
      <c r="Q69" s="504"/>
    </row>
    <row r="70" spans="1:17" s="508" customFormat="1" ht="14.4">
      <c r="A70" s="2711" t="s">
        <v>2735</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2" t="s">
        <v>2736</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6"/>
      <c r="N71" s="595"/>
      <c r="O71" s="1567"/>
      <c r="P71" s="504"/>
    </row>
    <row r="72" spans="1:17" s="117" customFormat="1" ht="15" thickBot="1">
      <c r="A72" s="515" t="s">
        <v>2538</v>
      </c>
      <c r="B72" s="516"/>
      <c r="C72" s="517"/>
      <c r="D72" s="518"/>
      <c r="E72" s="518"/>
      <c r="F72" s="518"/>
      <c r="G72" s="518"/>
      <c r="H72" s="518"/>
      <c r="I72" s="518"/>
      <c r="J72" s="518"/>
      <c r="K72" s="518"/>
      <c r="L72" s="518"/>
      <c r="M72" s="519"/>
      <c r="N72" s="518"/>
      <c r="O72" s="1161"/>
      <c r="P72" s="504"/>
      <c r="Q72" s="504"/>
    </row>
    <row r="73" spans="1:17" s="117" customFormat="1" ht="14.4">
      <c r="A73" s="521" t="s">
        <v>2504</v>
      </c>
      <c r="B73" s="510"/>
      <c r="C73" s="522" t="s">
        <v>2605</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2541</v>
      </c>
      <c r="B75" s="528" t="s">
        <v>2508</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2511</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2738</v>
      </c>
      <c r="C96" s="578" t="s">
        <v>2550</v>
      </c>
      <c r="D96" s="578" t="s">
        <v>2551</v>
      </c>
      <c r="E96" s="578" t="s">
        <v>2552</v>
      </c>
      <c r="F96" s="578" t="s">
        <v>2553</v>
      </c>
      <c r="G96" s="578" t="s">
        <v>2554</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2739</v>
      </c>
      <c r="C98" s="573" t="s">
        <v>2550</v>
      </c>
      <c r="D98" s="573" t="s">
        <v>2551</v>
      </c>
      <c r="E98" s="573" t="s">
        <v>2552</v>
      </c>
      <c r="F98" s="573" t="s">
        <v>2553</v>
      </c>
      <c r="G98" s="573" t="s">
        <v>2554</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2608</v>
      </c>
      <c r="C102" s="660" t="s">
        <v>2628</v>
      </c>
      <c r="D102" s="660" t="s">
        <v>2629</v>
      </c>
      <c r="E102" s="660" t="s">
        <v>2630</v>
      </c>
      <c r="F102" s="660" t="s">
        <v>2631</v>
      </c>
      <c r="G102" s="660" t="s">
        <v>2632</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2644</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2703</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2697</v>
      </c>
      <c r="B1" s="395"/>
      <c r="C1" s="396" t="s">
        <v>2749</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2284</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2286</v>
      </c>
      <c r="B3" s="609" t="e">
        <f>ROUND(IF(D3="",B2*10000/'数据-汇总表'!E3,B2*10000/D3),0)</f>
        <v>#DIV/0!</v>
      </c>
      <c r="C3" s="247" t="s">
        <v>2699</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2598</v>
      </c>
      <c r="B4" s="402"/>
      <c r="C4" s="3722" t="s">
        <v>2599</v>
      </c>
      <c r="D4" s="3723"/>
      <c r="E4" s="3724" t="s">
        <v>2600</v>
      </c>
      <c r="F4" s="3725"/>
      <c r="G4" s="3722" t="s">
        <v>2601</v>
      </c>
      <c r="H4" s="3723"/>
      <c r="I4" s="3722" t="s">
        <v>2602</v>
      </c>
      <c r="J4" s="3723"/>
      <c r="K4" s="610" t="s">
        <v>2603</v>
      </c>
      <c r="L4" s="1129"/>
      <c r="M4" s="1130"/>
      <c r="N4" s="1130"/>
      <c r="O4" s="1130"/>
      <c r="P4" s="3726" t="s">
        <v>2604</v>
      </c>
      <c r="Q4" s="3727"/>
      <c r="R4" s="3708" t="s">
        <v>2600</v>
      </c>
      <c r="S4" s="3709"/>
      <c r="T4" s="3708" t="s">
        <v>2601</v>
      </c>
      <c r="U4" s="3709"/>
      <c r="V4" s="3734" t="s">
        <v>2602</v>
      </c>
      <c r="W4" s="3734"/>
      <c r="X4" s="1812"/>
      <c r="Y4" s="3708" t="s">
        <v>2604</v>
      </c>
      <c r="Z4" s="3709"/>
      <c r="AA4" s="3703" t="s">
        <v>2600</v>
      </c>
      <c r="AB4" s="3704" t="s">
        <v>2601</v>
      </c>
      <c r="AC4" s="3703" t="s">
        <v>2602</v>
      </c>
    </row>
    <row r="5" spans="1:29">
      <c r="A5" s="404"/>
      <c r="B5" s="405"/>
      <c r="C5" s="3714" t="s">
        <v>2496</v>
      </c>
      <c r="D5" s="3715"/>
      <c r="E5" s="3777" t="s">
        <v>2497</v>
      </c>
      <c r="F5" s="3713"/>
      <c r="G5" s="3714" t="s">
        <v>2498</v>
      </c>
      <c r="H5" s="3715"/>
      <c r="I5" s="3714" t="s">
        <v>2499</v>
      </c>
      <c r="J5" s="3715"/>
      <c r="K5" s="610"/>
      <c r="L5" s="1129"/>
      <c r="M5" s="1130"/>
      <c r="N5" s="1130"/>
      <c r="O5" s="1130"/>
      <c r="P5" s="3728"/>
      <c r="Q5" s="3729"/>
      <c r="R5" s="3710"/>
      <c r="S5" s="3711"/>
      <c r="T5" s="3710"/>
      <c r="U5" s="3711"/>
      <c r="V5" s="3734"/>
      <c r="W5" s="3734"/>
      <c r="X5" s="1812"/>
      <c r="Y5" s="3710"/>
      <c r="Z5" s="3711"/>
      <c r="AA5" s="3704"/>
      <c r="AB5" s="3704"/>
      <c r="AC5" s="3704"/>
    </row>
    <row r="6" spans="1:29" ht="15" thickBot="1">
      <c r="A6" s="406"/>
      <c r="B6" s="407"/>
      <c r="C6" s="3798" t="s">
        <v>2750</v>
      </c>
      <c r="D6" s="3799"/>
      <c r="E6" s="3800" t="s">
        <v>2750</v>
      </c>
      <c r="F6" s="3801"/>
      <c r="G6" s="3798" t="s">
        <v>2750</v>
      </c>
      <c r="H6" s="3799"/>
      <c r="I6" s="3798" t="s">
        <v>2750</v>
      </c>
      <c r="J6" s="3799"/>
      <c r="K6" s="610" t="s">
        <v>2501</v>
      </c>
      <c r="L6" s="1129"/>
      <c r="M6" s="1130"/>
      <c r="N6" s="1130"/>
      <c r="O6" s="1130"/>
      <c r="P6" s="3730"/>
      <c r="Q6" s="3731"/>
      <c r="R6" s="3710"/>
      <c r="S6" s="3711"/>
      <c r="T6" s="3732"/>
      <c r="U6" s="3733"/>
      <c r="V6" s="3734"/>
      <c r="W6" s="3734"/>
      <c r="X6" s="1812"/>
      <c r="Y6" s="3732"/>
      <c r="Z6" s="3733"/>
      <c r="AA6" s="3705"/>
      <c r="AB6" s="3705"/>
      <c r="AC6" s="3705"/>
    </row>
    <row r="7" spans="1:29" s="117" customFormat="1" ht="15" thickBot="1">
      <c r="A7" s="408" t="s">
        <v>2502</v>
      </c>
      <c r="B7" s="409"/>
      <c r="C7" s="410">
        <f>'数据-取费表'!B2</f>
        <v>43685</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706" t="s">
        <v>2503</v>
      </c>
      <c r="Q7" s="3735"/>
      <c r="R7" s="770" t="s">
        <v>17</v>
      </c>
      <c r="S7" s="771">
        <f t="shared" ref="S7:S15" si="0">F7</f>
        <v>0</v>
      </c>
      <c r="T7" s="770" t="s">
        <v>17</v>
      </c>
      <c r="U7" s="771">
        <f t="shared" ref="U7:U15" si="1">H7</f>
        <v>0</v>
      </c>
      <c r="V7" s="770" t="s">
        <v>17</v>
      </c>
      <c r="W7" s="771">
        <f t="shared" ref="W7:W15" si="2">J7</f>
        <v>0</v>
      </c>
      <c r="X7" s="772"/>
      <c r="Y7" s="3706" t="s">
        <v>2503</v>
      </c>
      <c r="Z7" s="3707"/>
      <c r="AA7" s="773" t="e">
        <f>D7/F7</f>
        <v>#DIV/0!</v>
      </c>
      <c r="AB7" s="773" t="e">
        <f>D7/H7</f>
        <v>#DIV/0!</v>
      </c>
      <c r="AC7" s="773" t="e">
        <f>D7/J7</f>
        <v>#DIV/0!</v>
      </c>
    </row>
    <row r="8" spans="1:29" s="117" customFormat="1" ht="1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706" t="s">
        <v>2506</v>
      </c>
      <c r="Q8" s="3707"/>
      <c r="R8" s="770" t="s">
        <v>17</v>
      </c>
      <c r="S8" s="771">
        <f t="shared" si="0"/>
        <v>0</v>
      </c>
      <c r="T8" s="770" t="s">
        <v>17</v>
      </c>
      <c r="U8" s="771">
        <f t="shared" si="1"/>
        <v>0</v>
      </c>
      <c r="V8" s="770" t="s">
        <v>17</v>
      </c>
      <c r="W8" s="771">
        <f t="shared" si="2"/>
        <v>0</v>
      </c>
      <c r="X8" s="772"/>
      <c r="Y8" s="3706" t="s">
        <v>2506</v>
      </c>
      <c r="Z8" s="3707"/>
      <c r="AA8" s="773" t="e">
        <f t="shared" ref="AA8:AA40" si="3">D8/F8</f>
        <v>#DIV/0!</v>
      </c>
      <c r="AB8" s="773" t="e">
        <f t="shared" ref="AB8:AB40" si="4">D8/H8</f>
        <v>#DIV/0!</v>
      </c>
      <c r="AC8" s="773" t="e">
        <f t="shared" ref="AC8:AC40" si="5">D8/J8</f>
        <v>#DIV/0!</v>
      </c>
    </row>
    <row r="9" spans="1:29" s="117" customFormat="1" ht="14.4">
      <c r="A9" s="415" t="s">
        <v>2507</v>
      </c>
      <c r="B9" s="71" t="s">
        <v>2508</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739" t="s">
        <v>2509</v>
      </c>
      <c r="Q9" s="1794" t="str">
        <f t="shared" ref="Q9:Q15" si="6">B9</f>
        <v>用途</v>
      </c>
      <c r="R9" s="770" t="s">
        <v>17</v>
      </c>
      <c r="S9" s="771">
        <f t="shared" si="0"/>
        <v>100</v>
      </c>
      <c r="T9" s="770" t="s">
        <v>17</v>
      </c>
      <c r="U9" s="771">
        <f t="shared" si="1"/>
        <v>100</v>
      </c>
      <c r="V9" s="770" t="s">
        <v>17</v>
      </c>
      <c r="W9" s="771">
        <f t="shared" si="2"/>
        <v>100</v>
      </c>
      <c r="X9" s="772"/>
      <c r="Y9" s="3538" t="s">
        <v>2510</v>
      </c>
      <c r="Z9" s="55" t="str">
        <f t="shared" ref="Z9:Z15" si="7">Q9</f>
        <v>用途</v>
      </c>
      <c r="AA9" s="773">
        <f t="shared" si="3"/>
        <v>1</v>
      </c>
      <c r="AB9" s="773">
        <f t="shared" si="4"/>
        <v>1</v>
      </c>
      <c r="AC9" s="773">
        <f t="shared" si="5"/>
        <v>1</v>
      </c>
    </row>
    <row r="10" spans="1:29" s="427" customFormat="1" ht="28.8">
      <c r="A10" s="421"/>
      <c r="B10" s="422" t="s">
        <v>2511</v>
      </c>
      <c r="C10" s="432"/>
      <c r="D10" s="136">
        <v>100</v>
      </c>
      <c r="E10" s="432"/>
      <c r="F10" s="136">
        <f>ROUND(100/'数据-取费表'!G16,0)</f>
        <v>101</v>
      </c>
      <c r="G10" s="432"/>
      <c r="H10" s="136">
        <f>ROUND(100/'数据-取费表'!G16,0)</f>
        <v>101</v>
      </c>
      <c r="I10" s="432"/>
      <c r="J10" s="136">
        <f>ROUND(100/'数据-取费表'!G16,0)</f>
        <v>101</v>
      </c>
      <c r="K10" s="672"/>
      <c r="L10" s="1134"/>
      <c r="M10" s="1135"/>
      <c r="N10" s="1135"/>
      <c r="O10" s="1136"/>
      <c r="P10" s="3739"/>
      <c r="Q10" s="1794" t="str">
        <f t="shared" si="6"/>
        <v>土地使用年限（年）</v>
      </c>
      <c r="R10" s="770" t="s">
        <v>17</v>
      </c>
      <c r="S10" s="771">
        <f t="shared" si="0"/>
        <v>101</v>
      </c>
      <c r="T10" s="770" t="s">
        <v>17</v>
      </c>
      <c r="U10" s="771">
        <f t="shared" si="1"/>
        <v>101</v>
      </c>
      <c r="V10" s="770" t="s">
        <v>17</v>
      </c>
      <c r="W10" s="771">
        <f t="shared" si="2"/>
        <v>101</v>
      </c>
      <c r="X10" s="772"/>
      <c r="Y10" s="3538"/>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739"/>
      <c r="Q11" s="1794" t="str">
        <f t="shared" si="6"/>
        <v>容积率</v>
      </c>
      <c r="R11" s="770" t="s">
        <v>17</v>
      </c>
      <c r="S11" s="771" t="e">
        <f t="shared" si="0"/>
        <v>#N/A</v>
      </c>
      <c r="T11" s="770" t="s">
        <v>17</v>
      </c>
      <c r="U11" s="771" t="e">
        <f t="shared" si="1"/>
        <v>#N/A</v>
      </c>
      <c r="V11" s="770" t="s">
        <v>17</v>
      </c>
      <c r="W11" s="771" t="e">
        <f t="shared" si="2"/>
        <v>#N/A</v>
      </c>
      <c r="X11" s="772"/>
      <c r="Y11" s="353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739"/>
      <c r="Q12" s="1794">
        <f t="shared" si="6"/>
        <v>111</v>
      </c>
      <c r="R12" s="770" t="s">
        <v>17</v>
      </c>
      <c r="S12" s="771">
        <f t="shared" si="0"/>
        <v>100</v>
      </c>
      <c r="T12" s="770" t="s">
        <v>17</v>
      </c>
      <c r="U12" s="771">
        <f t="shared" si="1"/>
        <v>100</v>
      </c>
      <c r="V12" s="770" t="s">
        <v>17</v>
      </c>
      <c r="W12" s="771">
        <f t="shared" si="2"/>
        <v>100</v>
      </c>
      <c r="X12" s="772"/>
      <c r="Y12" s="353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739"/>
      <c r="Q13" s="1794">
        <f t="shared" si="6"/>
        <v>111</v>
      </c>
      <c r="R13" s="770" t="s">
        <v>17</v>
      </c>
      <c r="S13" s="771">
        <f t="shared" si="0"/>
        <v>100</v>
      </c>
      <c r="T13" s="770" t="s">
        <v>17</v>
      </c>
      <c r="U13" s="771">
        <f t="shared" si="1"/>
        <v>100</v>
      </c>
      <c r="V13" s="770" t="s">
        <v>17</v>
      </c>
      <c r="W13" s="771">
        <f t="shared" si="2"/>
        <v>100</v>
      </c>
      <c r="X13" s="772"/>
      <c r="Y13" s="3538"/>
      <c r="Z13" s="55">
        <f t="shared" si="7"/>
        <v>111</v>
      </c>
      <c r="AA13" s="773">
        <f t="shared" si="3"/>
        <v>1</v>
      </c>
      <c r="AB13" s="773">
        <f t="shared" si="4"/>
        <v>1</v>
      </c>
      <c r="AC13" s="773">
        <f t="shared" si="5"/>
        <v>1</v>
      </c>
    </row>
    <row r="14" spans="1:29" ht="15.6"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739"/>
      <c r="Q14" s="1794">
        <f t="shared" si="6"/>
        <v>111</v>
      </c>
      <c r="R14" s="770" t="s">
        <v>17</v>
      </c>
      <c r="S14" s="771">
        <f t="shared" si="0"/>
        <v>100</v>
      </c>
      <c r="T14" s="770" t="s">
        <v>17</v>
      </c>
      <c r="U14" s="771">
        <f t="shared" si="1"/>
        <v>100</v>
      </c>
      <c r="V14" s="770" t="s">
        <v>17</v>
      </c>
      <c r="W14" s="771">
        <f t="shared" si="2"/>
        <v>100</v>
      </c>
      <c r="X14" s="772"/>
      <c r="Y14" s="3538"/>
      <c r="Z14" s="55">
        <f t="shared" si="7"/>
        <v>111</v>
      </c>
      <c r="AA14" s="773">
        <f t="shared" si="3"/>
        <v>1</v>
      </c>
      <c r="AB14" s="773">
        <f t="shared" si="4"/>
        <v>1</v>
      </c>
      <c r="AC14" s="773">
        <f t="shared" si="5"/>
        <v>1</v>
      </c>
    </row>
    <row r="15" spans="1:29" ht="15">
      <c r="A15" s="440" t="s">
        <v>2513</v>
      </c>
      <c r="B15" s="629" t="s">
        <v>2751</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741" t="s">
        <v>2514</v>
      </c>
      <c r="Q15" s="1809" t="str">
        <f t="shared" si="6"/>
        <v>产业集聚程度</v>
      </c>
      <c r="R15" s="774" t="s">
        <v>17</v>
      </c>
      <c r="S15" s="775">
        <f t="shared" si="0"/>
        <v>100</v>
      </c>
      <c r="T15" s="774" t="s">
        <v>17</v>
      </c>
      <c r="U15" s="775">
        <f t="shared" si="1"/>
        <v>100</v>
      </c>
      <c r="V15" s="774" t="s">
        <v>17</v>
      </c>
      <c r="W15" s="775">
        <f t="shared" si="2"/>
        <v>100</v>
      </c>
      <c r="X15" s="1812"/>
      <c r="Y15" s="3741" t="s">
        <v>2514</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742"/>
      <c r="Q16" s="1809"/>
      <c r="R16" s="774"/>
      <c r="S16" s="775"/>
      <c r="T16" s="774"/>
      <c r="U16" s="775"/>
      <c r="V16" s="774"/>
      <c r="W16" s="775"/>
      <c r="X16" s="1812"/>
      <c r="Y16" s="3742"/>
      <c r="Z16" s="1813"/>
      <c r="AA16" s="1810">
        <v>1</v>
      </c>
      <c r="AB16" s="1810">
        <v>1</v>
      </c>
      <c r="AC16" s="1810">
        <v>1</v>
      </c>
    </row>
    <row r="17" spans="1:29" ht="15">
      <c r="A17" s="428"/>
      <c r="B17" s="631" t="s">
        <v>2662</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742"/>
      <c r="Q17" s="1809" t="str">
        <f>B17</f>
        <v>交通便捷度</v>
      </c>
      <c r="R17" s="774" t="s">
        <v>17</v>
      </c>
      <c r="S17" s="775">
        <f>F17</f>
        <v>100</v>
      </c>
      <c r="T17" s="774" t="s">
        <v>17</v>
      </c>
      <c r="U17" s="775">
        <f>H17</f>
        <v>100</v>
      </c>
      <c r="V17" s="774" t="s">
        <v>17</v>
      </c>
      <c r="W17" s="775">
        <f>J17</f>
        <v>100</v>
      </c>
      <c r="X17" s="1812"/>
      <c r="Y17" s="3742"/>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742"/>
      <c r="Q18" s="1809"/>
      <c r="R18" s="774"/>
      <c r="S18" s="775"/>
      <c r="T18" s="774"/>
      <c r="U18" s="775"/>
      <c r="V18" s="774"/>
      <c r="W18" s="775"/>
      <c r="X18" s="1812"/>
      <c r="Y18" s="3742"/>
      <c r="Z18" s="1813"/>
      <c r="AA18" s="1810">
        <v>1</v>
      </c>
      <c r="AB18" s="1810">
        <v>1</v>
      </c>
      <c r="AC18" s="1810">
        <v>1</v>
      </c>
    </row>
    <row r="19" spans="1:29" ht="28.8">
      <c r="A19" s="428"/>
      <c r="B19" s="631" t="s">
        <v>2701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742"/>
      <c r="Q19" s="1809" t="str">
        <f t="shared" ref="Q19:Q33" si="8">B19</f>
        <v>区域土地利用方向</v>
      </c>
      <c r="R19" s="774" t="s">
        <v>17</v>
      </c>
      <c r="S19" s="775">
        <f>F19</f>
        <v>100</v>
      </c>
      <c r="T19" s="774" t="s">
        <v>17</v>
      </c>
      <c r="U19" s="775">
        <f>H19</f>
        <v>100</v>
      </c>
      <c r="V19" s="774" t="s">
        <v>17</v>
      </c>
      <c r="W19" s="775">
        <f>J19</f>
        <v>100</v>
      </c>
      <c r="X19" s="1812"/>
      <c r="Y19" s="3742"/>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742"/>
      <c r="Q20" s="1809"/>
      <c r="R20" s="774"/>
      <c r="S20" s="775"/>
      <c r="T20" s="774"/>
      <c r="U20" s="775"/>
      <c r="V20" s="774"/>
      <c r="W20" s="775"/>
      <c r="X20" s="1812"/>
      <c r="Y20" s="3742"/>
      <c r="Z20" s="1813"/>
      <c r="AA20" s="1810"/>
      <c r="AB20" s="1810"/>
      <c r="AC20" s="1810"/>
    </row>
    <row r="21" spans="1:29" ht="15">
      <c r="A21" s="404"/>
      <c r="B21" s="631" t="s">
        <v>2752</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742"/>
      <c r="Q21" s="1809" t="str">
        <f t="shared" si="8"/>
        <v>环境状况</v>
      </c>
      <c r="R21" s="774" t="s">
        <v>17</v>
      </c>
      <c r="S21" s="775">
        <f>F21</f>
        <v>100</v>
      </c>
      <c r="T21" s="774" t="s">
        <v>17</v>
      </c>
      <c r="U21" s="775">
        <f>H21</f>
        <v>100</v>
      </c>
      <c r="V21" s="774" t="s">
        <v>17</v>
      </c>
      <c r="W21" s="775">
        <f>J21</f>
        <v>100</v>
      </c>
      <c r="X21" s="1812"/>
      <c r="Y21" s="3742"/>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742"/>
      <c r="Q22" s="1809"/>
      <c r="R22" s="774"/>
      <c r="S22" s="775"/>
      <c r="T22" s="774"/>
      <c r="U22" s="775"/>
      <c r="V22" s="774"/>
      <c r="W22" s="775"/>
      <c r="X22" s="1812"/>
      <c r="Y22" s="3742"/>
      <c r="Z22" s="1813"/>
      <c r="AA22" s="1810">
        <v>1</v>
      </c>
      <c r="AB22" s="1810">
        <v>1</v>
      </c>
      <c r="AC22" s="1810">
        <v>1</v>
      </c>
    </row>
    <row r="23" spans="1:29" s="117" customFormat="1" ht="15">
      <c r="A23" s="649"/>
      <c r="B23" s="633" t="s">
        <v>2607</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742"/>
      <c r="Q23" s="1794" t="str">
        <f t="shared" si="8"/>
        <v>公共配套设施</v>
      </c>
      <c r="R23" s="770" t="s">
        <v>17</v>
      </c>
      <c r="S23" s="771">
        <f>F23</f>
        <v>100</v>
      </c>
      <c r="T23" s="770" t="s">
        <v>17</v>
      </c>
      <c r="U23" s="771">
        <f>H23</f>
        <v>100</v>
      </c>
      <c r="V23" s="770" t="s">
        <v>17</v>
      </c>
      <c r="W23" s="771">
        <f>J23</f>
        <v>100</v>
      </c>
      <c r="X23" s="772"/>
      <c r="Y23" s="3742"/>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742"/>
      <c r="Q24" s="1794"/>
      <c r="R24" s="770"/>
      <c r="S24" s="771"/>
      <c r="T24" s="770"/>
      <c r="U24" s="771"/>
      <c r="V24" s="770"/>
      <c r="W24" s="771"/>
      <c r="X24" s="772"/>
      <c r="Y24" s="3742"/>
      <c r="Z24" s="55"/>
      <c r="AA24" s="773">
        <v>1</v>
      </c>
      <c r="AB24" s="773">
        <v>1</v>
      </c>
      <c r="AC24" s="773">
        <v>1</v>
      </c>
    </row>
    <row r="25" spans="1:29" s="117" customFormat="1" ht="15">
      <c r="A25" s="649"/>
      <c r="B25" s="633" t="s">
        <v>2608</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742"/>
      <c r="Q25" s="1794" t="str">
        <f t="shared" ref="Q25" si="9">B25</f>
        <v>基础设施水平</v>
      </c>
      <c r="R25" s="770" t="s">
        <v>17</v>
      </c>
      <c r="S25" s="771">
        <f>F25</f>
        <v>100</v>
      </c>
      <c r="T25" s="770" t="s">
        <v>17</v>
      </c>
      <c r="U25" s="771">
        <f>H25</f>
        <v>100</v>
      </c>
      <c r="V25" s="770" t="s">
        <v>17</v>
      </c>
      <c r="W25" s="771">
        <f>J25</f>
        <v>100</v>
      </c>
      <c r="X25" s="772"/>
      <c r="Y25" s="3742"/>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742"/>
      <c r="Q26" s="1794"/>
      <c r="R26" s="770"/>
      <c r="S26" s="771"/>
      <c r="T26" s="770"/>
      <c r="U26" s="771"/>
      <c r="V26" s="770"/>
      <c r="W26" s="771"/>
      <c r="X26" s="772"/>
      <c r="Y26" s="3742"/>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742"/>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742"/>
      <c r="Z27" s="1813" t="str">
        <f t="shared" ref="Z27:Z40" si="13">Q27</f>
        <v>临街状况</v>
      </c>
      <c r="AA27" s="1810">
        <f t="shared" si="3"/>
        <v>1</v>
      </c>
      <c r="AB27" s="1810">
        <f t="shared" si="4"/>
        <v>1</v>
      </c>
      <c r="AC27" s="1810">
        <f t="shared" si="5"/>
        <v>1</v>
      </c>
    </row>
    <row r="28" spans="1:29" ht="28.8">
      <c r="A28" s="428"/>
      <c r="B28" s="633" t="s">
        <v>2644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742"/>
      <c r="Q28" s="1809" t="str">
        <f t="shared" si="8"/>
        <v>毗邻道路的类型与等级</v>
      </c>
      <c r="R28" s="774" t="s">
        <v>17</v>
      </c>
      <c r="S28" s="775">
        <f t="shared" si="10"/>
        <v>100</v>
      </c>
      <c r="T28" s="774" t="s">
        <v>17</v>
      </c>
      <c r="U28" s="775">
        <f t="shared" si="11"/>
        <v>100</v>
      </c>
      <c r="V28" s="774" t="s">
        <v>17</v>
      </c>
      <c r="W28" s="775">
        <f t="shared" si="12"/>
        <v>100</v>
      </c>
      <c r="X28" s="1812"/>
      <c r="Y28" s="3742"/>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742"/>
      <c r="Q29" s="1809"/>
      <c r="R29" s="774"/>
      <c r="S29" s="775"/>
      <c r="T29" s="774"/>
      <c r="U29" s="775"/>
      <c r="V29" s="774"/>
      <c r="W29" s="775"/>
      <c r="X29" s="1812"/>
      <c r="Y29" s="3742"/>
      <c r="Z29" s="1813"/>
      <c r="AA29" s="1810">
        <v>1</v>
      </c>
      <c r="AB29" s="1810">
        <v>1</v>
      </c>
      <c r="AC29" s="1810">
        <v>1</v>
      </c>
    </row>
    <row r="30" spans="1:29" ht="15">
      <c r="A30" s="428"/>
      <c r="B30" s="654" t="s">
        <v>2703</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742"/>
      <c r="Q30" s="1809" t="str">
        <f t="shared" si="8"/>
        <v>土地级别</v>
      </c>
      <c r="R30" s="774" t="s">
        <v>17</v>
      </c>
      <c r="S30" s="775">
        <f t="shared" si="10"/>
        <v>100</v>
      </c>
      <c r="T30" s="774" t="s">
        <v>17</v>
      </c>
      <c r="U30" s="775">
        <f t="shared" si="11"/>
        <v>100</v>
      </c>
      <c r="V30" s="774" t="s">
        <v>17</v>
      </c>
      <c r="W30" s="775">
        <f t="shared" si="12"/>
        <v>100</v>
      </c>
      <c r="X30" s="1812"/>
      <c r="Y30" s="3742"/>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742"/>
      <c r="Q31" s="1809">
        <f t="shared" si="8"/>
        <v>111</v>
      </c>
      <c r="R31" s="774" t="s">
        <v>17</v>
      </c>
      <c r="S31" s="775">
        <f t="shared" si="10"/>
        <v>100</v>
      </c>
      <c r="T31" s="774" t="s">
        <v>17</v>
      </c>
      <c r="U31" s="775">
        <f t="shared" si="11"/>
        <v>100</v>
      </c>
      <c r="V31" s="774" t="s">
        <v>17</v>
      </c>
      <c r="W31" s="775">
        <f t="shared" si="12"/>
        <v>100</v>
      </c>
      <c r="X31" s="1812"/>
      <c r="Y31" s="3742"/>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793" t="s">
        <v>2519</v>
      </c>
      <c r="Q32" s="1809">
        <f t="shared" si="8"/>
        <v>111</v>
      </c>
      <c r="R32" s="774" t="s">
        <v>17</v>
      </c>
      <c r="S32" s="775">
        <f t="shared" si="10"/>
        <v>100</v>
      </c>
      <c r="T32" s="774" t="s">
        <v>17</v>
      </c>
      <c r="U32" s="775">
        <f t="shared" si="11"/>
        <v>100</v>
      </c>
      <c r="V32" s="774" t="s">
        <v>17</v>
      </c>
      <c r="W32" s="775">
        <f t="shared" si="12"/>
        <v>100</v>
      </c>
      <c r="X32" s="1812"/>
      <c r="Y32" s="3746" t="s">
        <v>2519</v>
      </c>
      <c r="Z32" s="1813">
        <f t="shared" si="13"/>
        <v>111</v>
      </c>
      <c r="AA32" s="1810">
        <f t="shared" si="3"/>
        <v>1</v>
      </c>
      <c r="AB32" s="1810">
        <f t="shared" si="4"/>
        <v>1</v>
      </c>
      <c r="AC32" s="1810">
        <f t="shared" si="5"/>
        <v>1</v>
      </c>
    </row>
    <row r="33" spans="1:29" s="471" customFormat="1" ht="15.6"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746"/>
      <c r="Q33" s="1809">
        <f t="shared" si="8"/>
        <v>111</v>
      </c>
      <c r="R33" s="777" t="s">
        <v>17</v>
      </c>
      <c r="S33" s="778">
        <f t="shared" si="10"/>
        <v>100</v>
      </c>
      <c r="T33" s="777" t="s">
        <v>17</v>
      </c>
      <c r="U33" s="778">
        <f t="shared" si="11"/>
        <v>100</v>
      </c>
      <c r="V33" s="777" t="s">
        <v>17</v>
      </c>
      <c r="W33" s="778">
        <f t="shared" si="12"/>
        <v>100</v>
      </c>
      <c r="X33" s="779"/>
      <c r="Y33" s="3746"/>
      <c r="Z33" s="780">
        <f t="shared" si="13"/>
        <v>111</v>
      </c>
      <c r="AA33" s="1810">
        <f t="shared" si="3"/>
        <v>1</v>
      </c>
      <c r="AB33" s="1810">
        <f t="shared" si="4"/>
        <v>1</v>
      </c>
      <c r="AC33" s="1810">
        <f t="shared" si="5"/>
        <v>1</v>
      </c>
    </row>
    <row r="34" spans="1:29" ht="15">
      <c r="A34" s="440" t="s">
        <v>2517</v>
      </c>
      <c r="B34" s="456" t="s">
        <v>2704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746"/>
      <c r="Q34" s="1809" t="str">
        <f>B34</f>
        <v>宗地面积</v>
      </c>
      <c r="R34" s="774" t="s">
        <v>17</v>
      </c>
      <c r="S34" s="775" t="e">
        <f t="shared" si="10"/>
        <v>#N/A</v>
      </c>
      <c r="T34" s="774" t="s">
        <v>17</v>
      </c>
      <c r="U34" s="775" t="e">
        <f t="shared" si="11"/>
        <v>#N/A</v>
      </c>
      <c r="V34" s="774" t="s">
        <v>17</v>
      </c>
      <c r="W34" s="775" t="e">
        <f t="shared" si="12"/>
        <v>#N/A</v>
      </c>
      <c r="X34" s="1812"/>
      <c r="Y34" s="3746"/>
      <c r="Z34" s="1813" t="str">
        <f t="shared" si="13"/>
        <v>宗地面积</v>
      </c>
      <c r="AA34" s="1810" t="e">
        <f t="shared" si="3"/>
        <v>#N/A</v>
      </c>
      <c r="AB34" s="1810" t="e">
        <f t="shared" si="4"/>
        <v>#N/A</v>
      </c>
      <c r="AC34" s="1810" t="e">
        <f t="shared" si="5"/>
        <v>#N/A</v>
      </c>
    </row>
    <row r="35" spans="1:29" ht="15">
      <c r="A35" s="472"/>
      <c r="B35" s="422" t="s">
        <v>2705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746"/>
      <c r="Q35" s="1809" t="str">
        <f t="shared" ref="Q35:Q40" si="14">B35</f>
        <v>宗地形状</v>
      </c>
      <c r="R35" s="774" t="s">
        <v>17</v>
      </c>
      <c r="S35" s="775">
        <f t="shared" si="10"/>
        <v>100</v>
      </c>
      <c r="T35" s="774" t="s">
        <v>17</v>
      </c>
      <c r="U35" s="775">
        <f t="shared" si="11"/>
        <v>100</v>
      </c>
      <c r="V35" s="774" t="s">
        <v>17</v>
      </c>
      <c r="W35" s="775">
        <f t="shared" si="12"/>
        <v>100</v>
      </c>
      <c r="X35" s="1812"/>
      <c r="Y35" s="3746"/>
      <c r="Z35" s="1813" t="str">
        <f t="shared" si="13"/>
        <v>宗地形状</v>
      </c>
      <c r="AA35" s="1810">
        <f t="shared" si="3"/>
        <v>1</v>
      </c>
      <c r="AB35" s="1810">
        <f t="shared" si="4"/>
        <v>1</v>
      </c>
      <c r="AC35" s="1810">
        <f t="shared" si="5"/>
        <v>1</v>
      </c>
    </row>
    <row r="36" spans="1:29" s="117" customFormat="1" ht="15">
      <c r="A36" s="473"/>
      <c r="B36" s="422" t="s">
        <v>2707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746"/>
      <c r="Q36" s="1809" t="str">
        <f t="shared" si="14"/>
        <v>宗地开发程度</v>
      </c>
      <c r="R36" s="770" t="s">
        <v>17</v>
      </c>
      <c r="S36" s="771">
        <f t="shared" si="10"/>
        <v>100</v>
      </c>
      <c r="T36" s="770" t="s">
        <v>17</v>
      </c>
      <c r="U36" s="771">
        <f t="shared" si="11"/>
        <v>100</v>
      </c>
      <c r="V36" s="770" t="s">
        <v>17</v>
      </c>
      <c r="W36" s="771">
        <f t="shared" si="12"/>
        <v>100</v>
      </c>
      <c r="X36" s="772"/>
      <c r="Y36" s="3746"/>
      <c r="Z36" s="55" t="str">
        <f t="shared" si="13"/>
        <v>宗地开发程度</v>
      </c>
      <c r="AA36" s="773">
        <f t="shared" si="3"/>
        <v>1</v>
      </c>
      <c r="AB36" s="773">
        <f t="shared" si="4"/>
        <v>1</v>
      </c>
      <c r="AC36" s="773">
        <f t="shared" si="5"/>
        <v>1</v>
      </c>
    </row>
    <row r="37" spans="1:29" ht="15">
      <c r="A37" s="472"/>
      <c r="B37" s="422" t="s">
        <v>2708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746" t="s">
        <v>2519</v>
      </c>
      <c r="Q37" s="1809" t="str">
        <f t="shared" si="14"/>
        <v>工程地质条件</v>
      </c>
      <c r="R37" s="774" t="s">
        <v>17</v>
      </c>
      <c r="S37" s="775">
        <f t="shared" si="10"/>
        <v>100</v>
      </c>
      <c r="T37" s="774" t="s">
        <v>17</v>
      </c>
      <c r="U37" s="775">
        <f t="shared" si="11"/>
        <v>100</v>
      </c>
      <c r="V37" s="774" t="s">
        <v>17</v>
      </c>
      <c r="W37" s="775">
        <f t="shared" si="12"/>
        <v>100</v>
      </c>
      <c r="X37" s="1812"/>
      <c r="Y37" s="3746" t="s">
        <v>2519</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746"/>
      <c r="Q38" s="1809">
        <f t="shared" si="14"/>
        <v>111</v>
      </c>
      <c r="R38" s="774" t="s">
        <v>17</v>
      </c>
      <c r="S38" s="775">
        <f t="shared" si="10"/>
        <v>100</v>
      </c>
      <c r="T38" s="774" t="s">
        <v>17</v>
      </c>
      <c r="U38" s="775">
        <f t="shared" si="11"/>
        <v>100</v>
      </c>
      <c r="V38" s="774" t="s">
        <v>17</v>
      </c>
      <c r="W38" s="775">
        <f t="shared" si="12"/>
        <v>100</v>
      </c>
      <c r="X38" s="1812"/>
      <c r="Y38" s="3746"/>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746"/>
      <c r="Q39" s="1809">
        <f t="shared" si="14"/>
        <v>111</v>
      </c>
      <c r="R39" s="774" t="s">
        <v>17</v>
      </c>
      <c r="S39" s="775">
        <f t="shared" si="10"/>
        <v>100</v>
      </c>
      <c r="T39" s="774" t="s">
        <v>17</v>
      </c>
      <c r="U39" s="775">
        <f t="shared" si="11"/>
        <v>100</v>
      </c>
      <c r="V39" s="774" t="s">
        <v>17</v>
      </c>
      <c r="W39" s="775">
        <f t="shared" si="12"/>
        <v>100</v>
      </c>
      <c r="X39" s="1812"/>
      <c r="Y39" s="3746"/>
      <c r="Z39" s="1813">
        <f t="shared" si="13"/>
        <v>111</v>
      </c>
      <c r="AA39" s="1810">
        <f t="shared" si="3"/>
        <v>1</v>
      </c>
      <c r="AB39" s="1810">
        <f t="shared" si="4"/>
        <v>1</v>
      </c>
      <c r="AC39" s="1810">
        <f t="shared" si="5"/>
        <v>1</v>
      </c>
    </row>
    <row r="40" spans="1:29" s="471" customFormat="1" ht="15.6"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746"/>
      <c r="Q40" s="1809">
        <f t="shared" si="14"/>
        <v>111</v>
      </c>
      <c r="R40" s="777" t="s">
        <v>17</v>
      </c>
      <c r="S40" s="778">
        <f t="shared" si="10"/>
        <v>100</v>
      </c>
      <c r="T40" s="777" t="s">
        <v>17</v>
      </c>
      <c r="U40" s="778">
        <f t="shared" si="11"/>
        <v>100</v>
      </c>
      <c r="V40" s="777" t="s">
        <v>17</v>
      </c>
      <c r="W40" s="778">
        <f t="shared" si="12"/>
        <v>100</v>
      </c>
      <c r="X40" s="779"/>
      <c r="Y40" s="3746"/>
      <c r="Z40" s="780">
        <f t="shared" si="13"/>
        <v>111</v>
      </c>
      <c r="AA40" s="1810">
        <f t="shared" si="3"/>
        <v>1</v>
      </c>
      <c r="AB40" s="1810">
        <f t="shared" si="4"/>
        <v>1</v>
      </c>
      <c r="AC40" s="1810">
        <f t="shared" si="5"/>
        <v>1</v>
      </c>
    </row>
    <row r="41" spans="1:29" ht="14.4">
      <c r="A41" s="479" t="s">
        <v>2673</v>
      </c>
      <c r="B41" s="2704" t="s">
        <v>2753</v>
      </c>
      <c r="C41" s="682" t="s">
        <v>1</v>
      </c>
      <c r="D41" s="481"/>
      <c r="E41" s="482"/>
      <c r="F41" s="483"/>
      <c r="G41" s="484"/>
      <c r="H41" s="485"/>
      <c r="I41" s="482"/>
      <c r="J41" s="485"/>
      <c r="K41" s="783"/>
      <c r="L41" s="1142"/>
      <c r="M41" s="1130"/>
      <c r="N41" s="1130"/>
      <c r="O41" s="1143"/>
      <c r="P41" s="3739" t="str">
        <f>A41</f>
        <v>成交单价</v>
      </c>
      <c r="Q41" s="3739"/>
      <c r="R41" s="3734">
        <f>E41</f>
        <v>0</v>
      </c>
      <c r="S41" s="3734"/>
      <c r="T41" s="3734">
        <f>G41</f>
        <v>0</v>
      </c>
      <c r="U41" s="3734"/>
      <c r="V41" s="3734">
        <f>I41</f>
        <v>0</v>
      </c>
      <c r="W41" s="3734"/>
      <c r="X41" s="759"/>
      <c r="Y41" s="781"/>
      <c r="Z41" s="759"/>
      <c r="AA41" s="759"/>
      <c r="AB41" s="759"/>
      <c r="AC41" s="759"/>
    </row>
    <row r="42" spans="1:29" ht="15" thickBot="1">
      <c r="A42" s="486" t="s">
        <v>2622</v>
      </c>
      <c r="B42" s="683"/>
      <c r="C42" s="490" t="e">
        <f>R43</f>
        <v>#DIV/0!</v>
      </c>
      <c r="D42" s="489"/>
      <c r="E42" s="490" t="e">
        <f>R42</f>
        <v>#DIV/0!</v>
      </c>
      <c r="F42" s="491"/>
      <c r="G42" s="488" t="e">
        <f>T42</f>
        <v>#DIV/0!</v>
      </c>
      <c r="H42" s="489"/>
      <c r="I42" s="490" t="e">
        <f>V42</f>
        <v>#DIV/0!</v>
      </c>
      <c r="J42" s="489"/>
      <c r="K42" s="784"/>
      <c r="L42" s="1142"/>
      <c r="M42" s="1130"/>
      <c r="N42" s="1130"/>
      <c r="O42" s="1143"/>
      <c r="P42" s="3739" t="str">
        <f>A42</f>
        <v>比较价值（元/平方米）</v>
      </c>
      <c r="Q42" s="3739"/>
      <c r="R42" s="3794" t="e">
        <f>ROUND(PRODUCT(R41,AA7:AA40),0)</f>
        <v>#DIV/0!</v>
      </c>
      <c r="S42" s="3794"/>
      <c r="T42" s="3794" t="e">
        <f>ROUND(PRODUCT(T41,AB7:AB40),0)</f>
        <v>#DIV/0!</v>
      </c>
      <c r="U42" s="3794"/>
      <c r="V42" s="3794" t="e">
        <f>ROUND(PRODUCT(V41,AC7:AC40),0)</f>
        <v>#DIV/0!</v>
      </c>
      <c r="W42" s="3794"/>
      <c r="X42" s="759"/>
      <c r="Y42" s="759"/>
      <c r="Z42" s="759"/>
      <c r="AA42" s="759"/>
      <c r="AB42" s="759"/>
      <c r="AC42" s="759"/>
    </row>
    <row r="43" spans="1:29" ht="15" thickBot="1">
      <c r="A43" s="492" t="s">
        <v>2623</v>
      </c>
      <c r="B43" s="493"/>
      <c r="C43" s="494" t="e">
        <f>R43</f>
        <v>#DIV/0!</v>
      </c>
      <c r="D43" s="494"/>
      <c r="E43" s="494"/>
      <c r="F43" s="494"/>
      <c r="G43" s="494"/>
      <c r="H43" s="494"/>
      <c r="I43" s="494"/>
      <c r="J43" s="494"/>
      <c r="K43" s="785"/>
      <c r="L43" s="1142"/>
      <c r="M43" s="1130"/>
      <c r="N43" s="1130"/>
      <c r="O43" s="1143"/>
      <c r="P43" s="3736" t="str">
        <f>A43</f>
        <v>估价对象XX用房的比较价值（楼面单价，元/平方米）</v>
      </c>
      <c r="Q43" s="3737"/>
      <c r="R43" s="3795" t="e">
        <f>ROUND(AVERAGE(R42:V42),0)</f>
        <v>#DIV/0!</v>
      </c>
      <c r="S43" s="3795"/>
      <c r="T43" s="3795"/>
      <c r="U43" s="3795"/>
      <c r="V43" s="3795"/>
      <c r="W43" s="3795"/>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2711</v>
      </c>
      <c r="B50" s="685" t="s">
        <v>2712</v>
      </c>
      <c r="C50" s="2705" t="s">
        <v>2713</v>
      </c>
      <c r="D50" s="2706" t="s">
        <v>2714</v>
      </c>
      <c r="E50" s="686" t="s">
        <v>2715</v>
      </c>
      <c r="F50" s="687" t="s">
        <v>2716</v>
      </c>
      <c r="G50" s="3722" t="s">
        <v>2717</v>
      </c>
      <c r="H50" s="3796"/>
      <c r="I50" s="1813" t="s">
        <v>2754</v>
      </c>
      <c r="J50" s="1813">
        <f>项目基本情况!F35</f>
        <v>0</v>
      </c>
      <c r="K50" s="2708" t="s">
        <v>2719</v>
      </c>
      <c r="L50" s="1105"/>
      <c r="M50" s="1143"/>
      <c r="N50" s="1143"/>
      <c r="O50" s="1143"/>
    </row>
    <row r="51" spans="1:17" s="692" customFormat="1">
      <c r="A51" s="688" t="s">
        <v>2720</v>
      </c>
      <c r="B51" s="689" t="e">
        <f>C43</f>
        <v>#DIV/0!</v>
      </c>
      <c r="C51" s="690">
        <v>1</v>
      </c>
      <c r="D51" s="1162">
        <v>1</v>
      </c>
      <c r="E51" s="690">
        <f>'数据-汇总表'!E8+'数据-汇总表'!E9</f>
        <v>39821.340000000004</v>
      </c>
      <c r="F51" s="691" t="e">
        <f t="shared" ref="F51:F60" si="15">ROUND(B51*E51/10000,0)</f>
        <v>#DIV/0!</v>
      </c>
      <c r="G51" s="3721"/>
      <c r="H51" s="3739"/>
      <c r="I51" s="941">
        <v>1</v>
      </c>
      <c r="J51" s="941">
        <v>1</v>
      </c>
      <c r="K51" s="1144"/>
      <c r="L51" s="940"/>
      <c r="M51" s="940"/>
      <c r="N51" s="940"/>
      <c r="O51" s="940"/>
    </row>
    <row r="52" spans="1:17" s="692" customFormat="1">
      <c r="A52" s="693" t="s">
        <v>2721</v>
      </c>
      <c r="B52" s="262" t="e">
        <f>ROUND($C$43*C52*D52,0)</f>
        <v>#DIV/0!</v>
      </c>
      <c r="C52" s="200">
        <f t="shared" ref="C52:C60" si="16">IF($C$50="北京市系数",I52,J52)</f>
        <v>0</v>
      </c>
      <c r="D52" s="1163">
        <v>0.25</v>
      </c>
      <c r="E52" s="694"/>
      <c r="F52" s="691" t="e">
        <f t="shared" si="15"/>
        <v>#DIV/0!</v>
      </c>
      <c r="G52" s="3797" t="s">
        <v>2722</v>
      </c>
      <c r="H52" s="1103">
        <f>项目基本情况!B37</f>
        <v>0</v>
      </c>
      <c r="I52" s="941">
        <f>SUMIF(修正!A45:A56,H52,修正!B45:B56)</f>
        <v>0</v>
      </c>
      <c r="J52" s="942"/>
      <c r="K52" s="1143"/>
      <c r="L52" s="940"/>
      <c r="M52" s="940"/>
      <c r="N52" s="940"/>
      <c r="O52" s="940"/>
    </row>
    <row r="53" spans="1:17" s="692" customFormat="1">
      <c r="A53" s="693" t="s">
        <v>2723</v>
      </c>
      <c r="B53" s="262" t="e">
        <f t="shared" ref="B53:B60" si="17">ROUND($C$43*C53*D53,0)</f>
        <v>#DIV/0!</v>
      </c>
      <c r="C53" s="200">
        <f t="shared" si="16"/>
        <v>0</v>
      </c>
      <c r="D53" s="1163">
        <v>0.25</v>
      </c>
      <c r="E53" s="694"/>
      <c r="F53" s="691" t="e">
        <f t="shared" si="15"/>
        <v>#DIV/0!</v>
      </c>
      <c r="G53" s="3797"/>
      <c r="H53" s="1103">
        <f>项目基本情况!B37</f>
        <v>0</v>
      </c>
      <c r="I53" s="941">
        <f>SUMIF(修正!A45:A56,H53,修正!C45:C56)</f>
        <v>0</v>
      </c>
      <c r="J53" s="942"/>
      <c r="K53" s="1144"/>
      <c r="L53" s="940"/>
      <c r="M53" s="940"/>
      <c r="N53" s="940"/>
      <c r="O53" s="940"/>
    </row>
    <row r="54" spans="1:17" s="692" customFormat="1">
      <c r="A54" s="693" t="s">
        <v>2724</v>
      </c>
      <c r="B54" s="262" t="e">
        <f t="shared" si="17"/>
        <v>#DIV/0!</v>
      </c>
      <c r="C54" s="200">
        <f t="shared" si="16"/>
        <v>0</v>
      </c>
      <c r="D54" s="1163">
        <v>0.25</v>
      </c>
      <c r="E54" s="694"/>
      <c r="F54" s="691" t="e">
        <f t="shared" si="15"/>
        <v>#DIV/0!</v>
      </c>
      <c r="G54" s="3797"/>
      <c r="H54" s="1103">
        <f>项目基本情况!B37</f>
        <v>0</v>
      </c>
      <c r="I54" s="941">
        <f>SUMIF(修正!A45:A56,H54,修正!D45:D56)</f>
        <v>0</v>
      </c>
      <c r="J54" s="942"/>
      <c r="K54" s="1143"/>
      <c r="L54" s="940"/>
      <c r="M54" s="940"/>
      <c r="N54" s="940"/>
      <c r="O54" s="940"/>
    </row>
    <row r="55" spans="1:17" s="692" customFormat="1">
      <c r="A55" s="693" t="s">
        <v>2725</v>
      </c>
      <c r="B55" s="262" t="e">
        <f t="shared" si="17"/>
        <v>#DIV/0!</v>
      </c>
      <c r="C55" s="200">
        <f t="shared" si="16"/>
        <v>0</v>
      </c>
      <c r="D55" s="1163">
        <v>0.25</v>
      </c>
      <c r="E55" s="694"/>
      <c r="F55" s="691" t="e">
        <f t="shared" si="15"/>
        <v>#DIV/0!</v>
      </c>
      <c r="G55" s="3797"/>
      <c r="H55" s="1103">
        <f>项目基本情况!B37</f>
        <v>0</v>
      </c>
      <c r="I55" s="941">
        <f>SUMIF(修正!A45:A56,H55,修正!E45:E56)</f>
        <v>0</v>
      </c>
      <c r="J55" s="942"/>
      <c r="K55" s="1144"/>
      <c r="L55" s="940"/>
      <c r="M55" s="940"/>
      <c r="N55" s="940"/>
      <c r="O55" s="940"/>
    </row>
    <row r="56" spans="1:17" s="692" customFormat="1">
      <c r="A56" s="693" t="s">
        <v>2726</v>
      </c>
      <c r="B56" s="262" t="e">
        <f t="shared" si="17"/>
        <v>#DIV/0!</v>
      </c>
      <c r="C56" s="200">
        <f t="shared" si="16"/>
        <v>0</v>
      </c>
      <c r="D56" s="1163">
        <v>0.25</v>
      </c>
      <c r="E56" s="261">
        <f>'数据-汇总表'!E11</f>
        <v>0</v>
      </c>
      <c r="F56" s="691" t="e">
        <f t="shared" si="15"/>
        <v>#DIV/0!</v>
      </c>
      <c r="G56" s="2709" t="s">
        <v>2727</v>
      </c>
      <c r="H56" s="1103">
        <f>项目基本情况!C37</f>
        <v>0</v>
      </c>
      <c r="I56" s="941">
        <f>SUMIF(修正!A45:A56,H56,修正!F45:F56)</f>
        <v>0</v>
      </c>
      <c r="J56" s="942"/>
      <c r="K56" s="1143"/>
      <c r="L56" s="940"/>
      <c r="M56" s="940"/>
      <c r="N56" s="940"/>
      <c r="O56" s="940"/>
    </row>
    <row r="57" spans="1:17" s="692" customFormat="1">
      <c r="A57" s="693" t="s">
        <v>2728</v>
      </c>
      <c r="B57" s="262" t="e">
        <f t="shared" si="17"/>
        <v>#DIV/0!</v>
      </c>
      <c r="C57" s="200">
        <f t="shared" si="16"/>
        <v>0</v>
      </c>
      <c r="D57" s="1163">
        <v>0.25</v>
      </c>
      <c r="E57" s="261">
        <f>'数据-汇总表'!E12</f>
        <v>0</v>
      </c>
      <c r="F57" s="691"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2730</v>
      </c>
      <c r="B58" s="262" t="e">
        <f t="shared" si="17"/>
        <v>#DIV/0!</v>
      </c>
      <c r="C58" s="200">
        <f t="shared" si="16"/>
        <v>0</v>
      </c>
      <c r="D58" s="1163">
        <v>0.25</v>
      </c>
      <c r="E58" s="261">
        <f>'数据-汇总表'!E13</f>
        <v>28390.01</v>
      </c>
      <c r="F58" s="691"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2732</v>
      </c>
      <c r="B59" s="262" t="e">
        <f t="shared" si="17"/>
        <v>#DIV/0!</v>
      </c>
      <c r="C59" s="200">
        <f t="shared" si="16"/>
        <v>0</v>
      </c>
      <c r="D59" s="1163">
        <v>0.25</v>
      </c>
      <c r="E59" s="261">
        <f>'数据-汇总表'!E14</f>
        <v>0</v>
      </c>
      <c r="F59" s="691" t="e">
        <f t="shared" si="15"/>
        <v>#DIV/0!</v>
      </c>
      <c r="G59" s="2709" t="s">
        <v>2722</v>
      </c>
      <c r="H59" s="1103">
        <f>项目基本情况!B37</f>
        <v>0</v>
      </c>
      <c r="I59" s="941">
        <f>SUMIF(修正!A45:A56,H59,修正!H45:H56)</f>
        <v>0</v>
      </c>
      <c r="J59" s="942"/>
      <c r="K59" s="1144"/>
      <c r="L59" s="940"/>
      <c r="M59" s="940"/>
      <c r="N59" s="940"/>
      <c r="O59" s="940"/>
    </row>
    <row r="60" spans="1:17" s="692" customFormat="1" ht="14.4" thickBot="1">
      <c r="A60" s="693" t="s">
        <v>2733</v>
      </c>
      <c r="B60" s="262" t="e">
        <f t="shared" si="17"/>
        <v>#DIV/0!</v>
      </c>
      <c r="C60" s="200">
        <f t="shared" si="16"/>
        <v>0</v>
      </c>
      <c r="D60" s="1163">
        <v>0.25</v>
      </c>
      <c r="E60" s="261">
        <f>'数据-汇总表'!E15</f>
        <v>0</v>
      </c>
      <c r="F60" s="691" t="e">
        <f t="shared" si="15"/>
        <v>#DIV/0!</v>
      </c>
      <c r="G60" s="2710" t="s">
        <v>2727</v>
      </c>
      <c r="H60" s="1113">
        <f>项目基本情况!C37</f>
        <v>0</v>
      </c>
      <c r="I60" s="941">
        <f>SUMIF(修正!A45:A56,H60,修正!H45:H56)</f>
        <v>0</v>
      </c>
      <c r="J60" s="942"/>
      <c r="K60" s="1143"/>
      <c r="L60" s="940"/>
      <c r="M60" s="940"/>
      <c r="N60" s="940"/>
      <c r="O60" s="940"/>
    </row>
    <row r="61" spans="1:17" s="692" customFormat="1" ht="14.4" thickBot="1">
      <c r="A61" s="695" t="s">
        <v>2734</v>
      </c>
      <c r="B61" s="696" t="s">
        <v>28</v>
      </c>
      <c r="C61" s="696" t="s">
        <v>29</v>
      </c>
      <c r="D61" s="696" t="s">
        <v>1025</v>
      </c>
      <c r="E61" s="696">
        <f>IF(B41="楼面地价",SUM(E51:E60),'数据-汇总表'!D3)</f>
        <v>26957.93</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2.2" thickBot="1">
      <c r="A64" s="763" t="s">
        <v>2627</v>
      </c>
      <c r="B64" s="759"/>
      <c r="C64" s="764"/>
      <c r="D64" s="764"/>
      <c r="E64" s="764"/>
      <c r="F64" s="765"/>
      <c r="G64" s="765"/>
      <c r="H64" s="764"/>
      <c r="I64" s="764"/>
      <c r="J64" s="764"/>
      <c r="K64" s="766"/>
      <c r="L64" s="767"/>
      <c r="M64" s="764"/>
      <c r="N64" s="764"/>
      <c r="O64" s="1158"/>
      <c r="P64" s="503"/>
      <c r="Q64" s="504"/>
    </row>
    <row r="65" spans="1:17" s="508" customFormat="1" ht="14.4">
      <c r="A65" s="2711" t="s">
        <v>2735</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6"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2538</v>
      </c>
      <c r="B67" s="516"/>
      <c r="C67" s="517"/>
      <c r="D67" s="518"/>
      <c r="E67" s="518"/>
      <c r="F67" s="518"/>
      <c r="G67" s="518"/>
      <c r="H67" s="518"/>
      <c r="I67" s="518"/>
      <c r="J67" s="518"/>
      <c r="K67" s="518"/>
      <c r="L67" s="518"/>
      <c r="M67" s="519"/>
      <c r="N67" s="519"/>
      <c r="O67" s="520"/>
      <c r="P67" s="504"/>
      <c r="Q67" s="504"/>
    </row>
    <row r="68" spans="1:17" s="117" customFormat="1" ht="14.4">
      <c r="A68" s="521" t="s">
        <v>2504</v>
      </c>
      <c r="B68" s="510"/>
      <c r="C68" s="522" t="s">
        <v>2605</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2541</v>
      </c>
      <c r="B70" s="528" t="s">
        <v>2508</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2511</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2738</v>
      </c>
      <c r="C87" s="573" t="s">
        <v>2550</v>
      </c>
      <c r="D87" s="573" t="s">
        <v>2551</v>
      </c>
      <c r="E87" s="573" t="s">
        <v>2552</v>
      </c>
      <c r="F87" s="573" t="s">
        <v>2553</v>
      </c>
      <c r="G87" s="573" t="s">
        <v>2554</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2739</v>
      </c>
      <c r="C89" s="573" t="s">
        <v>2550</v>
      </c>
      <c r="D89" s="573" t="s">
        <v>2551</v>
      </c>
      <c r="E89" s="573" t="s">
        <v>2552</v>
      </c>
      <c r="F89" s="573" t="s">
        <v>2553</v>
      </c>
      <c r="G89" s="573" t="s">
        <v>2554</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2756</v>
      </c>
      <c r="C93" s="660" t="s">
        <v>2628</v>
      </c>
      <c r="D93" s="660" t="s">
        <v>2629</v>
      </c>
      <c r="E93" s="660" t="s">
        <v>2630</v>
      </c>
      <c r="F93" s="660" t="s">
        <v>2631</v>
      </c>
      <c r="G93" s="660" t="s">
        <v>2632</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2644</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2703</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88" customWidth="1"/>
    <col min="2" max="2" width="19.21875" style="2894" customWidth="1"/>
    <col min="3" max="4" width="12" style="2720"/>
    <col min="5" max="5" width="14.6640625" style="2720" customWidth="1"/>
    <col min="6" max="8" width="12" style="2720"/>
    <col min="9" max="9" width="12.21875" style="2720" bestFit="1" customWidth="1"/>
    <col min="10" max="10" width="12" style="2720"/>
    <col min="11" max="11" width="8.109375" style="2783" customWidth="1"/>
    <col min="12" max="12" width="12" style="2720"/>
    <col min="13" max="13" width="8.44140625" style="2720" customWidth="1"/>
    <col min="14" max="14" width="9.77734375" style="2720" customWidth="1"/>
    <col min="15" max="25" width="12" style="2720"/>
    <col min="26" max="26" width="9.33203125" style="2788" customWidth="1"/>
    <col min="27" max="32" width="9.33203125" style="1371" customWidth="1"/>
    <col min="33" max="36" width="9.33203125" style="2788" customWidth="1"/>
    <col min="37" max="38" width="9.33203125" style="2720" customWidth="1"/>
    <col min="39" max="16384" width="12" style="2720"/>
  </cols>
  <sheetData>
    <row r="1" spans="1:36" ht="31.2">
      <c r="A1" s="240" t="s">
        <v>2757</v>
      </c>
      <c r="B1" s="241"/>
      <c r="C1" s="245" t="s">
        <v>2758</v>
      </c>
      <c r="D1" s="388">
        <f>SUM(D29:D30,D33:D39)</f>
        <v>0</v>
      </c>
      <c r="E1" s="2717"/>
      <c r="F1" s="2717"/>
      <c r="G1" s="2717"/>
      <c r="H1" s="2717"/>
      <c r="I1" s="2717"/>
      <c r="J1" s="2717"/>
      <c r="K1" s="1369"/>
      <c r="L1" s="2718" t="s">
        <v>2759</v>
      </c>
      <c r="M1" s="1079">
        <f>SUMPRODUCT((区片价!B5:B9=I2)*(区片价!C3:F3=E2)*(区片价!C5:F9))</f>
        <v>0</v>
      </c>
      <c r="N1" s="1082">
        <f>SUMPRODUCT((因素修正幅度!B5:B9=I2)*(因素修正幅度!C3:F3=E2)*(因素修正幅度!C5:F9))</f>
        <v>0</v>
      </c>
      <c r="O1" s="2719"/>
      <c r="P1" s="2719"/>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6">
      <c r="A2" s="245" t="s">
        <v>2765</v>
      </c>
      <c r="B2" s="248" t="e">
        <f>C26</f>
        <v>#DIV/0!</v>
      </c>
      <c r="C2" s="2721" t="s">
        <v>2766</v>
      </c>
      <c r="D2" s="2722" t="s">
        <v>2767</v>
      </c>
      <c r="E2" s="2723"/>
      <c r="F2" s="2722" t="s">
        <v>2768</v>
      </c>
      <c r="G2" s="2724">
        <f>IF(E2="商业",项目基本情况!B37,IF(E2="办公",项目基本情况!C37,IF(E2="住宅",项目基本情况!D37,项目基本情况!E37)))</f>
        <v>0</v>
      </c>
      <c r="H2" s="2722" t="s">
        <v>2769</v>
      </c>
      <c r="I2" s="2724">
        <f>IF(E2="商业",项目基本情况!B38,IF(E2="办公",项目基本情况!C38,IF(E2="住宅",项目基本情况!D38,项目基本情况!E38)))</f>
        <v>0</v>
      </c>
      <c r="J2" s="2725"/>
      <c r="K2" s="1369"/>
      <c r="L2" s="2726" t="s">
        <v>2770</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2771</v>
      </c>
      <c r="B3" s="248" t="e">
        <f>ROUND(B2*10000/D1,0)</f>
        <v>#DIV/0!</v>
      </c>
      <c r="C3" s="2721" t="s">
        <v>2772</v>
      </c>
      <c r="D3" s="2722" t="s">
        <v>2773</v>
      </c>
      <c r="E3" s="2727"/>
      <c r="F3" s="2728" t="s">
        <v>2774</v>
      </c>
      <c r="G3" s="915">
        <f>IF(F3="宗地容积率",'数据-汇总表'!I4,IF(F3="估价对象容积率",'数据-汇总表'!I6,'数据-汇总表'!I7))</f>
        <v>2</v>
      </c>
      <c r="H3" s="198" t="s">
        <v>2775</v>
      </c>
      <c r="I3" s="943"/>
      <c r="J3" s="2725" t="s">
        <v>2776</v>
      </c>
      <c r="K3" s="1369"/>
      <c r="L3" s="2726" t="s">
        <v>2777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818"/>
      <c r="B4" s="3819"/>
      <c r="C4" s="3819"/>
      <c r="D4" s="3820"/>
      <c r="E4" s="3820"/>
      <c r="F4" s="3820"/>
      <c r="G4" s="3820"/>
      <c r="H4" s="3820"/>
      <c r="I4" s="3820"/>
      <c r="J4" s="3821"/>
      <c r="K4" s="1369"/>
      <c r="L4" s="2726" t="s">
        <v>2778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6" thickBot="1">
      <c r="A5" s="2729" t="s">
        <v>806</v>
      </c>
      <c r="B5" s="2730" t="s">
        <v>2779</v>
      </c>
      <c r="C5" s="916" t="e">
        <f>ROUND(IF(E2="商业",C6*C7+C16,(IF(E2="住宅",C6*C12+C16,C6+C16))),0)</f>
        <v>#DIV/0!</v>
      </c>
      <c r="D5" s="1786" t="e">
        <f>ROUND(C6+C16,0)</f>
        <v>#DIV/0!</v>
      </c>
      <c r="E5" s="1786"/>
      <c r="F5" s="2731"/>
      <c r="G5" s="2732"/>
      <c r="H5" s="2732"/>
      <c r="I5" s="2732"/>
      <c r="J5" s="2733"/>
      <c r="K5" s="2734"/>
      <c r="L5" s="2726" t="s">
        <v>2780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6" thickBot="1">
      <c r="A6" s="2739" t="s">
        <v>2781</v>
      </c>
      <c r="B6" s="2740" t="s">
        <v>2782</v>
      </c>
      <c r="C6" s="917">
        <f>SUMIF(L1:L12,G2,M1:M12)</f>
        <v>0</v>
      </c>
      <c r="D6" s="2741" t="s">
        <v>2783</v>
      </c>
      <c r="E6" s="2742"/>
      <c r="F6" s="2742"/>
      <c r="G6" s="2743"/>
      <c r="H6" s="2743"/>
      <c r="I6" s="2743"/>
      <c r="J6" s="2744"/>
      <c r="K6" s="1841"/>
      <c r="L6" s="2726" t="s">
        <v>2784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802" t="str">
        <f>IF(E2="商业",IF(C8="不临58条商业街","",2),"")</f>
        <v/>
      </c>
      <c r="B7" s="2745" t="s">
        <v>2785</v>
      </c>
      <c r="C7" s="918" t="e">
        <f>IF(C8="不临58条商业街",1,ROUND(1+(1.6*E8+1.2*E9+0.8*E10+0.4*E11)*C9,4))</f>
        <v>#DIV/0!</v>
      </c>
      <c r="D7" s="2746" t="s">
        <v>2786</v>
      </c>
      <c r="E7" s="944"/>
      <c r="F7" s="2747"/>
      <c r="G7" s="2748"/>
      <c r="H7" s="2748"/>
      <c r="I7" s="2748"/>
      <c r="J7" s="2749"/>
      <c r="K7" s="1841"/>
      <c r="L7" s="2726" t="s">
        <v>2787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2788</v>
      </c>
      <c r="X7" s="1603">
        <f>G2</f>
        <v>0</v>
      </c>
      <c r="Y7" s="1603" t="s">
        <v>2789</v>
      </c>
      <c r="Z7" s="1604">
        <f>G3</f>
        <v>2</v>
      </c>
      <c r="AA7" s="1605"/>
      <c r="AB7" s="1605"/>
      <c r="AC7" s="1606"/>
      <c r="AD7" s="1607"/>
      <c r="AE7" s="1607"/>
      <c r="AF7" s="1607"/>
      <c r="AG7" s="1607"/>
      <c r="AH7" s="1607"/>
      <c r="AI7" s="1607"/>
      <c r="AJ7" s="1608"/>
    </row>
    <row r="8" spans="1:36" ht="15">
      <c r="A8" s="3822"/>
      <c r="B8" s="198" t="s">
        <v>2790</v>
      </c>
      <c r="C8" s="2750"/>
      <c r="D8" s="919" t="s">
        <v>139</v>
      </c>
      <c r="E8" s="920" t="e">
        <f>ROUND(C11/E7,4)</f>
        <v>#DIV/0!</v>
      </c>
      <c r="F8" s="2751" t="s">
        <v>2791</v>
      </c>
      <c r="G8" s="2752"/>
      <c r="H8" s="2752"/>
      <c r="I8" s="2752"/>
      <c r="J8" s="2753"/>
      <c r="K8" s="1369"/>
      <c r="L8" s="2726"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815" t="s">
        <v>2793</v>
      </c>
      <c r="X8" s="3816"/>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822"/>
      <c r="B9" s="198" t="s">
        <v>2806</v>
      </c>
      <c r="C9" s="921">
        <f>SUMIF(修正!C59:C119,C8,修正!E59:E119)</f>
        <v>0</v>
      </c>
      <c r="D9" s="200" t="s">
        <v>140</v>
      </c>
      <c r="E9" s="200" t="e">
        <f>ROUND(C11/E7,4)</f>
        <v>#DIV/0!</v>
      </c>
      <c r="F9" s="2751" t="s">
        <v>2807</v>
      </c>
      <c r="G9" s="2752"/>
      <c r="H9" s="2752"/>
      <c r="I9" s="2752"/>
      <c r="J9" s="2753"/>
      <c r="K9" s="1369"/>
      <c r="L9" s="2726"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817"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822"/>
      <c r="B10" s="198" t="s">
        <v>2811</v>
      </c>
      <c r="C10" s="200">
        <f>SUMIF(修正!C59:C119,C8,修正!F59:F119)</f>
        <v>0</v>
      </c>
      <c r="D10" s="200" t="s">
        <v>141</v>
      </c>
      <c r="E10" s="200" t="e">
        <f>ROUND(C11/E7,4)</f>
        <v>#DIV/0!</v>
      </c>
      <c r="F10" s="2751" t="s">
        <v>2812</v>
      </c>
      <c r="G10" s="2752"/>
      <c r="H10" s="2752"/>
      <c r="I10" s="2752"/>
      <c r="J10" s="2753"/>
      <c r="K10" s="1369"/>
      <c r="L10" s="2726"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81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822"/>
      <c r="B11" s="2754" t="s">
        <v>2814</v>
      </c>
      <c r="C11" s="922">
        <f>C10/4</f>
        <v>0</v>
      </c>
      <c r="D11" s="922" t="s">
        <v>142</v>
      </c>
      <c r="E11" s="922" t="e">
        <f>ROUND(C11/E7,4)</f>
        <v>#DIV/0!</v>
      </c>
      <c r="F11" s="2755" t="s">
        <v>2815</v>
      </c>
      <c r="G11" s="2756"/>
      <c r="H11" s="2756"/>
      <c r="I11" s="2756"/>
      <c r="J11" s="2757"/>
      <c r="K11" s="1369"/>
      <c r="L11" s="2726"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817" t="s">
        <v>2817</v>
      </c>
      <c r="X11" s="1613" t="s">
        <v>2818</v>
      </c>
      <c r="Y11" s="1614">
        <f>$G$3</f>
        <v>2</v>
      </c>
      <c r="Z11" s="1614">
        <f t="shared" ref="Z11:AJ11" si="3">$G$3</f>
        <v>2</v>
      </c>
      <c r="AA11" s="1614">
        <f t="shared" si="3"/>
        <v>2</v>
      </c>
      <c r="AB11" s="1614">
        <f t="shared" si="3"/>
        <v>2</v>
      </c>
      <c r="AC11" s="1614">
        <f t="shared" si="3"/>
        <v>2</v>
      </c>
      <c r="AD11" s="1614">
        <f t="shared" si="3"/>
        <v>2</v>
      </c>
      <c r="AE11" s="1614">
        <f t="shared" si="3"/>
        <v>2</v>
      </c>
      <c r="AF11" s="1614">
        <f t="shared" si="3"/>
        <v>2</v>
      </c>
      <c r="AG11" s="1614">
        <f t="shared" si="3"/>
        <v>2</v>
      </c>
      <c r="AH11" s="1614">
        <f t="shared" si="3"/>
        <v>2</v>
      </c>
      <c r="AI11" s="1614">
        <f t="shared" si="3"/>
        <v>2</v>
      </c>
      <c r="AJ11" s="1614">
        <f t="shared" si="3"/>
        <v>2</v>
      </c>
    </row>
    <row r="12" spans="1:36" ht="25.8" thickBot="1">
      <c r="A12" s="3802" t="s">
        <v>2819</v>
      </c>
      <c r="B12" s="2758" t="s">
        <v>2820</v>
      </c>
      <c r="C12" s="918">
        <f>ROUND(C15*D15*E15*F15*G15*H15*I15*J15,4)</f>
        <v>1</v>
      </c>
      <c r="D12" s="2759" t="s">
        <v>2821</v>
      </c>
      <c r="E12" s="2760"/>
      <c r="F12" s="2760"/>
      <c r="G12" s="2761"/>
      <c r="H12" s="2761"/>
      <c r="I12" s="2761"/>
      <c r="J12" s="2762"/>
      <c r="K12" s="1369"/>
      <c r="L12" s="2763"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817"/>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823"/>
      <c r="B13" s="2764" t="s">
        <v>2824</v>
      </c>
      <c r="C13" s="2765" t="s">
        <v>2825</v>
      </c>
      <c r="D13" s="1807" t="s">
        <v>2826</v>
      </c>
      <c r="E13" s="1807" t="s">
        <v>2827</v>
      </c>
      <c r="F13" s="30" t="s">
        <v>2828</v>
      </c>
      <c r="G13" s="2766" t="s">
        <v>2829</v>
      </c>
      <c r="H13" s="2766" t="s">
        <v>2829</v>
      </c>
      <c r="I13" s="2766" t="s">
        <v>2829</v>
      </c>
      <c r="J13" s="2767" t="s">
        <v>2829</v>
      </c>
      <c r="K13" s="1369"/>
      <c r="L13" s="1369"/>
      <c r="M13" s="1369"/>
      <c r="N13" s="1369"/>
      <c r="O13" s="1369"/>
      <c r="P13" s="1369"/>
      <c r="Q13" s="1369"/>
      <c r="R13" s="1601">
        <v>12</v>
      </c>
      <c r="S13" s="1602"/>
      <c r="T13" s="1601" t="e">
        <f t="shared" si="0"/>
        <v>#DIV/0!</v>
      </c>
      <c r="U13" s="1602"/>
      <c r="V13" s="1601" t="e">
        <f t="shared" si="1"/>
        <v>#DIV/0!</v>
      </c>
      <c r="W13" s="3817"/>
      <c r="X13" s="1615"/>
      <c r="Y13" s="1612">
        <f>(-0.163*(Y12^2)-0.59*Y12+7617)*(10^(-4))/Y11</f>
        <v>0.38085000000000002</v>
      </c>
      <c r="Z13" s="1612">
        <f t="shared" ref="Z13:AJ13" si="5">(-0.163*(Z12^2)-0.59*Z12+7617)*(10^(-4))/Z11</f>
        <v>0.38085000000000002</v>
      </c>
      <c r="AA13" s="1612">
        <f t="shared" si="5"/>
        <v>0.38085000000000002</v>
      </c>
      <c r="AB13" s="1612">
        <f t="shared" si="5"/>
        <v>0.38085000000000002</v>
      </c>
      <c r="AC13" s="1612">
        <f t="shared" si="5"/>
        <v>0.38085000000000002</v>
      </c>
      <c r="AD13" s="1612">
        <f t="shared" si="5"/>
        <v>0.38085000000000002</v>
      </c>
      <c r="AE13" s="1612">
        <f t="shared" si="5"/>
        <v>0.38085000000000002</v>
      </c>
      <c r="AF13" s="1612">
        <f t="shared" si="5"/>
        <v>0.38085000000000002</v>
      </c>
      <c r="AG13" s="1612">
        <f t="shared" si="5"/>
        <v>0.38085000000000002</v>
      </c>
      <c r="AH13" s="1612">
        <f t="shared" si="5"/>
        <v>0.38085000000000002</v>
      </c>
      <c r="AI13" s="1612">
        <f t="shared" si="5"/>
        <v>0.38085000000000002</v>
      </c>
      <c r="AJ13" s="1612">
        <f t="shared" si="5"/>
        <v>0.38085000000000002</v>
      </c>
    </row>
    <row r="14" spans="1:36" ht="15">
      <c r="A14" s="3823"/>
      <c r="B14" s="2768"/>
      <c r="C14" s="2769"/>
      <c r="D14" s="2770"/>
      <c r="E14" s="2770"/>
      <c r="F14" s="2771"/>
      <c r="G14" s="2772" t="s">
        <v>2830</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824"/>
      <c r="B15" s="2776"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802" t="s">
        <v>2836</v>
      </c>
      <c r="B16" s="2745" t="s">
        <v>2837</v>
      </c>
      <c r="C16" s="2932" t="e">
        <f>ROUND(IF(F17="与级别开发程度一致",0,(G17-E17)/C17),0)</f>
        <v>#DIV/0!</v>
      </c>
      <c r="D16" s="3813" t="s">
        <v>2841</v>
      </c>
      <c r="E16" s="3814"/>
      <c r="F16" s="3813" t="s">
        <v>2838</v>
      </c>
      <c r="G16" s="3814"/>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8" thickBot="1">
      <c r="A17" s="3803"/>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4" thickBot="1">
      <c r="A19" s="2784" t="s">
        <v>808</v>
      </c>
      <c r="B19" s="2785" t="s">
        <v>2844</v>
      </c>
      <c r="C19" s="923" t="e">
        <f>ROUND(IF(H19="按公示增长率计算",SUMPRODUCT((地价!A3:A27=YEAR(G19)&amp;"-"&amp;ROUNDUP(MONTH(G19)/3,0))*(地价!X2:AB2=E2)*(地价!X3:AB27)),IF(H19="地价指数",M20/M19,(1+I19)^O19)),4)</f>
        <v>#VALUE!</v>
      </c>
      <c r="D19" s="2789" t="s">
        <v>2845</v>
      </c>
      <c r="E19" s="924">
        <v>41640</v>
      </c>
      <c r="F19" s="2789" t="s">
        <v>2846</v>
      </c>
      <c r="G19" s="925">
        <f>'数据-取费表'!B2</f>
        <v>43685</v>
      </c>
      <c r="H19" s="2790"/>
      <c r="I19" s="926" t="str">
        <f>IF(H19="季度增幅（自定义）",SUMIF(N21:N24,E2,O21:O24),"")</f>
        <v/>
      </c>
      <c r="J19" s="2787"/>
      <c r="K19" s="1376"/>
      <c r="L19" s="2791" t="s">
        <v>2847</v>
      </c>
      <c r="M19" s="1733">
        <f>ROUND(SUMIF(地价!B2:F2,E2,地价!B27:F27),0)</f>
        <v>0</v>
      </c>
      <c r="N19" s="2792" t="s">
        <v>2848</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9.4" thickBot="1">
      <c r="A20" s="2796" t="s">
        <v>809</v>
      </c>
      <c r="B20" s="2797" t="s">
        <v>2849</v>
      </c>
      <c r="C20" s="928" t="e">
        <f>ROUND(POWER(1+G20,J20-I20)*(POWER(1+G20,I20)-1)/(POWER(1+G20,J20)-1),4)</f>
        <v>#DIV/0!</v>
      </c>
      <c r="D20" s="2798" t="s">
        <v>2850</v>
      </c>
      <c r="E20" s="1767">
        <f ca="1">存贷款利率!D4/100</f>
        <v>4.3499999999999997E-2</v>
      </c>
      <c r="F20" s="2798" t="s">
        <v>2842</v>
      </c>
      <c r="G20" s="933">
        <f>SUMIF(M26:P26,E2,M28:P28)</f>
        <v>0</v>
      </c>
      <c r="H20" s="2798" t="s">
        <v>2851</v>
      </c>
      <c r="I20" s="934" t="e">
        <f>SUMIF('数据-取费表'!C6:C15,E2,'数据-取费表'!F6:F15)/COUNTIF('数据-取费表'!C6:C15,E2)</f>
        <v>#DIV/0!</v>
      </c>
      <c r="J20" s="935">
        <f>IF(E2="住宅",70,IF(E2="商业",40,50))</f>
        <v>50</v>
      </c>
      <c r="K20" s="1376"/>
      <c r="L20" s="2799" t="s">
        <v>2852</v>
      </c>
      <c r="M20" s="1734">
        <f>ROUND(SUMPRODUCT((地价!A4:A27=YEAR(G19)&amp;"-"&amp;ROUNDUP(MONTH(G19)/3,0))*(地价!B2:F2=E2)*(地价!B4:F27)),0)</f>
        <v>0</v>
      </c>
      <c r="N20" s="2800" t="s">
        <v>2853</v>
      </c>
      <c r="O20" s="2801" t="s">
        <v>2854</v>
      </c>
      <c r="P20" s="2802" t="s">
        <v>2855</v>
      </c>
      <c r="R20" s="1375"/>
      <c r="S20" s="1375"/>
      <c r="T20" s="1370"/>
      <c r="U20" s="1370"/>
      <c r="V20" s="1370"/>
      <c r="W20" s="1369"/>
      <c r="X20" s="1369"/>
      <c r="Y20" s="1369"/>
      <c r="Z20" s="1376"/>
      <c r="AA20" s="1377"/>
      <c r="AB20" s="1377"/>
      <c r="AC20" s="1377"/>
      <c r="AD20" s="1377"/>
      <c r="AE20" s="1377"/>
      <c r="AF20" s="1377"/>
    </row>
    <row r="21" spans="1:37" s="2738" customFormat="1" ht="14.4">
      <c r="A21" s="2803" t="s">
        <v>810</v>
      </c>
      <c r="B21" s="2804" t="s">
        <v>2856</v>
      </c>
      <c r="C21" s="936">
        <f>IF(B21="容积率修正",IF(G3&lt;=10,D22,J22),C23)</f>
        <v>0</v>
      </c>
      <c r="D21" s="2805"/>
      <c r="E21" s="2805"/>
      <c r="F21" s="2805"/>
      <c r="G21" s="2805"/>
      <c r="H21" s="2805"/>
      <c r="I21" s="2805"/>
      <c r="J21" s="2806"/>
      <c r="K21" s="1376"/>
      <c r="N21" s="2807" t="s">
        <v>2857</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4">
      <c r="A22" s="2664" t="s">
        <v>2858</v>
      </c>
      <c r="B22" s="2808" t="s">
        <v>2859</v>
      </c>
      <c r="C22" s="1809" t="s">
        <v>2860</v>
      </c>
      <c r="D22" s="1809" t="b">
        <f>IF(E22=G22,F22,IF(G3&lt;=10,ROUND(F22+(H22-F22)*(G3-E22)/(G22-E22),4),"——"))</f>
        <v>0</v>
      </c>
      <c r="E22" s="915">
        <f>ROUNDDOWN(G3,1)</f>
        <v>2</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7" t="s">
        <v>2861</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4" t="s">
        <v>2862</v>
      </c>
      <c r="B23" s="2809" t="s">
        <v>2863</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2864</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 thickBot="1">
      <c r="A24" s="2796" t="s">
        <v>811</v>
      </c>
      <c r="B24" s="2785" t="s">
        <v>2865</v>
      </c>
      <c r="C24" s="923">
        <f>SUMIF(A45:A88,E2,B45:B88)</f>
        <v>0</v>
      </c>
      <c r="D24" s="2786"/>
      <c r="E24" s="2815"/>
      <c r="F24" s="2815"/>
      <c r="G24" s="2815"/>
      <c r="H24" s="2815"/>
      <c r="I24" s="2815"/>
      <c r="J24" s="2816"/>
      <c r="K24" s="1376"/>
      <c r="N24" s="2817" t="s">
        <v>2866</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6" t="s">
        <v>812</v>
      </c>
      <c r="B25" s="2818" t="s">
        <v>2867</v>
      </c>
      <c r="C25" s="929"/>
      <c r="D25" s="2748"/>
      <c r="E25" s="2748"/>
      <c r="F25" s="2819"/>
      <c r="G25" s="2748"/>
      <c r="H25" s="2748"/>
      <c r="I25" s="2748"/>
      <c r="J25" s="2749"/>
      <c r="K25" s="1369"/>
      <c r="N25" s="2820" t="s">
        <v>2868</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21"/>
      <c r="B26" s="2808" t="s">
        <v>2869</v>
      </c>
      <c r="C26" s="206" t="e">
        <f>E29+SUM(E33:E39)</f>
        <v>#DIV/0!</v>
      </c>
      <c r="D26" s="2822"/>
      <c r="E26" s="2773"/>
      <c r="F26" s="2823"/>
      <c r="G26" s="2773"/>
      <c r="H26" s="2773"/>
      <c r="I26" s="2773"/>
      <c r="J26" s="2824"/>
      <c r="K26" s="1369"/>
      <c r="L26" s="2777" t="s">
        <v>2767</v>
      </c>
      <c r="M26" s="919" t="s">
        <v>2832</v>
      </c>
      <c r="N26" s="919" t="s">
        <v>2833</v>
      </c>
      <c r="O26" s="919" t="s">
        <v>2834</v>
      </c>
      <c r="P26" s="2778" t="s">
        <v>2835</v>
      </c>
      <c r="R26" s="1375"/>
      <c r="S26" s="1375"/>
      <c r="T26" s="1370"/>
      <c r="U26" s="1370"/>
      <c r="V26" s="1370"/>
      <c r="W26" s="1369"/>
      <c r="X26" s="1369"/>
      <c r="Y26" s="1369"/>
      <c r="Z26" s="1376"/>
      <c r="AA26" s="1377"/>
      <c r="AB26" s="1377"/>
      <c r="AC26" s="1377"/>
      <c r="AD26" s="1377"/>
    </row>
    <row r="27" spans="1:37" ht="15" thickBot="1">
      <c r="A27" s="2821"/>
      <c r="B27" s="2825" t="s">
        <v>2870</v>
      </c>
      <c r="C27" s="930" t="e">
        <f>E30+SUM(I33:I39)</f>
        <v>#DIV/0!</v>
      </c>
      <c r="D27" s="2826"/>
      <c r="E27" s="2827"/>
      <c r="F27" s="2828"/>
      <c r="G27" s="2827"/>
      <c r="H27" s="2827"/>
      <c r="I27" s="2827"/>
      <c r="J27" s="2829"/>
      <c r="K27" s="1369"/>
      <c r="L27" s="2781"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0"/>
      <c r="B28" s="2831" t="s">
        <v>2871</v>
      </c>
      <c r="C28" s="2832" t="s">
        <v>2872</v>
      </c>
      <c r="D28" s="2832" t="s">
        <v>2873</v>
      </c>
      <c r="E28" s="2833" t="s">
        <v>2874</v>
      </c>
      <c r="F28" s="2834"/>
      <c r="G28" s="2761"/>
      <c r="H28" s="2761"/>
      <c r="I28" s="2761"/>
      <c r="J28" s="2762"/>
      <c r="K28" s="1369"/>
      <c r="L28" s="2782"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2875</v>
      </c>
      <c r="C29" s="206" t="e">
        <f>ROUND(C5*C18*C19*C20*C21*C24,0)</f>
        <v>#DIV/0!</v>
      </c>
      <c r="D29" s="2837"/>
      <c r="E29" s="941" t="e">
        <f>ROUND(C29*D29/10000,0)</f>
        <v>#DIV/0!</v>
      </c>
      <c r="F29" s="2838" t="s">
        <v>2876</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8" thickBot="1">
      <c r="A30" s="2841"/>
      <c r="B30" s="2842" t="s">
        <v>2877</v>
      </c>
      <c r="C30" s="229" t="e">
        <f>ROUND(IF(E2="工业",C29*M39,C29*M38),0)</f>
        <v>#DIV/0!</v>
      </c>
      <c r="D30" s="2843"/>
      <c r="E30" s="941" t="e">
        <f>ROUND(C30*D30/10000,0)</f>
        <v>#DIV/0!</v>
      </c>
      <c r="F30" s="2844" t="s">
        <v>2878</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3.8">
      <c r="A31" s="2847"/>
      <c r="B31" s="2848" t="s">
        <v>2879</v>
      </c>
      <c r="C31" s="2849" t="s">
        <v>2880</v>
      </c>
      <c r="D31" s="2761"/>
      <c r="E31" s="2849"/>
      <c r="F31" s="2849"/>
      <c r="G31" s="2759" t="s">
        <v>2881</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36">
      <c r="A32" s="2835"/>
      <c r="B32" s="2851"/>
      <c r="C32" s="501" t="s">
        <v>2872</v>
      </c>
      <c r="D32" s="498" t="s">
        <v>2873</v>
      </c>
      <c r="E32" s="498" t="s">
        <v>2874</v>
      </c>
      <c r="F32" s="388" t="s">
        <v>2882</v>
      </c>
      <c r="G32" s="2852" t="s">
        <v>2872</v>
      </c>
      <c r="H32" s="2852" t="s">
        <v>2873</v>
      </c>
      <c r="I32" s="2852" t="s">
        <v>2874</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810" t="s">
        <v>2883</v>
      </c>
      <c r="B33" s="2853" t="s">
        <v>2884</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811"/>
      <c r="B34" s="2765" t="s">
        <v>2885</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811"/>
      <c r="B35" s="2765" t="s">
        <v>2886</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8" thickBot="1">
      <c r="A36" s="3812"/>
      <c r="B36" s="2765" t="s">
        <v>2887</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2888</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2889</v>
      </c>
      <c r="M37" s="2857"/>
      <c r="N37" s="1369"/>
      <c r="O37" s="1369"/>
      <c r="P37" s="1369"/>
      <c r="Q37" s="1369"/>
      <c r="R37" s="1369"/>
      <c r="S37" s="1369"/>
      <c r="T37" s="1369"/>
      <c r="U37" s="1369"/>
      <c r="V37" s="1369"/>
      <c r="W37" s="1369"/>
      <c r="X37" s="1369"/>
      <c r="Y37" s="1369"/>
      <c r="Z37" s="1370"/>
    </row>
    <row r="38" spans="1:37">
      <c r="A38" s="2855"/>
      <c r="B38" s="2765" t="s">
        <v>2890</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2891</v>
      </c>
      <c r="M38" s="2858">
        <v>0.25</v>
      </c>
      <c r="N38" s="1369"/>
      <c r="O38" s="1369"/>
      <c r="P38" s="1369"/>
      <c r="Q38" s="1369"/>
      <c r="R38" s="1369"/>
      <c r="S38" s="1369"/>
      <c r="T38" s="1369"/>
      <c r="U38" s="1369"/>
      <c r="V38" s="1369"/>
      <c r="W38" s="1369"/>
      <c r="X38" s="1369"/>
      <c r="Y38" s="1369"/>
      <c r="Z38" s="1370"/>
    </row>
    <row r="39" spans="1:37" ht="13.8" thickBot="1">
      <c r="A39" s="2841"/>
      <c r="B39" s="2859" t="s">
        <v>2892</v>
      </c>
      <c r="C39" s="229" t="e">
        <f>ROUND(D5*C19*C41*C24*F39,0)</f>
        <v>#DIV/0!</v>
      </c>
      <c r="D39" s="2843"/>
      <c r="E39" s="229" t="e">
        <f t="shared" si="7"/>
        <v>#DIV/0!</v>
      </c>
      <c r="F39" s="931">
        <f>SUMIF(修正!A45:A56,G2,修正!H45:H56)</f>
        <v>0</v>
      </c>
      <c r="G39" s="229" t="e">
        <f>ROUND(IF(E2="工业",C39*$M$39,C39*$M$38),0)</f>
        <v>#DIV/0!</v>
      </c>
      <c r="H39" s="229">
        <f t="shared" si="8"/>
        <v>0</v>
      </c>
      <c r="I39" s="229" t="e">
        <f t="shared" si="9"/>
        <v>#DIV/0!</v>
      </c>
      <c r="J39" s="2860"/>
      <c r="K39" s="1369"/>
      <c r="L39" s="2861" t="s">
        <v>2835</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0" t="s">
        <v>3003</v>
      </c>
      <c r="C41" s="388" t="e">
        <f>ROUND(POWER(1+E41,H41-G41)*(POWER(1+E41,G41)-1)/(POWER(1+E41,H41)-1),4)</f>
        <v>#DIV/0!</v>
      </c>
      <c r="D41" s="200" t="s">
        <v>2842</v>
      </c>
      <c r="E41" s="2929">
        <f>G20</f>
        <v>0</v>
      </c>
      <c r="F41" s="200" t="s">
        <v>2851</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 thickBot="1">
      <c r="A45" s="2864" t="s">
        <v>2893</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4.4">
      <c r="A46" s="2866" t="s">
        <v>2894</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5.2">
      <c r="A47" s="2870" t="s">
        <v>2895</v>
      </c>
      <c r="B47" s="1808" t="s">
        <v>2896</v>
      </c>
      <c r="C47" s="1808" t="s">
        <v>2897</v>
      </c>
      <c r="D47" s="1808" t="s">
        <v>2898</v>
      </c>
      <c r="E47" s="818" t="s">
        <v>2899</v>
      </c>
      <c r="F47" s="2871" t="s">
        <v>2900</v>
      </c>
      <c r="G47" s="1808" t="s">
        <v>754</v>
      </c>
      <c r="H47" s="2872" t="s">
        <v>2901</v>
      </c>
      <c r="I47" s="1808" t="s">
        <v>2902</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66">
      <c r="A48" s="2870" t="s">
        <v>2903</v>
      </c>
      <c r="B48" s="2873" t="str">
        <f>估价对象房地状况!C4</f>
        <v>估价对象位于世纪大道南侧，周边商业氛围成熟一般，人流量一般，商业繁华度一般</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0" t="s">
        <v>2904</v>
      </c>
      <c r="B49" s="2874" t="str">
        <f>估价对象房地状况!C18</f>
        <v>估价对象周边道路状况较好、公共交通通达情况较好、停车便捷程度较好，综合评价交通便捷度较好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2905</v>
      </c>
      <c r="B50" s="2874" t="str">
        <f>估价对象房地状况!C19</f>
        <v>较一致</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0" t="s">
        <v>2906</v>
      </c>
      <c r="B51" s="2875" t="s">
        <v>2907</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2908</v>
      </c>
      <c r="B52" s="2874" t="str">
        <f>估价对象房地状况!C24</f>
        <v>城市次干道-世纪大道</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0" t="s">
        <v>2909</v>
      </c>
      <c r="B53" s="2876" t="s">
        <v>2910</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39.6">
      <c r="A54" s="2877" t="s">
        <v>2911</v>
      </c>
      <c r="B54" s="1724" t="str">
        <f>估价对象房地状况!C21</f>
        <v>估价对象所在区域公共配套设施齐备情况较好</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7" t="s">
        <v>2912</v>
      </c>
      <c r="B55" s="2874" t="str">
        <f>估价对象房地状况!C22</f>
        <v>估价对象所在区域基础设施水平较好</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53.4" thickBot="1">
      <c r="A56" s="2878" t="s">
        <v>2913</v>
      </c>
      <c r="B56" s="2879" t="str">
        <f>估价对象房地状况!C20</f>
        <v>区域自然环境：较好；人文环境：较好；综合评价环境状况较好</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6" t="s">
        <v>2914</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0" t="s">
        <v>2895</v>
      </c>
      <c r="B58" s="1808"/>
      <c r="C58" s="1808" t="s">
        <v>2897</v>
      </c>
      <c r="D58" s="1808" t="s">
        <v>2898</v>
      </c>
      <c r="E58" s="818" t="s">
        <v>2899</v>
      </c>
      <c r="F58" s="2871" t="s">
        <v>2915</v>
      </c>
      <c r="G58" s="1808" t="s">
        <v>754</v>
      </c>
      <c r="H58" s="2872" t="s">
        <v>2901</v>
      </c>
      <c r="I58" s="1808" t="s">
        <v>2902</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70" t="s">
        <v>2916</v>
      </c>
      <c r="B59" s="2873">
        <f>估价对象房地状况!C17</f>
        <v>0</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c r="A60" s="2870" t="s">
        <v>2904</v>
      </c>
      <c r="B60" s="2874" t="str">
        <f>估价对象房地状况!C18</f>
        <v>估价对象周边道路状况较好、公共交通通达情况较好、停车便捷程度较好，综合评价交通便捷度较好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2905</v>
      </c>
      <c r="B61" s="2874" t="str">
        <f>估价对象房地状况!C19</f>
        <v>较一致</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c r="A62" s="2870" t="s">
        <v>2906</v>
      </c>
      <c r="B62" s="2875" t="s">
        <v>2907</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2908</v>
      </c>
      <c r="B63" s="2874" t="str">
        <f>估价对象房地状况!C24</f>
        <v>城市次干道-世纪大道</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c r="A64" s="2870" t="s">
        <v>2909</v>
      </c>
      <c r="B64" s="2876" t="s">
        <v>2910</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39.6">
      <c r="A65" s="2870" t="s">
        <v>2911</v>
      </c>
      <c r="B65" s="1724" t="str">
        <f>估价对象房地状况!C21</f>
        <v>估价对象所在区域公共配套设施齐备情况较好</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c r="A66" s="2870" t="s">
        <v>2912</v>
      </c>
      <c r="B66" s="1724" t="str">
        <f>估价对象房地状况!C22</f>
        <v>估价对象所在区域基础设施水平较好</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53.4" thickBot="1">
      <c r="A67" s="2878" t="s">
        <v>2913</v>
      </c>
      <c r="B67" s="2880" t="str">
        <f>估价对象房地状况!C20</f>
        <v>区域自然环境：较好；人文环境：较好；综合评价环境状况较好</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c r="A68" s="2866" t="s">
        <v>2917</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0" t="s">
        <v>2895</v>
      </c>
      <c r="B69" s="1808"/>
      <c r="C69" s="1808" t="s">
        <v>2897</v>
      </c>
      <c r="D69" s="1808" t="s">
        <v>2898</v>
      </c>
      <c r="E69" s="818" t="s">
        <v>2899</v>
      </c>
      <c r="F69" s="2871" t="s">
        <v>2915</v>
      </c>
      <c r="G69" s="1808" t="s">
        <v>754</v>
      </c>
      <c r="H69" s="2872" t="s">
        <v>2901</v>
      </c>
      <c r="I69" s="1808" t="s">
        <v>2902</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79.2">
      <c r="A70" s="2870" t="s">
        <v>2918</v>
      </c>
      <c r="B70" s="2873" t="str">
        <f>估价对象房地状况!C15</f>
        <v>估价对象周边居住用地比例较好、居住小区规模和社区发展完善程度较好，综合评价居住社区成熟度较好</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0" t="s">
        <v>2904</v>
      </c>
      <c r="B71" s="2874" t="str">
        <f>估价对象房地状况!C18</f>
        <v>估价对象周边道路状况较好、公共交通通达情况较好、停车便捷程度较好，综合评价交通便捷度较好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2905</v>
      </c>
      <c r="B72" s="2874" t="str">
        <f>估价对象房地状况!C19</f>
        <v>较一致</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0" t="s">
        <v>2919</v>
      </c>
      <c r="B73" s="2874" t="str">
        <f>估价对象房地状况!C24</f>
        <v>城市次干道-世纪大道</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39.6">
      <c r="A74" s="2870" t="s">
        <v>2911</v>
      </c>
      <c r="B74" s="1724" t="str">
        <f>估价对象房地状况!C21</f>
        <v>估价对象所在区域公共配套设施齐备情况较好</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0" t="s">
        <v>2912</v>
      </c>
      <c r="B75" s="1724" t="str">
        <f>估价对象房地状况!C22</f>
        <v>估价对象所在区域基础设施水平较好</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36">
      <c r="A76" s="2870" t="s">
        <v>2909</v>
      </c>
      <c r="B76" s="2876" t="s">
        <v>2910</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52.8">
      <c r="A77" s="2870" t="s">
        <v>2913</v>
      </c>
      <c r="B77" s="2873" t="str">
        <f>估价对象房地状况!C20</f>
        <v>区域自然环境：较好；人文环境：较好；综合评价环境状况较好</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36.6" thickBot="1">
      <c r="A78" s="2878" t="s">
        <v>2920</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4.4">
      <c r="A79" s="2866" t="s">
        <v>2921</v>
      </c>
      <c r="B79" s="2867">
        <f>1+E81</f>
        <v>1</v>
      </c>
      <c r="C79" s="813"/>
      <c r="D79" s="813"/>
      <c r="E79" s="814"/>
      <c r="F79" s="2869"/>
      <c r="G79" s="6"/>
      <c r="H79" s="6"/>
      <c r="I79" s="6"/>
      <c r="J79" s="7"/>
      <c r="K79" s="7"/>
      <c r="L79" s="7"/>
      <c r="M79" s="7"/>
      <c r="N79" s="7"/>
      <c r="Z79" s="2720"/>
      <c r="AA79" s="2788"/>
      <c r="AG79" s="1371"/>
      <c r="AK79" s="2788"/>
    </row>
    <row r="80" spans="1:37" ht="25.2">
      <c r="A80" s="2870" t="s">
        <v>2895</v>
      </c>
      <c r="B80" s="1808"/>
      <c r="C80" s="1808" t="s">
        <v>2897</v>
      </c>
      <c r="D80" s="1808" t="s">
        <v>2898</v>
      </c>
      <c r="E80" s="818" t="s">
        <v>2899</v>
      </c>
      <c r="F80" s="2871" t="s">
        <v>2915</v>
      </c>
      <c r="G80" s="1808" t="s">
        <v>754</v>
      </c>
      <c r="H80" s="2872" t="s">
        <v>2901</v>
      </c>
      <c r="I80" s="1808" t="s">
        <v>2902</v>
      </c>
      <c r="J80" s="603" t="s">
        <v>2550</v>
      </c>
      <c r="K80" s="603" t="s">
        <v>2551</v>
      </c>
      <c r="L80" s="603" t="s">
        <v>2552</v>
      </c>
      <c r="M80" s="603" t="s">
        <v>2553</v>
      </c>
      <c r="N80" s="603" t="s">
        <v>2554</v>
      </c>
      <c r="Z80" s="2720"/>
      <c r="AA80" s="2788"/>
      <c r="AG80" s="1371"/>
      <c r="AK80" s="2788"/>
    </row>
    <row r="81" spans="1:37" ht="24">
      <c r="A81" s="2870" t="s">
        <v>2922</v>
      </c>
      <c r="B81" s="2874">
        <f>估价对象房地状况!G15</f>
        <v>0</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24">
      <c r="A82" s="2870" t="s">
        <v>2904</v>
      </c>
      <c r="B82" s="2874">
        <f>估价对象房地状况!G16</f>
        <v>0</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2905</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3.8">
      <c r="A84" s="2870" t="s">
        <v>2919</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4">
      <c r="A85" s="2870" t="s">
        <v>2911</v>
      </c>
      <c r="B85" s="1724">
        <f>估价对象房地状况!G19</f>
        <v>0</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4">
      <c r="A86" s="2870" t="s">
        <v>2912</v>
      </c>
      <c r="B86" s="1724">
        <f>估价对象房地状况!G20</f>
        <v>0</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36">
      <c r="A87" s="2870" t="s">
        <v>2909</v>
      </c>
      <c r="B87" s="2876" t="s">
        <v>2923</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14.4" thickBot="1">
      <c r="A88" s="2878" t="s">
        <v>2924</v>
      </c>
      <c r="B88" s="2883">
        <f>估价对象房地状况!G18</f>
        <v>0</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804" t="s">
        <v>2925</v>
      </c>
      <c r="B90" s="3804"/>
      <c r="C90" s="3804"/>
      <c r="D90" s="3804"/>
      <c r="E90" s="3804"/>
      <c r="F90" s="3804"/>
      <c r="G90" s="3804"/>
      <c r="H90" s="3804"/>
      <c r="I90" s="3804"/>
      <c r="J90" s="3804"/>
      <c r="K90" s="2884"/>
      <c r="L90" s="2884"/>
      <c r="M90" s="2884"/>
      <c r="N90" s="2884"/>
    </row>
    <row r="91" spans="1:37">
      <c r="A91" s="3806" t="s">
        <v>2926</v>
      </c>
      <c r="B91" s="3806" t="s">
        <v>2927</v>
      </c>
      <c r="C91" s="2838" t="s">
        <v>2928</v>
      </c>
      <c r="D91" s="2839"/>
      <c r="E91" s="2839"/>
      <c r="F91" s="2839"/>
      <c r="G91" s="2839"/>
      <c r="H91" s="2839"/>
      <c r="I91" s="2839"/>
      <c r="J91" s="2885"/>
      <c r="K91" s="2886"/>
      <c r="L91" s="2886"/>
      <c r="M91" s="2886"/>
      <c r="N91" s="2886"/>
    </row>
    <row r="92" spans="1:37">
      <c r="A92" s="3806"/>
      <c r="B92" s="3806"/>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807" t="s">
        <v>2929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80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80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80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80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80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808"/>
      <c r="B99" s="2887" t="s">
        <v>2810</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80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807" t="s">
        <v>2930</v>
      </c>
      <c r="B101" s="2891" t="s">
        <v>2931</v>
      </c>
      <c r="C101" s="2892">
        <f>$G$3</f>
        <v>2</v>
      </c>
      <c r="D101" s="2892">
        <f t="shared" ref="D101:N101" si="31">$G$3</f>
        <v>2</v>
      </c>
      <c r="E101" s="2892">
        <f t="shared" si="31"/>
        <v>2</v>
      </c>
      <c r="F101" s="2892">
        <f t="shared" si="31"/>
        <v>2</v>
      </c>
      <c r="G101" s="2892">
        <f t="shared" si="31"/>
        <v>2</v>
      </c>
      <c r="H101" s="2892">
        <f t="shared" si="31"/>
        <v>2</v>
      </c>
      <c r="I101" s="2892">
        <f t="shared" si="31"/>
        <v>2</v>
      </c>
      <c r="J101" s="2892">
        <f t="shared" si="31"/>
        <v>2</v>
      </c>
      <c r="K101" s="2892">
        <f t="shared" si="31"/>
        <v>2</v>
      </c>
      <c r="L101" s="2892">
        <f t="shared" si="31"/>
        <v>2</v>
      </c>
      <c r="M101" s="2892">
        <f t="shared" si="31"/>
        <v>2</v>
      </c>
      <c r="N101" s="2892">
        <f t="shared" si="31"/>
        <v>2</v>
      </c>
    </row>
    <row r="102" spans="1:14">
      <c r="A102" s="3808"/>
      <c r="B102" s="2887">
        <v>1</v>
      </c>
      <c r="C102" s="2888">
        <f>1.9362/C101</f>
        <v>0.96809999999999996</v>
      </c>
      <c r="D102" s="2888">
        <f>1.9362/D101</f>
        <v>0.96809999999999996</v>
      </c>
      <c r="E102" s="2888">
        <f>1.8629/E101</f>
        <v>0.93145</v>
      </c>
      <c r="F102" s="2888">
        <f>1.8629/F101</f>
        <v>0.93145</v>
      </c>
      <c r="G102" s="2888">
        <f>1.8629/G101</f>
        <v>0.93145</v>
      </c>
      <c r="H102" s="2888">
        <f>1.8629/H101</f>
        <v>0.93145</v>
      </c>
      <c r="I102" s="2888">
        <f>1.8629/I101</f>
        <v>0.93145</v>
      </c>
      <c r="J102" s="2888">
        <f>1.942/J101</f>
        <v>0.97099999999999997</v>
      </c>
      <c r="K102" s="2888">
        <f>1.942/K101</f>
        <v>0.97099999999999997</v>
      </c>
      <c r="L102" s="2888">
        <f>1.942/L101</f>
        <v>0.97099999999999997</v>
      </c>
      <c r="M102" s="2888">
        <f>1.942/M101</f>
        <v>0.97099999999999997</v>
      </c>
      <c r="N102" s="2888">
        <f>1.942/N101</f>
        <v>0.97099999999999997</v>
      </c>
    </row>
    <row r="103" spans="1:14">
      <c r="A103" s="3808"/>
      <c r="B103" s="2887">
        <v>2</v>
      </c>
      <c r="C103" s="2888">
        <f>1.4198/C101</f>
        <v>0.70989999999999998</v>
      </c>
      <c r="D103" s="2888">
        <f>1.4198/D101</f>
        <v>0.70989999999999998</v>
      </c>
      <c r="E103" s="2888">
        <f>1.3372/E101</f>
        <v>0.66859999999999997</v>
      </c>
      <c r="F103" s="2888">
        <f>1.3372/F101</f>
        <v>0.66859999999999997</v>
      </c>
      <c r="G103" s="2888">
        <f>1.3372/G101</f>
        <v>0.66859999999999997</v>
      </c>
      <c r="H103" s="2888">
        <f>1.3372/H101</f>
        <v>0.66859999999999997</v>
      </c>
      <c r="I103" s="2888">
        <f>1.3372/I101</f>
        <v>0.66859999999999997</v>
      </c>
      <c r="J103" s="2888">
        <f>1.2799/J101</f>
        <v>0.63995000000000002</v>
      </c>
      <c r="K103" s="2888">
        <f>1.2799/K101</f>
        <v>0.63995000000000002</v>
      </c>
      <c r="L103" s="2888">
        <f>1.2799/L101</f>
        <v>0.63995000000000002</v>
      </c>
      <c r="M103" s="2888">
        <f>1.2799/M101</f>
        <v>0.63995000000000002</v>
      </c>
      <c r="N103" s="2888">
        <f>1.2799/N101</f>
        <v>0.63995000000000002</v>
      </c>
    </row>
    <row r="104" spans="1:14">
      <c r="A104" s="3808"/>
      <c r="B104" s="2887">
        <v>3</v>
      </c>
      <c r="C104" s="2888">
        <f>1.1594/C101</f>
        <v>0.57969999999999999</v>
      </c>
      <c r="D104" s="2888">
        <f>1.1594/D101</f>
        <v>0.57969999999999999</v>
      </c>
      <c r="E104" s="2888">
        <f>1.0788/E101</f>
        <v>0.53939999999999999</v>
      </c>
      <c r="F104" s="2888">
        <f>1.0788/F101</f>
        <v>0.53939999999999999</v>
      </c>
      <c r="G104" s="2888">
        <f>1.0788/G101</f>
        <v>0.53939999999999999</v>
      </c>
      <c r="H104" s="2888">
        <f>1.0788/H101</f>
        <v>0.53939999999999999</v>
      </c>
      <c r="I104" s="2888">
        <f>1.0788/I101</f>
        <v>0.53939999999999999</v>
      </c>
      <c r="J104" s="2888">
        <f>1.0072/J101</f>
        <v>0.50360000000000005</v>
      </c>
      <c r="K104" s="2888">
        <f>1.0072/K101</f>
        <v>0.50360000000000005</v>
      </c>
      <c r="L104" s="2888">
        <f>1.0072/L101</f>
        <v>0.50360000000000005</v>
      </c>
      <c r="M104" s="2888">
        <f>1.0072/M101</f>
        <v>0.50360000000000005</v>
      </c>
      <c r="N104" s="2888">
        <f>1.0072/N101</f>
        <v>0.50360000000000005</v>
      </c>
    </row>
    <row r="105" spans="1:14">
      <c r="A105" s="3808"/>
      <c r="B105" s="2887">
        <v>4</v>
      </c>
      <c r="C105" s="2888">
        <f>0.9622/C101</f>
        <v>0.48110000000000003</v>
      </c>
      <c r="D105" s="2888">
        <f>0.9622/D101</f>
        <v>0.48110000000000003</v>
      </c>
      <c r="E105" s="2888">
        <f>0.8656/E101</f>
        <v>0.43280000000000002</v>
      </c>
      <c r="F105" s="2888">
        <f>0.8656/F101</f>
        <v>0.43280000000000002</v>
      </c>
      <c r="G105" s="2888">
        <f>0.8656/G101</f>
        <v>0.43280000000000002</v>
      </c>
      <c r="H105" s="2888">
        <f>0.8656/H101</f>
        <v>0.43280000000000002</v>
      </c>
      <c r="I105" s="2888">
        <f>0.8656/I101</f>
        <v>0.43280000000000002</v>
      </c>
      <c r="J105" s="2888">
        <f>0.7525/J101</f>
        <v>0.37624999999999997</v>
      </c>
      <c r="K105" s="2888">
        <f>0.7525/K101</f>
        <v>0.37624999999999997</v>
      </c>
      <c r="L105" s="2888">
        <f>0.7525/L101</f>
        <v>0.37624999999999997</v>
      </c>
      <c r="M105" s="2888">
        <f>0.7525/M101</f>
        <v>0.37624999999999997</v>
      </c>
      <c r="N105" s="2888">
        <f>0.7525/N101</f>
        <v>0.37624999999999997</v>
      </c>
    </row>
    <row r="106" spans="1:14">
      <c r="A106" s="3808"/>
      <c r="B106" s="2887">
        <v>5</v>
      </c>
      <c r="C106" s="2888">
        <f>0.8417/C101</f>
        <v>0.42085</v>
      </c>
      <c r="D106" s="2888">
        <f>0.8417/D101</f>
        <v>0.42085</v>
      </c>
      <c r="E106" s="2888">
        <f>0.7371/E101</f>
        <v>0.36854999999999999</v>
      </c>
      <c r="F106" s="2888">
        <f>0.7371/F101</f>
        <v>0.36854999999999999</v>
      </c>
      <c r="G106" s="2888">
        <f>0.7371/G101</f>
        <v>0.36854999999999999</v>
      </c>
      <c r="H106" s="2888">
        <f>0.7371/H101</f>
        <v>0.36854999999999999</v>
      </c>
      <c r="I106" s="2888">
        <f>0.7371/I101</f>
        <v>0.36854999999999999</v>
      </c>
      <c r="J106" s="2888">
        <f>0.5659/J101</f>
        <v>0.28294999999999998</v>
      </c>
      <c r="K106" s="2888">
        <f>0.5659/K101</f>
        <v>0.28294999999999998</v>
      </c>
      <c r="L106" s="2888">
        <f>0.5659/L101</f>
        <v>0.28294999999999998</v>
      </c>
      <c r="M106" s="2888">
        <f>0.5659/M101</f>
        <v>0.28294999999999998</v>
      </c>
      <c r="N106" s="2888">
        <f>0.5659/N101</f>
        <v>0.28294999999999998</v>
      </c>
    </row>
    <row r="107" spans="1:14">
      <c r="A107" s="3808"/>
      <c r="B107" s="2887">
        <v>6</v>
      </c>
      <c r="C107" s="2888">
        <f>0.7608/C101</f>
        <v>0.38040000000000002</v>
      </c>
      <c r="D107" s="2888">
        <f>0.7608/D101</f>
        <v>0.38040000000000002</v>
      </c>
      <c r="E107" s="2888">
        <f>0.6482/E101</f>
        <v>0.3241</v>
      </c>
      <c r="F107" s="2888">
        <f>0.6482/F101</f>
        <v>0.3241</v>
      </c>
      <c r="G107" s="2888">
        <f>0.6482/G101</f>
        <v>0.3241</v>
      </c>
      <c r="H107" s="2888">
        <f>0.6482/H101</f>
        <v>0.3241</v>
      </c>
      <c r="I107" s="2888">
        <f>0.6482/I101</f>
        <v>0.3241</v>
      </c>
      <c r="J107" s="2888">
        <f>0.4525/J101</f>
        <v>0.22625000000000001</v>
      </c>
      <c r="K107" s="2888">
        <f>0.4525/K101</f>
        <v>0.22625000000000001</v>
      </c>
      <c r="L107" s="2888">
        <f>0.4525/L101</f>
        <v>0.22625000000000001</v>
      </c>
      <c r="M107" s="2888">
        <f>0.4525/M101</f>
        <v>0.22625000000000001</v>
      </c>
      <c r="N107" s="2888">
        <f>0.4525/N101</f>
        <v>0.22625000000000001</v>
      </c>
    </row>
    <row r="108" spans="1:14">
      <c r="A108" s="3808"/>
      <c r="B108" s="3592" t="s">
        <v>2932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809"/>
      <c r="B109" s="3593"/>
      <c r="C109" s="2890">
        <f>(-0.163*(C108^2)-0.59*C108+7617)*(10^(-4))/C101</f>
        <v>0.38085000000000002</v>
      </c>
      <c r="D109" s="2890">
        <f>(-0.163*(D108^2)-0.59*D108+7617)*(10^(-4))/D101</f>
        <v>0.38085000000000002</v>
      </c>
      <c r="E109" s="2890">
        <f>(-0.161*(E108^2)-7.509*E108+6533)*(10^(-4))/E101</f>
        <v>0.32665</v>
      </c>
      <c r="F109" s="2890">
        <f>(-0.161*(F108^2)-7.509*F108+6533)*(10^(-4))/F101</f>
        <v>0.32665</v>
      </c>
      <c r="G109" s="2890">
        <f>(-0.161*(G108^2)-7.509*G108+6533)*(10^(-4))/G101</f>
        <v>0.32665</v>
      </c>
      <c r="H109" s="2890">
        <f>(-0.161*(H108^2)-7.509*H108+6533)*(10^(-4))/H101</f>
        <v>0.32665</v>
      </c>
      <c r="I109" s="2890">
        <f>(-0.161*(I108^2)-7.509*I108+6533)*(10^(-4))/I101</f>
        <v>0.32665</v>
      </c>
      <c r="J109" s="2890">
        <f>(-0.214*(J108^2)-21.991*J108+4665)*(10^(-4))/J101</f>
        <v>0.23325000000000001</v>
      </c>
      <c r="K109" s="2890">
        <f>(-0.214*(K108^2)-21.991*K108+4665)*(10^(-4))/K101</f>
        <v>0.23325000000000001</v>
      </c>
      <c r="L109" s="2890">
        <f>(-0.214*(L108^2)-21.991*L108+4665)*(10^(-4))/L101</f>
        <v>0.23325000000000001</v>
      </c>
      <c r="M109" s="2890">
        <f>(-0.214*(M108^2)-21.991*M108+4665)*(10^(-4))/M101</f>
        <v>0.23325000000000001</v>
      </c>
      <c r="N109" s="2890">
        <f>(-0.214*(N108^2)-21.991*N108+4665)*(10^(-4))/N101</f>
        <v>0.23325000000000001</v>
      </c>
    </row>
    <row r="110" spans="1:14">
      <c r="A110" s="3805" t="s">
        <v>2933</v>
      </c>
      <c r="B110" s="3805"/>
      <c r="C110" s="3805"/>
      <c r="D110" s="3805"/>
      <c r="E110" s="3805"/>
      <c r="F110" s="3805"/>
      <c r="G110" s="3805"/>
      <c r="H110" s="3805"/>
      <c r="I110" s="3805"/>
      <c r="J110" s="3805"/>
      <c r="K110" s="2893"/>
      <c r="L110" s="2893"/>
      <c r="M110" s="2893"/>
      <c r="N110" s="2893"/>
    </row>
    <row r="112" spans="1:14" ht="13.8" thickBot="1"/>
    <row r="113" spans="1:13" ht="25.8" thickBot="1">
      <c r="A113" s="902" t="s">
        <v>2934</v>
      </c>
      <c r="B113" s="1286">
        <f>G3</f>
        <v>2</v>
      </c>
      <c r="C113" s="903" t="s">
        <v>2935</v>
      </c>
      <c r="D113" s="904">
        <f>SUMPRODUCT((A115:A118=F113)*(B114:M114=H113)*B115:M118)</f>
        <v>0</v>
      </c>
      <c r="E113" s="2724" t="s">
        <v>2767</v>
      </c>
      <c r="F113" s="2895">
        <f>E2</f>
        <v>0</v>
      </c>
      <c r="G113" s="2724" t="s">
        <v>2768</v>
      </c>
      <c r="H113" s="2895">
        <f>G2</f>
        <v>0</v>
      </c>
      <c r="I113" s="2724"/>
      <c r="J113" s="2896"/>
      <c r="K113" s="2896"/>
      <c r="L113" s="2896"/>
      <c r="M113" s="2896"/>
    </row>
    <row r="114" spans="1:13">
      <c r="A114" s="907"/>
      <c r="B114" s="2897" t="s">
        <v>2936</v>
      </c>
      <c r="C114" s="2897" t="s">
        <v>2937</v>
      </c>
      <c r="D114" s="2897" t="s">
        <v>2938</v>
      </c>
      <c r="E114" s="2898" t="s">
        <v>2939</v>
      </c>
      <c r="F114" s="2898" t="s">
        <v>2940</v>
      </c>
      <c r="G114" s="2898" t="s">
        <v>2941</v>
      </c>
      <c r="H114" s="2899" t="s">
        <v>2942</v>
      </c>
      <c r="I114" s="2899" t="s">
        <v>2943</v>
      </c>
      <c r="J114" s="2900" t="s">
        <v>2944</v>
      </c>
      <c r="K114" s="2900" t="s">
        <v>2945</v>
      </c>
      <c r="L114" s="2900" t="s">
        <v>2946</v>
      </c>
      <c r="M114" s="2901" t="s">
        <v>2947</v>
      </c>
    </row>
    <row r="115" spans="1:13">
      <c r="A115" s="908" t="s">
        <v>2832</v>
      </c>
      <c r="B115" s="909">
        <f>ROUND(0.9335-0.0094*B113,4)</f>
        <v>0.91469999999999996</v>
      </c>
      <c r="C115" s="909">
        <f>B115</f>
        <v>0.91469999999999996</v>
      </c>
      <c r="D115" s="909">
        <f>ROUND(0.8331-0.0109*B113,4)</f>
        <v>0.81130000000000002</v>
      </c>
      <c r="E115" s="909">
        <f>D115</f>
        <v>0.81130000000000002</v>
      </c>
      <c r="F115" s="909">
        <f>E115</f>
        <v>0.81130000000000002</v>
      </c>
      <c r="G115" s="909">
        <f>F115</f>
        <v>0.81130000000000002</v>
      </c>
      <c r="H115" s="909">
        <f>G115</f>
        <v>0.81130000000000002</v>
      </c>
      <c r="I115" s="909">
        <f>ROUND(0.689-0.0155*B113,4)</f>
        <v>0.65800000000000003</v>
      </c>
      <c r="J115" s="909">
        <f t="shared" ref="J115:M118" si="33">I115</f>
        <v>0.65800000000000003</v>
      </c>
      <c r="K115" s="909">
        <f t="shared" si="33"/>
        <v>0.65800000000000003</v>
      </c>
      <c r="L115" s="909">
        <f t="shared" si="33"/>
        <v>0.65800000000000003</v>
      </c>
      <c r="M115" s="910">
        <f t="shared" si="33"/>
        <v>0.65800000000000003</v>
      </c>
    </row>
    <row r="116" spans="1:13">
      <c r="A116" s="908" t="s">
        <v>2833</v>
      </c>
      <c r="B116" s="909">
        <f>ROUND(0.949-0.012*B113,4)</f>
        <v>0.92500000000000004</v>
      </c>
      <c r="C116" s="909">
        <f>B116</f>
        <v>0.92500000000000004</v>
      </c>
      <c r="D116" s="909">
        <f>ROUND(0.8567-0.013*B113,4)</f>
        <v>0.83069999999999999</v>
      </c>
      <c r="E116" s="909">
        <f t="shared" ref="E116:H117" si="34">D116</f>
        <v>0.83069999999999999</v>
      </c>
      <c r="F116" s="909">
        <f t="shared" si="34"/>
        <v>0.83069999999999999</v>
      </c>
      <c r="G116" s="909">
        <f t="shared" si="34"/>
        <v>0.83069999999999999</v>
      </c>
      <c r="H116" s="909">
        <f t="shared" si="34"/>
        <v>0.83069999999999999</v>
      </c>
      <c r="I116" s="909">
        <f>ROUND(0.7694-0.014*B113,4)</f>
        <v>0.74139999999999995</v>
      </c>
      <c r="J116" s="909">
        <f t="shared" si="33"/>
        <v>0.74139999999999995</v>
      </c>
      <c r="K116" s="909">
        <f t="shared" si="33"/>
        <v>0.74139999999999995</v>
      </c>
      <c r="L116" s="909">
        <f t="shared" si="33"/>
        <v>0.74139999999999995</v>
      </c>
      <c r="M116" s="910">
        <f t="shared" si="33"/>
        <v>0.74139999999999995</v>
      </c>
    </row>
    <row r="117" spans="1:13">
      <c r="A117" s="908" t="s">
        <v>2834</v>
      </c>
      <c r="B117" s="909">
        <f>ROUND(0.8808-0.006*B113,4)</f>
        <v>0.86880000000000002</v>
      </c>
      <c r="C117" s="909">
        <f>B117</f>
        <v>0.86880000000000002</v>
      </c>
      <c r="D117" s="909">
        <f>ROUND(0.8748-0.008*B113,4)</f>
        <v>0.85880000000000001</v>
      </c>
      <c r="E117" s="909">
        <f t="shared" si="34"/>
        <v>0.85880000000000001</v>
      </c>
      <c r="F117" s="909">
        <f t="shared" si="34"/>
        <v>0.85880000000000001</v>
      </c>
      <c r="G117" s="909">
        <f t="shared" si="34"/>
        <v>0.85880000000000001</v>
      </c>
      <c r="H117" s="909">
        <f t="shared" si="34"/>
        <v>0.85880000000000001</v>
      </c>
      <c r="I117" s="909">
        <f>ROUND(0.7412-0.0095*B113,4)</f>
        <v>0.72219999999999995</v>
      </c>
      <c r="J117" s="909">
        <f t="shared" si="33"/>
        <v>0.72219999999999995</v>
      </c>
      <c r="K117" s="909">
        <f t="shared" si="33"/>
        <v>0.72219999999999995</v>
      </c>
      <c r="L117" s="909">
        <f t="shared" si="33"/>
        <v>0.72219999999999995</v>
      </c>
      <c r="M117" s="910">
        <f t="shared" si="33"/>
        <v>0.72219999999999995</v>
      </c>
    </row>
    <row r="118" spans="1:13" ht="13.8" thickBot="1">
      <c r="A118" s="714" t="s">
        <v>2835</v>
      </c>
      <c r="B118" s="911">
        <f>ROUND(0.7275-0.01*B113,4)</f>
        <v>0.70750000000000002</v>
      </c>
      <c r="C118" s="911">
        <f>B118</f>
        <v>0.70750000000000002</v>
      </c>
      <c r="D118" s="911">
        <f>ROUND(0.7043-0.012*B113,4)</f>
        <v>0.68030000000000002</v>
      </c>
      <c r="E118" s="911">
        <f>D118</f>
        <v>0.68030000000000002</v>
      </c>
      <c r="F118" s="911">
        <f>E118</f>
        <v>0.68030000000000002</v>
      </c>
      <c r="G118" s="911">
        <f>ROUND(0.6299-0.0122*B113,4)</f>
        <v>0.60550000000000004</v>
      </c>
      <c r="H118" s="911">
        <f>G118</f>
        <v>0.60550000000000004</v>
      </c>
      <c r="I118" s="911">
        <f>ROUND(0.5667-0.0136*B113,4)</f>
        <v>0.53949999999999998</v>
      </c>
      <c r="J118" s="911">
        <f t="shared" si="33"/>
        <v>0.53949999999999998</v>
      </c>
      <c r="K118" s="911">
        <f t="shared" si="33"/>
        <v>0.53949999999999998</v>
      </c>
      <c r="L118" s="911">
        <f t="shared" si="33"/>
        <v>0.53949999999999998</v>
      </c>
      <c r="M118" s="912">
        <f t="shared" si="33"/>
        <v>0.53949999999999998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825" t="s">
        <v>183</v>
      </c>
      <c r="B18" s="881" t="s">
        <v>560</v>
      </c>
      <c r="C18" s="882" t="s">
        <v>561</v>
      </c>
      <c r="D18" s="883"/>
      <c r="E18" s="881">
        <v>1</v>
      </c>
      <c r="F18" s="884" t="s">
        <v>562</v>
      </c>
      <c r="G18" s="885"/>
      <c r="H18" s="877"/>
      <c r="I18" s="877"/>
    </row>
    <row r="19" spans="1:9" s="886" customFormat="1" ht="19.5" customHeight="1">
      <c r="A19" s="3825"/>
      <c r="B19" s="3825" t="s">
        <v>563</v>
      </c>
      <c r="C19" s="882" t="s">
        <v>564</v>
      </c>
      <c r="D19" s="883"/>
      <c r="E19" s="881">
        <v>0.9</v>
      </c>
      <c r="F19" s="884" t="s">
        <v>565</v>
      </c>
      <c r="G19" s="885"/>
      <c r="H19" s="877"/>
      <c r="I19" s="877"/>
    </row>
    <row r="20" spans="1:9" s="886" customFormat="1" ht="19.5" customHeight="1">
      <c r="A20" s="3825"/>
      <c r="B20" s="3825"/>
      <c r="C20" s="882" t="s">
        <v>566</v>
      </c>
      <c r="D20" s="883"/>
      <c r="E20" s="881">
        <v>1.1000000000000001</v>
      </c>
      <c r="F20" s="884" t="s">
        <v>567</v>
      </c>
      <c r="G20" s="885"/>
      <c r="H20" s="877"/>
      <c r="I20" s="877"/>
    </row>
    <row r="21" spans="1:9" s="886" customFormat="1" ht="19.5" customHeight="1">
      <c r="A21" s="3825"/>
      <c r="B21" s="3825"/>
      <c r="C21" s="882" t="s">
        <v>568</v>
      </c>
      <c r="D21" s="883"/>
      <c r="E21" s="881">
        <v>0.8</v>
      </c>
      <c r="F21" s="884" t="s">
        <v>569</v>
      </c>
      <c r="G21" s="885"/>
      <c r="H21" s="877"/>
      <c r="I21" s="877"/>
    </row>
    <row r="22" spans="1:9" s="886" customFormat="1" ht="19.5" customHeight="1">
      <c r="A22" s="3825"/>
      <c r="B22" s="3825"/>
      <c r="C22" s="882" t="s">
        <v>570</v>
      </c>
      <c r="D22" s="883"/>
      <c r="E22" s="881">
        <v>0.5</v>
      </c>
      <c r="F22" s="884"/>
      <c r="G22" s="885"/>
      <c r="H22" s="877"/>
      <c r="I22" s="877"/>
    </row>
    <row r="23" spans="1:9" s="886" customFormat="1" ht="19.5" customHeight="1">
      <c r="A23" s="3825" t="s">
        <v>184</v>
      </c>
      <c r="B23" s="881" t="s">
        <v>560</v>
      </c>
      <c r="C23" s="882" t="s">
        <v>571</v>
      </c>
      <c r="D23" s="883"/>
      <c r="E23" s="881">
        <v>1</v>
      </c>
      <c r="F23" s="884" t="s">
        <v>572</v>
      </c>
      <c r="G23" s="885"/>
      <c r="H23" s="877"/>
      <c r="I23" s="877"/>
    </row>
    <row r="24" spans="1:9" s="886" customFormat="1" ht="19.5" customHeight="1">
      <c r="A24" s="3825"/>
      <c r="B24" s="3825" t="s">
        <v>563</v>
      </c>
      <c r="C24" s="882" t="s">
        <v>573</v>
      </c>
      <c r="D24" s="883"/>
      <c r="E24" s="881">
        <v>0.5</v>
      </c>
      <c r="F24" s="884"/>
      <c r="G24" s="885"/>
      <c r="H24" s="877"/>
      <c r="I24" s="877"/>
    </row>
    <row r="25" spans="1:9" s="886" customFormat="1" ht="19.5" customHeight="1">
      <c r="A25" s="3825"/>
      <c r="B25" s="3825"/>
      <c r="C25" s="882" t="s">
        <v>574</v>
      </c>
      <c r="D25" s="883"/>
      <c r="E25" s="881">
        <v>1.1000000000000001</v>
      </c>
      <c r="F25" s="884"/>
      <c r="G25" s="885"/>
      <c r="H25" s="877"/>
      <c r="I25" s="877"/>
    </row>
    <row r="26" spans="1:9" s="886" customFormat="1" ht="19.5" customHeight="1">
      <c r="A26" s="3825"/>
      <c r="B26" s="3825"/>
      <c r="C26" s="882" t="s">
        <v>575</v>
      </c>
      <c r="D26" s="883"/>
      <c r="E26" s="881">
        <v>1.1000000000000001</v>
      </c>
      <c r="F26" s="884"/>
      <c r="G26" s="885"/>
      <c r="H26" s="877"/>
      <c r="I26" s="877"/>
    </row>
    <row r="27" spans="1:9" s="886" customFormat="1" ht="19.5" customHeight="1">
      <c r="A27" s="3825"/>
      <c r="B27" s="3825"/>
      <c r="C27" s="882" t="s">
        <v>576</v>
      </c>
      <c r="D27" s="883"/>
      <c r="E27" s="881">
        <v>0.9</v>
      </c>
      <c r="F27" s="884" t="s">
        <v>577</v>
      </c>
      <c r="G27" s="885"/>
      <c r="H27" s="877"/>
      <c r="I27" s="877"/>
    </row>
    <row r="28" spans="1:9" s="886" customFormat="1" ht="19.5" customHeight="1">
      <c r="A28" s="3825"/>
      <c r="B28" s="3825"/>
      <c r="C28" s="882" t="s">
        <v>578</v>
      </c>
      <c r="D28" s="883"/>
      <c r="E28" s="881">
        <v>0.9</v>
      </c>
      <c r="F28" s="884" t="s">
        <v>579</v>
      </c>
      <c r="G28" s="885"/>
      <c r="H28" s="877"/>
      <c r="I28" s="877"/>
    </row>
    <row r="29" spans="1:9" s="886" customFormat="1" ht="19.5" customHeight="1">
      <c r="A29" s="3825"/>
      <c r="B29" s="3825"/>
      <c r="C29" s="882" t="s">
        <v>580</v>
      </c>
      <c r="D29" s="883"/>
      <c r="E29" s="881">
        <v>0.9</v>
      </c>
      <c r="F29" s="884" t="s">
        <v>581</v>
      </c>
      <c r="G29" s="885"/>
      <c r="H29" s="877"/>
      <c r="I29" s="877"/>
    </row>
    <row r="30" spans="1:9" s="886" customFormat="1" ht="19.5" customHeight="1">
      <c r="A30" s="3825"/>
      <c r="B30" s="3825"/>
      <c r="C30" s="882" t="s">
        <v>582</v>
      </c>
      <c r="D30" s="883"/>
      <c r="E30" s="881">
        <v>0.9</v>
      </c>
      <c r="F30" s="884" t="s">
        <v>583</v>
      </c>
      <c r="G30" s="885"/>
      <c r="H30" s="877"/>
      <c r="I30" s="877"/>
    </row>
    <row r="31" spans="1:9" s="886" customFormat="1" ht="19.5" customHeight="1">
      <c r="A31" s="3825"/>
      <c r="B31" s="3825"/>
      <c r="C31" s="882" t="s">
        <v>584</v>
      </c>
      <c r="D31" s="883"/>
      <c r="E31" s="881">
        <v>0.8</v>
      </c>
      <c r="F31" s="884" t="s">
        <v>585</v>
      </c>
      <c r="G31" s="885"/>
      <c r="H31" s="877"/>
      <c r="I31" s="877"/>
    </row>
    <row r="32" spans="1:9" s="886" customFormat="1" ht="19.5" customHeight="1">
      <c r="A32" s="3825"/>
      <c r="B32" s="3825"/>
      <c r="C32" s="882" t="s">
        <v>586</v>
      </c>
      <c r="D32" s="883"/>
      <c r="E32" s="881">
        <v>0.8</v>
      </c>
      <c r="F32" s="884" t="s">
        <v>587</v>
      </c>
      <c r="G32" s="885"/>
      <c r="H32" s="877"/>
      <c r="I32" s="877"/>
    </row>
    <row r="33" spans="1:9" s="886" customFormat="1" ht="19.5" customHeight="1">
      <c r="A33" s="3825" t="s">
        <v>185</v>
      </c>
      <c r="B33" s="881" t="s">
        <v>560</v>
      </c>
      <c r="C33" s="882" t="s">
        <v>588</v>
      </c>
      <c r="D33" s="883"/>
      <c r="E33" s="881">
        <v>1</v>
      </c>
      <c r="F33" s="884" t="s">
        <v>589</v>
      </c>
      <c r="G33" s="885"/>
      <c r="H33" s="877"/>
      <c r="I33" s="877"/>
    </row>
    <row r="34" spans="1:9" s="886" customFormat="1" ht="19.5" customHeight="1">
      <c r="A34" s="3825"/>
      <c r="B34" s="881" t="s">
        <v>563</v>
      </c>
      <c r="C34" s="882" t="s">
        <v>590</v>
      </c>
      <c r="D34" s="883"/>
      <c r="E34" s="881">
        <v>1.5</v>
      </c>
      <c r="F34" s="884" t="s">
        <v>591</v>
      </c>
      <c r="G34" s="885"/>
      <c r="H34" s="877"/>
      <c r="I34" s="877"/>
    </row>
    <row r="35" spans="1:9" s="886" customFormat="1" ht="19.5" customHeight="1">
      <c r="A35" s="3825" t="s">
        <v>186</v>
      </c>
      <c r="B35" s="881" t="s">
        <v>560</v>
      </c>
      <c r="C35" s="882" t="s">
        <v>592</v>
      </c>
      <c r="D35" s="883"/>
      <c r="E35" s="881">
        <v>1</v>
      </c>
      <c r="F35" s="884" t="s">
        <v>593</v>
      </c>
      <c r="G35" s="885"/>
      <c r="H35" s="877"/>
      <c r="I35" s="877"/>
    </row>
    <row r="36" spans="1:9" s="886" customFormat="1" ht="19.5" customHeight="1">
      <c r="A36" s="3825"/>
      <c r="B36" s="3825" t="s">
        <v>563</v>
      </c>
      <c r="C36" s="882" t="s">
        <v>594</v>
      </c>
      <c r="D36" s="883"/>
      <c r="E36" s="881">
        <v>1</v>
      </c>
      <c r="F36" s="884" t="s">
        <v>595</v>
      </c>
      <c r="G36" s="885"/>
      <c r="H36" s="877"/>
      <c r="I36" s="877"/>
    </row>
    <row r="37" spans="1:9" s="886" customFormat="1" ht="19.5" customHeight="1">
      <c r="A37" s="3825"/>
      <c r="B37" s="3825"/>
      <c r="C37" s="882" t="s">
        <v>596</v>
      </c>
      <c r="D37" s="883"/>
      <c r="E37" s="881">
        <v>1.5</v>
      </c>
      <c r="F37" s="884" t="s">
        <v>597</v>
      </c>
      <c r="G37" s="885"/>
      <c r="H37" s="877"/>
      <c r="I37" s="877"/>
    </row>
    <row r="38" spans="1:9" s="886" customFormat="1" ht="19.5" customHeight="1">
      <c r="A38" s="3825"/>
      <c r="B38" s="3825"/>
      <c r="C38" s="882" t="s">
        <v>598</v>
      </c>
      <c r="D38" s="883"/>
      <c r="E38" s="881">
        <v>1</v>
      </c>
      <c r="F38" s="884" t="s">
        <v>599</v>
      </c>
      <c r="G38" s="885"/>
      <c r="H38" s="877"/>
      <c r="I38" s="877"/>
    </row>
    <row r="39" spans="1:9" s="886" customFormat="1" ht="19.5" customHeight="1">
      <c r="A39" s="3825"/>
      <c r="B39" s="382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825" t="s">
        <v>614</v>
      </c>
      <c r="C61" s="817" t="s">
        <v>615</v>
      </c>
      <c r="D61" s="817" t="s">
        <v>616</v>
      </c>
      <c r="E61" s="894">
        <v>0.5</v>
      </c>
      <c r="F61" s="881">
        <v>80</v>
      </c>
    </row>
    <row r="62" spans="1:8" s="877" customFormat="1" ht="36">
      <c r="A62" s="881">
        <v>2</v>
      </c>
      <c r="B62" s="3825"/>
      <c r="C62" s="817" t="s">
        <v>617</v>
      </c>
      <c r="D62" s="817" t="s">
        <v>618</v>
      </c>
      <c r="E62" s="894">
        <v>0.5</v>
      </c>
      <c r="F62" s="881">
        <v>80</v>
      </c>
    </row>
    <row r="63" spans="1:8" s="877" customFormat="1" ht="48">
      <c r="A63" s="881">
        <v>3</v>
      </c>
      <c r="B63" s="3825"/>
      <c r="C63" s="817" t="s">
        <v>619</v>
      </c>
      <c r="D63" s="817" t="s">
        <v>620</v>
      </c>
      <c r="E63" s="894">
        <v>0.5</v>
      </c>
      <c r="F63" s="881">
        <v>80</v>
      </c>
    </row>
    <row r="64" spans="1:8" s="877" customFormat="1" ht="48">
      <c r="A64" s="881">
        <v>4</v>
      </c>
      <c r="B64" s="3825"/>
      <c r="C64" s="817" t="s">
        <v>621</v>
      </c>
      <c r="D64" s="817" t="s">
        <v>622</v>
      </c>
      <c r="E64" s="894">
        <v>0.4</v>
      </c>
      <c r="F64" s="881">
        <v>60</v>
      </c>
    </row>
    <row r="65" spans="1:6" s="877" customFormat="1" ht="48">
      <c r="A65" s="881">
        <v>5</v>
      </c>
      <c r="B65" s="3825"/>
      <c r="C65" s="817" t="s">
        <v>623</v>
      </c>
      <c r="D65" s="817" t="s">
        <v>624</v>
      </c>
      <c r="E65" s="894">
        <v>0.2</v>
      </c>
      <c r="F65" s="881">
        <v>30</v>
      </c>
    </row>
    <row r="66" spans="1:6" s="877" customFormat="1" ht="48">
      <c r="A66" s="881">
        <v>6</v>
      </c>
      <c r="B66" s="3825"/>
      <c r="C66" s="817" t="s">
        <v>625</v>
      </c>
      <c r="D66" s="817" t="s">
        <v>626</v>
      </c>
      <c r="E66" s="894">
        <v>0.3</v>
      </c>
      <c r="F66" s="881">
        <v>50</v>
      </c>
    </row>
    <row r="67" spans="1:6" s="877" customFormat="1" ht="48">
      <c r="A67" s="881">
        <v>7</v>
      </c>
      <c r="B67" s="3825"/>
      <c r="C67" s="817" t="s">
        <v>627</v>
      </c>
      <c r="D67" s="817" t="s">
        <v>628</v>
      </c>
      <c r="E67" s="894">
        <v>0.2</v>
      </c>
      <c r="F67" s="881">
        <v>30</v>
      </c>
    </row>
    <row r="68" spans="1:6" s="877" customFormat="1" ht="48">
      <c r="A68" s="881">
        <v>8</v>
      </c>
      <c r="B68" s="3825"/>
      <c r="C68" s="817" t="s">
        <v>629</v>
      </c>
      <c r="D68" s="817" t="s">
        <v>630</v>
      </c>
      <c r="E68" s="894">
        <v>0.2</v>
      </c>
      <c r="F68" s="881">
        <v>30</v>
      </c>
    </row>
    <row r="69" spans="1:6" s="877" customFormat="1" ht="48">
      <c r="A69" s="881">
        <v>9</v>
      </c>
      <c r="B69" s="3825"/>
      <c r="C69" s="817" t="s">
        <v>631</v>
      </c>
      <c r="D69" s="817" t="s">
        <v>632</v>
      </c>
      <c r="E69" s="894">
        <v>0.2</v>
      </c>
      <c r="F69" s="881">
        <v>30</v>
      </c>
    </row>
    <row r="70" spans="1:6" s="877" customFormat="1" ht="60">
      <c r="A70" s="881">
        <v>10</v>
      </c>
      <c r="B70" s="3825"/>
      <c r="C70" s="817" t="s">
        <v>633</v>
      </c>
      <c r="D70" s="817" t="s">
        <v>634</v>
      </c>
      <c r="E70" s="894">
        <v>0.2</v>
      </c>
      <c r="F70" s="881">
        <v>30</v>
      </c>
    </row>
    <row r="71" spans="1:6" s="877" customFormat="1" ht="60">
      <c r="A71" s="881">
        <v>11</v>
      </c>
      <c r="B71" s="3825"/>
      <c r="C71" s="817" t="s">
        <v>635</v>
      </c>
      <c r="D71" s="817" t="s">
        <v>636</v>
      </c>
      <c r="E71" s="894">
        <v>0.2</v>
      </c>
      <c r="F71" s="881">
        <v>30</v>
      </c>
    </row>
    <row r="72" spans="1:6" s="877" customFormat="1" ht="36">
      <c r="A72" s="881">
        <v>12</v>
      </c>
      <c r="B72" s="3825"/>
      <c r="C72" s="817" t="s">
        <v>637</v>
      </c>
      <c r="D72" s="817" t="s">
        <v>638</v>
      </c>
      <c r="E72" s="894">
        <v>0.5</v>
      </c>
      <c r="F72" s="881">
        <v>80</v>
      </c>
    </row>
    <row r="73" spans="1:6" s="877" customFormat="1" ht="36">
      <c r="A73" s="881">
        <v>13</v>
      </c>
      <c r="B73" s="3825"/>
      <c r="C73" s="817" t="s">
        <v>639</v>
      </c>
      <c r="D73" s="817" t="s">
        <v>640</v>
      </c>
      <c r="E73" s="894">
        <v>0.4</v>
      </c>
      <c r="F73" s="881">
        <v>60</v>
      </c>
    </row>
    <row r="74" spans="1:6" s="877" customFormat="1" ht="36">
      <c r="A74" s="881">
        <v>14</v>
      </c>
      <c r="B74" s="3825"/>
      <c r="C74" s="817" t="s">
        <v>641</v>
      </c>
      <c r="D74" s="817" t="s">
        <v>642</v>
      </c>
      <c r="E74" s="894">
        <v>0.2</v>
      </c>
      <c r="F74" s="881">
        <v>30</v>
      </c>
    </row>
    <row r="75" spans="1:6" s="877" customFormat="1" ht="36">
      <c r="A75" s="881">
        <v>15</v>
      </c>
      <c r="B75" s="3825"/>
      <c r="C75" s="817" t="s">
        <v>643</v>
      </c>
      <c r="D75" s="817" t="s">
        <v>644</v>
      </c>
      <c r="E75" s="894">
        <v>0.2</v>
      </c>
      <c r="F75" s="881">
        <v>30</v>
      </c>
    </row>
    <row r="76" spans="1:6" s="877" customFormat="1" ht="36">
      <c r="A76" s="881">
        <v>16</v>
      </c>
      <c r="B76" s="3825" t="s">
        <v>645</v>
      </c>
      <c r="C76" s="817" t="s">
        <v>646</v>
      </c>
      <c r="D76" s="817" t="s">
        <v>647</v>
      </c>
      <c r="E76" s="894">
        <v>0.5</v>
      </c>
      <c r="F76" s="881">
        <v>80</v>
      </c>
    </row>
    <row r="77" spans="1:6" s="877" customFormat="1" ht="36">
      <c r="A77" s="881">
        <v>17</v>
      </c>
      <c r="B77" s="3825"/>
      <c r="C77" s="817" t="s">
        <v>648</v>
      </c>
      <c r="D77" s="817" t="s">
        <v>649</v>
      </c>
      <c r="E77" s="894">
        <v>0.5</v>
      </c>
      <c r="F77" s="881">
        <v>80</v>
      </c>
    </row>
    <row r="78" spans="1:6" s="877" customFormat="1" ht="36">
      <c r="A78" s="881">
        <v>18</v>
      </c>
      <c r="B78" s="3825"/>
      <c r="C78" s="817" t="s">
        <v>650</v>
      </c>
      <c r="D78" s="817" t="s">
        <v>651</v>
      </c>
      <c r="E78" s="894">
        <v>0.2</v>
      </c>
      <c r="F78" s="881">
        <v>30</v>
      </c>
    </row>
    <row r="79" spans="1:6" s="877" customFormat="1" ht="36">
      <c r="A79" s="881">
        <v>19</v>
      </c>
      <c r="B79" s="3825"/>
      <c r="C79" s="817" t="s">
        <v>652</v>
      </c>
      <c r="D79" s="817" t="s">
        <v>653</v>
      </c>
      <c r="E79" s="894">
        <v>0.5</v>
      </c>
      <c r="F79" s="881">
        <v>80</v>
      </c>
    </row>
    <row r="80" spans="1:6" s="877" customFormat="1" ht="36">
      <c r="A80" s="881">
        <v>20</v>
      </c>
      <c r="B80" s="3825"/>
      <c r="C80" s="817" t="s">
        <v>654</v>
      </c>
      <c r="D80" s="817" t="s">
        <v>655</v>
      </c>
      <c r="E80" s="894">
        <v>0.2</v>
      </c>
      <c r="F80" s="881">
        <v>30</v>
      </c>
    </row>
    <row r="81" spans="1:6" s="877" customFormat="1" ht="36">
      <c r="A81" s="881">
        <v>21</v>
      </c>
      <c r="B81" s="3825"/>
      <c r="C81" s="817" t="s">
        <v>656</v>
      </c>
      <c r="D81" s="817" t="s">
        <v>657</v>
      </c>
      <c r="E81" s="894">
        <v>0.2</v>
      </c>
      <c r="F81" s="881">
        <v>30</v>
      </c>
    </row>
    <row r="82" spans="1:6" s="877" customFormat="1" ht="60">
      <c r="A82" s="881">
        <v>22</v>
      </c>
      <c r="B82" s="3825"/>
      <c r="C82" s="817" t="s">
        <v>658</v>
      </c>
      <c r="D82" s="817" t="s">
        <v>659</v>
      </c>
      <c r="E82" s="894">
        <v>0.2</v>
      </c>
      <c r="F82" s="881">
        <v>30</v>
      </c>
    </row>
    <row r="83" spans="1:6" s="877" customFormat="1" ht="60">
      <c r="A83" s="881">
        <v>23</v>
      </c>
      <c r="B83" s="3825"/>
      <c r="C83" s="817" t="s">
        <v>660</v>
      </c>
      <c r="D83" s="817" t="s">
        <v>661</v>
      </c>
      <c r="E83" s="894">
        <v>0.2</v>
      </c>
      <c r="F83" s="881">
        <v>30</v>
      </c>
    </row>
    <row r="84" spans="1:6" s="877" customFormat="1" ht="48">
      <c r="A84" s="881">
        <v>24</v>
      </c>
      <c r="B84" s="3825"/>
      <c r="C84" s="817" t="s">
        <v>662</v>
      </c>
      <c r="D84" s="817" t="s">
        <v>663</v>
      </c>
      <c r="E84" s="894">
        <v>0.2</v>
      </c>
      <c r="F84" s="881">
        <v>30</v>
      </c>
    </row>
    <row r="85" spans="1:6" s="877" customFormat="1" ht="36">
      <c r="A85" s="881">
        <v>25</v>
      </c>
      <c r="B85" s="3825"/>
      <c r="C85" s="817" t="s">
        <v>664</v>
      </c>
      <c r="D85" s="817" t="s">
        <v>665</v>
      </c>
      <c r="E85" s="894">
        <v>0.5</v>
      </c>
      <c r="F85" s="881">
        <v>80</v>
      </c>
    </row>
    <row r="86" spans="1:6" s="877" customFormat="1" ht="36">
      <c r="A86" s="881">
        <v>26</v>
      </c>
      <c r="B86" s="3825"/>
      <c r="C86" s="817" t="s">
        <v>666</v>
      </c>
      <c r="D86" s="817" t="s">
        <v>667</v>
      </c>
      <c r="E86" s="894">
        <v>0.2</v>
      </c>
      <c r="F86" s="881">
        <v>30</v>
      </c>
    </row>
    <row r="87" spans="1:6" s="877" customFormat="1" ht="36">
      <c r="A87" s="881">
        <v>27</v>
      </c>
      <c r="B87" s="3825"/>
      <c r="C87" s="817" t="s">
        <v>668</v>
      </c>
      <c r="D87" s="817" t="s">
        <v>669</v>
      </c>
      <c r="E87" s="894">
        <v>0.2</v>
      </c>
      <c r="F87" s="881">
        <v>30</v>
      </c>
    </row>
    <row r="88" spans="1:6" s="877" customFormat="1" ht="36">
      <c r="A88" s="881">
        <v>28</v>
      </c>
      <c r="B88" s="3825"/>
      <c r="C88" s="817" t="s">
        <v>670</v>
      </c>
      <c r="D88" s="817" t="s">
        <v>671</v>
      </c>
      <c r="E88" s="894">
        <v>0.2</v>
      </c>
      <c r="F88" s="881">
        <v>30</v>
      </c>
    </row>
    <row r="89" spans="1:6" s="877" customFormat="1" ht="36">
      <c r="A89" s="881">
        <v>29</v>
      </c>
      <c r="B89" s="3825"/>
      <c r="C89" s="817" t="s">
        <v>672</v>
      </c>
      <c r="D89" s="817" t="s">
        <v>673</v>
      </c>
      <c r="E89" s="894">
        <v>0.2</v>
      </c>
      <c r="F89" s="881">
        <v>30</v>
      </c>
    </row>
    <row r="90" spans="1:6" s="877" customFormat="1" ht="36">
      <c r="A90" s="881">
        <v>30</v>
      </c>
      <c r="B90" s="3825"/>
      <c r="C90" s="817" t="s">
        <v>674</v>
      </c>
      <c r="D90" s="817" t="s">
        <v>675</v>
      </c>
      <c r="E90" s="894">
        <v>0.2</v>
      </c>
      <c r="F90" s="881">
        <v>30</v>
      </c>
    </row>
    <row r="91" spans="1:6" s="877" customFormat="1" ht="48">
      <c r="A91" s="881">
        <v>31</v>
      </c>
      <c r="B91" s="3825"/>
      <c r="C91" s="817" t="s">
        <v>676</v>
      </c>
      <c r="D91" s="817" t="s">
        <v>677</v>
      </c>
      <c r="E91" s="894">
        <v>0.2</v>
      </c>
      <c r="F91" s="881">
        <v>30</v>
      </c>
    </row>
    <row r="92" spans="1:6" s="877" customFormat="1" ht="36">
      <c r="A92" s="881">
        <v>32</v>
      </c>
      <c r="B92" s="3825" t="s">
        <v>678</v>
      </c>
      <c r="C92" s="881" t="s">
        <v>679</v>
      </c>
      <c r="D92" s="817" t="s">
        <v>680</v>
      </c>
      <c r="E92" s="894">
        <v>0.2</v>
      </c>
      <c r="F92" s="881">
        <v>30</v>
      </c>
    </row>
    <row r="93" spans="1:6" s="877" customFormat="1" ht="36">
      <c r="A93" s="881">
        <v>33</v>
      </c>
      <c r="B93" s="3825"/>
      <c r="C93" s="881" t="s">
        <v>681</v>
      </c>
      <c r="D93" s="817" t="s">
        <v>682</v>
      </c>
      <c r="E93" s="894">
        <v>0.2</v>
      </c>
      <c r="F93" s="881">
        <v>30</v>
      </c>
    </row>
    <row r="94" spans="1:6" s="877" customFormat="1" ht="60">
      <c r="A94" s="881">
        <v>34</v>
      </c>
      <c r="B94" s="3825"/>
      <c r="C94" s="881" t="s">
        <v>683</v>
      </c>
      <c r="D94" s="817" t="s">
        <v>684</v>
      </c>
      <c r="E94" s="894">
        <v>0.2</v>
      </c>
      <c r="F94" s="881">
        <v>30</v>
      </c>
    </row>
    <row r="95" spans="1:6" s="877" customFormat="1" ht="48">
      <c r="A95" s="881">
        <v>35</v>
      </c>
      <c r="B95" s="3825"/>
      <c r="C95" s="881" t="s">
        <v>685</v>
      </c>
      <c r="D95" s="817" t="s">
        <v>686</v>
      </c>
      <c r="E95" s="894">
        <v>0.2</v>
      </c>
      <c r="F95" s="881">
        <v>30</v>
      </c>
    </row>
    <row r="96" spans="1:6" s="877" customFormat="1" ht="72">
      <c r="A96" s="881">
        <v>36</v>
      </c>
      <c r="B96" s="3825"/>
      <c r="C96" s="817" t="s">
        <v>687</v>
      </c>
      <c r="D96" s="817" t="s">
        <v>688</v>
      </c>
      <c r="E96" s="894">
        <v>0.2</v>
      </c>
      <c r="F96" s="881">
        <v>30</v>
      </c>
    </row>
    <row r="97" spans="1:6" s="877" customFormat="1" ht="36">
      <c r="A97" s="881">
        <v>37</v>
      </c>
      <c r="B97" s="3825"/>
      <c r="C97" s="881" t="s">
        <v>689</v>
      </c>
      <c r="D97" s="817" t="s">
        <v>690</v>
      </c>
      <c r="E97" s="894">
        <v>0.2</v>
      </c>
      <c r="F97" s="881">
        <v>30</v>
      </c>
    </row>
    <row r="98" spans="1:6" s="877" customFormat="1" ht="36">
      <c r="A98" s="881">
        <v>38</v>
      </c>
      <c r="B98" s="3825"/>
      <c r="C98" s="881" t="s">
        <v>691</v>
      </c>
      <c r="D98" s="817" t="s">
        <v>692</v>
      </c>
      <c r="E98" s="894">
        <v>0.2</v>
      </c>
      <c r="F98" s="881">
        <v>30</v>
      </c>
    </row>
    <row r="99" spans="1:6" s="877" customFormat="1" ht="36">
      <c r="A99" s="881">
        <v>39</v>
      </c>
      <c r="B99" s="3825" t="s">
        <v>693</v>
      </c>
      <c r="C99" s="881" t="s">
        <v>694</v>
      </c>
      <c r="D99" s="817" t="s">
        <v>695</v>
      </c>
      <c r="E99" s="894">
        <v>0.3</v>
      </c>
      <c r="F99" s="881">
        <v>50</v>
      </c>
    </row>
    <row r="100" spans="1:6" s="877" customFormat="1" ht="36">
      <c r="A100" s="881">
        <v>40</v>
      </c>
      <c r="B100" s="3825"/>
      <c r="C100" s="881" t="s">
        <v>696</v>
      </c>
      <c r="D100" s="817" t="s">
        <v>697</v>
      </c>
      <c r="E100" s="894">
        <v>0.2</v>
      </c>
      <c r="F100" s="881">
        <v>30</v>
      </c>
    </row>
    <row r="101" spans="1:6" s="877" customFormat="1" ht="36">
      <c r="A101" s="881">
        <v>41</v>
      </c>
      <c r="B101" s="3825"/>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825" t="s">
        <v>708</v>
      </c>
      <c r="C105" s="881" t="s">
        <v>709</v>
      </c>
      <c r="D105" s="817" t="s">
        <v>710</v>
      </c>
      <c r="E105" s="894">
        <v>0.2</v>
      </c>
      <c r="F105" s="881">
        <v>30</v>
      </c>
    </row>
    <row r="106" spans="1:6" s="877" customFormat="1" ht="48">
      <c r="A106" s="881">
        <v>46</v>
      </c>
      <c r="B106" s="3825"/>
      <c r="C106" s="881" t="s">
        <v>711</v>
      </c>
      <c r="D106" s="817" t="s">
        <v>712</v>
      </c>
      <c r="E106" s="894">
        <v>0.2</v>
      </c>
      <c r="F106" s="881">
        <v>30</v>
      </c>
    </row>
    <row r="107" spans="1:6" s="877" customFormat="1" ht="36">
      <c r="A107" s="881">
        <v>47</v>
      </c>
      <c r="B107" s="3825" t="s">
        <v>713</v>
      </c>
      <c r="C107" s="881" t="s">
        <v>714</v>
      </c>
      <c r="D107" s="817" t="s">
        <v>715</v>
      </c>
      <c r="E107" s="894">
        <v>0.3</v>
      </c>
      <c r="F107" s="881">
        <v>50</v>
      </c>
    </row>
    <row r="108" spans="1:6" s="877" customFormat="1" ht="48">
      <c r="A108" s="881">
        <v>48</v>
      </c>
      <c r="B108" s="382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825" t="s">
        <v>724</v>
      </c>
      <c r="C111" s="881" t="s">
        <v>725</v>
      </c>
      <c r="D111" s="817" t="s">
        <v>726</v>
      </c>
      <c r="E111" s="894">
        <v>0.2</v>
      </c>
      <c r="F111" s="881">
        <v>30</v>
      </c>
    </row>
    <row r="112" spans="1:6" s="877" customFormat="1" ht="36">
      <c r="A112" s="881">
        <v>52</v>
      </c>
      <c r="B112" s="3825"/>
      <c r="C112" s="881" t="s">
        <v>727</v>
      </c>
      <c r="D112" s="817" t="s">
        <v>728</v>
      </c>
      <c r="E112" s="894">
        <v>0.2</v>
      </c>
      <c r="F112" s="881">
        <v>30</v>
      </c>
    </row>
    <row r="113" spans="1:6" s="877" customFormat="1" ht="36">
      <c r="A113" s="881">
        <v>53</v>
      </c>
      <c r="B113" s="3825"/>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825" t="s">
        <v>737</v>
      </c>
      <c r="C116" s="881" t="s">
        <v>738</v>
      </c>
      <c r="D116" s="817" t="s">
        <v>739</v>
      </c>
      <c r="E116" s="894">
        <v>0.2</v>
      </c>
      <c r="F116" s="881">
        <v>30</v>
      </c>
    </row>
    <row r="117" spans="1:6" ht="36">
      <c r="A117" s="881">
        <v>57</v>
      </c>
      <c r="B117" s="3825"/>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1612</v>
      </c>
      <c r="B1" s="1957"/>
      <c r="C1" s="1957"/>
      <c r="D1" s="1957"/>
      <c r="E1" s="1957"/>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7.399999999999999">
      <c r="A3" s="3478" t="str">
        <f>IF(项目基本情况!B9="房地产市场价值","估价结果一览表（市场价值不需“结果表-1”）","估价结果一览表")</f>
        <v>估价结果一览表</v>
      </c>
      <c r="B3" s="3478"/>
      <c r="C3" s="3478"/>
      <c r="D3" s="3478"/>
      <c r="E3" s="3478"/>
    </row>
    <row r="4" spans="1:5" ht="18" thickBot="1">
      <c r="A4" s="1959"/>
      <c r="B4" s="3476" t="s">
        <v>1621</v>
      </c>
      <c r="C4" s="3476"/>
      <c r="D4" s="3476"/>
      <c r="E4" s="1959"/>
    </row>
    <row r="5" spans="1:5" ht="16.2" thickTop="1">
      <c r="A5" s="1957"/>
      <c r="B5" s="3474" t="s">
        <v>1613</v>
      </c>
      <c r="C5" s="1960" t="s">
        <v>1614</v>
      </c>
      <c r="D5" s="1039">
        <f ca="1">结果表!H101</f>
        <v>21446</v>
      </c>
      <c r="E5" s="1957"/>
    </row>
    <row r="6" spans="1:5" ht="15.6">
      <c r="A6" s="1957"/>
      <c r="B6" s="3474"/>
      <c r="C6" s="1960" t="s">
        <v>1615</v>
      </c>
      <c r="D6" s="1039" t="str">
        <f ca="1">NUMBERSTRING(INT(D5*10000),2)&amp;"元整"</f>
        <v>贰亿壹仟肆佰肆拾陆万元整</v>
      </c>
      <c r="E6" s="1957"/>
    </row>
    <row r="7" spans="1:5" ht="15.6">
      <c r="A7" s="1957"/>
      <c r="B7" s="3479"/>
      <c r="C7" s="1961" t="s">
        <v>1616</v>
      </c>
      <c r="D7" s="1040">
        <f ca="1">结果表!H102</f>
        <v>2834</v>
      </c>
      <c r="E7" s="1957"/>
    </row>
    <row r="8" spans="1:5" ht="15.6">
      <c r="A8" s="1957"/>
      <c r="B8" s="3480" t="str">
        <f>结果表!E103</f>
        <v>2.估价师知悉的法定优先受偿款</v>
      </c>
      <c r="C8" s="1962" t="s">
        <v>1617</v>
      </c>
      <c r="D8" s="1040">
        <f>结果表!H103</f>
        <v>0</v>
      </c>
      <c r="E8" s="1957"/>
    </row>
    <row r="9" spans="1:5" ht="15.6">
      <c r="A9" s="1957"/>
      <c r="B9" s="3482"/>
      <c r="C9" s="1960" t="s">
        <v>1615</v>
      </c>
      <c r="D9" s="1039" t="str">
        <f>NUMBERSTRING(INT(D8*10000),2)&amp;"元整"</f>
        <v>零元整</v>
      </c>
      <c r="E9" s="1957"/>
    </row>
    <row r="10" spans="1:5" ht="15.6">
      <c r="A10" s="1957"/>
      <c r="B10" s="1963" t="s">
        <v>1620</v>
      </c>
      <c r="C10" s="1964" t="s">
        <v>1618</v>
      </c>
      <c r="D10" s="1041">
        <f>结果表!H104</f>
        <v>0</v>
      </c>
      <c r="E10" s="1957"/>
    </row>
    <row r="11" spans="1:5" ht="15.6">
      <c r="A11" s="1957"/>
      <c r="B11" s="1963" t="s">
        <v>1622</v>
      </c>
      <c r="C11" s="1964" t="s">
        <v>1623</v>
      </c>
      <c r="D11" s="1041">
        <f>结果表!H105</f>
        <v>0</v>
      </c>
      <c r="E11" s="1957"/>
    </row>
    <row r="12" spans="1:5" ht="15.6">
      <c r="A12" s="1957"/>
      <c r="B12" s="1963" t="s">
        <v>1624</v>
      </c>
      <c r="C12" s="1964" t="s">
        <v>1623</v>
      </c>
      <c r="D12" s="1041">
        <f>结果表!H106</f>
        <v>0</v>
      </c>
      <c r="E12" s="1957"/>
    </row>
    <row r="13" spans="1:5" ht="15.6">
      <c r="A13" s="1957"/>
      <c r="B13" s="3473" t="str">
        <f>结果表!E107</f>
        <v>3.房地产抵押价值</v>
      </c>
      <c r="C13" s="1965" t="s">
        <v>1614</v>
      </c>
      <c r="D13" s="1042">
        <f ca="1">结果表!H107</f>
        <v>21446</v>
      </c>
      <c r="E13" s="1957"/>
    </row>
    <row r="14" spans="1:5" ht="15.6">
      <c r="A14" s="1957"/>
      <c r="B14" s="3474"/>
      <c r="C14" s="1960" t="s">
        <v>1615</v>
      </c>
      <c r="D14" s="1039" t="str">
        <f ca="1">NUMBERSTRING(INT(D13*10000),2)&amp;"元整"</f>
        <v>贰亿壹仟肆佰肆拾陆万元整</v>
      </c>
      <c r="E14" s="1957"/>
    </row>
    <row r="15" spans="1:5" ht="15.6">
      <c r="A15" s="1957"/>
      <c r="B15" s="3479"/>
      <c r="C15" s="1961" t="s">
        <v>1625</v>
      </c>
      <c r="D15" s="1051">
        <f ca="1">结果表!H108</f>
        <v>2834</v>
      </c>
      <c r="E15" s="1957"/>
    </row>
    <row r="16" spans="1:5" ht="15.6">
      <c r="A16" s="1957"/>
      <c r="B16" s="3480" t="str">
        <f>结果表!E109</f>
        <v>——</v>
      </c>
      <c r="C16" s="1965" t="s">
        <v>1626</v>
      </c>
      <c r="D16" s="1966" t="str">
        <f>结果表!H109</f>
        <v>——</v>
      </c>
      <c r="E16" s="1957"/>
    </row>
    <row r="17" spans="1:5" ht="15.6">
      <c r="A17" s="1957"/>
      <c r="B17" s="3481"/>
      <c r="C17" s="1960" t="s">
        <v>1627</v>
      </c>
      <c r="D17" s="1039" t="e">
        <f>NUMBERSTRING(INT(D16*10000),2)&amp;"元整"</f>
        <v>#VALUE!</v>
      </c>
      <c r="E17" s="1957"/>
    </row>
    <row r="18" spans="1:5" ht="15.6">
      <c r="A18" s="1957"/>
      <c r="B18" s="3482"/>
      <c r="C18" s="1961" t="s">
        <v>1616</v>
      </c>
      <c r="D18" s="1051" t="str">
        <f>结果表!H110</f>
        <v>——</v>
      </c>
      <c r="E18" s="1957"/>
    </row>
    <row r="19" spans="1:5" ht="15.6">
      <c r="A19" s="1957"/>
      <c r="B19" s="3473" t="str">
        <f>结果表!E111</f>
        <v>——</v>
      </c>
      <c r="C19" s="1965" t="s">
        <v>1614</v>
      </c>
      <c r="D19" s="1040" t="str">
        <f>结果表!H111</f>
        <v>——</v>
      </c>
      <c r="E19" s="1957"/>
    </row>
    <row r="20" spans="1:5" ht="15.6">
      <c r="A20" s="1957"/>
      <c r="B20" s="3474"/>
      <c r="C20" s="1960" t="s">
        <v>1627</v>
      </c>
      <c r="D20" s="1039" t="e">
        <f>NUMBERSTRING(INT(D19*10000),2)&amp;"元整"</f>
        <v>#VALUE!</v>
      </c>
      <c r="E20" s="1957"/>
    </row>
    <row r="21" spans="1:5" ht="16.2" thickBot="1">
      <c r="A21" s="1957"/>
      <c r="B21" s="3475"/>
      <c r="C21" s="1967" t="s">
        <v>1625</v>
      </c>
      <c r="D21" s="1052" t="str">
        <f>结果表!H112</f>
        <v>——</v>
      </c>
      <c r="E21" s="1957"/>
    </row>
    <row r="22" spans="1:5" ht="14.4" thickTop="1">
      <c r="A22" s="1957"/>
      <c r="B22" s="1968" t="s">
        <v>1628</v>
      </c>
      <c r="C22" s="1957"/>
      <c r="D22" s="1957"/>
      <c r="E22" s="1957"/>
    </row>
    <row r="23" spans="1:5">
      <c r="A23" s="1957"/>
      <c r="B23" s="1957"/>
      <c r="C23" s="1957"/>
      <c r="D23" s="1957"/>
      <c r="E23" s="1957"/>
    </row>
    <row r="24" spans="1:5" ht="17.399999999999999">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61" t="s">
        <v>2956</v>
      </c>
    </row>
    <row r="2" spans="1:5" ht="15.6">
      <c r="A2" s="2902" t="s">
        <v>2948</v>
      </c>
      <c r="B2" s="2903" t="e">
        <f ca="1">SUMIF(B6:B13,"&lt;&gt;#ref!",B6:B13)</f>
        <v>#DIV/0!</v>
      </c>
      <c r="C2" s="2902" t="s">
        <v>2949</v>
      </c>
      <c r="D2" s="2902" t="s">
        <v>2950</v>
      </c>
      <c r="E2" s="2903">
        <f ca="1">SUMIF(E6:E13,"&lt;&gt;#ref!",E6:E13)</f>
        <v>0</v>
      </c>
    </row>
    <row r="3" spans="1:5" ht="15.6">
      <c r="A3" s="2902" t="s">
        <v>2951</v>
      </c>
      <c r="B3" s="2903" t="e">
        <f ca="1">ROUND(B2*10000/E2,0)</f>
        <v>#DIV/0!</v>
      </c>
      <c r="C3" s="2902" t="s">
        <v>2957</v>
      </c>
      <c r="D3" s="2904"/>
      <c r="E3" s="2904"/>
    </row>
    <row r="4" spans="1:5" ht="15.6">
      <c r="A4" s="2905"/>
      <c r="B4" s="2904"/>
      <c r="C4" s="2904"/>
      <c r="D4" s="2904"/>
      <c r="E4" s="2904"/>
    </row>
    <row r="5" spans="1:5" ht="31.2">
      <c r="A5" s="2906" t="s">
        <v>2952</v>
      </c>
      <c r="B5" s="2902" t="s">
        <v>2953</v>
      </c>
      <c r="C5" s="2903"/>
      <c r="D5" s="2904"/>
      <c r="E5" s="2902" t="s">
        <v>2954</v>
      </c>
    </row>
    <row r="6" spans="1:5" ht="15.6">
      <c r="A6" s="2907" t="s">
        <v>2955</v>
      </c>
      <c r="B6" s="2903" t="e">
        <f ca="1">SUMIF(INDIRECT("'"&amp;A6&amp;"'"&amp;"!A:A"),"总价",INDIRECT("'"&amp;A6&amp;"'"&amp;"!B:B"))</f>
        <v>#DIV/0!</v>
      </c>
      <c r="C6" s="2902" t="s">
        <v>2949</v>
      </c>
      <c r="D6" s="2904"/>
      <c r="E6" s="2575">
        <f ca="1">SUMIF(INDIRECT("'"&amp;A6&amp;"'"&amp;"!C:C"),"建筑面积",INDIRECT("'"&amp;A6&amp;"'"&amp;"!D:D"))</f>
        <v>0</v>
      </c>
    </row>
    <row r="7" spans="1:5" ht="15.6">
      <c r="A7" s="2907"/>
      <c r="B7" s="2903" t="e">
        <f ca="1">SUMIF(INDIRECT("'"&amp;A7&amp;"'"&amp;"!A:A"),"总价",INDIRECT("'"&amp;A7&amp;"'"&amp;"!B:B"))</f>
        <v>#REF!</v>
      </c>
      <c r="C7" s="2902" t="s">
        <v>2949</v>
      </c>
      <c r="D7" s="2904"/>
      <c r="E7" s="2575" t="e">
        <f t="shared" ref="E7:E13" ca="1" si="0">SUMIF(INDIRECT("'"&amp;A7&amp;"'"&amp;"!C:C"),"建筑面积",INDIRECT("'"&amp;A7&amp;"'"&amp;"!D:D"))</f>
        <v>#REF!</v>
      </c>
    </row>
    <row r="8" spans="1:5" ht="15.6">
      <c r="A8" s="2907"/>
      <c r="B8" s="2903" t="e">
        <f t="shared" ref="B8:B13" ca="1" si="1">SUMIF(INDIRECT("'"&amp;A8&amp;"'"&amp;"!A:A"),"总价",INDIRECT("'"&amp;A8&amp;"'"&amp;"!B:B"))</f>
        <v>#REF!</v>
      </c>
      <c r="C8" s="2902" t="s">
        <v>2949</v>
      </c>
      <c r="D8" s="2904"/>
      <c r="E8" s="2575" t="e">
        <f t="shared" ca="1" si="0"/>
        <v>#REF!</v>
      </c>
    </row>
    <row r="9" spans="1:5" ht="15.6">
      <c r="A9" s="2907"/>
      <c r="B9" s="2903" t="e">
        <f t="shared" ca="1" si="1"/>
        <v>#REF!</v>
      </c>
      <c r="C9" s="2902" t="s">
        <v>2949</v>
      </c>
      <c r="D9" s="2904"/>
      <c r="E9" s="2575" t="e">
        <f t="shared" ca="1" si="0"/>
        <v>#REF!</v>
      </c>
    </row>
    <row r="10" spans="1:5" ht="15.6">
      <c r="A10" s="2907"/>
      <c r="B10" s="2903" t="e">
        <f t="shared" ca="1" si="1"/>
        <v>#REF!</v>
      </c>
      <c r="C10" s="2902" t="s">
        <v>2949</v>
      </c>
      <c r="D10" s="2904"/>
      <c r="E10" s="2575" t="e">
        <f t="shared" ca="1" si="0"/>
        <v>#REF!</v>
      </c>
    </row>
    <row r="11" spans="1:5" ht="15.6">
      <c r="A11" s="2907"/>
      <c r="B11" s="2903" t="e">
        <f t="shared" ca="1" si="1"/>
        <v>#REF!</v>
      </c>
      <c r="C11" s="2902" t="s">
        <v>2949</v>
      </c>
      <c r="D11" s="2904"/>
      <c r="E11" s="2575" t="e">
        <f t="shared" ca="1" si="0"/>
        <v>#REF!</v>
      </c>
    </row>
    <row r="12" spans="1:5" ht="15.6">
      <c r="A12" s="2907"/>
      <c r="B12" s="2903" t="e">
        <f t="shared" ca="1" si="1"/>
        <v>#REF!</v>
      </c>
      <c r="C12" s="2902" t="s">
        <v>2949</v>
      </c>
      <c r="D12" s="2904"/>
      <c r="E12" s="2575" t="e">
        <f t="shared" ca="1" si="0"/>
        <v>#REF!</v>
      </c>
    </row>
    <row r="13" spans="1:5" ht="15.6">
      <c r="A13" s="2907"/>
      <c r="B13" s="2903" t="e">
        <f t="shared" ca="1" si="1"/>
        <v>#REF!</v>
      </c>
      <c r="C13" s="2902" t="s">
        <v>2949</v>
      </c>
      <c r="D13" s="2904"/>
      <c r="E13" s="2575"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831" t="s">
        <v>1142</v>
      </c>
      <c r="C1" s="3831"/>
      <c r="D1" s="3831"/>
      <c r="E1" s="3831"/>
      <c r="F1" s="3831"/>
      <c r="G1" s="3827" t="s">
        <v>1143</v>
      </c>
      <c r="H1" s="3827"/>
      <c r="I1" s="3827"/>
      <c r="J1" s="3827"/>
      <c r="K1" s="3827"/>
      <c r="L1" s="3827"/>
      <c r="N1" s="3827" t="s">
        <v>1144</v>
      </c>
      <c r="O1" s="3827"/>
      <c r="P1" s="3827"/>
      <c r="Q1" s="3827"/>
      <c r="R1" s="1445"/>
      <c r="S1" s="3827" t="s">
        <v>1145</v>
      </c>
      <c r="T1" s="3827"/>
      <c r="U1" s="3827"/>
      <c r="V1" s="3827"/>
      <c r="X1" s="3826" t="s">
        <v>1146</v>
      </c>
      <c r="Y1" s="3827"/>
      <c r="Z1" s="3827"/>
      <c r="AA1" s="3827"/>
      <c r="AB1" s="3827"/>
      <c r="AD1" s="3826" t="s">
        <v>1147</v>
      </c>
      <c r="AE1" s="3827"/>
      <c r="AF1" s="3827"/>
      <c r="AG1" s="3827"/>
      <c r="AH1" s="3827"/>
    </row>
    <row r="2" spans="1:34" s="1446" customFormat="1" ht="15" thickBot="1">
      <c r="B2" s="1447" t="s">
        <v>1148</v>
      </c>
      <c r="C2" s="1447" t="s">
        <v>1149</v>
      </c>
      <c r="D2" s="1448" t="s">
        <v>1150</v>
      </c>
      <c r="E2" s="1448" t="s">
        <v>1151</v>
      </c>
      <c r="F2" s="1447" t="s">
        <v>1152</v>
      </c>
      <c r="G2" s="1449"/>
      <c r="H2" s="1450"/>
      <c r="I2" s="1447" t="s">
        <v>1148</v>
      </c>
      <c r="J2" s="1448" t="s">
        <v>1376</v>
      </c>
      <c r="K2" s="1448" t="s">
        <v>751</v>
      </c>
      <c r="L2" s="1447" t="s">
        <v>1152</v>
      </c>
      <c r="N2" s="1447" t="s">
        <v>1148</v>
      </c>
      <c r="O2" s="1448" t="s">
        <v>1376</v>
      </c>
      <c r="P2" s="1448" t="s">
        <v>751</v>
      </c>
      <c r="Q2" s="1447" t="s">
        <v>1152</v>
      </c>
      <c r="R2" s="1451"/>
      <c r="S2" s="1447" t="s">
        <v>1148</v>
      </c>
      <c r="T2" s="1448" t="s">
        <v>1376</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8" customFormat="1" ht="14.4">
      <c r="A3" s="2927" t="s">
        <v>2991</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2" customFormat="1" ht="14.4">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3008</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7">
        <v>2019</v>
      </c>
      <c r="H5" s="1729">
        <v>3</v>
      </c>
      <c r="I5" s="2914">
        <v>0</v>
      </c>
      <c r="J5" s="2914">
        <v>0</v>
      </c>
      <c r="K5" s="2914">
        <v>0</v>
      </c>
      <c r="L5" s="2914">
        <v>0</v>
      </c>
      <c r="N5" s="1466">
        <f>I5/100</f>
        <v>0</v>
      </c>
      <c r="O5" s="1466">
        <f t="shared" ref="O5" si="7">J5/100</f>
        <v>0</v>
      </c>
      <c r="P5" s="1466">
        <f t="shared" ref="P5" si="8">K5/100</f>
        <v>0</v>
      </c>
      <c r="Q5" s="1466">
        <f t="shared" ref="Q5" si="9">L5/100</f>
        <v>0</v>
      </c>
      <c r="R5" s="1731"/>
      <c r="S5" s="1732"/>
      <c r="T5" s="1731"/>
      <c r="U5" s="1731"/>
      <c r="V5" s="1731"/>
      <c r="W5" s="2917" t="s">
        <v>2992</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3007</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7">
        <v>2019</v>
      </c>
      <c r="H6" s="1461">
        <v>2</v>
      </c>
      <c r="I6" s="2951">
        <v>1.53</v>
      </c>
      <c r="J6" s="2951">
        <v>1.01</v>
      </c>
      <c r="K6" s="2951">
        <v>1.62</v>
      </c>
      <c r="L6" s="2952">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3004</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31">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3009</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829">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2998</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829"/>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2997</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829"/>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2990</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836"/>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2987</v>
      </c>
      <c r="B12" s="1468">
        <v>439</v>
      </c>
      <c r="C12" s="1468">
        <v>327</v>
      </c>
      <c r="D12" s="1468">
        <f>C12</f>
        <v>327</v>
      </c>
      <c r="E12" s="1468">
        <v>627</v>
      </c>
      <c r="F12" s="1469">
        <v>283</v>
      </c>
      <c r="G12" s="3832">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2988</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829"/>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1377</v>
      </c>
      <c r="B14" s="1476">
        <f t="shared" si="83"/>
        <v>419.31181600000002</v>
      </c>
      <c r="C14" s="1476">
        <f t="shared" si="84"/>
        <v>313.95436800000004</v>
      </c>
      <c r="D14" s="1476">
        <f t="shared" si="85"/>
        <v>313.95436800000004</v>
      </c>
      <c r="E14" s="1476">
        <f t="shared" si="86"/>
        <v>596.63028431999999</v>
      </c>
      <c r="F14" s="1476">
        <f t="shared" si="87"/>
        <v>274.74220703999998</v>
      </c>
      <c r="G14" s="3829"/>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1153</v>
      </c>
      <c r="B15" s="1476">
        <f>B16*(1+N15)</f>
        <v>405.524</v>
      </c>
      <c r="C15" s="1476">
        <f>C16*(1+O15)</f>
        <v>307.79840000000002</v>
      </c>
      <c r="D15" s="1476">
        <f>C15</f>
        <v>307.79840000000002</v>
      </c>
      <c r="E15" s="1476">
        <f>E16*(1+P15)</f>
        <v>574.67759999999998</v>
      </c>
      <c r="F15" s="1476">
        <f>F16*(1+Q15)</f>
        <v>270.20280000000002</v>
      </c>
      <c r="G15" s="3836"/>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832">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829"/>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829"/>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830"/>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828">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829"/>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829"/>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830"/>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828">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829"/>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829"/>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830"/>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1154</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1155</v>
      </c>
      <c r="B28" s="1468">
        <v>299</v>
      </c>
      <c r="C28" s="1468">
        <v>252</v>
      </c>
      <c r="D28" s="1468">
        <f t="shared" si="97"/>
        <v>252</v>
      </c>
      <c r="E28" s="1468">
        <v>409</v>
      </c>
      <c r="F28" s="1469">
        <v>227</v>
      </c>
      <c r="G28" s="3833">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1156</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834"/>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1157</v>
      </c>
      <c r="B30" s="1476">
        <f t="shared" si="106"/>
        <v>288.2649053828776</v>
      </c>
      <c r="C30" s="1476">
        <f t="shared" si="106"/>
        <v>243.64564425013293</v>
      </c>
      <c r="D30" s="1476">
        <f t="shared" si="97"/>
        <v>243.64564425013293</v>
      </c>
      <c r="E30" s="1476">
        <f t="shared" si="107"/>
        <v>393.31080825986544</v>
      </c>
      <c r="F30" s="1476">
        <f t="shared" si="107"/>
        <v>223.07903790551154</v>
      </c>
      <c r="G30" s="3834"/>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1158</v>
      </c>
      <c r="B31" s="1476">
        <f t="shared" si="106"/>
        <v>282.50186729015837</v>
      </c>
      <c r="C31" s="1476">
        <f t="shared" si="106"/>
        <v>238.09796174155468</v>
      </c>
      <c r="D31" s="1476">
        <f t="shared" si="97"/>
        <v>238.09796174155468</v>
      </c>
      <c r="E31" s="1476">
        <f t="shared" si="107"/>
        <v>385.33438646014054</v>
      </c>
      <c r="F31" s="1476">
        <f t="shared" si="107"/>
        <v>221.55034055567739</v>
      </c>
      <c r="G31" s="3835"/>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1159</v>
      </c>
      <c r="B32" s="1510">
        <v>278</v>
      </c>
      <c r="C32" s="1510">
        <v>234</v>
      </c>
      <c r="D32" s="1510">
        <f t="shared" si="97"/>
        <v>234</v>
      </c>
      <c r="E32" s="1510">
        <v>379</v>
      </c>
      <c r="F32" s="1511">
        <v>220</v>
      </c>
      <c r="G32" s="3828">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1160</v>
      </c>
      <c r="B33" s="1476">
        <f>B32/(1+N32)</f>
        <v>275.49301357645425</v>
      </c>
      <c r="C33" s="1476">
        <f>C32/(1+O32)</f>
        <v>232.41954707985698</v>
      </c>
      <c r="D33" s="1476">
        <f t="shared" si="97"/>
        <v>232.41954707985698</v>
      </c>
      <c r="E33" s="1476">
        <f t="shared" ref="E33:F35" si="108">E32/(1+P32)</f>
        <v>375.32184591008121</v>
      </c>
      <c r="F33" s="1476">
        <f t="shared" si="108"/>
        <v>218.03766105054513</v>
      </c>
      <c r="G33" s="3829"/>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1161</v>
      </c>
      <c r="B34" s="1476">
        <f>B33/(1+N33)</f>
        <v>275.24529281292263</v>
      </c>
      <c r="C34" s="1476">
        <f>C33/(1+O33)</f>
        <v>231.74747938962707</v>
      </c>
      <c r="D34" s="1476">
        <f t="shared" si="97"/>
        <v>231.74747938962707</v>
      </c>
      <c r="E34" s="1476">
        <f t="shared" si="108"/>
        <v>375.35938184826603</v>
      </c>
      <c r="F34" s="1476">
        <f t="shared" si="108"/>
        <v>216.78033510692495</v>
      </c>
      <c r="G34" s="3829"/>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1162</v>
      </c>
      <c r="B35" s="1476">
        <f>B34/(1+N34)</f>
        <v>275.19025476197027</v>
      </c>
      <c r="C35" s="1512">
        <v>232</v>
      </c>
      <c r="D35" s="1512">
        <f t="shared" si="97"/>
        <v>232</v>
      </c>
      <c r="E35" s="1476">
        <f t="shared" si="108"/>
        <v>375.65990977608692</v>
      </c>
      <c r="F35" s="1476">
        <f t="shared" si="108"/>
        <v>214.12518283971252</v>
      </c>
      <c r="G35" s="3830"/>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1163</v>
      </c>
      <c r="B36" s="1468">
        <v>275</v>
      </c>
      <c r="C36" s="1468">
        <v>232</v>
      </c>
      <c r="D36" s="1468">
        <f t="shared" si="97"/>
        <v>232</v>
      </c>
      <c r="E36" s="1468">
        <v>376</v>
      </c>
      <c r="F36" s="1469">
        <v>213</v>
      </c>
      <c r="G36" s="3828">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1164</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829">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1165</v>
      </c>
      <c r="B38" s="1476">
        <f t="shared" si="109"/>
        <v>275.19335084830601</v>
      </c>
      <c r="C38" s="1476">
        <f t="shared" si="109"/>
        <v>230.18088050139744</v>
      </c>
      <c r="D38" s="1476">
        <f t="shared" si="97"/>
        <v>230.18088050139744</v>
      </c>
      <c r="E38" s="1476">
        <f t="shared" si="110"/>
        <v>377.58482925212331</v>
      </c>
      <c r="F38" s="1476">
        <f t="shared" si="110"/>
        <v>210.90687997847917</v>
      </c>
      <c r="G38" s="3829">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1166</v>
      </c>
      <c r="B39" s="1476">
        <f t="shared" si="109"/>
        <v>276.29854502841971</v>
      </c>
      <c r="C39" s="1476">
        <f t="shared" si="109"/>
        <v>229.79023709833027</v>
      </c>
      <c r="D39" s="1476">
        <f t="shared" si="97"/>
        <v>229.79023709833027</v>
      </c>
      <c r="E39" s="1476">
        <f t="shared" si="110"/>
        <v>379.78759731655936</v>
      </c>
      <c r="F39" s="1476">
        <f t="shared" si="110"/>
        <v>211.32953905659235</v>
      </c>
      <c r="G39" s="3830">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1167</v>
      </c>
      <c r="B40" s="1468">
        <v>269</v>
      </c>
      <c r="C40" s="1468">
        <v>221</v>
      </c>
      <c r="D40" s="1468">
        <f t="shared" si="97"/>
        <v>221</v>
      </c>
      <c r="E40" s="1468">
        <v>373</v>
      </c>
      <c r="F40" s="1469">
        <v>196</v>
      </c>
      <c r="G40" s="3828">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1168</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829">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1169</v>
      </c>
      <c r="B42" s="1476">
        <f t="shared" si="111"/>
        <v>242.95398227588385</v>
      </c>
      <c r="C42" s="1476">
        <f t="shared" si="111"/>
        <v>199.59137053614126</v>
      </c>
      <c r="D42" s="1476">
        <f t="shared" si="97"/>
        <v>199.59137053614126</v>
      </c>
      <c r="E42" s="1476">
        <f t="shared" si="112"/>
        <v>335.92189522342125</v>
      </c>
      <c r="F42" s="1476">
        <f t="shared" si="112"/>
        <v>183.10139991109489</v>
      </c>
      <c r="G42" s="3829">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1170</v>
      </c>
      <c r="B43" s="1476">
        <f t="shared" si="111"/>
        <v>232.06990378821649</v>
      </c>
      <c r="C43" s="1476">
        <f t="shared" si="111"/>
        <v>192.74878854286936</v>
      </c>
      <c r="D43" s="1476">
        <f t="shared" si="97"/>
        <v>192.74878854286936</v>
      </c>
      <c r="E43" s="1476">
        <f t="shared" si="112"/>
        <v>319.71247284992984</v>
      </c>
      <c r="F43" s="1476">
        <f t="shared" si="112"/>
        <v>175.67053622862409</v>
      </c>
      <c r="G43" s="3830">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1171</v>
      </c>
      <c r="B44" s="1468">
        <v>220</v>
      </c>
      <c r="C44" s="1468">
        <v>187</v>
      </c>
      <c r="D44" s="1468">
        <f t="shared" si="97"/>
        <v>187</v>
      </c>
      <c r="E44" s="1468">
        <v>301</v>
      </c>
      <c r="F44" s="1469">
        <v>168</v>
      </c>
      <c r="G44" s="3828">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1172</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829">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1173</v>
      </c>
      <c r="B46" s="1476">
        <f t="shared" si="113"/>
        <v>210.630522469011</v>
      </c>
      <c r="C46" s="1476">
        <f t="shared" si="113"/>
        <v>181.69567812247232</v>
      </c>
      <c r="D46" s="1476">
        <f t="shared" si="97"/>
        <v>181.69567812247232</v>
      </c>
      <c r="E46" s="1476">
        <f t="shared" si="114"/>
        <v>286.13517466736738</v>
      </c>
      <c r="F46" s="1476">
        <f t="shared" si="114"/>
        <v>165.47535084591149</v>
      </c>
      <c r="G46" s="3829">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1174</v>
      </c>
      <c r="B47" s="1476">
        <f t="shared" si="113"/>
        <v>208.83454537875372</v>
      </c>
      <c r="C47" s="1476">
        <f t="shared" si="113"/>
        <v>183.77230517090351</v>
      </c>
      <c r="D47" s="1476">
        <f t="shared" si="97"/>
        <v>183.77230517090351</v>
      </c>
      <c r="E47" s="1476">
        <f t="shared" si="114"/>
        <v>281.10342338870947</v>
      </c>
      <c r="F47" s="1476">
        <f t="shared" si="114"/>
        <v>168.97309388942256</v>
      </c>
      <c r="G47" s="3830">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1175</v>
      </c>
      <c r="B48" s="1510">
        <v>214</v>
      </c>
      <c r="C48" s="1510">
        <v>188</v>
      </c>
      <c r="D48" s="1510">
        <f t="shared" si="97"/>
        <v>188</v>
      </c>
      <c r="E48" s="1510">
        <v>289</v>
      </c>
      <c r="F48" s="1511">
        <v>166</v>
      </c>
      <c r="G48" s="3828">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1176</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829">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1177</v>
      </c>
      <c r="B50" s="1476">
        <f t="shared" si="115"/>
        <v>206.31694671589116</v>
      </c>
      <c r="C50" s="1476">
        <f t="shared" si="115"/>
        <v>183.61041121036101</v>
      </c>
      <c r="D50" s="1476">
        <f t="shared" si="97"/>
        <v>183.61041121036101</v>
      </c>
      <c r="E50" s="1476">
        <f t="shared" si="116"/>
        <v>276.66850301795557</v>
      </c>
      <c r="F50" s="1476">
        <f t="shared" si="116"/>
        <v>165.1360938278614</v>
      </c>
      <c r="G50" s="3829">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1178</v>
      </c>
      <c r="B51" s="1513">
        <f t="shared" si="115"/>
        <v>196.62341248059772</v>
      </c>
      <c r="C51" s="1513">
        <f t="shared" si="115"/>
        <v>170.99125648199012</v>
      </c>
      <c r="D51" s="1513">
        <f t="shared" si="97"/>
        <v>170.99125648199012</v>
      </c>
      <c r="E51" s="1513">
        <f t="shared" si="116"/>
        <v>266.07857570490052</v>
      </c>
      <c r="F51" s="1513">
        <f t="shared" si="116"/>
        <v>154.53499328828505</v>
      </c>
      <c r="G51" s="3830">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1179</v>
      </c>
      <c r="B52" s="1468">
        <v>188</v>
      </c>
      <c r="C52" s="1468">
        <v>165</v>
      </c>
      <c r="D52" s="1468">
        <f t="shared" si="97"/>
        <v>165</v>
      </c>
      <c r="E52" s="1468">
        <v>254</v>
      </c>
      <c r="F52" s="1469">
        <v>148</v>
      </c>
      <c r="G52" s="3828">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1180</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829">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1181</v>
      </c>
      <c r="B54" s="1476">
        <f t="shared" si="119"/>
        <v>168.82017748715555</v>
      </c>
      <c r="C54" s="1476">
        <f t="shared" si="119"/>
        <v>148.06267029972753</v>
      </c>
      <c r="D54" s="1476">
        <f t="shared" si="97"/>
        <v>148.06267029972753</v>
      </c>
      <c r="E54" s="1476">
        <f t="shared" si="120"/>
        <v>216.46288379323747</v>
      </c>
      <c r="F54" s="1476">
        <f t="shared" si="120"/>
        <v>134.23529411764704</v>
      </c>
      <c r="G54" s="3829">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1182</v>
      </c>
      <c r="B55" s="1476">
        <f t="shared" si="119"/>
        <v>163.84913591779542</v>
      </c>
      <c r="C55" s="1476">
        <f t="shared" si="119"/>
        <v>145.0283378746594</v>
      </c>
      <c r="D55" s="1476">
        <f t="shared" si="97"/>
        <v>145.0283378746594</v>
      </c>
      <c r="E55" s="1476">
        <f t="shared" si="120"/>
        <v>204.95180722891567</v>
      </c>
      <c r="F55" s="1476">
        <f t="shared" si="120"/>
        <v>125.95920303605313</v>
      </c>
      <c r="G55" s="3830">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1183</v>
      </c>
      <c r="B56" s="1489">
        <v>159</v>
      </c>
      <c r="C56" s="1489">
        <v>141</v>
      </c>
      <c r="D56" s="1489">
        <f t="shared" si="97"/>
        <v>141</v>
      </c>
      <c r="E56" s="1489">
        <v>195</v>
      </c>
      <c r="F56" s="1490">
        <v>122</v>
      </c>
      <c r="G56" s="3828">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1184</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829">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1185</v>
      </c>
      <c r="B58" s="1476">
        <f t="shared" si="123"/>
        <v>146.57412060301507</v>
      </c>
      <c r="C58" s="1476">
        <f t="shared" si="123"/>
        <v>136.46831955922866</v>
      </c>
      <c r="D58" s="1476">
        <f t="shared" si="97"/>
        <v>136.46831955922866</v>
      </c>
      <c r="E58" s="1476">
        <f t="shared" si="124"/>
        <v>166.73864894795128</v>
      </c>
      <c r="F58" s="1476">
        <f t="shared" si="124"/>
        <v>115.05882352941177</v>
      </c>
      <c r="G58" s="3829">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1186</v>
      </c>
      <c r="B59" s="1476">
        <f t="shared" si="123"/>
        <v>144.04145728643215</v>
      </c>
      <c r="C59" s="1476">
        <f t="shared" si="123"/>
        <v>136.12396694214877</v>
      </c>
      <c r="D59" s="1476">
        <f t="shared" si="97"/>
        <v>136.12396694214877</v>
      </c>
      <c r="E59" s="1476">
        <f t="shared" si="124"/>
        <v>158.32225913621264</v>
      </c>
      <c r="F59" s="1476">
        <f t="shared" si="124"/>
        <v>114.04278074866311</v>
      </c>
      <c r="G59" s="3830">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1187</v>
      </c>
      <c r="B60" s="1489">
        <v>138</v>
      </c>
      <c r="C60" s="1489">
        <v>131</v>
      </c>
      <c r="D60" s="1489">
        <f t="shared" si="97"/>
        <v>131</v>
      </c>
      <c r="E60" s="1489">
        <v>155</v>
      </c>
      <c r="F60" s="1490">
        <v>114</v>
      </c>
      <c r="G60" s="3828">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1188</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829">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1189</v>
      </c>
      <c r="B62" s="1476">
        <f t="shared" si="127"/>
        <v>124.29032258064517</v>
      </c>
      <c r="C62" s="1476">
        <f t="shared" si="127"/>
        <v>123.8968609865471</v>
      </c>
      <c r="D62" s="1476">
        <f t="shared" si="97"/>
        <v>123.8968609865471</v>
      </c>
      <c r="E62" s="1476">
        <f t="shared" si="128"/>
        <v>138.00507614213197</v>
      </c>
      <c r="F62" s="1476">
        <f t="shared" si="128"/>
        <v>107.96106557377048</v>
      </c>
      <c r="G62" s="3829">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1190</v>
      </c>
      <c r="B63" s="1476">
        <f t="shared" si="127"/>
        <v>122.57204301075269</v>
      </c>
      <c r="C63" s="1476">
        <f t="shared" si="127"/>
        <v>123.4932735426009</v>
      </c>
      <c r="D63" s="1476">
        <f t="shared" si="97"/>
        <v>123.4932735426009</v>
      </c>
      <c r="E63" s="1476">
        <f t="shared" si="128"/>
        <v>129.82233502538071</v>
      </c>
      <c r="F63" s="1476">
        <f t="shared" si="128"/>
        <v>107.39446721311475</v>
      </c>
      <c r="G63" s="3830">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1191</v>
      </c>
      <c r="B64" s="1510">
        <v>121</v>
      </c>
      <c r="C64" s="1510">
        <v>122</v>
      </c>
      <c r="D64" s="1510">
        <f t="shared" si="97"/>
        <v>122</v>
      </c>
      <c r="E64" s="1510">
        <v>124</v>
      </c>
      <c r="F64" s="1511">
        <v>107</v>
      </c>
      <c r="G64" s="3828">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1192</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829">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1193</v>
      </c>
      <c r="B66" s="1476">
        <f t="shared" si="131"/>
        <v>116.99099099099099</v>
      </c>
      <c r="C66" s="1476">
        <f t="shared" si="131"/>
        <v>118.84848484848486</v>
      </c>
      <c r="D66" s="1476">
        <f t="shared" si="97"/>
        <v>118.84848484848486</v>
      </c>
      <c r="E66" s="1476">
        <f t="shared" si="132"/>
        <v>117.60960960960961</v>
      </c>
      <c r="F66" s="1476">
        <f t="shared" si="132"/>
        <v>104</v>
      </c>
      <c r="G66" s="3829">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1194</v>
      </c>
      <c r="B67" s="1513">
        <f t="shared" si="131"/>
        <v>112.48648648648648</v>
      </c>
      <c r="C67" s="1513">
        <f t="shared" si="131"/>
        <v>115.21212121212122</v>
      </c>
      <c r="D67" s="1513">
        <f t="shared" si="97"/>
        <v>115.21212121212122</v>
      </c>
      <c r="E67" s="1513">
        <f t="shared" si="132"/>
        <v>110.4024024024024</v>
      </c>
      <c r="F67" s="1513">
        <f t="shared" si="132"/>
        <v>104</v>
      </c>
      <c r="G67" s="3830">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1195</v>
      </c>
      <c r="B68" s="1531">
        <v>111</v>
      </c>
      <c r="C68" s="1531">
        <v>114</v>
      </c>
      <c r="D68" s="1531">
        <f t="shared" si="97"/>
        <v>114</v>
      </c>
      <c r="E68" s="1531">
        <v>108</v>
      </c>
      <c r="F68" s="1532">
        <v>104</v>
      </c>
      <c r="G68" s="3828">
        <v>2003</v>
      </c>
      <c r="H68" s="1521">
        <v>4</v>
      </c>
      <c r="I68" s="1533"/>
      <c r="J68" s="1533"/>
      <c r="K68" s="1533"/>
      <c r="L68" s="1533"/>
      <c r="N68" s="1534"/>
      <c r="O68" s="1533"/>
      <c r="P68" s="1533"/>
      <c r="Q68" s="1533"/>
      <c r="S68" s="1534"/>
      <c r="T68" s="1533"/>
      <c r="U68" s="1533"/>
      <c r="V68" s="1533"/>
      <c r="X68" s="1525"/>
      <c r="Y68" s="1525"/>
      <c r="Z68" s="1525"/>
    </row>
    <row r="69" spans="1:26">
      <c r="A69" s="1460" t="s">
        <v>1196</v>
      </c>
      <c r="B69" s="1535">
        <f t="shared" ref="B69:C71" si="133">B70+(B$68-B$72)/4</f>
        <v>109.75</v>
      </c>
      <c r="C69" s="1535">
        <f t="shared" si="133"/>
        <v>112.25</v>
      </c>
      <c r="D69" s="1535">
        <f t="shared" si="97"/>
        <v>112.25</v>
      </c>
      <c r="E69" s="1535">
        <f t="shared" ref="E69:F71" si="134">E70+(E$68-E$72)/4</f>
        <v>107.25</v>
      </c>
      <c r="F69" s="1535">
        <f t="shared" si="134"/>
        <v>103.5</v>
      </c>
      <c r="G69" s="3829">
        <v>2003</v>
      </c>
      <c r="H69" s="1486">
        <v>3</v>
      </c>
      <c r="I69" s="1533"/>
      <c r="J69" s="1533"/>
      <c r="K69" s="1533"/>
      <c r="L69" s="1533"/>
      <c r="X69" s="1525"/>
      <c r="Y69" s="1525"/>
      <c r="Z69" s="1525"/>
    </row>
    <row r="70" spans="1:26">
      <c r="A70" s="1460" t="s">
        <v>1197</v>
      </c>
      <c r="B70" s="1535">
        <f t="shared" si="133"/>
        <v>108.5</v>
      </c>
      <c r="C70" s="1535">
        <f t="shared" si="133"/>
        <v>110.5</v>
      </c>
      <c r="D70" s="1535">
        <f t="shared" si="97"/>
        <v>110.5</v>
      </c>
      <c r="E70" s="1535">
        <f t="shared" si="134"/>
        <v>106.5</v>
      </c>
      <c r="F70" s="1535">
        <f t="shared" si="134"/>
        <v>103</v>
      </c>
      <c r="G70" s="3829">
        <v>2003</v>
      </c>
      <c r="H70" s="1464">
        <v>2</v>
      </c>
      <c r="I70" s="1533"/>
      <c r="J70" s="1533"/>
      <c r="K70" s="1533"/>
      <c r="L70" s="1533"/>
      <c r="X70" s="1525"/>
      <c r="Y70" s="1525"/>
      <c r="Z70" s="1525"/>
    </row>
    <row r="71" spans="1:26" ht="13.8" thickBot="1">
      <c r="A71" s="1460" t="s">
        <v>1198</v>
      </c>
      <c r="B71" s="1535">
        <f t="shared" si="133"/>
        <v>107.25</v>
      </c>
      <c r="C71" s="1535">
        <f t="shared" si="133"/>
        <v>108.75</v>
      </c>
      <c r="D71" s="1535">
        <f t="shared" si="97"/>
        <v>108.75</v>
      </c>
      <c r="E71" s="1535">
        <f t="shared" si="134"/>
        <v>105.75</v>
      </c>
      <c r="F71" s="1535">
        <f t="shared" si="134"/>
        <v>102.5</v>
      </c>
      <c r="G71" s="3830">
        <v>2003</v>
      </c>
      <c r="H71" s="1536">
        <v>1</v>
      </c>
      <c r="I71" s="1533"/>
      <c r="J71" s="1533"/>
      <c r="K71" s="1533"/>
      <c r="L71" s="1533"/>
      <c r="S71" s="1471"/>
      <c r="T71" s="1472"/>
      <c r="U71" s="1472"/>
      <c r="X71" s="1525"/>
      <c r="Y71" s="1525"/>
      <c r="Z71" s="1525"/>
    </row>
    <row r="72" spans="1:26" ht="13.8" thickBot="1">
      <c r="A72" s="1460" t="s">
        <v>1199</v>
      </c>
      <c r="B72" s="1537">
        <v>106</v>
      </c>
      <c r="C72" s="1537">
        <v>107</v>
      </c>
      <c r="D72" s="1537">
        <f t="shared" si="97"/>
        <v>107</v>
      </c>
      <c r="E72" s="1537">
        <v>105</v>
      </c>
      <c r="F72" s="1538">
        <v>102</v>
      </c>
      <c r="G72" s="3828">
        <v>2002</v>
      </c>
      <c r="H72" s="1481">
        <v>4</v>
      </c>
      <c r="I72" s="1533"/>
      <c r="J72" s="1533"/>
      <c r="K72" s="1533"/>
      <c r="L72" s="1533"/>
      <c r="N72" s="1534"/>
      <c r="O72" s="1533"/>
      <c r="P72" s="1533"/>
      <c r="Q72" s="1533"/>
      <c r="S72" s="1534"/>
      <c r="T72" s="1533"/>
      <c r="U72" s="1533"/>
      <c r="V72" s="1533"/>
      <c r="X72" s="1525"/>
      <c r="Y72" s="1525"/>
      <c r="Z72" s="1525"/>
    </row>
    <row r="73" spans="1:26">
      <c r="A73" s="1460" t="s">
        <v>1200</v>
      </c>
      <c r="B73" s="1535">
        <f t="shared" ref="B73:C75" si="135">B74+(B$72-B$76)/4</f>
        <v>105</v>
      </c>
      <c r="C73" s="1535">
        <f t="shared" si="135"/>
        <v>106</v>
      </c>
      <c r="D73" s="1535">
        <f t="shared" si="97"/>
        <v>106</v>
      </c>
      <c r="E73" s="1535">
        <f t="shared" ref="E73:F75" si="136">E74+(E$72-E$76)/4</f>
        <v>104.5</v>
      </c>
      <c r="F73" s="1535">
        <f t="shared" si="136"/>
        <v>101.5</v>
      </c>
      <c r="G73" s="3829">
        <v>2002</v>
      </c>
      <c r="H73" s="1486">
        <v>3</v>
      </c>
      <c r="I73" s="1533"/>
      <c r="J73" s="1533"/>
      <c r="K73" s="1533"/>
      <c r="L73" s="1533"/>
      <c r="X73" s="1525"/>
      <c r="Y73" s="1525"/>
      <c r="Z73" s="1525"/>
    </row>
    <row r="74" spans="1:26">
      <c r="A74" s="1460" t="s">
        <v>1201</v>
      </c>
      <c r="B74" s="1535">
        <f t="shared" si="135"/>
        <v>104</v>
      </c>
      <c r="C74" s="1535">
        <f t="shared" si="135"/>
        <v>105</v>
      </c>
      <c r="D74" s="1535">
        <f t="shared" si="97"/>
        <v>105</v>
      </c>
      <c r="E74" s="1535">
        <f t="shared" si="136"/>
        <v>104</v>
      </c>
      <c r="F74" s="1535">
        <f t="shared" si="136"/>
        <v>101</v>
      </c>
      <c r="G74" s="3829">
        <v>2002</v>
      </c>
      <c r="H74" s="1464">
        <v>2</v>
      </c>
      <c r="I74" s="1533"/>
      <c r="J74" s="1533"/>
      <c r="K74" s="1533"/>
      <c r="L74" s="1533"/>
      <c r="X74" s="1525"/>
      <c r="Y74" s="1525"/>
      <c r="Z74" s="1525"/>
    </row>
    <row r="75" spans="1:26" s="1497" customFormat="1" ht="13.8" thickBot="1">
      <c r="A75" s="1493" t="s">
        <v>1202</v>
      </c>
      <c r="B75" s="1539">
        <f t="shared" si="135"/>
        <v>103</v>
      </c>
      <c r="C75" s="1539">
        <f t="shared" si="135"/>
        <v>104</v>
      </c>
      <c r="D75" s="1539">
        <f t="shared" si="97"/>
        <v>104</v>
      </c>
      <c r="E75" s="1539">
        <f t="shared" si="136"/>
        <v>103.5</v>
      </c>
      <c r="F75" s="1539">
        <f t="shared" si="136"/>
        <v>100.5</v>
      </c>
      <c r="G75" s="3830">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1203</v>
      </c>
      <c r="G78" s="1549"/>
      <c r="N78" s="1549"/>
      <c r="S78" s="1549"/>
    </row>
    <row r="79" spans="1:26" s="1548" customFormat="1">
      <c r="A79" s="1548" t="s">
        <v>1204</v>
      </c>
      <c r="G79" s="1549"/>
      <c r="N79" s="1549"/>
      <c r="S79" s="1549"/>
    </row>
    <row r="80" spans="1:26" s="1548" customFormat="1">
      <c r="A80" s="1548" t="s">
        <v>1205</v>
      </c>
      <c r="G80" s="1549"/>
      <c r="I80" s="1550"/>
      <c r="J80" s="1550"/>
      <c r="K80" s="1550"/>
      <c r="L80" s="1550"/>
      <c r="N80" s="1551"/>
      <c r="O80" s="1550"/>
      <c r="P80" s="1550"/>
      <c r="Q80" s="1550"/>
      <c r="S80" s="1551"/>
      <c r="T80" s="1550"/>
      <c r="U80" s="1550"/>
      <c r="V80" s="1550"/>
    </row>
    <row r="81" spans="1:22" s="1548" customFormat="1">
      <c r="A81" s="1548" t="s">
        <v>1206</v>
      </c>
      <c r="G81" s="1549"/>
      <c r="N81" s="1549"/>
      <c r="S81" s="1549"/>
    </row>
    <row r="88" spans="1:22" ht="13.8" thickBot="1"/>
    <row r="89" spans="1:22">
      <c r="G89" s="1470"/>
      <c r="S89" s="1552" t="s">
        <v>1207</v>
      </c>
      <c r="T89" s="1553" t="s">
        <v>1208</v>
      </c>
      <c r="U89" s="1553" t="s">
        <v>1209</v>
      </c>
      <c r="V89" s="1553" t="s">
        <v>1210</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2958</v>
      </c>
      <c r="C1" s="3838" t="s">
        <v>2959</v>
      </c>
      <c r="D1" s="3839"/>
      <c r="E1" s="3839"/>
      <c r="F1" s="3839"/>
      <c r="G1" s="3839"/>
      <c r="H1" s="3839"/>
      <c r="I1" s="3839"/>
      <c r="J1" s="3839"/>
      <c r="K1" s="3839"/>
      <c r="L1" s="3839"/>
      <c r="M1" s="3839"/>
      <c r="N1" s="3839"/>
      <c r="O1" s="3839"/>
      <c r="P1" s="3839"/>
      <c r="Q1" s="3839"/>
      <c r="R1" s="3839"/>
      <c r="S1" s="3840"/>
      <c r="T1" s="1203" t="s">
        <v>2960</v>
      </c>
    </row>
    <row r="2" spans="1:45" s="707" customFormat="1">
      <c r="A2" s="1204"/>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2962</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2963</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2964</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2965</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2966</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2967</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2968</v>
      </c>
      <c r="B17" s="2909" t="s">
        <v>2969</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2970</v>
      </c>
      <c r="E19" s="1791"/>
      <c r="F19" s="1791"/>
      <c r="G19" s="1791"/>
      <c r="H19" s="1279"/>
      <c r="I19" s="168"/>
      <c r="J19" s="168"/>
      <c r="K19" s="168"/>
      <c r="L19" s="168"/>
      <c r="M19" s="168"/>
      <c r="N19" s="168"/>
      <c r="O19" s="168"/>
      <c r="P19" s="168"/>
      <c r="Q19" s="168"/>
      <c r="R19" s="788"/>
      <c r="S19" s="138"/>
    </row>
    <row r="20" spans="1:45" ht="16.2" thickBot="1">
      <c r="A20" s="715" t="s">
        <v>2971</v>
      </c>
      <c r="B20" s="338" t="e">
        <f ca="1">IF(D20="——",S22,S22-F20)</f>
        <v>#REF!</v>
      </c>
      <c r="C20" s="168"/>
      <c r="D20" s="2911" t="s">
        <v>2972</v>
      </c>
      <c r="E20" s="1792"/>
      <c r="F20" s="1203" t="e">
        <f ca="1">SUMIF(INDIRECT("'"&amp;H20&amp;"'"&amp;"!A:A"),"承租人权益价值",INDIRECT("'"&amp;H20&amp;"'"&amp;"!c:c"))</f>
        <v>#REF!</v>
      </c>
      <c r="G20" s="1203" t="s">
        <v>2973</v>
      </c>
      <c r="H20" s="2912"/>
      <c r="I20" s="168"/>
      <c r="J20" s="168"/>
      <c r="K20" s="168"/>
      <c r="L20" s="168"/>
      <c r="M20" s="168"/>
      <c r="N20" s="168"/>
      <c r="O20" s="168"/>
      <c r="P20" s="168"/>
      <c r="Q20" s="168"/>
      <c r="R20" s="788"/>
      <c r="S20" s="138"/>
    </row>
    <row r="21" spans="1:45" ht="15.6">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573" t="s">
        <v>33</v>
      </c>
      <c r="D22" s="3574"/>
      <c r="E22" s="3574"/>
      <c r="F22" s="3574"/>
      <c r="G22" s="3574"/>
      <c r="H22" s="3574"/>
      <c r="I22" s="3574"/>
      <c r="J22" s="3574"/>
      <c r="K22" s="3574"/>
      <c r="L22" s="3574"/>
      <c r="M22" s="3574"/>
      <c r="N22" s="3574"/>
      <c r="O22" s="3574"/>
      <c r="P22" s="3574"/>
      <c r="Q22" s="3837"/>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30503</v>
      </c>
      <c r="C2" s="2" t="s">
        <v>133</v>
      </c>
      <c r="D2" s="243"/>
      <c r="E2" s="243"/>
      <c r="F2" s="243"/>
      <c r="G2" s="243"/>
    </row>
    <row r="3" spans="1:7" s="244" customFormat="1" ht="18" customHeight="1" thickBot="1">
      <c r="A3" s="247" t="s">
        <v>85</v>
      </c>
      <c r="B3" s="248">
        <f ca="1">ROUND(B2*10000/'数据-汇总表'!E3,0)</f>
        <v>4030</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810</v>
      </c>
      <c r="D7" s="264"/>
      <c r="E7" s="262"/>
      <c r="F7" s="265">
        <f>'数据-取费表'!B48+'数据-取费表'!B49</f>
        <v>4.0500000000000001E-2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277</v>
      </c>
      <c r="D9" s="1031">
        <f>'数据-汇总表'!E5</f>
        <v>37528.670000000006</v>
      </c>
      <c r="E9" s="269">
        <f>'数据-取费表'!B27</f>
        <v>73.7</v>
      </c>
      <c r="F9" s="265"/>
      <c r="G9" s="270"/>
    </row>
    <row r="10" spans="1:7" s="258" customFormat="1" ht="13.5" customHeight="1">
      <c r="A10" s="949" t="s">
        <v>800</v>
      </c>
      <c r="B10" s="268" t="s">
        <v>94</v>
      </c>
      <c r="C10" s="269">
        <f>ROUND(D10*E10/10000,0)</f>
        <v>237</v>
      </c>
      <c r="D10" s="1031">
        <f>'数据-汇总表'!E6</f>
        <v>38153.01</v>
      </c>
      <c r="E10" s="269">
        <f>'数据-取费表'!B28</f>
        <v>62</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0</v>
      </c>
      <c r="D19" s="1035">
        <f>'数据-汇总表'!E3</f>
        <v>75681.680000000008</v>
      </c>
      <c r="E19" s="255">
        <f>'数据-取费表'!B31</f>
        <v>0</v>
      </c>
      <c r="F19" s="275"/>
      <c r="G19" s="1" t="s">
        <v>1070</v>
      </c>
    </row>
    <row r="20" spans="1:7" s="258" customFormat="1" ht="13.5" customHeight="1">
      <c r="A20" s="947" t="s">
        <v>1053</v>
      </c>
      <c r="B20" s="254" t="s">
        <v>104</v>
      </c>
      <c r="C20" s="276">
        <f>ROUND((C5+C19)*F20,0)</f>
        <v>416</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594</v>
      </c>
      <c r="D22" s="279">
        <f ca="1">C26</f>
        <v>2.9999999999999997E-4</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588</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0" t="s">
        <v>792</v>
      </c>
      <c r="B25" s="259" t="s">
        <v>1054</v>
      </c>
      <c r="C25" s="1354">
        <f ca="1">ROUND(IF('数据-取费表'!B22&lt;=1,C20*F22*'数据-取费表'!B23/2,C20*(POWER((1+F22),'数据-取费表'!B23/2)-1)),0)</f>
        <v>6</v>
      </c>
      <c r="D25" s="282"/>
      <c r="E25" s="285"/>
      <c r="F25" s="283"/>
      <c r="G25" s="286" t="s">
        <v>110</v>
      </c>
    </row>
    <row r="26" spans="1:7" s="258" customFormat="1">
      <c r="A26" s="950" t="s">
        <v>794</v>
      </c>
      <c r="B26" s="259" t="s">
        <v>1056</v>
      </c>
      <c r="C26" s="282">
        <f ca="1">ROUND(IF('数据-取费表'!B22&lt;=1,F21*F22*'数据-取费表'!B23/2,F21*(POWER((1+F22),'数据-取费表'!B23/2)-1)),4)</f>
        <v>2.9999999999999997E-4</v>
      </c>
      <c r="D26" s="282"/>
      <c r="E26" s="285"/>
      <c r="F26" s="283"/>
      <c r="G26" s="287"/>
    </row>
    <row r="27" spans="1:7" s="258" customFormat="1" ht="26.4">
      <c r="A27" s="947" t="s">
        <v>786</v>
      </c>
      <c r="B27" s="288" t="s">
        <v>112</v>
      </c>
      <c r="C27" s="289">
        <f>C28</f>
        <v>700</v>
      </c>
      <c r="D27" s="279">
        <f>C29</f>
        <v>6.9999999999999999E-4</v>
      </c>
      <c r="E27" s="280" t="s">
        <v>126</v>
      </c>
      <c r="F27" s="290">
        <f>'数据-取费表'!Q16</f>
        <v>0.11</v>
      </c>
      <c r="G27" s="291" t="s">
        <v>1065</v>
      </c>
    </row>
    <row r="28" spans="1:7" s="258" customFormat="1" ht="13.5" customHeight="1">
      <c r="A28" s="950" t="s">
        <v>793</v>
      </c>
      <c r="B28" s="292" t="s">
        <v>1058</v>
      </c>
      <c r="C28" s="293">
        <f>ROUND((C5+C19+C20)*F27*'数据-取费表'!B21/'数据-取费表'!B20,0)</f>
        <v>700</v>
      </c>
      <c r="D28" s="279"/>
      <c r="E28" s="280"/>
      <c r="F28" s="290"/>
      <c r="G28" s="291"/>
    </row>
    <row r="29" spans="1:7" s="258" customFormat="1" ht="13.5" customHeight="1">
      <c r="A29" s="950" t="s">
        <v>791</v>
      </c>
      <c r="B29" s="292" t="s">
        <v>1059</v>
      </c>
      <c r="C29" s="282">
        <f>ROUND(C21*F27*'数据-取费表'!B21/'数据-取费表'!B20,4)</f>
        <v>6.9999999999999999E-4</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24303</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5004</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4390</v>
      </c>
      <c r="D34" s="261"/>
      <c r="E34" s="264"/>
      <c r="F34" s="301">
        <f>IF('数据-取费表'!B24=0,1,'数据-取费表'!N16)</f>
        <v>0.28999999999999998</v>
      </c>
      <c r="G34" s="263" t="s">
        <v>116</v>
      </c>
    </row>
    <row r="35" spans="1:7" ht="13.5" customHeight="1">
      <c r="A35" s="950" t="s">
        <v>795</v>
      </c>
      <c r="B35" s="259" t="s">
        <v>60</v>
      </c>
      <c r="C35" s="264">
        <f>ROUND(C34*F35,0)</f>
        <v>132</v>
      </c>
      <c r="D35" s="264"/>
      <c r="E35" s="264"/>
      <c r="F35" s="303">
        <f>'数据-取费表'!B33</f>
        <v>0.03</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87</v>
      </c>
      <c r="D36" s="264"/>
      <c r="E36" s="264"/>
      <c r="F36" s="303">
        <f>'数据-取费表'!B34</f>
        <v>0.04</v>
      </c>
      <c r="G36" s="304" t="s">
        <v>62</v>
      </c>
    </row>
    <row r="37" spans="1:7" s="302" customFormat="1" ht="13.5" customHeight="1">
      <c r="A37" s="950" t="s">
        <v>797</v>
      </c>
      <c r="B37" s="259" t="s">
        <v>118</v>
      </c>
      <c r="C37" s="293">
        <f>ROUND(E37*D37*F34/10000,0)</f>
        <v>329</v>
      </c>
      <c r="D37" s="261">
        <f>'数据-汇总表'!E3</f>
        <v>75681.680000000008</v>
      </c>
      <c r="E37" s="293">
        <f>'数据-取费表'!B35</f>
        <v>150</v>
      </c>
      <c r="F37" s="303"/>
      <c r="G37" s="305" t="s">
        <v>119</v>
      </c>
    </row>
    <row r="38" spans="1:7" ht="13.5" customHeight="1">
      <c r="A38" s="950" t="s">
        <v>798</v>
      </c>
      <c r="B38" s="259" t="s">
        <v>63</v>
      </c>
      <c r="C38" s="264">
        <f>ROUND(C34*F38,0)</f>
        <v>66</v>
      </c>
      <c r="D38" s="264"/>
      <c r="E38" s="264"/>
      <c r="F38" s="303">
        <f>'数据-取费表'!B36</f>
        <v>1.4999999999999999E-2</v>
      </c>
      <c r="G38" s="263" t="s">
        <v>117</v>
      </c>
    </row>
    <row r="39" spans="1:7" s="258" customFormat="1" ht="13.5" customHeight="1">
      <c r="A39" s="947" t="s">
        <v>782</v>
      </c>
      <c r="B39" s="254" t="s">
        <v>104</v>
      </c>
      <c r="C39" s="276">
        <f>ROUND(C33*F20,0)</f>
        <v>100</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71</v>
      </c>
      <c r="D41" s="279">
        <f ca="1">C44</f>
        <v>2.9999999999999997E-4</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70</v>
      </c>
      <c r="D42" s="282"/>
      <c r="E42" s="282"/>
      <c r="F42" s="283"/>
      <c r="G42" s="3658" t="s">
        <v>121</v>
      </c>
    </row>
    <row r="43" spans="1:7" ht="13.5" customHeight="1">
      <c r="A43" s="950" t="s">
        <v>791</v>
      </c>
      <c r="B43" s="259" t="s">
        <v>1060</v>
      </c>
      <c r="C43" s="282">
        <f ca="1">ROUND(IF('数据-取费表'!B22&lt;=1,C39*F22*'数据-取费表'!B21/2,C39*(POWER((1+F22),'数据-取费表'!B21/2)-1)),0)</f>
        <v>1</v>
      </c>
      <c r="D43" s="282"/>
      <c r="E43" s="282"/>
      <c r="F43" s="283"/>
      <c r="G43" s="3659"/>
    </row>
    <row r="44" spans="1:7" ht="13.5" customHeight="1">
      <c r="A44" s="950" t="s">
        <v>792</v>
      </c>
      <c r="B44" s="259" t="s">
        <v>1062</v>
      </c>
      <c r="C44" s="282">
        <f ca="1">ROUND(IF('数据-取费表'!B22&lt;=1,C40*F22*'数据-取费表'!B21/2,C40*(POWER((1+F22),'数据-取费表'!B21/2)-1)),4)</f>
        <v>2.9999999999999997E-4</v>
      </c>
      <c r="D44" s="282"/>
      <c r="E44" s="282"/>
      <c r="F44" s="283"/>
      <c r="G44" s="3660"/>
    </row>
    <row r="45" spans="1:7" s="258" customFormat="1" ht="13.5" customHeight="1">
      <c r="A45" s="947" t="s">
        <v>785</v>
      </c>
      <c r="B45" s="288" t="s">
        <v>112</v>
      </c>
      <c r="C45" s="289">
        <f>C46</f>
        <v>561</v>
      </c>
      <c r="D45" s="279">
        <f>C47</f>
        <v>2.2000000000000001E-3</v>
      </c>
      <c r="E45" s="280" t="s">
        <v>129</v>
      </c>
      <c r="F45" s="290"/>
      <c r="G45" s="291" t="s">
        <v>1068</v>
      </c>
    </row>
    <row r="46" spans="1:7" s="258" customFormat="1" ht="13.5" customHeight="1">
      <c r="A46" s="950" t="s">
        <v>793</v>
      </c>
      <c r="B46" s="292" t="s">
        <v>1061</v>
      </c>
      <c r="C46" s="293">
        <f>ROUND((C33+C39)*F27,0)</f>
        <v>561</v>
      </c>
      <c r="D46" s="307"/>
      <c r="E46" s="280"/>
      <c r="F46" s="290"/>
      <c r="G46" s="291"/>
    </row>
    <row r="47" spans="1:7" s="258" customFormat="1" ht="13.5" customHeight="1">
      <c r="A47" s="950" t="s">
        <v>791</v>
      </c>
      <c r="B47" s="292" t="s">
        <v>1063</v>
      </c>
      <c r="C47" s="282">
        <f>ROUND(C40*F27,4)</f>
        <v>2.2000000000000001E-3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6200</v>
      </c>
      <c r="D49" s="276"/>
      <c r="E49" s="276"/>
      <c r="F49" s="308"/>
      <c r="G49" s="278" t="s">
        <v>1069</v>
      </c>
    </row>
    <row r="50" spans="1:7" s="302" customFormat="1" ht="24">
      <c r="A50" s="947" t="s">
        <v>788</v>
      </c>
      <c r="B50" s="254" t="s">
        <v>124</v>
      </c>
      <c r="C50" s="276"/>
      <c r="D50" s="276"/>
      <c r="E50" s="276"/>
      <c r="F50" s="308">
        <f>IF('数据-取费表'!B24=0,'数据-取费表'!N16,1)</f>
        <v>1</v>
      </c>
      <c r="G50" s="291" t="s">
        <v>125</v>
      </c>
    </row>
    <row r="51" spans="1:7" ht="16.5" customHeight="1">
      <c r="A51" s="947" t="s">
        <v>789</v>
      </c>
      <c r="B51" s="254" t="s">
        <v>132</v>
      </c>
      <c r="C51" s="276">
        <f ca="1">ROUND(C49*F50,0)</f>
        <v>6200</v>
      </c>
      <c r="D51" s="276"/>
      <c r="E51" s="276"/>
      <c r="F51" s="308"/>
      <c r="G51" s="278" t="s">
        <v>64</v>
      </c>
    </row>
    <row r="52" spans="1:7" s="252" customFormat="1" ht="16.8" thickBot="1">
      <c r="A52" s="309" t="s">
        <v>65</v>
      </c>
      <c r="B52" s="310"/>
      <c r="C52" s="311">
        <f ca="1">C31+C51</f>
        <v>30503</v>
      </c>
      <c r="D52" s="310"/>
      <c r="E52" s="310"/>
      <c r="F52" s="310"/>
      <c r="G52" s="312"/>
    </row>
    <row r="55" spans="1:7" ht="15">
      <c r="B55" s="314" t="s">
        <v>66</v>
      </c>
      <c r="C55" s="315"/>
    </row>
    <row r="56" spans="1:7">
      <c r="B56" s="317" t="s">
        <v>67</v>
      </c>
      <c r="C56" s="318">
        <f ca="1">ROUND(C51/C52,3)</f>
        <v>0.20300000000000001</v>
      </c>
    </row>
    <row r="57" spans="1:7">
      <c r="B57" s="317" t="s">
        <v>68</v>
      </c>
      <c r="C57" s="319">
        <f ca="1">1-C56</f>
        <v>0.79699999999999993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841" t="s">
        <v>156</v>
      </c>
      <c r="B1" s="3841"/>
      <c r="C1" s="3841"/>
      <c r="D1" s="3841"/>
      <c r="E1" s="3841"/>
      <c r="F1" s="38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842" t="s">
        <v>169</v>
      </c>
      <c r="B2" s="3842"/>
      <c r="C2" s="3842"/>
      <c r="D2" s="3842"/>
      <c r="E2" s="3842"/>
      <c r="F2" s="38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8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8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841" t="s">
        <v>867</v>
      </c>
      <c r="B1" s="3841"/>
    </row>
    <row r="2" spans="1:6" ht="15" thickBot="1">
      <c r="A2" s="1056"/>
      <c r="B2" s="1056"/>
    </row>
    <row r="3" spans="1:6" ht="15" thickBot="1">
      <c r="A3" s="1056"/>
      <c r="B3" s="1056"/>
      <c r="C3" s="1060" t="s">
        <v>870</v>
      </c>
      <c r="D3" s="1060" t="s">
        <v>871</v>
      </c>
      <c r="E3" s="1060" t="s">
        <v>872</v>
      </c>
      <c r="F3" s="1060" t="s">
        <v>873</v>
      </c>
    </row>
    <row r="4" spans="1:6" ht="15" thickBot="1">
      <c r="A4" s="1058" t="s">
        <v>868</v>
      </c>
      <c r="B4" s="1059" t="s">
        <v>869</v>
      </c>
      <c r="C4" s="1060"/>
      <c r="D4" s="1060"/>
      <c r="E4" s="1060"/>
      <c r="F4" s="1060"/>
    </row>
    <row r="5" spans="1:6" ht="15" thickBot="1">
      <c r="A5" s="839" t="s">
        <v>874</v>
      </c>
      <c r="B5" s="840" t="s">
        <v>875</v>
      </c>
      <c r="C5" s="1061">
        <v>8.8999999999999996E-2</v>
      </c>
      <c r="D5" s="1061">
        <v>7.3999999999999996E-2</v>
      </c>
      <c r="E5" s="1061">
        <v>7.4999999999999997E-2</v>
      </c>
      <c r="F5" s="1062">
        <v>0.1</v>
      </c>
    </row>
    <row r="6" spans="1:6" ht="15" thickBot="1">
      <c r="A6" s="839" t="s">
        <v>212</v>
      </c>
      <c r="B6" s="833" t="s">
        <v>876</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877</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878</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879</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880</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881</v>
      </c>
      <c r="C72" s="1076"/>
      <c r="D72" s="1076"/>
      <c r="E72" s="1076"/>
      <c r="F72" s="1064">
        <v>0.05</v>
      </c>
    </row>
    <row r="73" spans="1:6" ht="24.6" thickBot="1">
      <c r="A73" s="839" t="s">
        <v>137</v>
      </c>
      <c r="B73" s="833" t="s">
        <v>882</v>
      </c>
      <c r="C73" s="1076"/>
      <c r="D73" s="1076"/>
      <c r="E73" s="1076"/>
      <c r="F73" s="1064">
        <v>0.05</v>
      </c>
    </row>
    <row r="74" spans="1:6" ht="24.6" thickBot="1">
      <c r="A74" s="839" t="s">
        <v>137</v>
      </c>
      <c r="B74" s="833" t="s">
        <v>883</v>
      </c>
      <c r="C74" s="1076"/>
      <c r="D74" s="1076"/>
      <c r="E74" s="1076"/>
      <c r="F74" s="1064">
        <v>0.05</v>
      </c>
    </row>
    <row r="75" spans="1:6" ht="24.6" thickBot="1">
      <c r="A75" s="849" t="s">
        <v>137</v>
      </c>
      <c r="B75" s="845" t="s">
        <v>884</v>
      </c>
      <c r="C75" s="1073"/>
      <c r="D75" s="1073"/>
      <c r="E75" s="1073"/>
      <c r="F75" s="1066">
        <v>0.05</v>
      </c>
    </row>
    <row r="76" spans="1:6" ht="15" thickBot="1">
      <c r="A76" s="839" t="s">
        <v>523</v>
      </c>
      <c r="B76" s="840" t="s">
        <v>885</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886</v>
      </c>
      <c r="C102" s="1076"/>
      <c r="D102" s="1076"/>
      <c r="E102" s="1076"/>
      <c r="F102" s="1064">
        <v>0.05</v>
      </c>
    </row>
    <row r="103" spans="1:6" ht="24.6" thickBot="1">
      <c r="A103" s="839" t="s">
        <v>523</v>
      </c>
      <c r="B103" s="833" t="s">
        <v>887</v>
      </c>
      <c r="C103" s="1076"/>
      <c r="D103" s="1076"/>
      <c r="E103" s="1076"/>
      <c r="F103" s="1064">
        <v>0.05</v>
      </c>
    </row>
    <row r="104" spans="1:6" ht="15" thickBot="1">
      <c r="A104" s="839" t="s">
        <v>523</v>
      </c>
      <c r="B104" s="833" t="s">
        <v>888</v>
      </c>
      <c r="C104" s="1076"/>
      <c r="D104" s="1076"/>
      <c r="E104" s="1076"/>
      <c r="F104" s="1064">
        <v>0.05</v>
      </c>
    </row>
    <row r="105" spans="1:6" ht="24.6" thickBot="1">
      <c r="A105" s="839" t="s">
        <v>523</v>
      </c>
      <c r="B105" s="833" t="s">
        <v>889</v>
      </c>
      <c r="C105" s="1076"/>
      <c r="D105" s="1076"/>
      <c r="E105" s="1076"/>
      <c r="F105" s="1064">
        <v>0.05</v>
      </c>
    </row>
    <row r="106" spans="1:6" ht="24.6" thickBot="1">
      <c r="A106" s="839" t="s">
        <v>523</v>
      </c>
      <c r="B106" s="833" t="s">
        <v>890</v>
      </c>
      <c r="C106" s="1076"/>
      <c r="D106" s="1076"/>
      <c r="E106" s="1076"/>
      <c r="F106" s="1064">
        <v>0.05</v>
      </c>
    </row>
    <row r="107" spans="1:6" ht="24.6" thickBot="1">
      <c r="A107" s="839" t="s">
        <v>523</v>
      </c>
      <c r="B107" s="833" t="s">
        <v>891</v>
      </c>
      <c r="C107" s="1076"/>
      <c r="D107" s="1076"/>
      <c r="E107" s="1076"/>
      <c r="F107" s="1064">
        <v>0.05</v>
      </c>
    </row>
    <row r="108" spans="1:6" ht="24.6" thickBot="1">
      <c r="A108" s="839" t="s">
        <v>523</v>
      </c>
      <c r="B108" s="833" t="s">
        <v>892</v>
      </c>
      <c r="C108" s="1076"/>
      <c r="D108" s="1076"/>
      <c r="E108" s="1076"/>
      <c r="F108" s="1064">
        <v>0.05</v>
      </c>
    </row>
    <row r="109" spans="1:6" ht="24.6" thickBot="1">
      <c r="A109" s="849" t="s">
        <v>523</v>
      </c>
      <c r="B109" s="845" t="s">
        <v>893</v>
      </c>
      <c r="C109" s="1073"/>
      <c r="D109" s="1073"/>
      <c r="E109" s="1073"/>
      <c r="F109" s="1066">
        <v>0.05</v>
      </c>
    </row>
    <row r="110" spans="1:6" ht="15" thickBot="1">
      <c r="A110" s="839" t="s">
        <v>56</v>
      </c>
      <c r="B110" s="840" t="s">
        <v>894</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895</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896</v>
      </c>
      <c r="C138" s="1063">
        <v>0.105</v>
      </c>
      <c r="D138" s="1063">
        <v>0.125</v>
      </c>
      <c r="E138" s="1063">
        <v>0.112</v>
      </c>
      <c r="F138" s="1075"/>
    </row>
    <row r="139" spans="1:6" ht="15" thickBot="1">
      <c r="A139" s="839" t="s">
        <v>56</v>
      </c>
      <c r="B139" s="833" t="s">
        <v>897</v>
      </c>
      <c r="C139" s="1063">
        <v>0.127</v>
      </c>
      <c r="D139" s="1063">
        <v>0.127</v>
      </c>
      <c r="E139" s="1063">
        <v>0.122</v>
      </c>
      <c r="F139" s="1064">
        <v>0.13</v>
      </c>
    </row>
    <row r="140" spans="1:6" ht="15" thickBot="1">
      <c r="A140" s="839" t="s">
        <v>56</v>
      </c>
      <c r="B140" s="833" t="s">
        <v>898</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899</v>
      </c>
      <c r="C144" s="1068">
        <v>0.126</v>
      </c>
      <c r="D144" s="1068">
        <v>0.126</v>
      </c>
      <c r="E144" s="1068">
        <v>0.121</v>
      </c>
      <c r="F144" s="1075"/>
    </row>
    <row r="145" spans="1:6" ht="15" thickBot="1">
      <c r="A145" s="849" t="s">
        <v>56</v>
      </c>
      <c r="B145" s="1069" t="s">
        <v>900</v>
      </c>
      <c r="C145" s="1077"/>
      <c r="D145" s="1077"/>
      <c r="E145" s="1077"/>
      <c r="F145" s="1070">
        <v>0.05</v>
      </c>
    </row>
    <row r="146" spans="1:6" ht="24.6" thickBot="1">
      <c r="A146" s="1071" t="s">
        <v>56</v>
      </c>
      <c r="B146" s="843" t="s">
        <v>901</v>
      </c>
      <c r="C146" s="1076"/>
      <c r="D146" s="1076"/>
      <c r="E146" s="1076"/>
      <c r="F146" s="1072">
        <v>0.05</v>
      </c>
    </row>
    <row r="147" spans="1:6" ht="24.6" thickBot="1">
      <c r="A147" s="839" t="s">
        <v>56</v>
      </c>
      <c r="B147" s="833" t="s">
        <v>902</v>
      </c>
      <c r="C147" s="1076"/>
      <c r="D147" s="1076"/>
      <c r="E147" s="1076"/>
      <c r="F147" s="1064">
        <v>0.05</v>
      </c>
    </row>
    <row r="148" spans="1:6" ht="24.6" thickBot="1">
      <c r="A148" s="839" t="s">
        <v>56</v>
      </c>
      <c r="B148" s="833" t="s">
        <v>903</v>
      </c>
      <c r="C148" s="1076"/>
      <c r="D148" s="1076"/>
      <c r="E148" s="1076"/>
      <c r="F148" s="1064">
        <v>0.05</v>
      </c>
    </row>
    <row r="149" spans="1:6" ht="24.6" thickBot="1">
      <c r="A149" s="839" t="s">
        <v>56</v>
      </c>
      <c r="B149" s="833" t="s">
        <v>904</v>
      </c>
      <c r="C149" s="1076"/>
      <c r="D149" s="1076"/>
      <c r="E149" s="1076"/>
      <c r="F149" s="1064">
        <v>0.05</v>
      </c>
    </row>
    <row r="150" spans="1:6" ht="24.6" thickBot="1">
      <c r="A150" s="839" t="s">
        <v>56</v>
      </c>
      <c r="B150" s="833" t="s">
        <v>905</v>
      </c>
      <c r="C150" s="1076"/>
      <c r="D150" s="1076"/>
      <c r="E150" s="1076"/>
      <c r="F150" s="1064">
        <v>0.05</v>
      </c>
    </row>
    <row r="151" spans="1:6" ht="24.6" thickBot="1">
      <c r="A151" s="839" t="s">
        <v>56</v>
      </c>
      <c r="B151" s="833" t="s">
        <v>906</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907</v>
      </c>
      <c r="C153" s="1076"/>
      <c r="D153" s="1076"/>
      <c r="E153" s="1076"/>
      <c r="F153" s="1064">
        <v>0.05</v>
      </c>
    </row>
    <row r="154" spans="1:6" ht="15" thickBot="1">
      <c r="A154" s="839" t="s">
        <v>56</v>
      </c>
      <c r="B154" s="833" t="s">
        <v>908</v>
      </c>
      <c r="C154" s="1076"/>
      <c r="D154" s="1076"/>
      <c r="E154" s="1076"/>
      <c r="F154" s="1064">
        <v>0.05</v>
      </c>
    </row>
    <row r="155" spans="1:6" ht="24.6" thickBot="1">
      <c r="A155" s="839" t="s">
        <v>56</v>
      </c>
      <c r="B155" s="833" t="s">
        <v>909</v>
      </c>
      <c r="C155" s="1076"/>
      <c r="D155" s="1076"/>
      <c r="E155" s="1076"/>
      <c r="F155" s="1064">
        <v>0.05</v>
      </c>
    </row>
    <row r="156" spans="1:6" ht="24.6" thickBot="1">
      <c r="A156" s="839" t="s">
        <v>56</v>
      </c>
      <c r="B156" s="833" t="s">
        <v>910</v>
      </c>
      <c r="C156" s="1076"/>
      <c r="D156" s="1076"/>
      <c r="E156" s="1076"/>
      <c r="F156" s="1064">
        <v>0.05</v>
      </c>
    </row>
    <row r="157" spans="1:6" ht="24.6" thickBot="1">
      <c r="A157" s="849" t="s">
        <v>56</v>
      </c>
      <c r="B157" s="845" t="s">
        <v>911</v>
      </c>
      <c r="C157" s="1073"/>
      <c r="D157" s="1073"/>
      <c r="E157" s="1073"/>
      <c r="F157" s="1066">
        <v>0.05</v>
      </c>
    </row>
    <row r="158" spans="1:6" ht="15" thickBot="1">
      <c r="A158" s="839" t="s">
        <v>526</v>
      </c>
      <c r="B158" s="840" t="s">
        <v>912</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913</v>
      </c>
      <c r="C171" s="1063">
        <v>0.127</v>
      </c>
      <c r="D171" s="1063">
        <v>0.126</v>
      </c>
      <c r="E171" s="1063">
        <v>0.126</v>
      </c>
      <c r="F171" s="1064">
        <v>0.11799999999999999</v>
      </c>
    </row>
    <row r="172" spans="1:6" ht="15" thickBot="1">
      <c r="A172" s="839" t="s">
        <v>526</v>
      </c>
      <c r="B172" s="833" t="s">
        <v>914</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915</v>
      </c>
      <c r="C174" s="1063">
        <v>0.13</v>
      </c>
      <c r="D174" s="1063">
        <v>0.13</v>
      </c>
      <c r="E174" s="1063">
        <v>0.13</v>
      </c>
      <c r="F174" s="1064">
        <v>0.13</v>
      </c>
    </row>
    <row r="175" spans="1:6" ht="15" thickBot="1">
      <c r="A175" s="839" t="s">
        <v>526</v>
      </c>
      <c r="B175" s="833" t="s">
        <v>916</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917</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918</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919</v>
      </c>
      <c r="C185" s="1063">
        <v>0.127</v>
      </c>
      <c r="D185" s="1063">
        <v>0.127</v>
      </c>
      <c r="E185" s="1063">
        <v>0.128</v>
      </c>
      <c r="F185" s="1064">
        <v>0.13</v>
      </c>
    </row>
    <row r="186" spans="1:6" ht="24.6" thickBot="1">
      <c r="A186" s="839" t="s">
        <v>526</v>
      </c>
      <c r="B186" s="833" t="s">
        <v>920</v>
      </c>
      <c r="C186" s="1076"/>
      <c r="D186" s="1076"/>
      <c r="E186" s="1076"/>
      <c r="F186" s="1064">
        <v>0.05</v>
      </c>
    </row>
    <row r="187" spans="1:6" ht="15" thickBot="1">
      <c r="A187" s="839" t="s">
        <v>526</v>
      </c>
      <c r="B187" s="833" t="s">
        <v>921</v>
      </c>
      <c r="C187" s="1076"/>
      <c r="D187" s="1076"/>
      <c r="E187" s="1076"/>
      <c r="F187" s="1064">
        <v>0.05</v>
      </c>
    </row>
    <row r="188" spans="1:6" ht="24.6" thickBot="1">
      <c r="A188" s="839" t="s">
        <v>526</v>
      </c>
      <c r="B188" s="833" t="s">
        <v>922</v>
      </c>
      <c r="C188" s="1076"/>
      <c r="D188" s="1076"/>
      <c r="E188" s="1076"/>
      <c r="F188" s="1064">
        <v>0.05</v>
      </c>
    </row>
    <row r="189" spans="1:6" ht="24.6" thickBot="1">
      <c r="A189" s="839" t="s">
        <v>526</v>
      </c>
      <c r="B189" s="833" t="s">
        <v>923</v>
      </c>
      <c r="C189" s="1076"/>
      <c r="D189" s="1076"/>
      <c r="E189" s="1076"/>
      <c r="F189" s="1064">
        <v>0.05</v>
      </c>
    </row>
    <row r="190" spans="1:6" ht="24.6" thickBot="1">
      <c r="A190" s="839" t="s">
        <v>526</v>
      </c>
      <c r="B190" s="833" t="s">
        <v>924</v>
      </c>
      <c r="C190" s="1076"/>
      <c r="D190" s="1076"/>
      <c r="E190" s="1076"/>
      <c r="F190" s="1064">
        <v>0.05</v>
      </c>
    </row>
    <row r="191" spans="1:6" ht="24.6" thickBot="1">
      <c r="A191" s="839" t="s">
        <v>526</v>
      </c>
      <c r="B191" s="833" t="s">
        <v>925</v>
      </c>
      <c r="C191" s="1076"/>
      <c r="D191" s="1076"/>
      <c r="E191" s="1076"/>
      <c r="F191" s="1064">
        <v>0.05</v>
      </c>
    </row>
    <row r="192" spans="1:6" ht="24.6" thickBot="1">
      <c r="A192" s="839" t="s">
        <v>526</v>
      </c>
      <c r="B192" s="833" t="s">
        <v>926</v>
      </c>
      <c r="C192" s="1076"/>
      <c r="D192" s="1076"/>
      <c r="E192" s="1076"/>
      <c r="F192" s="1064">
        <v>0.05</v>
      </c>
    </row>
    <row r="193" spans="1:6" ht="24.6" thickBot="1">
      <c r="A193" s="839" t="s">
        <v>526</v>
      </c>
      <c r="B193" s="833" t="s">
        <v>927</v>
      </c>
      <c r="C193" s="1076"/>
      <c r="D193" s="1076"/>
      <c r="E193" s="1076"/>
      <c r="F193" s="1064">
        <v>0.05</v>
      </c>
    </row>
    <row r="194" spans="1:6" ht="24.6" thickBot="1">
      <c r="A194" s="839" t="s">
        <v>526</v>
      </c>
      <c r="B194" s="833" t="s">
        <v>928</v>
      </c>
      <c r="C194" s="1076"/>
      <c r="D194" s="1076"/>
      <c r="E194" s="1076"/>
      <c r="F194" s="1064">
        <v>0.05</v>
      </c>
    </row>
    <row r="195" spans="1:6" ht="15" thickBot="1">
      <c r="A195" s="839" t="s">
        <v>526</v>
      </c>
      <c r="B195" s="833" t="s">
        <v>929</v>
      </c>
      <c r="C195" s="1076"/>
      <c r="D195" s="1076"/>
      <c r="E195" s="1076"/>
      <c r="F195" s="1064">
        <v>0.05</v>
      </c>
    </row>
    <row r="196" spans="1:6" ht="24.6" thickBot="1">
      <c r="A196" s="839" t="s">
        <v>526</v>
      </c>
      <c r="B196" s="833" t="s">
        <v>930</v>
      </c>
      <c r="C196" s="1076"/>
      <c r="D196" s="1076"/>
      <c r="E196" s="1076"/>
      <c r="F196" s="1064">
        <v>0.05</v>
      </c>
    </row>
    <row r="197" spans="1:6" ht="24.6" thickBot="1">
      <c r="A197" s="839" t="s">
        <v>526</v>
      </c>
      <c r="B197" s="833" t="s">
        <v>931</v>
      </c>
      <c r="C197" s="1076"/>
      <c r="D197" s="1076"/>
      <c r="E197" s="1076"/>
      <c r="F197" s="1064">
        <v>0.05</v>
      </c>
    </row>
    <row r="198" spans="1:6" ht="24.6" thickBot="1">
      <c r="A198" s="839" t="s">
        <v>526</v>
      </c>
      <c r="B198" s="833" t="s">
        <v>932</v>
      </c>
      <c r="C198" s="1076"/>
      <c r="D198" s="1076"/>
      <c r="E198" s="1076"/>
      <c r="F198" s="1064">
        <v>0.05</v>
      </c>
    </row>
    <row r="199" spans="1:6" ht="24.6" thickBot="1">
      <c r="A199" s="839" t="s">
        <v>526</v>
      </c>
      <c r="B199" s="833" t="s">
        <v>933</v>
      </c>
      <c r="C199" s="1076"/>
      <c r="D199" s="1076"/>
      <c r="E199" s="1076"/>
      <c r="F199" s="1064">
        <v>0.05</v>
      </c>
    </row>
    <row r="200" spans="1:6" ht="24.6" thickBot="1">
      <c r="A200" s="839" t="s">
        <v>526</v>
      </c>
      <c r="B200" s="833" t="s">
        <v>934</v>
      </c>
      <c r="C200" s="1076"/>
      <c r="D200" s="1076"/>
      <c r="E200" s="1076"/>
      <c r="F200" s="1064">
        <v>0.05</v>
      </c>
    </row>
    <row r="201" spans="1:6" ht="24.6" thickBot="1">
      <c r="A201" s="839" t="s">
        <v>526</v>
      </c>
      <c r="B201" s="833" t="s">
        <v>935</v>
      </c>
      <c r="C201" s="1076"/>
      <c r="D201" s="1076"/>
      <c r="E201" s="1076"/>
      <c r="F201" s="1064">
        <v>0.05</v>
      </c>
    </row>
    <row r="202" spans="1:6" ht="24.6" thickBot="1">
      <c r="A202" s="839" t="s">
        <v>526</v>
      </c>
      <c r="B202" s="833" t="s">
        <v>936</v>
      </c>
      <c r="C202" s="1076"/>
      <c r="D202" s="1076"/>
      <c r="E202" s="1076"/>
      <c r="F202" s="1064">
        <v>0.05</v>
      </c>
    </row>
    <row r="203" spans="1:6" ht="24.6" thickBot="1">
      <c r="A203" s="839" t="s">
        <v>526</v>
      </c>
      <c r="B203" s="833" t="s">
        <v>937</v>
      </c>
      <c r="C203" s="1076"/>
      <c r="D203" s="1076"/>
      <c r="E203" s="1076"/>
      <c r="F203" s="1064">
        <v>0.05</v>
      </c>
    </row>
    <row r="204" spans="1:6" ht="15" thickBot="1">
      <c r="A204" s="839" t="s">
        <v>526</v>
      </c>
      <c r="B204" s="833" t="s">
        <v>938</v>
      </c>
      <c r="C204" s="1076"/>
      <c r="D204" s="1076"/>
      <c r="E204" s="1076"/>
      <c r="F204" s="1064">
        <v>0.05</v>
      </c>
    </row>
    <row r="205" spans="1:6" ht="15" thickBot="1">
      <c r="A205" s="849" t="s">
        <v>526</v>
      </c>
      <c r="B205" s="845" t="s">
        <v>939</v>
      </c>
      <c r="C205" s="1073"/>
      <c r="D205" s="1073"/>
      <c r="E205" s="1073"/>
      <c r="F205" s="1066">
        <v>0.05</v>
      </c>
    </row>
    <row r="206" spans="1:6" ht="15" thickBot="1">
      <c r="A206" s="839" t="s">
        <v>528</v>
      </c>
      <c r="B206" s="840" t="s">
        <v>940</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941</v>
      </c>
      <c r="C210" s="1063">
        <v>0.15</v>
      </c>
      <c r="D210" s="1063">
        <v>0.15</v>
      </c>
      <c r="E210" s="1063">
        <v>0.15</v>
      </c>
      <c r="F210" s="1064">
        <v>0.13800000000000001</v>
      </c>
    </row>
    <row r="211" spans="1:6" ht="15" thickBot="1">
      <c r="A211" s="839" t="s">
        <v>528</v>
      </c>
      <c r="B211" s="833" t="s">
        <v>942</v>
      </c>
      <c r="C211" s="1063">
        <v>0.13700000000000001</v>
      </c>
      <c r="D211" s="1063">
        <v>0.13500000000000001</v>
      </c>
      <c r="E211" s="1063">
        <v>0.13600000000000001</v>
      </c>
      <c r="F211" s="1064">
        <v>0.1</v>
      </c>
    </row>
    <row r="212" spans="1:6" ht="15" thickBot="1">
      <c r="A212" s="839" t="s">
        <v>528</v>
      </c>
      <c r="B212" s="833" t="s">
        <v>943</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944</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945</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946</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947</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948</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949</v>
      </c>
      <c r="C231" s="1063">
        <v>0.128</v>
      </c>
      <c r="D231" s="1063">
        <v>0.125</v>
      </c>
      <c r="E231" s="1063">
        <v>0.13200000000000001</v>
      </c>
      <c r="F231" s="1075"/>
    </row>
    <row r="232" spans="1:6" ht="15" thickBot="1">
      <c r="A232" s="839" t="s">
        <v>528</v>
      </c>
      <c r="B232" s="833" t="s">
        <v>950</v>
      </c>
      <c r="C232" s="1063">
        <v>0.14499999999999999</v>
      </c>
      <c r="D232" s="1063">
        <v>0.14399999999999999</v>
      </c>
      <c r="E232" s="1063">
        <v>0.14599999999999999</v>
      </c>
      <c r="F232" s="1064">
        <v>0.13800000000000001</v>
      </c>
    </row>
    <row r="233" spans="1:6" ht="15" thickBot="1">
      <c r="A233" s="839" t="s">
        <v>528</v>
      </c>
      <c r="B233" s="833" t="s">
        <v>951</v>
      </c>
      <c r="C233" s="1063">
        <v>0.14499999999999999</v>
      </c>
      <c r="D233" s="1063">
        <v>0.14299999999999999</v>
      </c>
      <c r="E233" s="1063">
        <v>0.14199999999999999</v>
      </c>
      <c r="F233" s="1075"/>
    </row>
    <row r="234" spans="1:6" ht="15" thickBot="1">
      <c r="A234" s="839" t="s">
        <v>528</v>
      </c>
      <c r="B234" s="833" t="s">
        <v>952</v>
      </c>
      <c r="C234" s="1063">
        <v>0.14000000000000001</v>
      </c>
      <c r="D234" s="1063">
        <v>0.14000000000000001</v>
      </c>
      <c r="E234" s="1063">
        <v>0.14399999999999999</v>
      </c>
      <c r="F234" s="1075"/>
    </row>
    <row r="235" spans="1:6" ht="15" thickBot="1">
      <c r="A235" s="839" t="s">
        <v>528</v>
      </c>
      <c r="B235" s="833" t="s">
        <v>953</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954</v>
      </c>
      <c r="C237" s="1076"/>
      <c r="D237" s="1076"/>
      <c r="E237" s="1076"/>
      <c r="F237" s="1064">
        <v>0.05</v>
      </c>
    </row>
    <row r="238" spans="1:6" ht="24.6" thickBot="1">
      <c r="A238" s="839" t="s">
        <v>528</v>
      </c>
      <c r="B238" s="833" t="s">
        <v>955</v>
      </c>
      <c r="C238" s="1076"/>
      <c r="D238" s="1076"/>
      <c r="E238" s="1076"/>
      <c r="F238" s="1064">
        <v>0.05</v>
      </c>
    </row>
    <row r="239" spans="1:6" ht="24.6" thickBot="1">
      <c r="A239" s="839" t="s">
        <v>528</v>
      </c>
      <c r="B239" s="833" t="s">
        <v>956</v>
      </c>
      <c r="C239" s="1076"/>
      <c r="D239" s="1076"/>
      <c r="E239" s="1076"/>
      <c r="F239" s="1064">
        <v>0.05</v>
      </c>
    </row>
    <row r="240" spans="1:6" ht="24.6" thickBot="1">
      <c r="A240" s="839" t="s">
        <v>528</v>
      </c>
      <c r="B240" s="833" t="s">
        <v>957</v>
      </c>
      <c r="C240" s="1076"/>
      <c r="D240" s="1076"/>
      <c r="E240" s="1076"/>
      <c r="F240" s="1064">
        <v>0.05</v>
      </c>
    </row>
    <row r="241" spans="1:6" ht="24.6" thickBot="1">
      <c r="A241" s="839" t="s">
        <v>528</v>
      </c>
      <c r="B241" s="833" t="s">
        <v>958</v>
      </c>
      <c r="C241" s="1076"/>
      <c r="D241" s="1076"/>
      <c r="E241" s="1076"/>
      <c r="F241" s="1064">
        <v>0.05</v>
      </c>
    </row>
    <row r="242" spans="1:6" ht="24.6" thickBot="1">
      <c r="A242" s="839" t="s">
        <v>528</v>
      </c>
      <c r="B242" s="833" t="s">
        <v>959</v>
      </c>
      <c r="C242" s="1076"/>
      <c r="D242" s="1076"/>
      <c r="E242" s="1076"/>
      <c r="F242" s="1064">
        <v>0.05</v>
      </c>
    </row>
    <row r="243" spans="1:6" ht="24.6" thickBot="1">
      <c r="A243" s="839" t="s">
        <v>528</v>
      </c>
      <c r="B243" s="833" t="s">
        <v>960</v>
      </c>
      <c r="C243" s="1076"/>
      <c r="D243" s="1076"/>
      <c r="E243" s="1076"/>
      <c r="F243" s="1064">
        <v>0.05</v>
      </c>
    </row>
    <row r="244" spans="1:6" ht="24.6" thickBot="1">
      <c r="A244" s="849" t="s">
        <v>528</v>
      </c>
      <c r="B244" s="845" t="s">
        <v>961</v>
      </c>
      <c r="C244" s="1073"/>
      <c r="D244" s="1073"/>
      <c r="E244" s="1073"/>
      <c r="F244" s="1066">
        <v>0.05</v>
      </c>
    </row>
    <row r="245" spans="1:6" ht="15" thickBot="1">
      <c r="A245" s="839" t="s">
        <v>530</v>
      </c>
      <c r="B245" s="840" t="s">
        <v>962</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963</v>
      </c>
      <c r="C247" s="1063">
        <v>0.15</v>
      </c>
      <c r="D247" s="1063">
        <v>0.15</v>
      </c>
      <c r="E247" s="1063">
        <v>0.15</v>
      </c>
      <c r="F247" s="1064">
        <v>0.15</v>
      </c>
    </row>
    <row r="248" spans="1:6" ht="15" thickBot="1">
      <c r="A248" s="839" t="s">
        <v>530</v>
      </c>
      <c r="B248" s="833" t="s">
        <v>964</v>
      </c>
      <c r="C248" s="1063">
        <v>0.15</v>
      </c>
      <c r="D248" s="1063">
        <v>0.15</v>
      </c>
      <c r="E248" s="1063">
        <v>0.15</v>
      </c>
      <c r="F248" s="1064">
        <v>0.14000000000000001</v>
      </c>
    </row>
    <row r="249" spans="1:6" ht="15" thickBot="1">
      <c r="A249" s="839" t="s">
        <v>530</v>
      </c>
      <c r="B249" s="833" t="s">
        <v>965</v>
      </c>
      <c r="C249" s="1063">
        <v>0.15</v>
      </c>
      <c r="D249" s="1063">
        <v>0.14899999999999999</v>
      </c>
      <c r="E249" s="1063">
        <v>0.15</v>
      </c>
      <c r="F249" s="1064">
        <v>0.1</v>
      </c>
    </row>
    <row r="250" spans="1:6" ht="15" thickBot="1">
      <c r="A250" s="839" t="s">
        <v>530</v>
      </c>
      <c r="B250" s="833" t="s">
        <v>966</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967</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968</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969</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970</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971</v>
      </c>
      <c r="C273" s="1063">
        <v>0.14199999999999999</v>
      </c>
      <c r="D273" s="1063">
        <v>0.14299999999999999</v>
      </c>
      <c r="E273" s="1063">
        <v>0.15</v>
      </c>
      <c r="F273" s="1064">
        <v>0.1</v>
      </c>
    </row>
    <row r="274" spans="1:6" ht="15" thickBot="1">
      <c r="A274" s="839" t="s">
        <v>530</v>
      </c>
      <c r="B274" s="833" t="s">
        <v>972</v>
      </c>
      <c r="C274" s="1063">
        <v>0.14799999999999999</v>
      </c>
      <c r="D274" s="1063">
        <v>0.14799999999999999</v>
      </c>
      <c r="E274" s="1063">
        <v>0.15</v>
      </c>
      <c r="F274" s="1064">
        <v>6.7000000000000004E-2</v>
      </c>
    </row>
    <row r="275" spans="1:6" ht="15" thickBot="1">
      <c r="A275" s="839" t="s">
        <v>530</v>
      </c>
      <c r="B275" s="833" t="s">
        <v>973</v>
      </c>
      <c r="C275" s="1063">
        <v>0.15</v>
      </c>
      <c r="D275" s="1063">
        <v>0.15</v>
      </c>
      <c r="E275" s="1063">
        <v>0.15</v>
      </c>
      <c r="F275" s="1064">
        <v>0.15</v>
      </c>
    </row>
    <row r="276" spans="1:6" ht="15" thickBot="1">
      <c r="A276" s="839" t="s">
        <v>530</v>
      </c>
      <c r="B276" s="833" t="s">
        <v>974</v>
      </c>
      <c r="C276" s="1063">
        <v>0.14499999999999999</v>
      </c>
      <c r="D276" s="1063">
        <v>0.14299999999999999</v>
      </c>
      <c r="E276" s="1063">
        <v>0.15</v>
      </c>
      <c r="F276" s="1064">
        <v>5.8999999999999997E-2</v>
      </c>
    </row>
    <row r="277" spans="1:6" ht="15" thickBot="1">
      <c r="A277" s="839" t="s">
        <v>530</v>
      </c>
      <c r="B277" s="833" t="s">
        <v>975</v>
      </c>
      <c r="C277" s="1063">
        <v>0.15</v>
      </c>
      <c r="D277" s="1063">
        <v>0.15</v>
      </c>
      <c r="E277" s="1063">
        <v>0.15</v>
      </c>
      <c r="F277" s="1064">
        <v>0.121</v>
      </c>
    </row>
    <row r="278" spans="1:6" ht="15" thickBot="1">
      <c r="A278" s="839" t="s">
        <v>530</v>
      </c>
      <c r="B278" s="833" t="s">
        <v>976</v>
      </c>
      <c r="C278" s="1063">
        <v>0.15</v>
      </c>
      <c r="D278" s="1063">
        <v>0.15</v>
      </c>
      <c r="E278" s="1063">
        <v>0.15</v>
      </c>
      <c r="F278" s="1064">
        <v>0.13800000000000001</v>
      </c>
    </row>
    <row r="279" spans="1:6" ht="24.6" thickBot="1">
      <c r="A279" s="839" t="s">
        <v>530</v>
      </c>
      <c r="B279" s="833" t="s">
        <v>977</v>
      </c>
      <c r="C279" s="1076"/>
      <c r="D279" s="1076"/>
      <c r="E279" s="1076"/>
      <c r="F279" s="1064">
        <v>0.05</v>
      </c>
    </row>
    <row r="280" spans="1:6" ht="24.6" thickBot="1">
      <c r="A280" s="839" t="s">
        <v>530</v>
      </c>
      <c r="B280" s="833" t="s">
        <v>978</v>
      </c>
      <c r="C280" s="1076"/>
      <c r="D280" s="1076"/>
      <c r="E280" s="1076"/>
      <c r="F280" s="1064">
        <v>0.05</v>
      </c>
    </row>
    <row r="281" spans="1:6" ht="24.6" thickBot="1">
      <c r="A281" s="839" t="s">
        <v>530</v>
      </c>
      <c r="B281" s="833" t="s">
        <v>979</v>
      </c>
      <c r="C281" s="1076"/>
      <c r="D281" s="1076"/>
      <c r="E281" s="1076"/>
      <c r="F281" s="1064">
        <v>0.05</v>
      </c>
    </row>
    <row r="282" spans="1:6" ht="24.6" thickBot="1">
      <c r="A282" s="839" t="s">
        <v>530</v>
      </c>
      <c r="B282" s="833" t="s">
        <v>980</v>
      </c>
      <c r="C282" s="1076"/>
      <c r="D282" s="1076"/>
      <c r="E282" s="1076"/>
      <c r="F282" s="1064">
        <v>0.05</v>
      </c>
    </row>
    <row r="283" spans="1:6" ht="24.6" thickBot="1">
      <c r="A283" s="839" t="s">
        <v>530</v>
      </c>
      <c r="B283" s="833" t="s">
        <v>981</v>
      </c>
      <c r="C283" s="1076"/>
      <c r="D283" s="1076"/>
      <c r="E283" s="1076"/>
      <c r="F283" s="1064">
        <v>0.05</v>
      </c>
    </row>
    <row r="284" spans="1:6" ht="24.6" thickBot="1">
      <c r="A284" s="839" t="s">
        <v>530</v>
      </c>
      <c r="B284" s="833" t="s">
        <v>982</v>
      </c>
      <c r="C284" s="1076"/>
      <c r="D284" s="1076"/>
      <c r="E284" s="1076"/>
      <c r="F284" s="1064">
        <v>0.05</v>
      </c>
    </row>
    <row r="285" spans="1:6" ht="24.6" thickBot="1">
      <c r="A285" s="839" t="s">
        <v>530</v>
      </c>
      <c r="B285" s="833" t="s">
        <v>983</v>
      </c>
      <c r="C285" s="1076"/>
      <c r="D285" s="1076"/>
      <c r="E285" s="1076"/>
      <c r="F285" s="1064">
        <v>0.05</v>
      </c>
    </row>
    <row r="286" spans="1:6" ht="24.6" thickBot="1">
      <c r="A286" s="839" t="s">
        <v>530</v>
      </c>
      <c r="B286" s="833" t="s">
        <v>984</v>
      </c>
      <c r="C286" s="1076"/>
      <c r="D286" s="1076"/>
      <c r="E286" s="1076"/>
      <c r="F286" s="1064">
        <v>0.05</v>
      </c>
    </row>
    <row r="287" spans="1:6" ht="24.6" thickBot="1">
      <c r="A287" s="839" t="s">
        <v>530</v>
      </c>
      <c r="B287" s="833" t="s">
        <v>985</v>
      </c>
      <c r="C287" s="1076"/>
      <c r="D287" s="1076"/>
      <c r="E287" s="1076"/>
      <c r="F287" s="1064">
        <v>0.05</v>
      </c>
    </row>
    <row r="288" spans="1:6" ht="24.6" thickBot="1">
      <c r="A288" s="839" t="s">
        <v>530</v>
      </c>
      <c r="B288" s="833" t="s">
        <v>986</v>
      </c>
      <c r="C288" s="1076"/>
      <c r="D288" s="1076"/>
      <c r="E288" s="1076"/>
      <c r="F288" s="1064">
        <v>0.05</v>
      </c>
    </row>
    <row r="289" spans="1:6" ht="24.6" thickBot="1">
      <c r="A289" s="849" t="s">
        <v>530</v>
      </c>
      <c r="B289" s="845" t="s">
        <v>987</v>
      </c>
      <c r="C289" s="1073"/>
      <c r="D289" s="1073"/>
      <c r="E289" s="1073"/>
      <c r="F289" s="1066">
        <v>0.05</v>
      </c>
    </row>
    <row r="290" spans="1:6" ht="15" thickBot="1">
      <c r="A290" s="839" t="s">
        <v>534</v>
      </c>
      <c r="B290" s="840" t="s">
        <v>988</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989</v>
      </c>
      <c r="C292" s="1063">
        <v>0.15</v>
      </c>
      <c r="D292" s="1063">
        <v>0.15</v>
      </c>
      <c r="E292" s="1063">
        <v>0.15</v>
      </c>
      <c r="F292" s="1064">
        <v>0.14699999999999999</v>
      </c>
    </row>
    <row r="293" spans="1:6" ht="15" thickBot="1">
      <c r="A293" s="839" t="s">
        <v>534</v>
      </c>
      <c r="B293" s="833" t="s">
        <v>990</v>
      </c>
      <c r="C293" s="1076"/>
      <c r="D293" s="1076"/>
      <c r="E293" s="1076"/>
      <c r="F293" s="1064">
        <v>0.1</v>
      </c>
    </row>
    <row r="294" spans="1:6" ht="15" thickBot="1">
      <c r="A294" s="839" t="s">
        <v>534</v>
      </c>
      <c r="B294" s="833" t="s">
        <v>991</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992</v>
      </c>
      <c r="C296" s="1063">
        <v>0.15</v>
      </c>
      <c r="D296" s="1063">
        <v>0.15</v>
      </c>
      <c r="E296" s="1063">
        <v>0.15</v>
      </c>
      <c r="F296" s="1064">
        <v>0.15</v>
      </c>
    </row>
    <row r="297" spans="1:6" ht="15" thickBot="1">
      <c r="A297" s="839" t="s">
        <v>534</v>
      </c>
      <c r="B297" s="833" t="s">
        <v>993</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994</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995</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996</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997</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998</v>
      </c>
      <c r="C310" s="1063">
        <v>0.15</v>
      </c>
      <c r="D310" s="1063">
        <v>0.15</v>
      </c>
      <c r="E310" s="1063">
        <v>0.15</v>
      </c>
      <c r="F310" s="1064">
        <v>0.13700000000000001</v>
      </c>
    </row>
    <row r="311" spans="1:6" ht="15" thickBot="1">
      <c r="A311" s="839" t="s">
        <v>534</v>
      </c>
      <c r="B311" s="833" t="s">
        <v>999</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1000</v>
      </c>
      <c r="C313" s="1063">
        <v>0.15</v>
      </c>
      <c r="D313" s="1063">
        <v>0.15</v>
      </c>
      <c r="E313" s="1063">
        <v>0.15</v>
      </c>
      <c r="F313" s="1064">
        <v>0.15</v>
      </c>
    </row>
    <row r="314" spans="1:6" ht="24.6" thickBot="1">
      <c r="A314" s="839" t="s">
        <v>534</v>
      </c>
      <c r="B314" s="833" t="s">
        <v>1001</v>
      </c>
      <c r="C314" s="1076"/>
      <c r="D314" s="1076"/>
      <c r="E314" s="1076"/>
      <c r="F314" s="1064">
        <v>0.05</v>
      </c>
    </row>
    <row r="315" spans="1:6" ht="24.6" thickBot="1">
      <c r="A315" s="839" t="s">
        <v>534</v>
      </c>
      <c r="B315" s="833" t="s">
        <v>1002</v>
      </c>
      <c r="C315" s="1076"/>
      <c r="D315" s="1076"/>
      <c r="E315" s="1076"/>
      <c r="F315" s="1064">
        <v>0.05</v>
      </c>
    </row>
    <row r="316" spans="1:6" ht="24.6" thickBot="1">
      <c r="A316" s="849" t="s">
        <v>534</v>
      </c>
      <c r="B316" s="845" t="s">
        <v>1003</v>
      </c>
      <c r="C316" s="1073"/>
      <c r="D316" s="1073"/>
      <c r="E316" s="1073"/>
      <c r="F316" s="1066">
        <v>0.05</v>
      </c>
    </row>
    <row r="317" spans="1:6" ht="15" thickBot="1">
      <c r="A317" s="839" t="s">
        <v>1004</v>
      </c>
      <c r="B317" s="840" t="s">
        <v>1005</v>
      </c>
      <c r="C317" s="1061">
        <v>0.15</v>
      </c>
      <c r="D317" s="1061">
        <v>0.15</v>
      </c>
      <c r="E317" s="1061">
        <v>0.15</v>
      </c>
      <c r="F317" s="1062">
        <v>0.15</v>
      </c>
    </row>
    <row r="318" spans="1:6" ht="15" thickBot="1">
      <c r="A318" s="839" t="s">
        <v>1004</v>
      </c>
      <c r="B318" s="833" t="s">
        <v>1006</v>
      </c>
      <c r="C318" s="1063">
        <v>0.107</v>
      </c>
      <c r="D318" s="1063">
        <v>0.11</v>
      </c>
      <c r="E318" s="1063">
        <v>0.112</v>
      </c>
      <c r="F318" s="1075"/>
    </row>
    <row r="319" spans="1:6" ht="15" thickBot="1">
      <c r="A319" s="839" t="s">
        <v>1004</v>
      </c>
      <c r="B319" s="833" t="s">
        <v>1007</v>
      </c>
      <c r="C319" s="1063">
        <v>0.15</v>
      </c>
      <c r="D319" s="1063">
        <v>0.15</v>
      </c>
      <c r="E319" s="1063">
        <v>0.15</v>
      </c>
      <c r="F319" s="1064">
        <v>0.15</v>
      </c>
    </row>
    <row r="320" spans="1:6" ht="15" thickBot="1">
      <c r="A320" s="839" t="s">
        <v>1004</v>
      </c>
      <c r="B320" s="833" t="s">
        <v>223</v>
      </c>
      <c r="C320" s="1063">
        <v>0.15</v>
      </c>
      <c r="D320" s="1063">
        <v>0.15</v>
      </c>
      <c r="E320" s="1063">
        <v>0.15</v>
      </c>
      <c r="F320" s="1075"/>
    </row>
    <row r="321" spans="1:6" ht="15" thickBot="1">
      <c r="A321" s="839" t="s">
        <v>1004</v>
      </c>
      <c r="B321" s="833" t="s">
        <v>1008</v>
      </c>
      <c r="C321" s="1063">
        <v>0.15</v>
      </c>
      <c r="D321" s="1063">
        <v>0.15</v>
      </c>
      <c r="E321" s="1063">
        <v>0.15</v>
      </c>
      <c r="F321" s="1075"/>
    </row>
    <row r="322" spans="1:6" ht="15" thickBot="1">
      <c r="A322" s="839" t="s">
        <v>1004</v>
      </c>
      <c r="B322" s="833" t="s">
        <v>1009</v>
      </c>
      <c r="C322" s="1063">
        <v>0.15</v>
      </c>
      <c r="D322" s="1063">
        <v>0.15</v>
      </c>
      <c r="E322" s="1063">
        <v>0.15</v>
      </c>
      <c r="F322" s="1064">
        <v>0.15</v>
      </c>
    </row>
    <row r="323" spans="1:6" ht="15" thickBot="1">
      <c r="A323" s="839" t="s">
        <v>1004</v>
      </c>
      <c r="B323" s="833" t="s">
        <v>1010</v>
      </c>
      <c r="C323" s="1063">
        <v>0.15</v>
      </c>
      <c r="D323" s="1063">
        <v>0.15</v>
      </c>
      <c r="E323" s="1063">
        <v>0.15</v>
      </c>
      <c r="F323" s="1075"/>
    </row>
    <row r="324" spans="1:6" ht="15" thickBot="1">
      <c r="A324" s="839" t="s">
        <v>1004</v>
      </c>
      <c r="B324" s="833" t="s">
        <v>1011</v>
      </c>
      <c r="C324" s="1063">
        <v>0.15</v>
      </c>
      <c r="D324" s="1063">
        <v>0.15</v>
      </c>
      <c r="E324" s="1063">
        <v>0.15</v>
      </c>
      <c r="F324" s="1075"/>
    </row>
    <row r="325" spans="1:6" ht="15" thickBot="1">
      <c r="A325" s="839" t="s">
        <v>1004</v>
      </c>
      <c r="B325" s="833" t="s">
        <v>1012</v>
      </c>
      <c r="C325" s="1063">
        <v>0.15</v>
      </c>
      <c r="D325" s="1063">
        <v>0.15</v>
      </c>
      <c r="E325" s="1063">
        <v>0.15</v>
      </c>
      <c r="F325" s="1064">
        <v>0.14699999999999999</v>
      </c>
    </row>
    <row r="326" spans="1:6" ht="15" thickBot="1">
      <c r="A326" s="839" t="s">
        <v>1004</v>
      </c>
      <c r="B326" s="833" t="s">
        <v>290</v>
      </c>
      <c r="C326" s="1063">
        <v>0.15</v>
      </c>
      <c r="D326" s="1063">
        <v>0.15</v>
      </c>
      <c r="E326" s="1063">
        <v>0.15</v>
      </c>
      <c r="F326" s="1075"/>
    </row>
    <row r="327" spans="1:6" ht="15" thickBot="1">
      <c r="A327" s="839" t="s">
        <v>1004</v>
      </c>
      <c r="B327" s="833" t="s">
        <v>1013</v>
      </c>
      <c r="C327" s="1063">
        <v>0.15</v>
      </c>
      <c r="D327" s="1063">
        <v>0.15</v>
      </c>
      <c r="E327" s="1063">
        <v>0.15</v>
      </c>
      <c r="F327" s="1064">
        <v>0.15</v>
      </c>
    </row>
    <row r="328" spans="1:6" ht="15" thickBot="1">
      <c r="A328" s="839" t="s">
        <v>1004</v>
      </c>
      <c r="B328" s="833" t="s">
        <v>310</v>
      </c>
      <c r="C328" s="1063">
        <v>0.15</v>
      </c>
      <c r="D328" s="1063">
        <v>0.15</v>
      </c>
      <c r="E328" s="1063">
        <v>0.15</v>
      </c>
      <c r="F328" s="1064">
        <v>0.14099999999999999</v>
      </c>
    </row>
    <row r="329" spans="1:6" ht="15" thickBot="1">
      <c r="A329" s="839" t="s">
        <v>1004</v>
      </c>
      <c r="B329" s="833" t="s">
        <v>320</v>
      </c>
      <c r="C329" s="1063">
        <v>0.15</v>
      </c>
      <c r="D329" s="1063">
        <v>0.15</v>
      </c>
      <c r="E329" s="1063">
        <v>0.15</v>
      </c>
      <c r="F329" s="1064">
        <v>0.15</v>
      </c>
    </row>
    <row r="330" spans="1:6" ht="15" thickBot="1">
      <c r="A330" s="839" t="s">
        <v>1004</v>
      </c>
      <c r="B330" s="833" t="s">
        <v>331</v>
      </c>
      <c r="C330" s="1063">
        <v>0.15</v>
      </c>
      <c r="D330" s="1063">
        <v>0.15</v>
      </c>
      <c r="E330" s="1063">
        <v>0.15</v>
      </c>
      <c r="F330" s="1075"/>
    </row>
    <row r="331" spans="1:6" ht="15" thickBot="1">
      <c r="A331" s="839" t="s">
        <v>1004</v>
      </c>
      <c r="B331" s="833" t="s">
        <v>1014</v>
      </c>
      <c r="C331" s="1063">
        <v>0.15</v>
      </c>
      <c r="D331" s="1063">
        <v>0.15</v>
      </c>
      <c r="E331" s="1063">
        <v>0.15</v>
      </c>
      <c r="F331" s="1064">
        <v>0.15</v>
      </c>
    </row>
    <row r="332" spans="1:6" ht="15" thickBot="1">
      <c r="A332" s="839" t="s">
        <v>1004</v>
      </c>
      <c r="B332" s="833" t="s">
        <v>352</v>
      </c>
      <c r="C332" s="1063">
        <v>0.15</v>
      </c>
      <c r="D332" s="1063">
        <v>0.15</v>
      </c>
      <c r="E332" s="1063">
        <v>0.15</v>
      </c>
      <c r="F332" s="1064">
        <v>0.15</v>
      </c>
    </row>
    <row r="333" spans="1:6" ht="15" thickBot="1">
      <c r="A333" s="839" t="s">
        <v>1004</v>
      </c>
      <c r="B333" s="833" t="s">
        <v>1015</v>
      </c>
      <c r="C333" s="1063">
        <v>0.15</v>
      </c>
      <c r="D333" s="1063">
        <v>0.15</v>
      </c>
      <c r="E333" s="1063">
        <v>0.15</v>
      </c>
      <c r="F333" s="1064">
        <v>0.14099999999999999</v>
      </c>
    </row>
    <row r="334" spans="1:6" ht="15" thickBot="1">
      <c r="A334" s="839" t="s">
        <v>1004</v>
      </c>
      <c r="B334" s="833" t="s">
        <v>372</v>
      </c>
      <c r="C334" s="1063">
        <v>0.15</v>
      </c>
      <c r="D334" s="1063">
        <v>0.15</v>
      </c>
      <c r="E334" s="1063">
        <v>0.15</v>
      </c>
      <c r="F334" s="1064">
        <v>0.15</v>
      </c>
    </row>
    <row r="335" spans="1:6" ht="15" thickBot="1">
      <c r="A335" s="839" t="s">
        <v>1004</v>
      </c>
      <c r="B335" s="833" t="s">
        <v>382</v>
      </c>
      <c r="C335" s="1063">
        <v>0.15</v>
      </c>
      <c r="D335" s="1063">
        <v>0.15</v>
      </c>
      <c r="E335" s="1063">
        <v>0.15</v>
      </c>
      <c r="F335" s="1075"/>
    </row>
    <row r="336" spans="1:6" ht="15" thickBot="1">
      <c r="A336" s="839" t="s">
        <v>1004</v>
      </c>
      <c r="B336" s="833" t="s">
        <v>1016</v>
      </c>
      <c r="C336" s="1063">
        <v>0.15</v>
      </c>
      <c r="D336" s="1063">
        <v>0.15</v>
      </c>
      <c r="E336" s="1063">
        <v>0.15</v>
      </c>
      <c r="F336" s="1064">
        <v>0.11799999999999999</v>
      </c>
    </row>
    <row r="337" spans="1:6" ht="15" thickBot="1">
      <c r="A337" s="849" t="s">
        <v>1004</v>
      </c>
      <c r="B337" s="845" t="s">
        <v>400</v>
      </c>
      <c r="C337" s="1073"/>
      <c r="D337" s="1073"/>
      <c r="E337" s="1073"/>
      <c r="F337" s="1066">
        <v>0.14299999999999999</v>
      </c>
    </row>
    <row r="338" spans="1:6" ht="15" thickBot="1">
      <c r="A338" s="839" t="s">
        <v>1017</v>
      </c>
      <c r="B338" s="840" t="s">
        <v>1018</v>
      </c>
      <c r="C338" s="1061">
        <v>0.15</v>
      </c>
      <c r="D338" s="1061">
        <v>0.15</v>
      </c>
      <c r="E338" s="1061">
        <v>0.15</v>
      </c>
      <c r="F338" s="1078"/>
    </row>
    <row r="339" spans="1:6" ht="15" thickBot="1">
      <c r="A339" s="839" t="s">
        <v>1017</v>
      </c>
      <c r="B339" s="833" t="s">
        <v>1019</v>
      </c>
      <c r="C339" s="1063">
        <v>0.15</v>
      </c>
      <c r="D339" s="1063">
        <v>0.15</v>
      </c>
      <c r="E339" s="1063">
        <v>0.15</v>
      </c>
      <c r="F339" s="1075"/>
    </row>
    <row r="340" spans="1:6" ht="15" thickBot="1">
      <c r="A340" s="839" t="s">
        <v>1017</v>
      </c>
      <c r="B340" s="833" t="s">
        <v>1020</v>
      </c>
      <c r="C340" s="1063">
        <v>0.15</v>
      </c>
      <c r="D340" s="1063">
        <v>0.15</v>
      </c>
      <c r="E340" s="1063">
        <v>0.15</v>
      </c>
      <c r="F340" s="1075"/>
    </row>
    <row r="341" spans="1:6" ht="15" thickBot="1">
      <c r="A341" s="839" t="s">
        <v>1017</v>
      </c>
      <c r="B341" s="833" t="s">
        <v>1021</v>
      </c>
      <c r="C341" s="1063">
        <v>0.15</v>
      </c>
      <c r="D341" s="1063">
        <v>0.15</v>
      </c>
      <c r="E341" s="1063">
        <v>0.15</v>
      </c>
      <c r="F341" s="1064">
        <v>0.15</v>
      </c>
    </row>
    <row r="342" spans="1:6" ht="15" thickBot="1">
      <c r="A342" s="839" t="s">
        <v>1017</v>
      </c>
      <c r="B342" s="833" t="s">
        <v>1022</v>
      </c>
      <c r="C342" s="1063">
        <v>0.15</v>
      </c>
      <c r="D342" s="1063">
        <v>0.15</v>
      </c>
      <c r="E342" s="1063">
        <v>0.15</v>
      </c>
      <c r="F342" s="1064">
        <v>0.15</v>
      </c>
    </row>
    <row r="343" spans="1:6" ht="15" thickBot="1">
      <c r="A343" s="839" t="s">
        <v>1017</v>
      </c>
      <c r="B343" s="833" t="s">
        <v>1023</v>
      </c>
      <c r="C343" s="1063">
        <v>0.15</v>
      </c>
      <c r="D343" s="1063">
        <v>0.15</v>
      </c>
      <c r="E343" s="1063">
        <v>0.15</v>
      </c>
      <c r="F343" s="1064">
        <v>0.15</v>
      </c>
    </row>
    <row r="344" spans="1:6" ht="1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1292</v>
      </c>
      <c r="C1" s="1693">
        <f>项目基本情况!D3</f>
        <v>43685</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1364</v>
      </c>
      <c r="E1" s="1775" t="s">
        <v>1368</v>
      </c>
      <c r="F1" s="1776" t="s">
        <v>1372</v>
      </c>
    </row>
    <row r="2" spans="1:13" ht="19.8">
      <c r="A2" s="1782" t="s">
        <v>1365</v>
      </c>
    </row>
    <row r="3" spans="1:13" ht="15.6">
      <c r="A3" s="1783" t="s">
        <v>1366</v>
      </c>
    </row>
    <row r="4" spans="1:13">
      <c r="A4" s="1773" t="s">
        <v>1367</v>
      </c>
      <c r="B4" s="1778" t="s">
        <v>1369</v>
      </c>
      <c r="C4" s="1779"/>
      <c r="D4" s="1780"/>
      <c r="E4" s="1778" t="s">
        <v>27</v>
      </c>
      <c r="F4" s="1779"/>
      <c r="G4" s="1780"/>
      <c r="H4" s="1778" t="s">
        <v>1370</v>
      </c>
      <c r="I4" s="1779"/>
      <c r="J4" s="1780"/>
      <c r="K4" s="1778" t="s">
        <v>6</v>
      </c>
      <c r="L4" s="1779"/>
      <c r="M4" s="1780"/>
    </row>
    <row r="5" spans="1:13">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39"/>
  <sheetViews>
    <sheetView topLeftCell="B10" workbookViewId="0">
      <selection activeCell="J38" sqref="J38"/>
    </sheetView>
  </sheetViews>
  <sheetFormatPr defaultRowHeight="14.4"/>
  <cols>
    <col min="4" max="4" width="14.33203125" customWidth="1"/>
    <col min="5" max="5" width="16.33203125" customWidth="1"/>
    <col min="6" max="6" width="9.44140625" bestFit="1" customWidth="1"/>
    <col min="7" max="7" width="21.6640625" style="3334" customWidth="1"/>
  </cols>
  <sheetData>
    <row r="6" spans="2:10">
      <c r="G6" s="3334">
        <v>0.2</v>
      </c>
    </row>
    <row r="7" spans="2:10">
      <c r="G7" s="3334">
        <v>0.6</v>
      </c>
    </row>
    <row r="8" spans="2:10" ht="15" thickBot="1"/>
    <row r="9" spans="2:10" ht="15" thickBot="1">
      <c r="C9" s="3332" t="s">
        <v>3168</v>
      </c>
      <c r="D9" s="3333" t="s">
        <v>3170</v>
      </c>
      <c r="E9" s="3333" t="s">
        <v>3171</v>
      </c>
    </row>
    <row r="10" spans="2:10" ht="15" thickBot="1">
      <c r="B10" t="s">
        <v>3040</v>
      </c>
      <c r="C10" s="3431" t="s">
        <v>3013</v>
      </c>
      <c r="D10" s="3432">
        <v>1</v>
      </c>
      <c r="E10" s="3433">
        <v>18</v>
      </c>
      <c r="F10">
        <v>12042.18</v>
      </c>
      <c r="G10" s="3334">
        <f>ROUND($G$6+($G$7-$G$6)*D10/E10,4)</f>
        <v>0.22220000000000001</v>
      </c>
    </row>
    <row r="11" spans="2:10" s="3335" customFormat="1" ht="15" thickBot="1">
      <c r="B11" s="3335" t="s">
        <v>3040</v>
      </c>
      <c r="C11" s="3434" t="s">
        <v>3015</v>
      </c>
      <c r="D11" s="3435">
        <v>3</v>
      </c>
      <c r="E11" s="3436">
        <v>18</v>
      </c>
      <c r="F11" s="3427">
        <v>12631.64</v>
      </c>
      <c r="G11" s="3334">
        <f t="shared" ref="G11:G24" si="0">ROUND($G$6+($G$7-$G$6)*D11/E11,4)</f>
        <v>0.26669999999999999</v>
      </c>
      <c r="H11" s="3427"/>
      <c r="I11" s="3427"/>
      <c r="J11" s="3427"/>
    </row>
    <row r="12" spans="2:10" s="3335" customFormat="1" ht="15" thickBot="1">
      <c r="B12" s="3335" t="s">
        <v>3040</v>
      </c>
      <c r="C12" s="3434" t="s">
        <v>3017</v>
      </c>
      <c r="D12" s="3435">
        <v>4</v>
      </c>
      <c r="E12" s="3436">
        <v>18</v>
      </c>
      <c r="F12" s="3427">
        <v>12457.49</v>
      </c>
      <c r="G12" s="3334">
        <f t="shared" si="0"/>
        <v>0.28889999999999999</v>
      </c>
      <c r="H12" s="3427"/>
      <c r="I12" s="3427"/>
      <c r="J12" s="3427"/>
    </row>
    <row r="13" spans="2:10" s="3335" customFormat="1" ht="15" thickBot="1">
      <c r="B13" s="3335" t="s">
        <v>3040</v>
      </c>
      <c r="C13" s="3434" t="s">
        <v>3018</v>
      </c>
      <c r="D13" s="3435">
        <v>4</v>
      </c>
      <c r="E13" s="3436">
        <v>18</v>
      </c>
      <c r="F13" s="3427">
        <v>12769.91</v>
      </c>
      <c r="G13" s="3334">
        <f t="shared" si="0"/>
        <v>0.28889999999999999</v>
      </c>
      <c r="H13" s="3427"/>
      <c r="I13" s="3427"/>
      <c r="J13" s="3427"/>
    </row>
    <row r="14" spans="2:10" ht="15" thickBot="1">
      <c r="B14" t="s">
        <v>3040</v>
      </c>
      <c r="C14" s="3431" t="s">
        <v>3019</v>
      </c>
      <c r="D14" s="3432">
        <v>1</v>
      </c>
      <c r="E14" s="3433">
        <v>11</v>
      </c>
      <c r="F14">
        <v>6589.42</v>
      </c>
      <c r="G14" s="3334">
        <f t="shared" si="0"/>
        <v>0.2364</v>
      </c>
    </row>
    <row r="15" spans="2:10" ht="15" thickBot="1">
      <c r="B15" t="s">
        <v>3040</v>
      </c>
      <c r="C15" s="3431" t="s">
        <v>3020</v>
      </c>
      <c r="D15" s="3432">
        <v>3</v>
      </c>
      <c r="E15" s="3433">
        <v>11</v>
      </c>
      <c r="F15">
        <v>7194.37</v>
      </c>
      <c r="G15" s="3334">
        <f t="shared" si="0"/>
        <v>0.30909999999999999</v>
      </c>
    </row>
    <row r="16" spans="2:10" s="3335" customFormat="1" ht="15" thickBot="1">
      <c r="B16" s="3335" t="s">
        <v>3040</v>
      </c>
      <c r="C16" s="3434" t="s">
        <v>3021</v>
      </c>
      <c r="D16" s="3435">
        <v>6</v>
      </c>
      <c r="E16" s="3436">
        <v>18</v>
      </c>
      <c r="F16" s="3427">
        <v>6459.22</v>
      </c>
      <c r="G16" s="3334">
        <f t="shared" si="0"/>
        <v>0.33329999999999999</v>
      </c>
      <c r="H16" s="3427"/>
      <c r="I16" s="3427"/>
      <c r="J16" s="3427"/>
    </row>
    <row r="17" spans="2:10" ht="15" thickBot="1">
      <c r="B17" t="s">
        <v>3040</v>
      </c>
      <c r="C17" s="3431" t="s">
        <v>3022</v>
      </c>
      <c r="D17" s="3432">
        <v>3</v>
      </c>
      <c r="E17" s="3433">
        <v>11</v>
      </c>
      <c r="F17">
        <v>6589.42</v>
      </c>
      <c r="G17" s="3334">
        <f t="shared" si="0"/>
        <v>0.30909999999999999</v>
      </c>
    </row>
    <row r="18" spans="2:10" ht="15" thickBot="1">
      <c r="B18" t="s">
        <v>3040</v>
      </c>
      <c r="C18" s="3431" t="s">
        <v>3023</v>
      </c>
      <c r="D18" s="3432">
        <v>1</v>
      </c>
      <c r="E18" s="3433">
        <v>10</v>
      </c>
      <c r="F18">
        <v>6656.29</v>
      </c>
      <c r="G18" s="3334">
        <f t="shared" si="0"/>
        <v>0.24</v>
      </c>
    </row>
    <row r="19" spans="2:10" ht="15" thickBot="1">
      <c r="B19" t="s">
        <v>3040</v>
      </c>
      <c r="C19" s="3431" t="s">
        <v>3024</v>
      </c>
      <c r="D19" s="3432">
        <v>5</v>
      </c>
      <c r="E19" s="3433">
        <v>16</v>
      </c>
      <c r="F19">
        <v>5923.36</v>
      </c>
      <c r="G19" s="3334">
        <f t="shared" si="0"/>
        <v>0.32500000000000001</v>
      </c>
    </row>
    <row r="20" spans="2:10" s="3335" customFormat="1" ht="15" thickBot="1">
      <c r="B20" s="3335" t="s">
        <v>3040</v>
      </c>
      <c r="C20" s="3434" t="s">
        <v>3025</v>
      </c>
      <c r="D20" s="3435">
        <v>11</v>
      </c>
      <c r="E20" s="3436">
        <v>11</v>
      </c>
      <c r="F20" s="3427">
        <v>6591.53</v>
      </c>
      <c r="G20" s="3334">
        <f t="shared" si="0"/>
        <v>0.6</v>
      </c>
      <c r="H20" s="3427"/>
      <c r="I20" s="3427"/>
      <c r="J20" s="3428"/>
    </row>
    <row r="21" spans="2:10" ht="15" thickBot="1">
      <c r="B21" t="s">
        <v>3040</v>
      </c>
      <c r="C21" s="3431" t="s">
        <v>3026</v>
      </c>
      <c r="D21" s="3432">
        <v>5</v>
      </c>
      <c r="E21" s="3433">
        <v>8</v>
      </c>
      <c r="F21">
        <v>5576.97</v>
      </c>
      <c r="G21" s="3334">
        <f t="shared" si="0"/>
        <v>0.45</v>
      </c>
    </row>
    <row r="22" spans="2:10" s="3335" customFormat="1" ht="15" thickBot="1">
      <c r="B22" s="3335" t="s">
        <v>3040</v>
      </c>
      <c r="C22" s="3434" t="s">
        <v>3027</v>
      </c>
      <c r="D22" s="3435">
        <v>18</v>
      </c>
      <c r="E22" s="3436">
        <v>18</v>
      </c>
      <c r="F22" s="3427">
        <v>6457.07</v>
      </c>
      <c r="G22" s="3334">
        <f t="shared" si="0"/>
        <v>0.6</v>
      </c>
      <c r="H22" s="3427"/>
      <c r="I22" s="3427"/>
      <c r="J22" s="3428"/>
    </row>
    <row r="23" spans="2:10" s="3335" customFormat="1" ht="15" thickBot="1">
      <c r="B23" s="3335" t="s">
        <v>3040</v>
      </c>
      <c r="C23" s="3434" t="s">
        <v>3028</v>
      </c>
      <c r="D23" s="3435">
        <v>10</v>
      </c>
      <c r="E23" s="3436">
        <v>10</v>
      </c>
      <c r="F23" s="3427">
        <v>6332.46</v>
      </c>
      <c r="G23" s="3334">
        <f t="shared" si="0"/>
        <v>0.6</v>
      </c>
      <c r="H23" s="3427"/>
      <c r="I23" s="3427"/>
      <c r="J23" s="3428"/>
    </row>
    <row r="24" spans="2:10" s="3335" customFormat="1">
      <c r="B24" s="3335" t="s">
        <v>3040</v>
      </c>
      <c r="C24" s="3437" t="s">
        <v>3029</v>
      </c>
      <c r="D24" s="3438">
        <v>18</v>
      </c>
      <c r="E24" s="3439">
        <v>18</v>
      </c>
      <c r="F24" s="3427">
        <v>6639.53</v>
      </c>
      <c r="G24" s="3334">
        <f t="shared" si="0"/>
        <v>0.6</v>
      </c>
      <c r="H24" s="3427"/>
      <c r="I24" s="3427"/>
      <c r="J24" s="3428"/>
    </row>
    <row r="25" spans="2:10">
      <c r="B25" s="3429" t="s">
        <v>3030</v>
      </c>
      <c r="C25" s="3440" t="s">
        <v>3343</v>
      </c>
      <c r="D25" s="3440">
        <v>1</v>
      </c>
      <c r="E25" s="3441">
        <v>2</v>
      </c>
      <c r="F25">
        <v>1763.93</v>
      </c>
      <c r="G25" s="3334">
        <v>0.5</v>
      </c>
    </row>
    <row r="26" spans="2:10" s="3426" customFormat="1">
      <c r="B26" s="3430" t="s">
        <v>1369</v>
      </c>
      <c r="C26" s="3442" t="s">
        <v>3344</v>
      </c>
      <c r="D26" s="3442" t="s">
        <v>3345</v>
      </c>
      <c r="E26" s="3441">
        <v>2</v>
      </c>
      <c r="F26" s="3426">
        <v>475.91</v>
      </c>
      <c r="G26" s="3334">
        <v>0.05</v>
      </c>
    </row>
    <row r="27" spans="2:10" s="3426" customFormat="1">
      <c r="B27" s="3430" t="s">
        <v>1369</v>
      </c>
      <c r="C27" s="3441" t="s">
        <v>3280</v>
      </c>
      <c r="D27" s="3442" t="s">
        <v>3346</v>
      </c>
      <c r="E27" s="3441">
        <v>2</v>
      </c>
      <c r="F27" s="3426">
        <v>475.91</v>
      </c>
      <c r="G27" s="3334">
        <v>0</v>
      </c>
    </row>
    <row r="28" spans="2:10" s="3426" customFormat="1">
      <c r="B28" s="3430" t="s">
        <v>1369</v>
      </c>
      <c r="C28" s="3441" t="s">
        <v>3281</v>
      </c>
      <c r="D28" s="3442" t="s">
        <v>3346</v>
      </c>
      <c r="E28" s="3441">
        <v>2</v>
      </c>
      <c r="F28" s="3426">
        <v>802.63</v>
      </c>
      <c r="G28" s="3334">
        <v>0</v>
      </c>
    </row>
    <row r="29" spans="2:10">
      <c r="B29" s="3429" t="s">
        <v>3035</v>
      </c>
      <c r="C29" s="3441" t="s">
        <v>3342</v>
      </c>
      <c r="D29" s="3440">
        <v>-1</v>
      </c>
      <c r="E29" s="3441">
        <v>-1</v>
      </c>
      <c r="F29">
        <v>28390.01</v>
      </c>
      <c r="G29" s="3334">
        <v>0.3</v>
      </c>
    </row>
    <row r="30" spans="2:10">
      <c r="B30" s="3443" t="s">
        <v>3347</v>
      </c>
      <c r="C30" s="3444" t="s">
        <v>3348</v>
      </c>
      <c r="D30" s="3445" t="s">
        <v>3346</v>
      </c>
      <c r="E30" s="3444">
        <v>1</v>
      </c>
      <c r="F30">
        <v>17.91</v>
      </c>
      <c r="G30" s="3334">
        <v>0</v>
      </c>
    </row>
    <row r="33" spans="4:11">
      <c r="F33" s="3446">
        <f>ROUND((F10*G10+F14*G14+F15*G15+F17*G17+F18*G18+F19*G19+F21*G21+F25*G25+F26*G26+F27*G27+F28*G28+F29*G29+F30*G30)/(F10+F14+F15+F17+F18+F19+F21+F25+F26+F27+F28+F29+F30),2)</f>
        <v>0.28999999999999998</v>
      </c>
    </row>
    <row r="35" spans="4:11">
      <c r="I35" s="3334"/>
    </row>
    <row r="36" spans="4:11">
      <c r="D36" s="3470" t="s">
        <v>3423</v>
      </c>
      <c r="E36">
        <v>1</v>
      </c>
      <c r="F36">
        <f>假设开发法!D7-工程进度!F26-工程进度!F27-工程进度!F28</f>
        <v>538.21999999999991</v>
      </c>
      <c r="H36">
        <f>F36</f>
        <v>538.21999999999991</v>
      </c>
      <c r="I36">
        <v>1</v>
      </c>
      <c r="J36">
        <f ca="1">J39*3/2.6</f>
        <v>15042.692307692307</v>
      </c>
      <c r="K36">
        <v>1</v>
      </c>
    </row>
    <row r="37" spans="4:11">
      <c r="D37" s="3470" t="s">
        <v>3424</v>
      </c>
      <c r="E37">
        <v>2</v>
      </c>
      <c r="F37">
        <f>SUM(F26:F28)</f>
        <v>1754.45</v>
      </c>
      <c r="H37">
        <f>F37/2</f>
        <v>877.22500000000002</v>
      </c>
      <c r="I37">
        <v>1</v>
      </c>
      <c r="J37">
        <f ca="1">J36</f>
        <v>15042.692307692307</v>
      </c>
      <c r="K37">
        <v>1</v>
      </c>
    </row>
    <row r="38" spans="4:11">
      <c r="H38">
        <f>F37-H37</f>
        <v>877.22500000000002</v>
      </c>
      <c r="I38">
        <v>2</v>
      </c>
      <c r="J38">
        <f ca="1">J36*K38</f>
        <v>9025.6153846153829</v>
      </c>
      <c r="K38">
        <v>0.6</v>
      </c>
    </row>
    <row r="39" spans="4:11">
      <c r="J39">
        <f ca="1">假设开发法!D6</f>
        <v>13037</v>
      </c>
    </row>
  </sheetData>
  <phoneticPr fontId="14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65520"/>
  <sheetViews>
    <sheetView workbookViewId="0">
      <selection activeCell="I22" sqref="I22"/>
    </sheetView>
  </sheetViews>
  <sheetFormatPr defaultRowHeight="14.4"/>
  <cols>
    <col min="2" max="2" width="22.6640625" customWidth="1"/>
    <col min="7" max="7" width="13.109375" style="3342" customWidth="1"/>
    <col min="9" max="9" width="11.44140625" customWidth="1"/>
    <col min="14" max="14" width="21.33203125" customWidth="1"/>
    <col min="16" max="16" width="9" style="3343"/>
  </cols>
  <sheetData>
    <row r="2" spans="2:16" s="1634" customFormat="1">
      <c r="B2" s="1634" t="s">
        <v>3175</v>
      </c>
      <c r="C2" s="1634" t="s">
        <v>3176</v>
      </c>
      <c r="D2" s="1634" t="s">
        <v>3177</v>
      </c>
      <c r="E2" s="1634" t="s">
        <v>3178</v>
      </c>
      <c r="F2" s="1634" t="s">
        <v>3179</v>
      </c>
      <c r="G2" s="3336" t="s">
        <v>3180</v>
      </c>
      <c r="H2" s="1634" t="s">
        <v>3181</v>
      </c>
      <c r="I2" s="1634" t="s">
        <v>3169</v>
      </c>
      <c r="J2" s="1634" t="s">
        <v>3182</v>
      </c>
      <c r="K2" s="1634" t="s">
        <v>3183</v>
      </c>
      <c r="L2" s="1634" t="s">
        <v>3184</v>
      </c>
      <c r="M2" s="1634" t="s">
        <v>3185</v>
      </c>
      <c r="N2" s="1634" t="s">
        <v>3186</v>
      </c>
      <c r="O2" s="1634" t="s">
        <v>3187</v>
      </c>
      <c r="P2" s="3337"/>
    </row>
    <row r="3" spans="2:16" s="1634" customFormat="1">
      <c r="B3" s="1634" t="s">
        <v>3188</v>
      </c>
      <c r="C3" s="1634" t="s">
        <v>3189</v>
      </c>
      <c r="D3" s="1634" t="s">
        <v>3190</v>
      </c>
      <c r="E3" s="1634">
        <v>41522</v>
      </c>
      <c r="F3" s="1634">
        <v>102144.1</v>
      </c>
      <c r="G3" s="3336" t="s">
        <v>3191</v>
      </c>
      <c r="H3" s="1634" t="s">
        <v>3192</v>
      </c>
      <c r="I3" s="1634" t="s">
        <v>3193</v>
      </c>
      <c r="J3" s="1634">
        <v>15200</v>
      </c>
      <c r="K3" s="1634">
        <v>15200</v>
      </c>
      <c r="L3" s="1634">
        <v>1488.08</v>
      </c>
      <c r="M3" s="1634">
        <v>0</v>
      </c>
      <c r="N3" s="1634" t="s">
        <v>3194</v>
      </c>
      <c r="O3" s="1634" t="s">
        <v>3195</v>
      </c>
      <c r="P3" s="3337">
        <f>K3/E3*666.67</f>
        <v>244.0485525745388</v>
      </c>
    </row>
    <row r="4" spans="2:16" s="1634" customFormat="1">
      <c r="B4" s="1634" t="s">
        <v>3196</v>
      </c>
      <c r="C4" s="1634" t="s">
        <v>3189</v>
      </c>
      <c r="D4" s="1634" t="s">
        <v>3190</v>
      </c>
      <c r="E4" s="1634">
        <v>15916</v>
      </c>
      <c r="F4" s="1634">
        <v>39153.360000000001</v>
      </c>
      <c r="G4" s="3336" t="s">
        <v>3197</v>
      </c>
      <c r="H4" s="1634" t="s">
        <v>3192</v>
      </c>
      <c r="I4" s="1634" t="s">
        <v>3193</v>
      </c>
      <c r="J4" s="1634">
        <v>5585</v>
      </c>
      <c r="K4" s="1634">
        <v>5585</v>
      </c>
      <c r="L4" s="1634">
        <v>1426.44</v>
      </c>
      <c r="M4" s="1634">
        <v>0</v>
      </c>
      <c r="N4" s="1634" t="s">
        <v>3194</v>
      </c>
      <c r="O4" s="1634" t="s">
        <v>3195</v>
      </c>
      <c r="P4" s="3337">
        <f t="shared" ref="P4:P37" si="0">K4/E4*666.67</f>
        <v>233.93766964061319</v>
      </c>
    </row>
    <row r="5" spans="2:16" s="1634" customFormat="1">
      <c r="B5" s="1634" t="s">
        <v>3198</v>
      </c>
      <c r="C5" s="1634" t="s">
        <v>3189</v>
      </c>
      <c r="D5" s="1634" t="s">
        <v>3190</v>
      </c>
      <c r="E5" s="1634">
        <v>48365</v>
      </c>
      <c r="F5" s="1634">
        <v>130585.5</v>
      </c>
      <c r="G5" s="3336" t="s">
        <v>3199</v>
      </c>
      <c r="H5" s="1634" t="s">
        <v>3192</v>
      </c>
      <c r="I5" s="1634" t="s">
        <v>3200</v>
      </c>
      <c r="J5" s="1634">
        <v>43200</v>
      </c>
      <c r="K5" s="1634">
        <v>75800</v>
      </c>
      <c r="L5" s="1634">
        <v>5804.63</v>
      </c>
      <c r="M5" s="1634">
        <v>75.459999999999994</v>
      </c>
      <c r="N5" s="1634" t="s">
        <v>3201</v>
      </c>
      <c r="O5" s="1634" t="s">
        <v>3195</v>
      </c>
      <c r="P5" s="3337">
        <f t="shared" si="0"/>
        <v>1044.837919983459</v>
      </c>
    </row>
    <row r="6" spans="2:16" s="1634" customFormat="1">
      <c r="B6" s="1634" t="s">
        <v>3202</v>
      </c>
      <c r="C6" s="1634" t="s">
        <v>3189</v>
      </c>
      <c r="D6" s="1634" t="s">
        <v>3190</v>
      </c>
      <c r="E6" s="1634">
        <v>52486</v>
      </c>
      <c r="F6" s="1634">
        <v>141712.20000000001</v>
      </c>
      <c r="G6" s="3336" t="s">
        <v>3199</v>
      </c>
      <c r="H6" s="1634" t="s">
        <v>3192</v>
      </c>
      <c r="I6" s="1634" t="s">
        <v>3200</v>
      </c>
      <c r="J6" s="1634">
        <v>48500</v>
      </c>
      <c r="K6" s="1634">
        <v>64300</v>
      </c>
      <c r="L6" s="1634">
        <v>4537.3599999999997</v>
      </c>
      <c r="M6" s="1634">
        <v>32.58</v>
      </c>
      <c r="N6" s="1634" t="s">
        <v>3201</v>
      </c>
      <c r="O6" s="1634" t="s">
        <v>3195</v>
      </c>
      <c r="P6" s="3337">
        <f t="shared" si="0"/>
        <v>816.72981366459624</v>
      </c>
    </row>
    <row r="7" spans="2:16" s="1634" customFormat="1">
      <c r="B7" s="1634" t="s">
        <v>3198</v>
      </c>
      <c r="C7" s="1634" t="s">
        <v>3189</v>
      </c>
      <c r="D7" s="1634" t="s">
        <v>3190</v>
      </c>
      <c r="E7" s="1634">
        <v>56784</v>
      </c>
      <c r="F7" s="1634">
        <v>153316.79999999999</v>
      </c>
      <c r="G7" s="3336" t="s">
        <v>3199</v>
      </c>
      <c r="H7" s="1634" t="s">
        <v>3192</v>
      </c>
      <c r="I7" s="1634" t="s">
        <v>3200</v>
      </c>
      <c r="J7" s="1634">
        <v>54700</v>
      </c>
      <c r="K7" s="1634">
        <v>61500</v>
      </c>
      <c r="L7" s="1634">
        <v>4011.3</v>
      </c>
      <c r="M7" s="1634">
        <v>12.43</v>
      </c>
      <c r="N7" s="1634" t="s">
        <v>3203</v>
      </c>
      <c r="O7" s="1634" t="s">
        <v>3195</v>
      </c>
      <c r="P7" s="3337">
        <f t="shared" si="0"/>
        <v>722.037986052409</v>
      </c>
    </row>
    <row r="8" spans="2:16" s="1634" customFormat="1">
      <c r="B8" s="1634" t="s">
        <v>3202</v>
      </c>
      <c r="C8" s="1634" t="s">
        <v>3189</v>
      </c>
      <c r="D8" s="1634" t="s">
        <v>3190</v>
      </c>
      <c r="E8" s="1634">
        <v>60661</v>
      </c>
      <c r="F8" s="1634">
        <v>163784.70000000001</v>
      </c>
      <c r="G8" s="3336" t="s">
        <v>3199</v>
      </c>
      <c r="H8" s="1634" t="s">
        <v>3192</v>
      </c>
      <c r="I8" s="1634" t="s">
        <v>3200</v>
      </c>
      <c r="J8" s="1634">
        <v>60500</v>
      </c>
      <c r="K8" s="1634">
        <v>66100</v>
      </c>
      <c r="L8" s="1634">
        <v>4035.78</v>
      </c>
      <c r="M8" s="1634">
        <v>9.26</v>
      </c>
      <c r="N8" s="1634" t="s">
        <v>3204</v>
      </c>
      <c r="O8" s="1634" t="s">
        <v>3195</v>
      </c>
      <c r="P8" s="3337">
        <f t="shared" si="0"/>
        <v>726.44511300506088</v>
      </c>
    </row>
    <row r="9" spans="2:16" s="1634" customFormat="1">
      <c r="B9" s="1634" t="s">
        <v>3205</v>
      </c>
      <c r="C9" s="1634" t="s">
        <v>3189</v>
      </c>
      <c r="D9" s="1634" t="s">
        <v>3190</v>
      </c>
      <c r="E9" s="1634">
        <v>21771.39</v>
      </c>
      <c r="F9" s="1634">
        <v>40712.5</v>
      </c>
      <c r="G9" s="3336" t="s">
        <v>3206</v>
      </c>
      <c r="H9" s="1634" t="s">
        <v>3192</v>
      </c>
      <c r="I9" s="1634" t="s">
        <v>3207</v>
      </c>
      <c r="J9" s="1634">
        <v>9552</v>
      </c>
      <c r="K9" s="1634">
        <v>10552</v>
      </c>
      <c r="L9" s="1634">
        <v>2591.8200000000002</v>
      </c>
      <c r="M9" s="1634">
        <v>10.47</v>
      </c>
      <c r="N9" s="1634" t="s">
        <v>3208</v>
      </c>
      <c r="O9" s="1634" t="s">
        <v>3195</v>
      </c>
      <c r="P9" s="3337">
        <f t="shared" si="0"/>
        <v>323.11679869774042</v>
      </c>
    </row>
    <row r="10" spans="2:16" s="1634" customFormat="1">
      <c r="B10" s="1634" t="s">
        <v>3209</v>
      </c>
      <c r="C10" s="1634" t="s">
        <v>3189</v>
      </c>
      <c r="D10" s="1634" t="s">
        <v>3190</v>
      </c>
      <c r="E10" s="1634">
        <v>40465.19</v>
      </c>
      <c r="F10" s="1634">
        <v>72432.69</v>
      </c>
      <c r="G10" s="3336" t="s">
        <v>3210</v>
      </c>
      <c r="H10" s="1634" t="s">
        <v>3192</v>
      </c>
      <c r="I10" s="1634" t="s">
        <v>3207</v>
      </c>
      <c r="J10" s="1634">
        <v>17327</v>
      </c>
      <c r="K10" s="1634">
        <v>19077</v>
      </c>
      <c r="L10" s="1634">
        <v>2633.76</v>
      </c>
      <c r="M10" s="1634">
        <v>10.1</v>
      </c>
      <c r="N10" s="1634" t="s">
        <v>3211</v>
      </c>
      <c r="O10" s="1634" t="s">
        <v>3195</v>
      </c>
      <c r="P10" s="3337">
        <f t="shared" si="0"/>
        <v>314.29640117839551</v>
      </c>
    </row>
    <row r="11" spans="2:16" s="1634" customFormat="1">
      <c r="B11" s="1634" t="s">
        <v>3212</v>
      </c>
      <c r="C11" s="1634" t="s">
        <v>3189</v>
      </c>
      <c r="D11" s="1634" t="s">
        <v>3190</v>
      </c>
      <c r="E11" s="1634">
        <v>62686</v>
      </c>
      <c r="F11" s="1634">
        <v>169252.2</v>
      </c>
      <c r="G11" s="3336" t="s">
        <v>3199</v>
      </c>
      <c r="H11" s="1634" t="s">
        <v>3192</v>
      </c>
      <c r="I11" s="1634" t="s">
        <v>3213</v>
      </c>
      <c r="J11" s="1634">
        <v>25375</v>
      </c>
      <c r="K11" s="1634">
        <v>25375</v>
      </c>
      <c r="L11" s="1634">
        <v>1499.24</v>
      </c>
      <c r="M11" s="1634">
        <v>0</v>
      </c>
      <c r="N11" s="1634" t="s">
        <v>3214</v>
      </c>
      <c r="O11" s="1634" t="s">
        <v>3195</v>
      </c>
      <c r="P11" s="3337">
        <f t="shared" si="0"/>
        <v>269.86490205149471</v>
      </c>
    </row>
    <row r="12" spans="2:16" s="1634" customFormat="1">
      <c r="B12" s="1634" t="s">
        <v>3215</v>
      </c>
      <c r="C12" s="1634" t="s">
        <v>3189</v>
      </c>
      <c r="D12" s="1634" t="s">
        <v>3190</v>
      </c>
      <c r="E12" s="1634">
        <v>6802.6</v>
      </c>
      <c r="F12" s="1634">
        <v>17006.5</v>
      </c>
      <c r="G12" s="3336" t="s">
        <v>3216</v>
      </c>
      <c r="H12" s="1634" t="s">
        <v>3192</v>
      </c>
      <c r="I12" s="1634" t="s">
        <v>3217</v>
      </c>
      <c r="J12" s="1634">
        <v>2301.61</v>
      </c>
      <c r="K12" s="1634">
        <v>2951.61</v>
      </c>
      <c r="L12" s="1634">
        <v>1735.57</v>
      </c>
      <c r="M12" s="1634">
        <v>28.24</v>
      </c>
      <c r="N12" s="1634" t="s">
        <v>3218</v>
      </c>
      <c r="O12" s="1634" t="s">
        <v>3195</v>
      </c>
      <c r="P12" s="3337">
        <f t="shared" si="0"/>
        <v>289.26437519477844</v>
      </c>
    </row>
    <row r="13" spans="2:16" s="3338" customFormat="1">
      <c r="B13" s="3338" t="s">
        <v>3219</v>
      </c>
      <c r="C13" s="3338" t="s">
        <v>3189</v>
      </c>
      <c r="D13" s="3338" t="s">
        <v>3190</v>
      </c>
      <c r="E13" s="3338">
        <v>18443.5</v>
      </c>
      <c r="F13" s="3338">
        <v>46108.75</v>
      </c>
      <c r="G13" s="3339" t="s">
        <v>3216</v>
      </c>
      <c r="H13" s="3338" t="s">
        <v>3192</v>
      </c>
      <c r="I13" s="3338" t="s">
        <v>3217</v>
      </c>
      <c r="J13" s="3338">
        <v>6986.39</v>
      </c>
      <c r="K13" s="3338">
        <v>9736.39</v>
      </c>
      <c r="L13" s="3338">
        <v>2111.61</v>
      </c>
      <c r="M13" s="3338">
        <v>39.36</v>
      </c>
      <c r="N13" s="3338" t="s">
        <v>3218</v>
      </c>
      <c r="O13" s="3338" t="s">
        <v>3195</v>
      </c>
      <c r="P13" s="3337">
        <f t="shared" si="0"/>
        <v>351.93749132756795</v>
      </c>
    </row>
    <row r="14" spans="2:16" s="3340" customFormat="1">
      <c r="B14" s="3340" t="s">
        <v>3220</v>
      </c>
      <c r="C14" s="3340" t="s">
        <v>3189</v>
      </c>
      <c r="D14" s="3340" t="s">
        <v>3190</v>
      </c>
      <c r="E14" s="3340">
        <v>48883.03</v>
      </c>
      <c r="F14" s="3340">
        <v>97766.06</v>
      </c>
      <c r="G14" s="3341" t="s">
        <v>3221</v>
      </c>
      <c r="H14" s="3340" t="s">
        <v>3192</v>
      </c>
      <c r="I14" s="3340" t="s">
        <v>3217</v>
      </c>
      <c r="J14" s="3340">
        <v>16965.29</v>
      </c>
      <c r="K14" s="3340">
        <v>23715.29</v>
      </c>
      <c r="L14" s="3340">
        <v>2425.71</v>
      </c>
      <c r="M14" s="3340">
        <v>39.79</v>
      </c>
      <c r="N14" s="3340" t="s">
        <v>3222</v>
      </c>
      <c r="O14" s="3340" t="s">
        <v>3195</v>
      </c>
      <c r="P14" s="3337">
        <f t="shared" si="0"/>
        <v>323.43069536196919</v>
      </c>
    </row>
    <row r="15" spans="2:16" s="1634" customFormat="1">
      <c r="B15" s="1634" t="s">
        <v>3223</v>
      </c>
      <c r="C15" s="1634" t="s">
        <v>3189</v>
      </c>
      <c r="D15" s="1634" t="s">
        <v>3190</v>
      </c>
      <c r="E15" s="1634">
        <v>18323.93</v>
      </c>
      <c r="F15" s="1634">
        <v>27485.9</v>
      </c>
      <c r="G15" s="3336" t="s">
        <v>3224</v>
      </c>
      <c r="H15" s="1634" t="s">
        <v>3192</v>
      </c>
      <c r="I15" s="1634" t="s">
        <v>3217</v>
      </c>
      <c r="J15" s="1634">
        <v>6254.68</v>
      </c>
      <c r="K15" s="1634">
        <v>8754.68</v>
      </c>
      <c r="L15" s="1634">
        <v>3185.15</v>
      </c>
      <c r="M15" s="1634">
        <v>39.97</v>
      </c>
      <c r="N15" s="1634" t="s">
        <v>3225</v>
      </c>
      <c r="O15" s="1634" t="s">
        <v>3195</v>
      </c>
      <c r="P15" s="3337">
        <f t="shared" si="0"/>
        <v>318.51696200542131</v>
      </c>
    </row>
    <row r="16" spans="2:16" s="3340" customFormat="1">
      <c r="B16" s="3340" t="s">
        <v>3226</v>
      </c>
      <c r="C16" s="3340" t="s">
        <v>3189</v>
      </c>
      <c r="D16" s="3340" t="s">
        <v>3190</v>
      </c>
      <c r="E16" s="3340">
        <v>54440.83</v>
      </c>
      <c r="F16" s="3340">
        <v>108881.66</v>
      </c>
      <c r="G16" s="3341" t="s">
        <v>3221</v>
      </c>
      <c r="H16" s="3340" t="s">
        <v>3192</v>
      </c>
      <c r="I16" s="3340" t="s">
        <v>3217</v>
      </c>
      <c r="J16" s="3340">
        <v>19393.11</v>
      </c>
      <c r="K16" s="3340">
        <v>27143.11</v>
      </c>
      <c r="L16" s="3340">
        <v>2492.9</v>
      </c>
      <c r="M16" s="3340">
        <v>39.96</v>
      </c>
      <c r="N16" s="3340" t="s">
        <v>3227</v>
      </c>
      <c r="O16" s="3340" t="s">
        <v>3195</v>
      </c>
      <c r="P16" s="3337">
        <f t="shared" si="0"/>
        <v>332.38834058371259</v>
      </c>
    </row>
    <row r="17" spans="2:16" s="3467" customFormat="1">
      <c r="B17" s="3467" t="s">
        <v>3228</v>
      </c>
      <c r="C17" s="3467" t="s">
        <v>3189</v>
      </c>
      <c r="D17" s="3467" t="s">
        <v>3190</v>
      </c>
      <c r="E17" s="3467">
        <v>22802.59</v>
      </c>
      <c r="F17" s="3467">
        <v>45605.18</v>
      </c>
      <c r="G17" s="3468" t="s">
        <v>3221</v>
      </c>
      <c r="H17" s="3467" t="s">
        <v>3192</v>
      </c>
      <c r="I17" s="3467" t="s">
        <v>3217</v>
      </c>
      <c r="J17" s="3467">
        <v>8112.76</v>
      </c>
      <c r="K17" s="3467">
        <v>11312.76</v>
      </c>
      <c r="L17" s="3467">
        <v>2480.59</v>
      </c>
      <c r="M17" s="3467">
        <v>39.44</v>
      </c>
      <c r="N17" s="3467" t="s">
        <v>3222</v>
      </c>
      <c r="O17" s="3467" t="s">
        <v>3195</v>
      </c>
      <c r="P17" s="3469">
        <f t="shared" si="0"/>
        <v>330.7465384063828</v>
      </c>
    </row>
    <row r="18" spans="2:16" s="3340" customFormat="1">
      <c r="B18" s="3340" t="s">
        <v>3229</v>
      </c>
      <c r="C18" s="3340" t="s">
        <v>3189</v>
      </c>
      <c r="D18" s="3340" t="s">
        <v>3190</v>
      </c>
      <c r="E18" s="3340">
        <v>14027.01</v>
      </c>
      <c r="F18" s="3340">
        <v>23284.84</v>
      </c>
      <c r="G18" s="3341" t="s">
        <v>3230</v>
      </c>
      <c r="H18" s="3340" t="s">
        <v>3192</v>
      </c>
      <c r="I18" s="3340" t="s">
        <v>3231</v>
      </c>
      <c r="J18" s="3340">
        <v>3596</v>
      </c>
      <c r="K18" s="3340">
        <v>4846</v>
      </c>
      <c r="L18" s="3340">
        <v>2081.17</v>
      </c>
      <c r="M18" s="3340">
        <v>34.76</v>
      </c>
      <c r="N18" s="3340" t="s">
        <v>3232</v>
      </c>
      <c r="O18" s="3340" t="s">
        <v>3195</v>
      </c>
      <c r="P18" s="3337">
        <f t="shared" si="0"/>
        <v>230.31870797839312</v>
      </c>
    </row>
    <row r="19" spans="2:16" s="1634" customFormat="1">
      <c r="B19" s="1634" t="s">
        <v>3233</v>
      </c>
      <c r="C19" s="1634" t="s">
        <v>3189</v>
      </c>
      <c r="D19" s="1634" t="s">
        <v>3190</v>
      </c>
      <c r="E19" s="1634">
        <v>55521.58</v>
      </c>
      <c r="F19" s="1634">
        <v>108267.08</v>
      </c>
      <c r="G19" s="3336" t="s">
        <v>3234</v>
      </c>
      <c r="H19" s="1634" t="s">
        <v>3192</v>
      </c>
      <c r="I19" s="1634" t="s">
        <v>3231</v>
      </c>
      <c r="J19" s="1634">
        <v>15299</v>
      </c>
      <c r="K19" s="1634">
        <v>19699</v>
      </c>
      <c r="L19" s="1634">
        <v>1819.48</v>
      </c>
      <c r="M19" s="1634">
        <v>28.76</v>
      </c>
      <c r="N19" s="1634" t="s">
        <v>3235</v>
      </c>
      <c r="O19" s="1634" t="s">
        <v>3195</v>
      </c>
      <c r="P19" s="3337">
        <f t="shared" si="0"/>
        <v>236.53383657309459</v>
      </c>
    </row>
    <row r="20" spans="2:16" s="1634" customFormat="1">
      <c r="B20" s="1634" t="s">
        <v>3236</v>
      </c>
      <c r="C20" s="1634" t="s">
        <v>3189</v>
      </c>
      <c r="D20" s="1634" t="s">
        <v>3190</v>
      </c>
      <c r="E20" s="1634">
        <v>57940.58</v>
      </c>
      <c r="F20" s="1634">
        <v>103134.23</v>
      </c>
      <c r="G20" s="3336" t="s">
        <v>3237</v>
      </c>
      <c r="H20" s="1634" t="s">
        <v>3192</v>
      </c>
      <c r="I20" s="1634" t="s">
        <v>3231</v>
      </c>
      <c r="J20" s="1634">
        <v>15101</v>
      </c>
      <c r="K20" s="1634">
        <v>20351</v>
      </c>
      <c r="L20" s="1634">
        <v>1973.25</v>
      </c>
      <c r="M20" s="1634">
        <v>34.770000000000003</v>
      </c>
      <c r="N20" s="1634" t="s">
        <v>3211</v>
      </c>
      <c r="O20" s="1634" t="s">
        <v>3195</v>
      </c>
      <c r="P20" s="3337">
        <f t="shared" si="0"/>
        <v>234.16060332844441</v>
      </c>
    </row>
    <row r="21" spans="2:16" s="1634" customFormat="1">
      <c r="B21" s="1634" t="s">
        <v>3238</v>
      </c>
      <c r="C21" s="1634" t="s">
        <v>3189</v>
      </c>
      <c r="D21" s="1634" t="s">
        <v>3190</v>
      </c>
      <c r="E21" s="1634">
        <v>32407.15</v>
      </c>
      <c r="F21" s="1634">
        <v>64814.3</v>
      </c>
      <c r="G21" s="3336" t="s">
        <v>3221</v>
      </c>
      <c r="H21" s="1634" t="s">
        <v>3192</v>
      </c>
      <c r="I21" s="1634" t="s">
        <v>3239</v>
      </c>
      <c r="J21" s="1634">
        <v>8312</v>
      </c>
      <c r="K21" s="1634">
        <v>9112</v>
      </c>
      <c r="L21" s="1634">
        <v>1405.85</v>
      </c>
      <c r="M21" s="1634">
        <v>9.6199999999999992</v>
      </c>
      <c r="N21" s="1634" t="s">
        <v>3240</v>
      </c>
      <c r="O21" s="1634" t="s">
        <v>3195</v>
      </c>
      <c r="P21" s="3337">
        <f t="shared" si="0"/>
        <v>187.4492832600213</v>
      </c>
    </row>
    <row r="22" spans="2:16" s="1634" customFormat="1">
      <c r="B22" s="1634" t="s">
        <v>3241</v>
      </c>
      <c r="C22" s="1634" t="s">
        <v>3189</v>
      </c>
      <c r="D22" s="1634" t="s">
        <v>3190</v>
      </c>
      <c r="E22" s="1634">
        <v>19836.18</v>
      </c>
      <c r="F22" s="1634">
        <v>35506.76</v>
      </c>
      <c r="G22" s="3336" t="s">
        <v>3242</v>
      </c>
      <c r="H22" s="1634" t="s">
        <v>3192</v>
      </c>
      <c r="I22" s="1634" t="s">
        <v>3239</v>
      </c>
      <c r="J22" s="1634">
        <v>5057</v>
      </c>
      <c r="K22" s="1634">
        <v>5557</v>
      </c>
      <c r="L22" s="1634">
        <v>1565.04</v>
      </c>
      <c r="M22" s="1634">
        <v>9.89</v>
      </c>
      <c r="N22" s="1634" t="s">
        <v>3243</v>
      </c>
      <c r="O22" s="1634" t="s">
        <v>3195</v>
      </c>
      <c r="P22" s="3337">
        <f t="shared" si="0"/>
        <v>186.76404378262347</v>
      </c>
    </row>
    <row r="23" spans="2:16" s="1634" customFormat="1">
      <c r="B23" s="1634" t="s">
        <v>3244</v>
      </c>
      <c r="C23" s="1634" t="s">
        <v>3189</v>
      </c>
      <c r="D23" s="1634" t="s">
        <v>3190</v>
      </c>
      <c r="E23" s="1634">
        <v>19356.400000000001</v>
      </c>
      <c r="F23" s="1634">
        <v>32905.879999999997</v>
      </c>
      <c r="G23" s="3336" t="s">
        <v>3245</v>
      </c>
      <c r="H23" s="1634" t="s">
        <v>3192</v>
      </c>
      <c r="I23" s="1634" t="s">
        <v>3239</v>
      </c>
      <c r="J23" s="1634">
        <v>4964</v>
      </c>
      <c r="K23" s="1634">
        <v>5414</v>
      </c>
      <c r="L23" s="1634">
        <v>1645.29</v>
      </c>
      <c r="M23" s="1634">
        <v>9.07</v>
      </c>
      <c r="N23" s="1634" t="s">
        <v>3243</v>
      </c>
      <c r="O23" s="1634" t="s">
        <v>3195</v>
      </c>
      <c r="P23" s="3337">
        <f t="shared" si="0"/>
        <v>186.46811287222829</v>
      </c>
    </row>
    <row r="24" spans="2:16" s="1634" customFormat="1">
      <c r="B24" s="1634" t="s">
        <v>3246</v>
      </c>
      <c r="C24" s="1634" t="s">
        <v>3189</v>
      </c>
      <c r="D24" s="1634" t="s">
        <v>3190</v>
      </c>
      <c r="E24" s="1634">
        <v>33781.93</v>
      </c>
      <c r="F24" s="1634">
        <v>67563.86</v>
      </c>
      <c r="G24" s="3336" t="s">
        <v>3221</v>
      </c>
      <c r="H24" s="1634" t="s">
        <v>3192</v>
      </c>
      <c r="I24" s="1634" t="s">
        <v>3239</v>
      </c>
      <c r="J24" s="1634">
        <v>8563</v>
      </c>
      <c r="K24" s="1634">
        <v>9413</v>
      </c>
      <c r="L24" s="1634">
        <v>1393.2</v>
      </c>
      <c r="M24" s="1634">
        <v>9.93</v>
      </c>
      <c r="N24" s="1634" t="s">
        <v>3247</v>
      </c>
      <c r="O24" s="1634" t="s">
        <v>3195</v>
      </c>
      <c r="P24" s="3337">
        <f t="shared" si="0"/>
        <v>185.76098849296056</v>
      </c>
    </row>
    <row r="25" spans="2:16" s="1634" customFormat="1">
      <c r="B25" s="1634" t="s">
        <v>3248</v>
      </c>
      <c r="C25" s="1634" t="s">
        <v>3189</v>
      </c>
      <c r="D25" s="1634" t="s">
        <v>3190</v>
      </c>
      <c r="E25" s="1634">
        <v>48917.04</v>
      </c>
      <c r="F25" s="1634">
        <v>117400.9</v>
      </c>
      <c r="G25" s="3336" t="s">
        <v>3249</v>
      </c>
      <c r="H25" s="1634" t="s">
        <v>3192</v>
      </c>
      <c r="I25" s="1634" t="s">
        <v>3250</v>
      </c>
      <c r="J25" s="1634">
        <v>13262</v>
      </c>
      <c r="K25" s="1634">
        <v>14312</v>
      </c>
      <c r="L25" s="1634">
        <v>1219.06</v>
      </c>
      <c r="M25" s="1634">
        <v>7.92</v>
      </c>
      <c r="N25" s="1634" t="s">
        <v>3251</v>
      </c>
      <c r="O25" s="1634" t="s">
        <v>3195</v>
      </c>
      <c r="P25" s="3337">
        <f t="shared" si="0"/>
        <v>195.05229752249932</v>
      </c>
    </row>
    <row r="26" spans="2:16" s="1634" customFormat="1">
      <c r="B26" s="1634" t="s">
        <v>3252</v>
      </c>
      <c r="C26" s="1634" t="s">
        <v>3189</v>
      </c>
      <c r="D26" s="1634" t="s">
        <v>3190</v>
      </c>
      <c r="E26" s="1634">
        <v>6756.21</v>
      </c>
      <c r="F26" s="1634">
        <v>10809.94</v>
      </c>
      <c r="G26" s="3336" t="s">
        <v>3253</v>
      </c>
      <c r="H26" s="1634" t="s">
        <v>3192</v>
      </c>
      <c r="I26" s="1634" t="s">
        <v>3254</v>
      </c>
      <c r="J26" s="1634">
        <v>1638</v>
      </c>
      <c r="K26" s="1634">
        <v>1838</v>
      </c>
      <c r="L26" s="1634">
        <v>1700.28</v>
      </c>
      <c r="M26" s="1634">
        <v>12.21</v>
      </c>
      <c r="N26" s="1634" t="s">
        <v>3255</v>
      </c>
      <c r="O26" s="1634" t="s">
        <v>3195</v>
      </c>
      <c r="P26" s="3337">
        <f t="shared" si="0"/>
        <v>181.36491612901312</v>
      </c>
    </row>
    <row r="27" spans="2:16" s="1634" customFormat="1">
      <c r="B27" s="1634" t="s">
        <v>3256</v>
      </c>
      <c r="C27" s="1634" t="s">
        <v>3189</v>
      </c>
      <c r="D27" s="1634" t="s">
        <v>3190</v>
      </c>
      <c r="E27" s="1634">
        <v>8031.29</v>
      </c>
      <c r="F27" s="1634">
        <v>15098.83</v>
      </c>
      <c r="G27" s="3336" t="s">
        <v>3257</v>
      </c>
      <c r="H27" s="1634" t="s">
        <v>3192</v>
      </c>
      <c r="I27" s="1634" t="s">
        <v>3254</v>
      </c>
      <c r="J27" s="1634">
        <v>2217</v>
      </c>
      <c r="K27" s="1634">
        <v>2417</v>
      </c>
      <c r="L27" s="1634">
        <v>1600.78</v>
      </c>
      <c r="M27" s="1634">
        <v>9.02</v>
      </c>
      <c r="N27" s="1634" t="s">
        <v>3258</v>
      </c>
      <c r="O27" s="1634" t="s">
        <v>3195</v>
      </c>
      <c r="P27" s="3337">
        <f t="shared" si="0"/>
        <v>200.63294813162017</v>
      </c>
    </row>
    <row r="28" spans="2:16" s="1634" customFormat="1">
      <c r="B28" s="1634" t="s">
        <v>3259</v>
      </c>
      <c r="C28" s="1634" t="s">
        <v>3189</v>
      </c>
      <c r="D28" s="1634" t="s">
        <v>3190</v>
      </c>
      <c r="E28" s="1634">
        <v>1153</v>
      </c>
      <c r="F28" s="1634">
        <v>2306</v>
      </c>
      <c r="G28" s="3336" t="s">
        <v>3221</v>
      </c>
      <c r="H28" s="1634" t="s">
        <v>3192</v>
      </c>
      <c r="I28" s="1634" t="s">
        <v>3254</v>
      </c>
      <c r="J28" s="1634">
        <v>344</v>
      </c>
      <c r="K28" s="1634">
        <v>394</v>
      </c>
      <c r="L28" s="1634">
        <v>1708.58</v>
      </c>
      <c r="M28" s="1634">
        <v>14.53</v>
      </c>
      <c r="N28" s="1634" t="s">
        <v>3260</v>
      </c>
      <c r="O28" s="1634" t="s">
        <v>3195</v>
      </c>
      <c r="P28" s="3337">
        <f t="shared" si="0"/>
        <v>227.81264527320033</v>
      </c>
    </row>
    <row r="29" spans="2:16" s="1634" customFormat="1">
      <c r="B29" s="1634" t="s">
        <v>3261</v>
      </c>
      <c r="C29" s="1634" t="s">
        <v>3189</v>
      </c>
      <c r="D29" s="1634" t="s">
        <v>3190</v>
      </c>
      <c r="E29" s="1634">
        <v>10829.64</v>
      </c>
      <c r="F29" s="1634">
        <v>15161.5</v>
      </c>
      <c r="G29" s="3336" t="s">
        <v>3262</v>
      </c>
      <c r="H29" s="1634" t="s">
        <v>3192</v>
      </c>
      <c r="I29" s="1634" t="s">
        <v>3254</v>
      </c>
      <c r="J29" s="1634">
        <v>2227</v>
      </c>
      <c r="K29" s="1634">
        <v>2427</v>
      </c>
      <c r="L29" s="1634">
        <v>1600.76</v>
      </c>
      <c r="M29" s="1634">
        <v>8.98</v>
      </c>
      <c r="N29" s="1634" t="s">
        <v>3263</v>
      </c>
      <c r="O29" s="1634" t="s">
        <v>3195</v>
      </c>
      <c r="P29" s="3337">
        <f t="shared" si="0"/>
        <v>149.405528715636</v>
      </c>
    </row>
    <row r="30" spans="2:16" s="1634" customFormat="1">
      <c r="B30" s="1634" t="s">
        <v>3264</v>
      </c>
      <c r="C30" s="1634" t="s">
        <v>3189</v>
      </c>
      <c r="D30" s="1634" t="s">
        <v>3190</v>
      </c>
      <c r="E30" s="1634">
        <v>23140.44</v>
      </c>
      <c r="F30" s="1634">
        <v>50908.97</v>
      </c>
      <c r="G30" s="3336" t="s">
        <v>3265</v>
      </c>
      <c r="H30" s="1634" t="s">
        <v>3192</v>
      </c>
      <c r="I30" s="1634" t="s">
        <v>3254</v>
      </c>
      <c r="J30" s="1634">
        <v>5810</v>
      </c>
      <c r="K30" s="1634">
        <v>6310</v>
      </c>
      <c r="L30" s="1634">
        <v>1239.47</v>
      </c>
      <c r="M30" s="1634">
        <v>8.61</v>
      </c>
      <c r="N30" s="1634" t="s">
        <v>3266</v>
      </c>
      <c r="O30" s="1634" t="s">
        <v>3195</v>
      </c>
      <c r="P30" s="3337">
        <f t="shared" si="0"/>
        <v>181.78944307022684</v>
      </c>
    </row>
    <row r="31" spans="2:16" s="1634" customFormat="1">
      <c r="B31" s="1634" t="s">
        <v>3267</v>
      </c>
      <c r="C31" s="1634" t="s">
        <v>3189</v>
      </c>
      <c r="D31" s="1634" t="s">
        <v>3190</v>
      </c>
      <c r="E31" s="1634">
        <v>14381.89</v>
      </c>
      <c r="F31" s="1634">
        <v>28763.78</v>
      </c>
      <c r="G31" s="3336" t="s">
        <v>3221</v>
      </c>
      <c r="H31" s="1634" t="s">
        <v>3192</v>
      </c>
      <c r="I31" s="1634" t="s">
        <v>3254</v>
      </c>
      <c r="J31" s="1634">
        <v>3979</v>
      </c>
      <c r="K31" s="1634">
        <v>4329</v>
      </c>
      <c r="L31" s="1634">
        <v>1505.01</v>
      </c>
      <c r="M31" s="1634">
        <v>8.8000000000000007</v>
      </c>
      <c r="N31" s="1634" t="s">
        <v>3268</v>
      </c>
      <c r="O31" s="1634" t="s">
        <v>3195</v>
      </c>
      <c r="P31" s="3337">
        <f t="shared" si="0"/>
        <v>200.67003919512663</v>
      </c>
    </row>
    <row r="32" spans="2:16" s="1634" customFormat="1">
      <c r="B32" s="1634" t="s">
        <v>3269</v>
      </c>
      <c r="C32" s="1634" t="s">
        <v>3189</v>
      </c>
      <c r="D32" s="1634" t="s">
        <v>3190</v>
      </c>
      <c r="E32" s="1634">
        <v>12797.82</v>
      </c>
      <c r="F32" s="1634">
        <v>31994.55</v>
      </c>
      <c r="G32" s="3336" t="s">
        <v>3216</v>
      </c>
      <c r="H32" s="1634" t="s">
        <v>3192</v>
      </c>
      <c r="I32" s="1634" t="s">
        <v>3254</v>
      </c>
      <c r="J32" s="1634">
        <v>3798</v>
      </c>
      <c r="K32" s="1634">
        <v>4148</v>
      </c>
      <c r="L32" s="1634">
        <v>1296.47</v>
      </c>
      <c r="M32" s="1634">
        <v>9.2200000000000006</v>
      </c>
      <c r="N32" s="1634" t="s">
        <v>3243</v>
      </c>
      <c r="O32" s="1634" t="s">
        <v>3195</v>
      </c>
      <c r="P32" s="3337">
        <f t="shared" si="0"/>
        <v>216.07954792300563</v>
      </c>
    </row>
    <row r="33" spans="2:16" s="1634" customFormat="1">
      <c r="B33" s="1634" t="s">
        <v>3270</v>
      </c>
      <c r="C33" s="1634" t="s">
        <v>3189</v>
      </c>
      <c r="D33" s="1634" t="s">
        <v>3190</v>
      </c>
      <c r="E33" s="1634">
        <v>41049</v>
      </c>
      <c r="F33" s="1634">
        <v>112884.8</v>
      </c>
      <c r="G33" s="3336" t="s">
        <v>3271</v>
      </c>
      <c r="H33" s="1634" t="s">
        <v>3272</v>
      </c>
      <c r="I33" s="1634" t="s">
        <v>3273</v>
      </c>
      <c r="J33" s="1634">
        <v>14927.1</v>
      </c>
      <c r="K33" s="1634">
        <v>14927.1</v>
      </c>
      <c r="L33" s="1634">
        <v>1322.32</v>
      </c>
      <c r="M33" s="1634">
        <v>0</v>
      </c>
      <c r="N33" s="1634" t="s">
        <v>3274</v>
      </c>
      <c r="O33" s="1634" t="s">
        <v>3195</v>
      </c>
      <c r="P33" s="3337">
        <f t="shared" si="0"/>
        <v>242.42855506833294</v>
      </c>
    </row>
    <row r="34" spans="2:16" s="1634" customFormat="1">
      <c r="B34" s="1634" t="s">
        <v>3275</v>
      </c>
      <c r="C34" s="1634" t="s">
        <v>3189</v>
      </c>
      <c r="D34" s="1634" t="s">
        <v>3190</v>
      </c>
      <c r="E34" s="1634">
        <v>29605.63</v>
      </c>
      <c r="F34" s="1634">
        <v>69573.23</v>
      </c>
      <c r="G34" s="3336" t="s">
        <v>3276</v>
      </c>
      <c r="H34" s="1634" t="s">
        <v>3192</v>
      </c>
      <c r="I34" s="1634" t="s">
        <v>3277</v>
      </c>
      <c r="J34" s="1634">
        <v>6466</v>
      </c>
      <c r="K34" s="1634">
        <v>6466</v>
      </c>
      <c r="L34" s="1634">
        <v>929.37</v>
      </c>
      <c r="M34" s="1634">
        <v>0</v>
      </c>
      <c r="N34" s="1634" t="s">
        <v>3278</v>
      </c>
      <c r="O34" s="1634" t="s">
        <v>3195</v>
      </c>
      <c r="P34" s="3337">
        <f t="shared" si="0"/>
        <v>145.60366457325853</v>
      </c>
    </row>
    <row r="35" spans="2:16" s="1634" customFormat="1">
      <c r="B35" s="1634" t="s">
        <v>3275</v>
      </c>
      <c r="C35" s="1634" t="s">
        <v>3189</v>
      </c>
      <c r="D35" s="1634" t="s">
        <v>3190</v>
      </c>
      <c r="E35" s="1634">
        <v>46820.39</v>
      </c>
      <c r="F35" s="1634">
        <v>131565.29999999999</v>
      </c>
      <c r="G35" s="3336" t="s">
        <v>3279</v>
      </c>
      <c r="H35" s="1634" t="s">
        <v>3192</v>
      </c>
      <c r="I35" s="1634" t="s">
        <v>3277</v>
      </c>
      <c r="J35" s="1634">
        <v>10610</v>
      </c>
      <c r="K35" s="1634">
        <v>10610</v>
      </c>
      <c r="L35" s="1634">
        <v>806.44</v>
      </c>
      <c r="M35" s="1634">
        <v>0</v>
      </c>
      <c r="N35" s="1634" t="s">
        <v>3278</v>
      </c>
      <c r="O35" s="1634" t="s">
        <v>3195</v>
      </c>
      <c r="P35" s="3337">
        <f t="shared" si="0"/>
        <v>151.07453611556843</v>
      </c>
    </row>
    <row r="36" spans="2:16" s="1634" customFormat="1">
      <c r="G36" s="3336"/>
      <c r="P36" s="3337" t="e">
        <f t="shared" si="0"/>
        <v>#DIV/0!</v>
      </c>
    </row>
    <row r="37" spans="2:16" s="1634" customFormat="1">
      <c r="G37" s="3336"/>
      <c r="P37" s="3337" t="e">
        <f t="shared" si="0"/>
        <v>#DIV/0!</v>
      </c>
    </row>
    <row r="38" spans="2:16" s="1634" customFormat="1">
      <c r="G38" s="3336"/>
      <c r="P38" s="3337"/>
    </row>
    <row r="39" spans="2:16" s="1634" customFormat="1">
      <c r="G39" s="3336"/>
      <c r="P39" s="3337"/>
    </row>
    <row r="40" spans="2:16" s="1634" customFormat="1">
      <c r="G40" s="3336"/>
      <c r="P40" s="3337"/>
    </row>
    <row r="41" spans="2:16" s="1634" customFormat="1">
      <c r="G41" s="3336"/>
      <c r="P41" s="3337"/>
    </row>
    <row r="42" spans="2:16" s="1634" customFormat="1">
      <c r="G42" s="3336"/>
      <c r="P42" s="3337"/>
    </row>
    <row r="43" spans="2:16" s="1634" customFormat="1">
      <c r="G43" s="3336"/>
      <c r="P43" s="3337"/>
    </row>
    <row r="44" spans="2:16" s="1634" customFormat="1">
      <c r="G44" s="3336"/>
      <c r="P44" s="3337"/>
    </row>
    <row r="45" spans="2:16" s="1634" customFormat="1">
      <c r="G45" s="3336"/>
      <c r="P45" s="3337"/>
    </row>
    <row r="46" spans="2:16" s="1634" customFormat="1">
      <c r="G46" s="3336"/>
      <c r="P46" s="3337"/>
    </row>
    <row r="47" spans="2:16" s="1634" customFormat="1">
      <c r="G47" s="3336"/>
      <c r="P47" s="3337"/>
    </row>
    <row r="48" spans="2:16" s="1634" customFormat="1">
      <c r="G48" s="3336"/>
      <c r="P48" s="3337"/>
    </row>
    <row r="49" spans="7:16" s="1634" customFormat="1">
      <c r="G49" s="3336"/>
      <c r="P49" s="3337"/>
    </row>
    <row r="50" spans="7:16" s="1634" customFormat="1">
      <c r="G50" s="3336"/>
      <c r="P50" s="3337"/>
    </row>
    <row r="51" spans="7:16" s="1634" customFormat="1">
      <c r="G51" s="3336"/>
      <c r="P51" s="3337"/>
    </row>
    <row r="52" spans="7:16" s="1634" customFormat="1">
      <c r="G52" s="3336"/>
      <c r="P52" s="3337"/>
    </row>
    <row r="53" spans="7:16" s="1634" customFormat="1">
      <c r="G53" s="3336"/>
      <c r="P53" s="3337"/>
    </row>
    <row r="54" spans="7:16" s="1634" customFormat="1">
      <c r="G54" s="3336"/>
      <c r="P54" s="3337"/>
    </row>
    <row r="55" spans="7:16" s="1634" customFormat="1">
      <c r="G55" s="3336"/>
      <c r="P55" s="3337"/>
    </row>
    <row r="56" spans="7:16" s="1634" customFormat="1">
      <c r="G56" s="3336"/>
      <c r="P56" s="3337"/>
    </row>
    <row r="57" spans="7:16" s="1634" customFormat="1">
      <c r="G57" s="3336"/>
      <c r="P57" s="3337"/>
    </row>
    <row r="58" spans="7:16" s="1634" customFormat="1">
      <c r="G58" s="3336"/>
      <c r="P58" s="3337"/>
    </row>
    <row r="59" spans="7:16" s="1634" customFormat="1">
      <c r="G59" s="3336"/>
      <c r="P59" s="3337"/>
    </row>
    <row r="60" spans="7:16" s="1634" customFormat="1">
      <c r="G60" s="3336"/>
      <c r="P60" s="3337"/>
    </row>
    <row r="61" spans="7:16" s="1634" customFormat="1">
      <c r="G61" s="3336"/>
      <c r="P61" s="3337"/>
    </row>
    <row r="62" spans="7:16" s="1634" customFormat="1">
      <c r="G62" s="3336"/>
      <c r="P62" s="3337"/>
    </row>
    <row r="63" spans="7:16" s="1634" customFormat="1">
      <c r="G63" s="3336"/>
      <c r="P63" s="3337"/>
    </row>
    <row r="64" spans="7:16" s="1634" customFormat="1">
      <c r="G64" s="3336"/>
      <c r="P64" s="3337"/>
    </row>
    <row r="65" spans="7:16" s="1634" customFormat="1">
      <c r="G65" s="3336"/>
      <c r="P65" s="3337"/>
    </row>
    <row r="66" spans="7:16" s="1634" customFormat="1">
      <c r="G66" s="3336"/>
      <c r="P66" s="3337"/>
    </row>
    <row r="67" spans="7:16" s="1634" customFormat="1">
      <c r="G67" s="3336"/>
      <c r="P67" s="3337"/>
    </row>
    <row r="68" spans="7:16" s="1634" customFormat="1">
      <c r="G68" s="3336"/>
      <c r="P68" s="3337"/>
    </row>
    <row r="69" spans="7:16" s="1634" customFormat="1">
      <c r="G69" s="3336"/>
      <c r="P69" s="3337"/>
    </row>
    <row r="70" spans="7:16" s="1634" customFormat="1">
      <c r="G70" s="3336"/>
      <c r="P70" s="3337"/>
    </row>
    <row r="71" spans="7:16" s="1634" customFormat="1">
      <c r="G71" s="3336"/>
      <c r="P71" s="3337"/>
    </row>
    <row r="72" spans="7:16" s="1634" customFormat="1">
      <c r="G72" s="3336"/>
      <c r="P72" s="3337"/>
    </row>
    <row r="73" spans="7:16" s="1634" customFormat="1">
      <c r="G73" s="3336"/>
      <c r="P73" s="3337"/>
    </row>
    <row r="74" spans="7:16" s="1634" customFormat="1">
      <c r="G74" s="3336"/>
      <c r="P74" s="3337"/>
    </row>
    <row r="75" spans="7:16" s="1634" customFormat="1">
      <c r="G75" s="3336"/>
      <c r="P75" s="3337"/>
    </row>
    <row r="76" spans="7:16" s="1634" customFormat="1">
      <c r="G76" s="3336"/>
      <c r="P76" s="3337"/>
    </row>
    <row r="77" spans="7:16" s="1634" customFormat="1">
      <c r="G77" s="3336"/>
      <c r="P77" s="3337"/>
    </row>
    <row r="78" spans="7:16" s="1634" customFormat="1">
      <c r="G78" s="3336"/>
      <c r="P78" s="3337"/>
    </row>
    <row r="79" spans="7:16" s="1634" customFormat="1">
      <c r="G79" s="3336"/>
      <c r="P79" s="3337"/>
    </row>
    <row r="80" spans="7:16" s="1634" customFormat="1">
      <c r="G80" s="3336"/>
      <c r="P80" s="3337"/>
    </row>
    <row r="81" spans="7:16" s="1634" customFormat="1">
      <c r="G81" s="3336"/>
      <c r="P81" s="3337"/>
    </row>
    <row r="82" spans="7:16" s="1634" customFormat="1">
      <c r="G82" s="3336"/>
      <c r="P82" s="3337"/>
    </row>
    <row r="83" spans="7:16" s="1634" customFormat="1">
      <c r="G83" s="3336"/>
      <c r="P83" s="3337"/>
    </row>
    <row r="84" spans="7:16" s="1634" customFormat="1">
      <c r="G84" s="3336"/>
      <c r="P84" s="3337"/>
    </row>
    <row r="85" spans="7:16" s="1634" customFormat="1">
      <c r="G85" s="3336"/>
      <c r="P85" s="3337"/>
    </row>
    <row r="86" spans="7:16" s="1634" customFormat="1">
      <c r="G86" s="3336"/>
      <c r="P86" s="3337"/>
    </row>
    <row r="87" spans="7:16" s="1634" customFormat="1">
      <c r="G87" s="3336"/>
      <c r="P87" s="3337"/>
    </row>
    <row r="88" spans="7:16" s="1634" customFormat="1">
      <c r="G88" s="3336"/>
      <c r="P88" s="3337"/>
    </row>
    <row r="89" spans="7:16" s="1634" customFormat="1">
      <c r="G89" s="3336"/>
      <c r="P89" s="3337"/>
    </row>
    <row r="90" spans="7:16" s="1634" customFormat="1">
      <c r="G90" s="3336"/>
      <c r="P90" s="3337"/>
    </row>
    <row r="91" spans="7:16" s="1634" customFormat="1">
      <c r="G91" s="3336"/>
      <c r="P91" s="3337"/>
    </row>
    <row r="92" spans="7:16" s="1634" customFormat="1">
      <c r="G92" s="3336"/>
      <c r="P92" s="3337"/>
    </row>
    <row r="93" spans="7:16" s="1634" customFormat="1">
      <c r="G93" s="3336"/>
      <c r="P93" s="3337"/>
    </row>
    <row r="94" spans="7:16" s="1634" customFormat="1">
      <c r="G94" s="3336"/>
      <c r="P94" s="3337"/>
    </row>
    <row r="95" spans="7:16" s="1634" customFormat="1">
      <c r="G95" s="3336"/>
      <c r="P95" s="3337"/>
    </row>
    <row r="96" spans="7:16" s="1634" customFormat="1">
      <c r="G96" s="3336"/>
      <c r="P96" s="3337"/>
    </row>
    <row r="97" spans="7:16" s="1634" customFormat="1">
      <c r="G97" s="3336"/>
      <c r="P97" s="3337"/>
    </row>
    <row r="98" spans="7:16" s="1634" customFormat="1">
      <c r="G98" s="3336"/>
      <c r="P98" s="3337"/>
    </row>
    <row r="99" spans="7:16" s="1634" customFormat="1">
      <c r="G99" s="3336"/>
      <c r="P99" s="3337"/>
    </row>
    <row r="100" spans="7:16" s="1634" customFormat="1">
      <c r="G100" s="3336"/>
      <c r="P100" s="3337"/>
    </row>
    <row r="101" spans="7:16" s="1634" customFormat="1">
      <c r="G101" s="3336"/>
      <c r="P101" s="3337"/>
    </row>
    <row r="102" spans="7:16" s="1634" customFormat="1">
      <c r="G102" s="3336"/>
      <c r="P102" s="3337"/>
    </row>
    <row r="103" spans="7:16" s="1634" customFormat="1">
      <c r="G103" s="3336"/>
      <c r="P103" s="3337"/>
    </row>
    <row r="104" spans="7:16" s="1634" customFormat="1">
      <c r="G104" s="3336"/>
      <c r="P104" s="3337"/>
    </row>
    <row r="105" spans="7:16" s="1634" customFormat="1">
      <c r="G105" s="3336"/>
      <c r="P105" s="3337"/>
    </row>
    <row r="106" spans="7:16" s="1634" customFormat="1">
      <c r="G106" s="3336"/>
      <c r="P106" s="3337"/>
    </row>
    <row r="107" spans="7:16" s="1634" customFormat="1">
      <c r="G107" s="3336"/>
      <c r="P107" s="3337"/>
    </row>
    <row r="108" spans="7:16" s="1634" customFormat="1">
      <c r="G108" s="3336"/>
      <c r="P108" s="3337"/>
    </row>
    <row r="109" spans="7:16" s="1634" customFormat="1">
      <c r="G109" s="3336"/>
      <c r="P109" s="3337"/>
    </row>
    <row r="110" spans="7:16" s="1634" customFormat="1">
      <c r="G110" s="3336"/>
      <c r="P110" s="3337"/>
    </row>
    <row r="111" spans="7:16" s="1634" customFormat="1">
      <c r="G111" s="3336"/>
      <c r="P111" s="3337"/>
    </row>
    <row r="112" spans="7:16" s="1634" customFormat="1">
      <c r="G112" s="3336"/>
      <c r="P112" s="3337"/>
    </row>
    <row r="113" spans="7:16" s="1634" customFormat="1">
      <c r="G113" s="3336"/>
      <c r="P113" s="3337"/>
    </row>
    <row r="114" spans="7:16" s="1634" customFormat="1">
      <c r="G114" s="3336"/>
      <c r="P114" s="3337"/>
    </row>
    <row r="115" spans="7:16" s="1634" customFormat="1">
      <c r="G115" s="3336"/>
      <c r="P115" s="3337"/>
    </row>
    <row r="116" spans="7:16" s="1634" customFormat="1">
      <c r="G116" s="3336"/>
      <c r="P116" s="3337"/>
    </row>
    <row r="117" spans="7:16" s="1634" customFormat="1">
      <c r="G117" s="3336"/>
      <c r="P117" s="3337"/>
    </row>
    <row r="118" spans="7:16" s="1634" customFormat="1">
      <c r="G118" s="3336"/>
      <c r="P118" s="3337"/>
    </row>
    <row r="119" spans="7:16" s="1634" customFormat="1">
      <c r="G119" s="3336"/>
      <c r="P119" s="3337"/>
    </row>
    <row r="120" spans="7:16" s="1634" customFormat="1">
      <c r="G120" s="3336"/>
      <c r="P120" s="3337"/>
    </row>
    <row r="121" spans="7:16" s="1634" customFormat="1">
      <c r="G121" s="3336"/>
      <c r="P121" s="3337"/>
    </row>
    <row r="122" spans="7:16" s="1634" customFormat="1">
      <c r="G122" s="3336"/>
      <c r="P122" s="3337"/>
    </row>
    <row r="123" spans="7:16" s="1634" customFormat="1">
      <c r="G123" s="3336"/>
      <c r="P123" s="3337"/>
    </row>
    <row r="124" spans="7:16" s="1634" customFormat="1">
      <c r="G124" s="3336"/>
      <c r="P124" s="3337"/>
    </row>
    <row r="125" spans="7:16" s="1634" customFormat="1">
      <c r="G125" s="3336"/>
      <c r="P125" s="3337"/>
    </row>
    <row r="126" spans="7:16" s="1634" customFormat="1">
      <c r="G126" s="3336"/>
      <c r="P126" s="3337"/>
    </row>
    <row r="127" spans="7:16" s="1634" customFormat="1">
      <c r="G127" s="3336"/>
      <c r="P127" s="3337"/>
    </row>
    <row r="128" spans="7:16" s="1634" customFormat="1">
      <c r="G128" s="3336"/>
      <c r="P128" s="3337"/>
    </row>
    <row r="129" spans="7:16" s="1634" customFormat="1">
      <c r="G129" s="3336"/>
      <c r="P129" s="3337"/>
    </row>
    <row r="130" spans="7:16" s="1634" customFormat="1">
      <c r="G130" s="3336"/>
      <c r="P130" s="3337"/>
    </row>
    <row r="131" spans="7:16" s="1634" customFormat="1">
      <c r="G131" s="3336"/>
      <c r="P131" s="3337"/>
    </row>
    <row r="132" spans="7:16" s="1634" customFormat="1">
      <c r="G132" s="3336"/>
      <c r="P132" s="3337"/>
    </row>
    <row r="133" spans="7:16" s="1634" customFormat="1">
      <c r="G133" s="3336"/>
      <c r="P133" s="3337"/>
    </row>
    <row r="134" spans="7:16" s="1634" customFormat="1">
      <c r="G134" s="3336"/>
      <c r="P134" s="3337"/>
    </row>
    <row r="135" spans="7:16" s="1634" customFormat="1">
      <c r="G135" s="3336"/>
      <c r="P135" s="3337"/>
    </row>
    <row r="136" spans="7:16" s="1634" customFormat="1">
      <c r="G136" s="3336"/>
      <c r="P136" s="3337"/>
    </row>
    <row r="137" spans="7:16" s="1634" customFormat="1">
      <c r="G137" s="3336"/>
      <c r="P137" s="3337"/>
    </row>
    <row r="138" spans="7:16" s="1634" customFormat="1">
      <c r="G138" s="3336"/>
      <c r="P138" s="3337"/>
    </row>
    <row r="139" spans="7:16" s="1634" customFormat="1">
      <c r="G139" s="3336"/>
      <c r="P139" s="3337"/>
    </row>
    <row r="140" spans="7:16" s="1634" customFormat="1">
      <c r="G140" s="3336"/>
      <c r="P140" s="3337"/>
    </row>
    <row r="141" spans="7:16" s="1634" customFormat="1">
      <c r="G141" s="3336"/>
      <c r="P141" s="3337"/>
    </row>
    <row r="142" spans="7:16" s="1634" customFormat="1">
      <c r="G142" s="3336"/>
      <c r="P142" s="3337"/>
    </row>
    <row r="143" spans="7:16" s="1634" customFormat="1">
      <c r="G143" s="3336"/>
      <c r="P143" s="3337"/>
    </row>
    <row r="144" spans="7:16" s="1634" customFormat="1">
      <c r="G144" s="3336"/>
      <c r="P144" s="3337"/>
    </row>
    <row r="145" spans="7:16" s="1634" customFormat="1">
      <c r="G145" s="3336"/>
      <c r="P145" s="3337"/>
    </row>
    <row r="146" spans="7:16" s="1634" customFormat="1">
      <c r="G146" s="3336"/>
      <c r="P146" s="3337"/>
    </row>
    <row r="147" spans="7:16" s="1634" customFormat="1">
      <c r="G147" s="3336"/>
      <c r="P147" s="3337"/>
    </row>
    <row r="148" spans="7:16" s="1634" customFormat="1">
      <c r="G148" s="3336"/>
      <c r="P148" s="3337"/>
    </row>
    <row r="149" spans="7:16" s="1634" customFormat="1">
      <c r="G149" s="3336"/>
      <c r="P149" s="3337"/>
    </row>
    <row r="150" spans="7:16" s="1634" customFormat="1">
      <c r="G150" s="3336"/>
      <c r="P150" s="3337"/>
    </row>
    <row r="151" spans="7:16" s="1634" customFormat="1">
      <c r="G151" s="3336"/>
      <c r="P151" s="3337"/>
    </row>
    <row r="152" spans="7:16" s="1634" customFormat="1">
      <c r="G152" s="3336"/>
      <c r="P152" s="3337"/>
    </row>
    <row r="153" spans="7:16" s="1634" customFormat="1">
      <c r="G153" s="3336"/>
      <c r="P153" s="3337"/>
    </row>
    <row r="154" spans="7:16" s="1634" customFormat="1">
      <c r="G154" s="3336"/>
      <c r="P154" s="3337"/>
    </row>
    <row r="155" spans="7:16" s="1634" customFormat="1">
      <c r="G155" s="3336"/>
      <c r="P155" s="3337"/>
    </row>
    <row r="156" spans="7:16" s="1634" customFormat="1">
      <c r="G156" s="3336"/>
      <c r="P156" s="3337"/>
    </row>
    <row r="157" spans="7:16" s="1634" customFormat="1">
      <c r="G157" s="3336"/>
      <c r="P157" s="3337"/>
    </row>
    <row r="158" spans="7:16" s="1634" customFormat="1">
      <c r="G158" s="3336"/>
      <c r="P158" s="3337"/>
    </row>
    <row r="159" spans="7:16" s="1634" customFormat="1">
      <c r="G159" s="3336"/>
      <c r="P159" s="3337"/>
    </row>
    <row r="160" spans="7:16" s="1634" customFormat="1">
      <c r="G160" s="3336"/>
      <c r="P160" s="3337"/>
    </row>
    <row r="161" spans="7:16" s="1634" customFormat="1">
      <c r="G161" s="3336"/>
      <c r="P161" s="3337"/>
    </row>
    <row r="162" spans="7:16" s="1634" customFormat="1">
      <c r="G162" s="3336"/>
      <c r="P162" s="3337"/>
    </row>
    <row r="163" spans="7:16" s="1634" customFormat="1">
      <c r="G163" s="3336"/>
      <c r="P163" s="3337"/>
    </row>
    <row r="164" spans="7:16" s="1634" customFormat="1">
      <c r="G164" s="3336"/>
      <c r="P164" s="3337"/>
    </row>
    <row r="165" spans="7:16" s="1634" customFormat="1">
      <c r="G165" s="3336"/>
      <c r="P165" s="3337"/>
    </row>
    <row r="166" spans="7:16" s="1634" customFormat="1">
      <c r="G166" s="3336"/>
      <c r="P166" s="3337"/>
    </row>
    <row r="167" spans="7:16" s="1634" customFormat="1">
      <c r="G167" s="3336"/>
      <c r="P167" s="3337"/>
    </row>
    <row r="168" spans="7:16" s="1634" customFormat="1">
      <c r="G168" s="3336"/>
      <c r="P168" s="3337"/>
    </row>
    <row r="169" spans="7:16" s="1634" customFormat="1">
      <c r="G169" s="3336"/>
      <c r="P169" s="3337"/>
    </row>
    <row r="170" spans="7:16" s="1634" customFormat="1">
      <c r="G170" s="3336"/>
      <c r="P170" s="3337"/>
    </row>
    <row r="171" spans="7:16" s="1634" customFormat="1">
      <c r="G171" s="3336"/>
      <c r="P171" s="3337"/>
    </row>
    <row r="172" spans="7:16" s="1634" customFormat="1">
      <c r="G172" s="3336"/>
      <c r="P172" s="3337"/>
    </row>
    <row r="173" spans="7:16" s="1634" customFormat="1">
      <c r="G173" s="3336"/>
      <c r="P173" s="3337"/>
    </row>
    <row r="174" spans="7:16" s="1634" customFormat="1">
      <c r="G174" s="3336"/>
      <c r="P174" s="3337"/>
    </row>
    <row r="175" spans="7:16" s="1634" customFormat="1">
      <c r="G175" s="3336"/>
      <c r="P175" s="3337"/>
    </row>
    <row r="176" spans="7:16" s="1634" customFormat="1">
      <c r="G176" s="3336"/>
      <c r="P176" s="3337"/>
    </row>
    <row r="177" spans="7:16" s="1634" customFormat="1">
      <c r="G177" s="3336"/>
      <c r="P177" s="3337"/>
    </row>
    <row r="178" spans="7:16" s="1634" customFormat="1">
      <c r="G178" s="3336"/>
      <c r="P178" s="3337"/>
    </row>
    <row r="179" spans="7:16" s="1634" customFormat="1">
      <c r="G179" s="3336"/>
      <c r="P179" s="3337"/>
    </row>
    <row r="180" spans="7:16" s="1634" customFormat="1">
      <c r="G180" s="3336"/>
      <c r="P180" s="3337"/>
    </row>
    <row r="181" spans="7:16" s="1634" customFormat="1">
      <c r="G181" s="3336"/>
      <c r="P181" s="3337"/>
    </row>
    <row r="182" spans="7:16" s="1634" customFormat="1">
      <c r="G182" s="3336"/>
      <c r="P182" s="3337"/>
    </row>
    <row r="183" spans="7:16" s="1634" customFormat="1">
      <c r="G183" s="3336"/>
      <c r="P183" s="3337"/>
    </row>
    <row r="184" spans="7:16" s="1634" customFormat="1">
      <c r="G184" s="3336"/>
      <c r="P184" s="3337"/>
    </row>
    <row r="185" spans="7:16" s="1634" customFormat="1">
      <c r="G185" s="3336"/>
      <c r="P185" s="3337"/>
    </row>
    <row r="186" spans="7:16" s="1634" customFormat="1">
      <c r="G186" s="3336"/>
      <c r="P186" s="3337"/>
    </row>
    <row r="187" spans="7:16" s="1634" customFormat="1">
      <c r="G187" s="3336"/>
      <c r="P187" s="3337"/>
    </row>
    <row r="188" spans="7:16" s="1634" customFormat="1">
      <c r="G188" s="3336"/>
      <c r="P188" s="3337"/>
    </row>
    <row r="189" spans="7:16" s="1634" customFormat="1">
      <c r="G189" s="3336"/>
      <c r="P189" s="3337"/>
    </row>
    <row r="190" spans="7:16" s="1634" customFormat="1">
      <c r="G190" s="3336"/>
      <c r="P190" s="3337"/>
    </row>
    <row r="191" spans="7:16" s="1634" customFormat="1">
      <c r="G191" s="3336"/>
      <c r="P191" s="3337"/>
    </row>
    <row r="192" spans="7:16" s="1634" customFormat="1">
      <c r="G192" s="3336"/>
      <c r="P192" s="3337"/>
    </row>
    <row r="193" spans="7:16" s="1634" customFormat="1">
      <c r="G193" s="3336"/>
      <c r="P193" s="3337"/>
    </row>
    <row r="194" spans="7:16" s="1634" customFormat="1">
      <c r="G194" s="3336"/>
      <c r="P194" s="3337"/>
    </row>
    <row r="195" spans="7:16" s="1634" customFormat="1">
      <c r="G195" s="3336"/>
      <c r="P195" s="3337"/>
    </row>
    <row r="196" spans="7:16" s="1634" customFormat="1">
      <c r="G196" s="3336"/>
      <c r="P196" s="3337"/>
    </row>
    <row r="197" spans="7:16" s="1634" customFormat="1">
      <c r="G197" s="3336"/>
      <c r="P197" s="3337"/>
    </row>
    <row r="198" spans="7:16" s="1634" customFormat="1">
      <c r="G198" s="3336"/>
      <c r="P198" s="3337"/>
    </row>
    <row r="199" spans="7:16" s="1634" customFormat="1">
      <c r="G199" s="3336"/>
      <c r="P199" s="3337"/>
    </row>
    <row r="200" spans="7:16" s="1634" customFormat="1">
      <c r="G200" s="3336"/>
      <c r="P200" s="3337"/>
    </row>
    <row r="201" spans="7:16" s="1634" customFormat="1">
      <c r="G201" s="3336"/>
      <c r="P201" s="3337"/>
    </row>
    <row r="202" spans="7:16" s="1634" customFormat="1">
      <c r="G202" s="3336"/>
      <c r="P202" s="3337"/>
    </row>
    <row r="203" spans="7:16" s="1634" customFormat="1">
      <c r="G203" s="3336"/>
      <c r="P203" s="3337"/>
    </row>
    <row r="204" spans="7:16" s="1634" customFormat="1">
      <c r="G204" s="3336"/>
      <c r="P204" s="3337"/>
    </row>
    <row r="205" spans="7:16" s="1634" customFormat="1">
      <c r="G205" s="3336"/>
      <c r="P205" s="3337"/>
    </row>
    <row r="206" spans="7:16" s="1634" customFormat="1">
      <c r="G206" s="3336"/>
      <c r="P206" s="3337"/>
    </row>
    <row r="207" spans="7:16" s="1634" customFormat="1">
      <c r="G207" s="3336"/>
      <c r="P207" s="3337"/>
    </row>
    <row r="208" spans="7:16" s="1634" customFormat="1">
      <c r="G208" s="3336"/>
      <c r="P208" s="3337"/>
    </row>
    <row r="209" spans="7:16" s="1634" customFormat="1">
      <c r="G209" s="3336"/>
      <c r="P209" s="3337"/>
    </row>
    <row r="210" spans="7:16" s="1634" customFormat="1">
      <c r="G210" s="3336"/>
      <c r="P210" s="3337"/>
    </row>
    <row r="211" spans="7:16" s="1634" customFormat="1">
      <c r="G211" s="3336"/>
      <c r="P211" s="3337"/>
    </row>
    <row r="212" spans="7:16" s="1634" customFormat="1">
      <c r="G212" s="3336"/>
      <c r="P212" s="3337"/>
    </row>
    <row r="213" spans="7:16" s="1634" customFormat="1">
      <c r="G213" s="3336"/>
      <c r="P213" s="3337"/>
    </row>
    <row r="214" spans="7:16" s="1634" customFormat="1">
      <c r="G214" s="3336"/>
      <c r="P214" s="3337"/>
    </row>
    <row r="215" spans="7:16" s="1634" customFormat="1">
      <c r="G215" s="3336"/>
      <c r="P215" s="3337"/>
    </row>
    <row r="216" spans="7:16" s="1634" customFormat="1">
      <c r="G216" s="3336"/>
      <c r="P216" s="3337"/>
    </row>
    <row r="217" spans="7:16" s="1634" customFormat="1">
      <c r="G217" s="3336"/>
      <c r="P217" s="3337"/>
    </row>
    <row r="218" spans="7:16" s="1634" customFormat="1">
      <c r="G218" s="3336"/>
      <c r="P218" s="3337"/>
    </row>
    <row r="219" spans="7:16" s="1634" customFormat="1">
      <c r="G219" s="3336"/>
      <c r="P219" s="3337"/>
    </row>
    <row r="220" spans="7:16" s="1634" customFormat="1">
      <c r="G220" s="3336"/>
      <c r="P220" s="3337"/>
    </row>
    <row r="221" spans="7:16" s="1634" customFormat="1">
      <c r="G221" s="3336"/>
      <c r="P221" s="3337"/>
    </row>
    <row r="222" spans="7:16" s="1634" customFormat="1">
      <c r="G222" s="3336"/>
      <c r="P222" s="3337"/>
    </row>
    <row r="223" spans="7:16" s="1634" customFormat="1">
      <c r="G223" s="3336"/>
      <c r="P223" s="3337"/>
    </row>
    <row r="224" spans="7:16" s="1634" customFormat="1">
      <c r="G224" s="3336"/>
      <c r="P224" s="3337"/>
    </row>
    <row r="225" spans="7:16" s="1634" customFormat="1">
      <c r="G225" s="3336"/>
      <c r="P225" s="3337"/>
    </row>
    <row r="226" spans="7:16" s="1634" customFormat="1">
      <c r="G226" s="3336"/>
      <c r="P226" s="3337"/>
    </row>
    <row r="227" spans="7:16" s="1634" customFormat="1">
      <c r="G227" s="3336"/>
      <c r="P227" s="3337"/>
    </row>
    <row r="228" spans="7:16" s="1634" customFormat="1">
      <c r="G228" s="3336"/>
      <c r="P228" s="3337"/>
    </row>
    <row r="229" spans="7:16" s="1634" customFormat="1">
      <c r="G229" s="3336"/>
      <c r="P229" s="3337"/>
    </row>
    <row r="230" spans="7:16" s="1634" customFormat="1">
      <c r="G230" s="3336"/>
      <c r="P230" s="3337"/>
    </row>
    <row r="231" spans="7:16" s="1634" customFormat="1">
      <c r="G231" s="3336"/>
      <c r="P231" s="3337"/>
    </row>
    <row r="232" spans="7:16" s="1634" customFormat="1">
      <c r="G232" s="3336"/>
      <c r="P232" s="3337"/>
    </row>
    <row r="233" spans="7:16" s="1634" customFormat="1">
      <c r="G233" s="3336"/>
      <c r="P233" s="3337"/>
    </row>
    <row r="234" spans="7:16" s="1634" customFormat="1">
      <c r="G234" s="3336"/>
      <c r="P234" s="3337"/>
    </row>
    <row r="235" spans="7:16" s="1634" customFormat="1">
      <c r="G235" s="3336"/>
      <c r="P235" s="3337"/>
    </row>
    <row r="236" spans="7:16" s="1634" customFormat="1">
      <c r="G236" s="3336"/>
      <c r="P236" s="3337"/>
    </row>
    <row r="237" spans="7:16" s="1634" customFormat="1">
      <c r="G237" s="3336"/>
      <c r="P237" s="3337"/>
    </row>
    <row r="238" spans="7:16" s="1634" customFormat="1">
      <c r="G238" s="3336"/>
      <c r="P238" s="3337"/>
    </row>
    <row r="239" spans="7:16" s="1634" customFormat="1">
      <c r="G239" s="3336"/>
      <c r="P239" s="3337"/>
    </row>
    <row r="240" spans="7:16" s="1634" customFormat="1">
      <c r="G240" s="3336"/>
      <c r="P240" s="3337"/>
    </row>
    <row r="241" spans="7:16" s="1634" customFormat="1">
      <c r="G241" s="3336"/>
      <c r="P241" s="3337"/>
    </row>
    <row r="242" spans="7:16" s="1634" customFormat="1">
      <c r="G242" s="3336"/>
      <c r="P242" s="3337"/>
    </row>
    <row r="243" spans="7:16" s="1634" customFormat="1">
      <c r="G243" s="3336"/>
      <c r="P243" s="3337"/>
    </row>
    <row r="244" spans="7:16" s="1634" customFormat="1">
      <c r="G244" s="3336"/>
      <c r="P244" s="3337"/>
    </row>
    <row r="245" spans="7:16" s="1634" customFormat="1">
      <c r="G245" s="3336"/>
      <c r="P245" s="3337"/>
    </row>
    <row r="246" spans="7:16" s="1634" customFormat="1">
      <c r="G246" s="3336"/>
      <c r="P246" s="3337"/>
    </row>
    <row r="247" spans="7:16" s="1634" customFormat="1">
      <c r="G247" s="3336"/>
      <c r="P247" s="3337"/>
    </row>
    <row r="248" spans="7:16" s="1634" customFormat="1">
      <c r="G248" s="3336"/>
      <c r="P248" s="3337"/>
    </row>
    <row r="249" spans="7:16" s="1634" customFormat="1">
      <c r="G249" s="3336"/>
      <c r="P249" s="3337"/>
    </row>
    <row r="250" spans="7:16" s="1634" customFormat="1">
      <c r="G250" s="3336"/>
      <c r="P250" s="3337"/>
    </row>
    <row r="251" spans="7:16" s="1634" customFormat="1">
      <c r="G251" s="3336"/>
      <c r="P251" s="3337"/>
    </row>
    <row r="252" spans="7:16" s="1634" customFormat="1">
      <c r="G252" s="3336"/>
      <c r="P252" s="3337"/>
    </row>
    <row r="253" spans="7:16" s="1634" customFormat="1">
      <c r="G253" s="3336"/>
      <c r="P253" s="3337"/>
    </row>
    <row r="254" spans="7:16" s="1634" customFormat="1">
      <c r="G254" s="3336"/>
      <c r="P254" s="3337"/>
    </row>
    <row r="255" spans="7:16" s="1634" customFormat="1">
      <c r="G255" s="3336"/>
      <c r="P255" s="3337"/>
    </row>
    <row r="256" spans="7:16" s="1634" customFormat="1">
      <c r="G256" s="3336"/>
      <c r="P256" s="3337"/>
    </row>
    <row r="257" spans="7:16" s="1634" customFormat="1">
      <c r="G257" s="3336"/>
      <c r="P257" s="3337"/>
    </row>
    <row r="258" spans="7:16" s="1634" customFormat="1">
      <c r="G258" s="3336"/>
      <c r="P258" s="3337"/>
    </row>
    <row r="259" spans="7:16" s="1634" customFormat="1">
      <c r="G259" s="3336"/>
      <c r="P259" s="3337"/>
    </row>
    <row r="260" spans="7:16" s="1634" customFormat="1">
      <c r="G260" s="3336"/>
      <c r="P260" s="3337"/>
    </row>
    <row r="261" spans="7:16" s="1634" customFormat="1">
      <c r="G261" s="3336"/>
      <c r="P261" s="3337"/>
    </row>
    <row r="262" spans="7:16" s="1634" customFormat="1">
      <c r="G262" s="3336"/>
      <c r="P262" s="3337"/>
    </row>
    <row r="263" spans="7:16" s="1634" customFormat="1">
      <c r="G263" s="3336"/>
      <c r="P263" s="3337"/>
    </row>
    <row r="264" spans="7:16" s="1634" customFormat="1">
      <c r="G264" s="3336"/>
      <c r="P264" s="3337"/>
    </row>
    <row r="265" spans="7:16" s="1634" customFormat="1">
      <c r="G265" s="3336"/>
      <c r="P265" s="3337"/>
    </row>
    <row r="266" spans="7:16" s="1634" customFormat="1">
      <c r="G266" s="3336"/>
      <c r="P266" s="3337"/>
    </row>
    <row r="267" spans="7:16" s="1634" customFormat="1">
      <c r="G267" s="3336"/>
      <c r="P267" s="3337"/>
    </row>
    <row r="268" spans="7:16" s="1634" customFormat="1">
      <c r="G268" s="3336"/>
      <c r="P268" s="3337"/>
    </row>
    <row r="269" spans="7:16" s="1634" customFormat="1">
      <c r="G269" s="3336"/>
      <c r="P269" s="3337"/>
    </row>
    <row r="270" spans="7:16" s="1634" customFormat="1">
      <c r="G270" s="3336"/>
      <c r="P270" s="3337"/>
    </row>
    <row r="271" spans="7:16" s="1634" customFormat="1">
      <c r="G271" s="3336"/>
      <c r="P271" s="3337"/>
    </row>
    <row r="272" spans="7:16" s="1634" customFormat="1">
      <c r="G272" s="3336"/>
      <c r="P272" s="3337"/>
    </row>
    <row r="273" spans="7:16" s="1634" customFormat="1">
      <c r="G273" s="3336"/>
      <c r="P273" s="3337"/>
    </row>
    <row r="274" spans="7:16" s="1634" customFormat="1">
      <c r="G274" s="3336"/>
      <c r="P274" s="3337"/>
    </row>
    <row r="275" spans="7:16" s="1634" customFormat="1">
      <c r="G275" s="3336"/>
      <c r="P275" s="3337"/>
    </row>
    <row r="276" spans="7:16" s="1634" customFormat="1">
      <c r="G276" s="3336"/>
      <c r="P276" s="3337"/>
    </row>
    <row r="277" spans="7:16" s="1634" customFormat="1">
      <c r="G277" s="3336"/>
      <c r="P277" s="3337"/>
    </row>
    <row r="278" spans="7:16" s="1634" customFormat="1">
      <c r="G278" s="3336"/>
      <c r="P278" s="3337"/>
    </row>
    <row r="279" spans="7:16" s="1634" customFormat="1">
      <c r="G279" s="3336"/>
      <c r="P279" s="3337"/>
    </row>
    <row r="280" spans="7:16" s="1634" customFormat="1">
      <c r="G280" s="3336"/>
      <c r="P280" s="3337"/>
    </row>
    <row r="281" spans="7:16" s="1634" customFormat="1">
      <c r="G281" s="3336"/>
      <c r="P281" s="3337"/>
    </row>
    <row r="282" spans="7:16" s="1634" customFormat="1">
      <c r="G282" s="3336"/>
      <c r="P282" s="3337"/>
    </row>
    <row r="283" spans="7:16" s="1634" customFormat="1">
      <c r="G283" s="3336"/>
      <c r="P283" s="3337"/>
    </row>
    <row r="284" spans="7:16" s="1634" customFormat="1">
      <c r="G284" s="3336"/>
      <c r="P284" s="3337"/>
    </row>
    <row r="285" spans="7:16" s="1634" customFormat="1">
      <c r="G285" s="3336"/>
      <c r="P285" s="3337"/>
    </row>
    <row r="286" spans="7:16" s="1634" customFormat="1">
      <c r="G286" s="3336"/>
      <c r="P286" s="3337"/>
    </row>
    <row r="287" spans="7:16" s="1634" customFormat="1">
      <c r="G287" s="3336"/>
      <c r="P287" s="3337"/>
    </row>
    <row r="288" spans="7:16" s="1634" customFormat="1">
      <c r="G288" s="3336"/>
      <c r="P288" s="3337"/>
    </row>
    <row r="289" spans="7:16" s="1634" customFormat="1">
      <c r="G289" s="3336"/>
      <c r="P289" s="3337"/>
    </row>
    <row r="290" spans="7:16" s="1634" customFormat="1">
      <c r="G290" s="3336"/>
      <c r="P290" s="3337"/>
    </row>
    <row r="291" spans="7:16" s="1634" customFormat="1">
      <c r="G291" s="3336"/>
      <c r="P291" s="3337"/>
    </row>
    <row r="292" spans="7:16" s="1634" customFormat="1">
      <c r="G292" s="3336"/>
      <c r="P292" s="3337"/>
    </row>
    <row r="293" spans="7:16" s="1634" customFormat="1">
      <c r="G293" s="3336"/>
      <c r="P293" s="3337"/>
    </row>
    <row r="294" spans="7:16" s="1634" customFormat="1">
      <c r="G294" s="3336"/>
      <c r="P294" s="3337"/>
    </row>
    <row r="295" spans="7:16" s="1634" customFormat="1">
      <c r="G295" s="3336"/>
      <c r="P295" s="3337"/>
    </row>
    <row r="296" spans="7:16" s="1634" customFormat="1">
      <c r="G296" s="3336"/>
      <c r="P296" s="3337"/>
    </row>
    <row r="297" spans="7:16" s="1634" customFormat="1">
      <c r="G297" s="3336"/>
      <c r="P297" s="3337"/>
    </row>
    <row r="298" spans="7:16" s="1634" customFormat="1">
      <c r="G298" s="3336"/>
      <c r="P298" s="3337"/>
    </row>
    <row r="299" spans="7:16" s="1634" customFormat="1">
      <c r="G299" s="3336"/>
      <c r="P299" s="3337"/>
    </row>
    <row r="300" spans="7:16" s="1634" customFormat="1">
      <c r="G300" s="3336"/>
      <c r="P300" s="3337"/>
    </row>
    <row r="301" spans="7:16" s="1634" customFormat="1">
      <c r="G301" s="3336"/>
      <c r="P301" s="3337"/>
    </row>
    <row r="302" spans="7:16" s="1634" customFormat="1">
      <c r="G302" s="3336"/>
      <c r="P302" s="3337"/>
    </row>
    <row r="303" spans="7:16" s="1634" customFormat="1">
      <c r="G303" s="3336"/>
      <c r="P303" s="3337"/>
    </row>
    <row r="304" spans="7:16" s="1634" customFormat="1">
      <c r="G304" s="3336"/>
      <c r="P304" s="3337"/>
    </row>
    <row r="305" spans="7:16" s="1634" customFormat="1">
      <c r="G305" s="3336"/>
      <c r="P305" s="3337"/>
    </row>
    <row r="306" spans="7:16" s="1634" customFormat="1">
      <c r="G306" s="3336"/>
      <c r="P306" s="3337"/>
    </row>
    <row r="307" spans="7:16" s="1634" customFormat="1">
      <c r="G307" s="3336"/>
      <c r="P307" s="3337"/>
    </row>
    <row r="308" spans="7:16" s="1634" customFormat="1">
      <c r="G308" s="3336"/>
      <c r="P308" s="3337"/>
    </row>
    <row r="309" spans="7:16" s="1634" customFormat="1">
      <c r="G309" s="3336"/>
      <c r="P309" s="3337"/>
    </row>
    <row r="310" spans="7:16" s="1634" customFormat="1">
      <c r="G310" s="3336"/>
      <c r="P310" s="3337"/>
    </row>
    <row r="311" spans="7:16" s="1634" customFormat="1">
      <c r="G311" s="3336"/>
      <c r="P311" s="3337"/>
    </row>
    <row r="312" spans="7:16" s="1634" customFormat="1">
      <c r="G312" s="3336"/>
      <c r="P312" s="3337"/>
    </row>
    <row r="313" spans="7:16" s="1634" customFormat="1">
      <c r="G313" s="3336"/>
      <c r="P313" s="3337"/>
    </row>
    <row r="314" spans="7:16" s="1634" customFormat="1">
      <c r="G314" s="3336"/>
      <c r="P314" s="3337"/>
    </row>
    <row r="315" spans="7:16" s="1634" customFormat="1">
      <c r="G315" s="3336"/>
      <c r="P315" s="3337"/>
    </row>
    <row r="316" spans="7:16" s="1634" customFormat="1">
      <c r="G316" s="3336"/>
      <c r="P316" s="3337"/>
    </row>
    <row r="317" spans="7:16" s="1634" customFormat="1">
      <c r="G317" s="3336"/>
      <c r="P317" s="3337"/>
    </row>
    <row r="318" spans="7:16" s="1634" customFormat="1">
      <c r="G318" s="3336"/>
      <c r="P318" s="3337"/>
    </row>
    <row r="319" spans="7:16" s="1634" customFormat="1">
      <c r="G319" s="3336"/>
      <c r="P319" s="3337"/>
    </row>
    <row r="320" spans="7:16" s="1634" customFormat="1">
      <c r="G320" s="3336"/>
      <c r="P320" s="3337"/>
    </row>
    <row r="321" spans="7:16" s="1634" customFormat="1">
      <c r="G321" s="3336"/>
      <c r="P321" s="3337"/>
    </row>
    <row r="322" spans="7:16" s="1634" customFormat="1">
      <c r="G322" s="3336"/>
      <c r="P322" s="3337"/>
    </row>
    <row r="323" spans="7:16" s="1634" customFormat="1">
      <c r="G323" s="3336"/>
      <c r="P323" s="3337"/>
    </row>
    <row r="324" spans="7:16" s="1634" customFormat="1">
      <c r="G324" s="3336"/>
      <c r="P324" s="3337"/>
    </row>
    <row r="325" spans="7:16" s="1634" customFormat="1">
      <c r="G325" s="3336"/>
      <c r="P325" s="3337"/>
    </row>
    <row r="326" spans="7:16" s="1634" customFormat="1">
      <c r="G326" s="3336"/>
      <c r="P326" s="3337"/>
    </row>
    <row r="327" spans="7:16" s="1634" customFormat="1">
      <c r="G327" s="3336"/>
      <c r="P327" s="3337"/>
    </row>
    <row r="328" spans="7:16" s="1634" customFormat="1">
      <c r="G328" s="3336"/>
      <c r="P328" s="3337"/>
    </row>
    <row r="329" spans="7:16" s="1634" customFormat="1">
      <c r="G329" s="3336"/>
      <c r="P329" s="3337"/>
    </row>
    <row r="330" spans="7:16" s="1634" customFormat="1">
      <c r="G330" s="3336"/>
      <c r="P330" s="3337"/>
    </row>
    <row r="331" spans="7:16" s="1634" customFormat="1">
      <c r="G331" s="3336"/>
      <c r="P331" s="3337"/>
    </row>
    <row r="332" spans="7:16" s="1634" customFormat="1">
      <c r="G332" s="3336"/>
      <c r="P332" s="3337"/>
    </row>
    <row r="333" spans="7:16" s="1634" customFormat="1">
      <c r="G333" s="3336"/>
      <c r="P333" s="3337"/>
    </row>
    <row r="334" spans="7:16" s="1634" customFormat="1">
      <c r="G334" s="3336"/>
      <c r="P334" s="3337"/>
    </row>
    <row r="335" spans="7:16" s="1634" customFormat="1">
      <c r="G335" s="3336"/>
      <c r="P335" s="3337"/>
    </row>
    <row r="336" spans="7:16" s="1634" customFormat="1">
      <c r="G336" s="3336"/>
      <c r="P336" s="3337"/>
    </row>
    <row r="337" spans="7:16" s="1634" customFormat="1">
      <c r="G337" s="3336"/>
      <c r="P337" s="3337"/>
    </row>
    <row r="338" spans="7:16" s="1634" customFormat="1">
      <c r="G338" s="3336"/>
      <c r="P338" s="3337"/>
    </row>
    <row r="339" spans="7:16" s="1634" customFormat="1">
      <c r="G339" s="3336"/>
      <c r="P339" s="3337"/>
    </row>
    <row r="340" spans="7:16" s="1634" customFormat="1">
      <c r="G340" s="3336"/>
      <c r="P340" s="3337"/>
    </row>
    <row r="341" spans="7:16" s="1634" customFormat="1">
      <c r="G341" s="3336"/>
      <c r="P341" s="3337"/>
    </row>
    <row r="342" spans="7:16" s="1634" customFormat="1">
      <c r="G342" s="3336"/>
      <c r="P342" s="3337"/>
    </row>
    <row r="343" spans="7:16" s="1634" customFormat="1">
      <c r="G343" s="3336"/>
      <c r="P343" s="3337"/>
    </row>
    <row r="344" spans="7:16" s="1634" customFormat="1">
      <c r="G344" s="3336"/>
      <c r="P344" s="3337"/>
    </row>
    <row r="345" spans="7:16" s="1634" customFormat="1">
      <c r="G345" s="3336"/>
      <c r="P345" s="3337"/>
    </row>
    <row r="346" spans="7:16" s="1634" customFormat="1">
      <c r="G346" s="3336"/>
      <c r="P346" s="3337"/>
    </row>
    <row r="347" spans="7:16" s="1634" customFormat="1">
      <c r="G347" s="3336"/>
      <c r="P347" s="3337"/>
    </row>
    <row r="348" spans="7:16" s="1634" customFormat="1">
      <c r="G348" s="3336"/>
      <c r="P348" s="3337"/>
    </row>
    <row r="349" spans="7:16" s="1634" customFormat="1">
      <c r="G349" s="3336"/>
      <c r="P349" s="3337"/>
    </row>
    <row r="350" spans="7:16" s="1634" customFormat="1">
      <c r="G350" s="3336"/>
      <c r="P350" s="3337"/>
    </row>
    <row r="351" spans="7:16" s="1634" customFormat="1">
      <c r="G351" s="3336"/>
      <c r="P351" s="3337"/>
    </row>
    <row r="352" spans="7:16" s="1634" customFormat="1">
      <c r="G352" s="3336"/>
      <c r="P352" s="3337"/>
    </row>
    <row r="353" spans="7:16" s="1634" customFormat="1">
      <c r="G353" s="3336"/>
      <c r="P353" s="3337"/>
    </row>
    <row r="354" spans="7:16" s="1634" customFormat="1">
      <c r="G354" s="3336"/>
      <c r="P354" s="3337"/>
    </row>
    <row r="355" spans="7:16" s="1634" customFormat="1">
      <c r="G355" s="3336"/>
      <c r="P355" s="3337"/>
    </row>
    <row r="356" spans="7:16" s="1634" customFormat="1">
      <c r="G356" s="3336"/>
      <c r="P356" s="3337"/>
    </row>
    <row r="357" spans="7:16" s="1634" customFormat="1">
      <c r="G357" s="3336"/>
      <c r="P357" s="3337"/>
    </row>
    <row r="358" spans="7:16" s="1634" customFormat="1">
      <c r="G358" s="3336"/>
      <c r="P358" s="3337"/>
    </row>
    <row r="359" spans="7:16" s="1634" customFormat="1">
      <c r="G359" s="3336"/>
      <c r="P359" s="3337"/>
    </row>
    <row r="360" spans="7:16" s="1634" customFormat="1">
      <c r="G360" s="3336"/>
      <c r="P360" s="3337"/>
    </row>
    <row r="361" spans="7:16" s="1634" customFormat="1">
      <c r="G361" s="3336"/>
      <c r="P361" s="3337"/>
    </row>
    <row r="362" spans="7:16" s="1634" customFormat="1">
      <c r="G362" s="3336"/>
      <c r="P362" s="3337"/>
    </row>
    <row r="363" spans="7:16" s="1634" customFormat="1">
      <c r="G363" s="3336"/>
      <c r="P363" s="3337"/>
    </row>
    <row r="364" spans="7:16" s="1634" customFormat="1">
      <c r="G364" s="3336"/>
      <c r="P364" s="3337"/>
    </row>
    <row r="365" spans="7:16" s="1634" customFormat="1">
      <c r="G365" s="3336"/>
      <c r="P365" s="3337"/>
    </row>
    <row r="366" spans="7:16" s="1634" customFormat="1">
      <c r="G366" s="3336"/>
      <c r="P366" s="3337"/>
    </row>
    <row r="367" spans="7:16" s="1634" customFormat="1">
      <c r="G367" s="3336"/>
      <c r="P367" s="3337"/>
    </row>
    <row r="368" spans="7:16" s="1634" customFormat="1">
      <c r="G368" s="3336"/>
      <c r="P368" s="3337"/>
    </row>
    <row r="369" spans="7:16" s="1634" customFormat="1">
      <c r="G369" s="3336"/>
      <c r="P369" s="3337"/>
    </row>
    <row r="370" spans="7:16" s="1634" customFormat="1">
      <c r="G370" s="3336"/>
      <c r="P370" s="3337"/>
    </row>
    <row r="371" spans="7:16" s="1634" customFormat="1">
      <c r="G371" s="3336"/>
      <c r="P371" s="3337"/>
    </row>
    <row r="372" spans="7:16" s="1634" customFormat="1">
      <c r="G372" s="3336"/>
      <c r="P372" s="3337"/>
    </row>
    <row r="373" spans="7:16" s="1634" customFormat="1">
      <c r="G373" s="3336"/>
      <c r="P373" s="3337"/>
    </row>
    <row r="374" spans="7:16" s="1634" customFormat="1">
      <c r="G374" s="3336"/>
      <c r="P374" s="3337"/>
    </row>
    <row r="375" spans="7:16" s="1634" customFormat="1">
      <c r="G375" s="3336"/>
      <c r="P375" s="3337"/>
    </row>
    <row r="376" spans="7:16" s="1634" customFormat="1">
      <c r="G376" s="3336"/>
      <c r="P376" s="3337"/>
    </row>
    <row r="377" spans="7:16" s="1634" customFormat="1">
      <c r="G377" s="3336"/>
      <c r="P377" s="3337"/>
    </row>
    <row r="378" spans="7:16" s="1634" customFormat="1">
      <c r="G378" s="3336"/>
      <c r="P378" s="3337"/>
    </row>
    <row r="379" spans="7:16" s="1634" customFormat="1">
      <c r="G379" s="3336"/>
      <c r="P379" s="3337"/>
    </row>
    <row r="380" spans="7:16" s="1634" customFormat="1">
      <c r="G380" s="3336"/>
      <c r="P380" s="3337"/>
    </row>
    <row r="381" spans="7:16" s="1634" customFormat="1">
      <c r="G381" s="3336"/>
      <c r="P381" s="3337"/>
    </row>
    <row r="382" spans="7:16" s="1634" customFormat="1">
      <c r="G382" s="3336"/>
      <c r="P382" s="3337"/>
    </row>
    <row r="383" spans="7:16" s="1634" customFormat="1">
      <c r="G383" s="3336"/>
      <c r="P383" s="3337"/>
    </row>
    <row r="384" spans="7:16" s="1634" customFormat="1">
      <c r="G384" s="3336"/>
      <c r="P384" s="3337"/>
    </row>
    <row r="385" spans="7:16" s="1634" customFormat="1">
      <c r="G385" s="3336"/>
      <c r="P385" s="3337"/>
    </row>
    <row r="386" spans="7:16" s="1634" customFormat="1">
      <c r="G386" s="3336"/>
      <c r="P386" s="3337"/>
    </row>
    <row r="387" spans="7:16" s="1634" customFormat="1">
      <c r="G387" s="3336"/>
      <c r="P387" s="3337"/>
    </row>
    <row r="388" spans="7:16" s="1634" customFormat="1">
      <c r="G388" s="3336"/>
      <c r="P388" s="3337"/>
    </row>
    <row r="389" spans="7:16" s="1634" customFormat="1">
      <c r="G389" s="3336"/>
      <c r="P389" s="3337"/>
    </row>
    <row r="390" spans="7:16" s="1634" customFormat="1">
      <c r="G390" s="3336"/>
      <c r="P390" s="3337"/>
    </row>
    <row r="391" spans="7:16" s="1634" customFormat="1">
      <c r="G391" s="3336"/>
      <c r="P391" s="3337"/>
    </row>
    <row r="392" spans="7:16" s="1634" customFormat="1">
      <c r="G392" s="3336"/>
      <c r="P392" s="3337"/>
    </row>
    <row r="393" spans="7:16" s="1634" customFormat="1">
      <c r="G393" s="3336"/>
      <c r="P393" s="3337"/>
    </row>
    <row r="394" spans="7:16" s="1634" customFormat="1">
      <c r="G394" s="3336"/>
      <c r="P394" s="3337"/>
    </row>
    <row r="395" spans="7:16" s="1634" customFormat="1">
      <c r="G395" s="3336"/>
      <c r="P395" s="3337"/>
    </row>
    <row r="396" spans="7:16" s="1634" customFormat="1">
      <c r="G396" s="3336"/>
      <c r="P396" s="3337"/>
    </row>
    <row r="397" spans="7:16" s="1634" customFormat="1">
      <c r="G397" s="3336"/>
      <c r="P397" s="3337"/>
    </row>
    <row r="398" spans="7:16" s="1634" customFormat="1">
      <c r="G398" s="3336"/>
      <c r="P398" s="3337"/>
    </row>
    <row r="399" spans="7:16" s="1634" customFormat="1">
      <c r="G399" s="3336"/>
      <c r="P399" s="3337"/>
    </row>
    <row r="400" spans="7:16" s="1634" customFormat="1">
      <c r="G400" s="3336"/>
      <c r="P400" s="3337"/>
    </row>
    <row r="401" spans="7:16" s="1634" customFormat="1">
      <c r="G401" s="3336"/>
      <c r="P401" s="3337"/>
    </row>
    <row r="402" spans="7:16" s="1634" customFormat="1">
      <c r="G402" s="3336"/>
      <c r="P402" s="3337"/>
    </row>
    <row r="403" spans="7:16" s="1634" customFormat="1">
      <c r="G403" s="3336"/>
      <c r="P403" s="3337"/>
    </row>
    <row r="404" spans="7:16" s="1634" customFormat="1">
      <c r="G404" s="3336"/>
      <c r="P404" s="3337"/>
    </row>
    <row r="405" spans="7:16" s="1634" customFormat="1">
      <c r="G405" s="3336"/>
      <c r="P405" s="3337"/>
    </row>
    <row r="406" spans="7:16" s="1634" customFormat="1">
      <c r="G406" s="3336"/>
      <c r="P406" s="3337"/>
    </row>
    <row r="407" spans="7:16" s="1634" customFormat="1">
      <c r="G407" s="3336"/>
      <c r="P407" s="3337"/>
    </row>
    <row r="408" spans="7:16" s="1634" customFormat="1">
      <c r="G408" s="3336"/>
      <c r="P408" s="3337"/>
    </row>
    <row r="409" spans="7:16" s="1634" customFormat="1">
      <c r="G409" s="3336"/>
      <c r="P409" s="3337"/>
    </row>
    <row r="410" spans="7:16" s="1634" customFormat="1">
      <c r="G410" s="3336"/>
      <c r="P410" s="3337"/>
    </row>
    <row r="411" spans="7:16" s="1634" customFormat="1">
      <c r="G411" s="3336"/>
      <c r="P411" s="3337"/>
    </row>
    <row r="412" spans="7:16" s="1634" customFormat="1">
      <c r="G412" s="3336"/>
      <c r="P412" s="3337"/>
    </row>
    <row r="413" spans="7:16" s="1634" customFormat="1">
      <c r="G413" s="3336"/>
      <c r="P413" s="3337"/>
    </row>
    <row r="414" spans="7:16" s="1634" customFormat="1">
      <c r="G414" s="3336"/>
      <c r="P414" s="3337"/>
    </row>
    <row r="415" spans="7:16" s="1634" customFormat="1">
      <c r="G415" s="3336"/>
      <c r="P415" s="3337"/>
    </row>
    <row r="416" spans="7:16" s="1634" customFormat="1">
      <c r="G416" s="3336"/>
      <c r="P416" s="3337"/>
    </row>
    <row r="417" spans="7:16" s="1634" customFormat="1">
      <c r="G417" s="3336"/>
      <c r="P417" s="3337"/>
    </row>
    <row r="418" spans="7:16" s="1634" customFormat="1">
      <c r="G418" s="3336"/>
      <c r="P418" s="3337"/>
    </row>
    <row r="419" spans="7:16" s="1634" customFormat="1">
      <c r="G419" s="3336"/>
      <c r="P419" s="3337"/>
    </row>
    <row r="420" spans="7:16" s="1634" customFormat="1">
      <c r="G420" s="3336"/>
      <c r="P420" s="3337"/>
    </row>
    <row r="421" spans="7:16" s="1634" customFormat="1">
      <c r="G421" s="3336"/>
      <c r="P421" s="3337"/>
    </row>
    <row r="422" spans="7:16" s="1634" customFormat="1">
      <c r="G422" s="3336"/>
      <c r="P422" s="3337"/>
    </row>
    <row r="423" spans="7:16" s="1634" customFormat="1">
      <c r="G423" s="3336"/>
      <c r="P423" s="3337"/>
    </row>
    <row r="424" spans="7:16" s="1634" customFormat="1">
      <c r="G424" s="3336"/>
      <c r="P424" s="3337"/>
    </row>
    <row r="425" spans="7:16" s="1634" customFormat="1">
      <c r="G425" s="3336"/>
      <c r="P425" s="3337"/>
    </row>
    <row r="426" spans="7:16" s="1634" customFormat="1">
      <c r="G426" s="3336"/>
      <c r="P426" s="3337"/>
    </row>
    <row r="427" spans="7:16" s="1634" customFormat="1">
      <c r="G427" s="3336"/>
      <c r="P427" s="3337"/>
    </row>
    <row r="428" spans="7:16" s="1634" customFormat="1">
      <c r="G428" s="3336"/>
      <c r="P428" s="3337"/>
    </row>
    <row r="429" spans="7:16" s="1634" customFormat="1">
      <c r="G429" s="3336"/>
      <c r="P429" s="3337"/>
    </row>
    <row r="430" spans="7:16" s="1634" customFormat="1">
      <c r="G430" s="3336"/>
      <c r="P430" s="3337"/>
    </row>
    <row r="431" spans="7:16" s="1634" customFormat="1">
      <c r="G431" s="3336"/>
      <c r="P431" s="3337"/>
    </row>
    <row r="432" spans="7:16" s="1634" customFormat="1">
      <c r="G432" s="3336"/>
      <c r="P432" s="3337"/>
    </row>
    <row r="433" spans="7:16" s="1634" customFormat="1">
      <c r="G433" s="3336"/>
      <c r="P433" s="3337"/>
    </row>
    <row r="434" spans="7:16" s="1634" customFormat="1">
      <c r="G434" s="3336"/>
      <c r="P434" s="3337"/>
    </row>
    <row r="435" spans="7:16" s="1634" customFormat="1">
      <c r="G435" s="3336"/>
      <c r="P435" s="3337"/>
    </row>
    <row r="436" spans="7:16" s="1634" customFormat="1">
      <c r="G436" s="3336"/>
      <c r="P436" s="3337"/>
    </row>
    <row r="437" spans="7:16" s="1634" customFormat="1">
      <c r="G437" s="3336"/>
      <c r="P437" s="3337"/>
    </row>
    <row r="438" spans="7:16" s="1634" customFormat="1">
      <c r="G438" s="3336"/>
      <c r="P438" s="3337"/>
    </row>
    <row r="439" spans="7:16" s="1634" customFormat="1">
      <c r="G439" s="3336"/>
      <c r="P439" s="3337"/>
    </row>
    <row r="440" spans="7:16" s="1634" customFormat="1">
      <c r="G440" s="3336"/>
      <c r="P440" s="3337"/>
    </row>
    <row r="441" spans="7:16" s="1634" customFormat="1">
      <c r="G441" s="3336"/>
      <c r="P441" s="3337"/>
    </row>
    <row r="442" spans="7:16" s="1634" customFormat="1">
      <c r="G442" s="3336"/>
      <c r="P442" s="3337"/>
    </row>
    <row r="443" spans="7:16" s="1634" customFormat="1">
      <c r="G443" s="3336"/>
      <c r="P443" s="3337"/>
    </row>
    <row r="444" spans="7:16" s="1634" customFormat="1">
      <c r="G444" s="3336"/>
      <c r="P444" s="3337"/>
    </row>
    <row r="445" spans="7:16" s="1634" customFormat="1">
      <c r="G445" s="3336"/>
      <c r="P445" s="3337"/>
    </row>
    <row r="446" spans="7:16" s="1634" customFormat="1">
      <c r="G446" s="3336"/>
      <c r="P446" s="3337"/>
    </row>
    <row r="447" spans="7:16" s="1634" customFormat="1">
      <c r="G447" s="3336"/>
      <c r="P447" s="3337"/>
    </row>
    <row r="448" spans="7:16" s="1634" customFormat="1">
      <c r="G448" s="3336"/>
      <c r="P448" s="3337"/>
    </row>
    <row r="449" spans="7:16" s="1634" customFormat="1">
      <c r="G449" s="3336"/>
      <c r="P449" s="3337"/>
    </row>
    <row r="450" spans="7:16" s="1634" customFormat="1">
      <c r="G450" s="3336"/>
      <c r="P450" s="3337"/>
    </row>
    <row r="451" spans="7:16" s="1634" customFormat="1">
      <c r="G451" s="3336"/>
      <c r="P451" s="3337"/>
    </row>
    <row r="452" spans="7:16" s="1634" customFormat="1">
      <c r="G452" s="3336"/>
      <c r="P452" s="3337"/>
    </row>
    <row r="453" spans="7:16" s="1634" customFormat="1">
      <c r="G453" s="3336"/>
      <c r="P453" s="3337"/>
    </row>
    <row r="454" spans="7:16" s="1634" customFormat="1">
      <c r="G454" s="3336"/>
      <c r="P454" s="3337"/>
    </row>
    <row r="455" spans="7:16" s="1634" customFormat="1">
      <c r="G455" s="3336"/>
      <c r="P455" s="3337"/>
    </row>
    <row r="456" spans="7:16" s="1634" customFormat="1">
      <c r="G456" s="3336"/>
      <c r="P456" s="3337"/>
    </row>
    <row r="457" spans="7:16" s="1634" customFormat="1">
      <c r="G457" s="3336"/>
      <c r="P457" s="3337"/>
    </row>
    <row r="458" spans="7:16" s="1634" customFormat="1">
      <c r="G458" s="3336"/>
      <c r="P458" s="3337"/>
    </row>
    <row r="459" spans="7:16" s="1634" customFormat="1">
      <c r="G459" s="3336"/>
      <c r="P459" s="3337"/>
    </row>
    <row r="460" spans="7:16" s="1634" customFormat="1">
      <c r="G460" s="3336"/>
      <c r="P460" s="3337"/>
    </row>
    <row r="461" spans="7:16" s="1634" customFormat="1">
      <c r="G461" s="3336"/>
      <c r="P461" s="3337"/>
    </row>
    <row r="462" spans="7:16" s="1634" customFormat="1">
      <c r="G462" s="3336"/>
      <c r="P462" s="3337"/>
    </row>
    <row r="463" spans="7:16" s="1634" customFormat="1">
      <c r="G463" s="3336"/>
      <c r="P463" s="3337"/>
    </row>
    <row r="464" spans="7:16" s="1634" customFormat="1">
      <c r="G464" s="3336"/>
      <c r="P464" s="3337"/>
    </row>
    <row r="465" spans="7:16" s="1634" customFormat="1">
      <c r="G465" s="3336"/>
      <c r="P465" s="3337"/>
    </row>
    <row r="466" spans="7:16" s="1634" customFormat="1">
      <c r="G466" s="3336"/>
      <c r="P466" s="3337"/>
    </row>
    <row r="467" spans="7:16" s="1634" customFormat="1">
      <c r="G467" s="3336"/>
      <c r="P467" s="3337"/>
    </row>
    <row r="468" spans="7:16" s="1634" customFormat="1">
      <c r="G468" s="3336"/>
      <c r="P468" s="3337"/>
    </row>
    <row r="469" spans="7:16" s="1634" customFormat="1">
      <c r="G469" s="3336"/>
      <c r="P469" s="3337"/>
    </row>
    <row r="470" spans="7:16" s="1634" customFormat="1">
      <c r="G470" s="3336"/>
      <c r="P470" s="3337"/>
    </row>
    <row r="471" spans="7:16" s="1634" customFormat="1">
      <c r="G471" s="3336"/>
      <c r="P471" s="3337"/>
    </row>
    <row r="472" spans="7:16" s="1634" customFormat="1">
      <c r="G472" s="3336"/>
      <c r="P472" s="3337"/>
    </row>
    <row r="473" spans="7:16" s="1634" customFormat="1">
      <c r="G473" s="3336"/>
      <c r="P473" s="3337"/>
    </row>
    <row r="474" spans="7:16" s="1634" customFormat="1">
      <c r="G474" s="3336"/>
      <c r="P474" s="3337"/>
    </row>
    <row r="475" spans="7:16" s="1634" customFormat="1">
      <c r="G475" s="3336"/>
      <c r="P475" s="3337"/>
    </row>
    <row r="476" spans="7:16" s="1634" customFormat="1">
      <c r="G476" s="3336"/>
      <c r="P476" s="3337"/>
    </row>
    <row r="477" spans="7:16" s="1634" customFormat="1">
      <c r="G477" s="3336"/>
      <c r="P477" s="3337"/>
    </row>
    <row r="478" spans="7:16" s="1634" customFormat="1">
      <c r="G478" s="3336"/>
      <c r="P478" s="3337"/>
    </row>
    <row r="479" spans="7:16" s="1634" customFormat="1">
      <c r="G479" s="3336"/>
      <c r="P479" s="3337"/>
    </row>
    <row r="480" spans="7:16" s="1634" customFormat="1">
      <c r="G480" s="3336"/>
      <c r="P480" s="3337"/>
    </row>
    <row r="481" spans="7:16" s="1634" customFormat="1">
      <c r="G481" s="3336"/>
      <c r="P481" s="3337"/>
    </row>
    <row r="482" spans="7:16" s="1634" customFormat="1">
      <c r="G482" s="3336"/>
      <c r="P482" s="3337"/>
    </row>
    <row r="483" spans="7:16" s="1634" customFormat="1">
      <c r="G483" s="3336"/>
      <c r="P483" s="3337"/>
    </row>
    <row r="484" spans="7:16" s="1634" customFormat="1">
      <c r="G484" s="3336"/>
      <c r="P484" s="3337"/>
    </row>
    <row r="485" spans="7:16" s="1634" customFormat="1">
      <c r="G485" s="3336"/>
      <c r="P485" s="3337"/>
    </row>
    <row r="486" spans="7:16" s="1634" customFormat="1">
      <c r="G486" s="3336"/>
      <c r="P486" s="3337"/>
    </row>
    <row r="487" spans="7:16" s="1634" customFormat="1">
      <c r="G487" s="3336"/>
      <c r="P487" s="3337"/>
    </row>
    <row r="488" spans="7:16" s="1634" customFormat="1">
      <c r="G488" s="3336"/>
      <c r="P488" s="3337"/>
    </row>
    <row r="489" spans="7:16" s="1634" customFormat="1">
      <c r="G489" s="3336"/>
      <c r="P489" s="3337"/>
    </row>
    <row r="490" spans="7:16" s="1634" customFormat="1">
      <c r="G490" s="3336"/>
      <c r="P490" s="3337"/>
    </row>
    <row r="491" spans="7:16" s="1634" customFormat="1">
      <c r="G491" s="3336"/>
      <c r="P491" s="3337"/>
    </row>
    <row r="492" spans="7:16" s="1634" customFormat="1">
      <c r="G492" s="3336"/>
      <c r="P492" s="3337"/>
    </row>
    <row r="493" spans="7:16" s="1634" customFormat="1">
      <c r="G493" s="3336"/>
      <c r="P493" s="3337"/>
    </row>
    <row r="494" spans="7:16" s="1634" customFormat="1">
      <c r="G494" s="3336"/>
      <c r="P494" s="3337"/>
    </row>
    <row r="495" spans="7:16" s="1634" customFormat="1">
      <c r="G495" s="3336"/>
      <c r="P495" s="3337"/>
    </row>
    <row r="496" spans="7:16" s="1634" customFormat="1">
      <c r="G496" s="3336"/>
      <c r="P496" s="3337"/>
    </row>
    <row r="497" spans="7:16" s="1634" customFormat="1">
      <c r="G497" s="3336"/>
      <c r="P497" s="3337"/>
    </row>
    <row r="498" spans="7:16" s="1634" customFormat="1">
      <c r="G498" s="3336"/>
      <c r="P498" s="3337"/>
    </row>
    <row r="499" spans="7:16" s="1634" customFormat="1">
      <c r="G499" s="3336"/>
      <c r="P499" s="3337"/>
    </row>
    <row r="500" spans="7:16" s="1634" customFormat="1">
      <c r="G500" s="3336"/>
      <c r="P500" s="3337"/>
    </row>
    <row r="501" spans="7:16" s="1634" customFormat="1">
      <c r="G501" s="3336"/>
      <c r="P501" s="3337"/>
    </row>
    <row r="502" spans="7:16" s="1634" customFormat="1">
      <c r="G502" s="3336"/>
      <c r="P502" s="3337"/>
    </row>
    <row r="503" spans="7:16" s="1634" customFormat="1">
      <c r="G503" s="3336"/>
      <c r="P503" s="3337"/>
    </row>
    <row r="504" spans="7:16" s="1634" customFormat="1">
      <c r="G504" s="3336"/>
      <c r="P504" s="3337"/>
    </row>
    <row r="505" spans="7:16" s="1634" customFormat="1">
      <c r="G505" s="3336"/>
      <c r="P505" s="3337"/>
    </row>
    <row r="506" spans="7:16" s="1634" customFormat="1">
      <c r="G506" s="3336"/>
      <c r="P506" s="3337"/>
    </row>
    <row r="507" spans="7:16" s="1634" customFormat="1">
      <c r="G507" s="3336"/>
      <c r="P507" s="3337"/>
    </row>
    <row r="508" spans="7:16" s="1634" customFormat="1">
      <c r="G508" s="3336"/>
      <c r="P508" s="3337"/>
    </row>
    <row r="509" spans="7:16" s="1634" customFormat="1">
      <c r="G509" s="3336"/>
      <c r="P509" s="3337"/>
    </row>
    <row r="510" spans="7:16" s="1634" customFormat="1">
      <c r="G510" s="3336"/>
      <c r="P510" s="3337"/>
    </row>
    <row r="511" spans="7:16" s="1634" customFormat="1">
      <c r="G511" s="3336"/>
      <c r="P511" s="3337"/>
    </row>
    <row r="512" spans="7:16" s="1634" customFormat="1">
      <c r="G512" s="3336"/>
      <c r="P512" s="3337"/>
    </row>
    <row r="513" spans="7:16" s="1634" customFormat="1">
      <c r="G513" s="3336"/>
      <c r="P513" s="3337"/>
    </row>
    <row r="514" spans="7:16" s="1634" customFormat="1">
      <c r="G514" s="3336"/>
      <c r="P514" s="3337"/>
    </row>
    <row r="515" spans="7:16" s="1634" customFormat="1">
      <c r="G515" s="3336"/>
      <c r="P515" s="3337"/>
    </row>
    <row r="516" spans="7:16" s="1634" customFormat="1">
      <c r="G516" s="3336"/>
      <c r="P516" s="3337"/>
    </row>
    <row r="517" spans="7:16" s="1634" customFormat="1">
      <c r="G517" s="3336"/>
      <c r="P517" s="3337"/>
    </row>
    <row r="518" spans="7:16" s="1634" customFormat="1">
      <c r="G518" s="3336"/>
      <c r="P518" s="3337"/>
    </row>
    <row r="519" spans="7:16" s="1634" customFormat="1">
      <c r="G519" s="3336"/>
      <c r="P519" s="3337"/>
    </row>
    <row r="520" spans="7:16" s="1634" customFormat="1">
      <c r="G520" s="3336"/>
      <c r="P520" s="3337"/>
    </row>
    <row r="521" spans="7:16" s="1634" customFormat="1">
      <c r="G521" s="3336"/>
      <c r="P521" s="3337"/>
    </row>
    <row r="522" spans="7:16" s="1634" customFormat="1">
      <c r="G522" s="3336"/>
      <c r="P522" s="3337"/>
    </row>
    <row r="523" spans="7:16" s="1634" customFormat="1">
      <c r="G523" s="3336"/>
      <c r="P523" s="3337"/>
    </row>
    <row r="524" spans="7:16" s="1634" customFormat="1">
      <c r="G524" s="3336"/>
      <c r="P524" s="3337"/>
    </row>
    <row r="525" spans="7:16" s="1634" customFormat="1">
      <c r="G525" s="3336"/>
      <c r="P525" s="3337"/>
    </row>
    <row r="526" spans="7:16" s="1634" customFormat="1">
      <c r="G526" s="3336"/>
      <c r="P526" s="3337"/>
    </row>
    <row r="527" spans="7:16" s="1634" customFormat="1">
      <c r="G527" s="3336"/>
      <c r="P527" s="3337"/>
    </row>
    <row r="528" spans="7:16" s="1634" customFormat="1">
      <c r="G528" s="3336"/>
      <c r="P528" s="3337"/>
    </row>
    <row r="529" spans="7:16" s="1634" customFormat="1">
      <c r="G529" s="3336"/>
      <c r="P529" s="3337"/>
    </row>
    <row r="530" spans="7:16" s="1634" customFormat="1">
      <c r="G530" s="3336"/>
      <c r="P530" s="3337"/>
    </row>
    <row r="531" spans="7:16" s="1634" customFormat="1">
      <c r="G531" s="3336"/>
      <c r="P531" s="3337"/>
    </row>
    <row r="532" spans="7:16" s="1634" customFormat="1">
      <c r="G532" s="3336"/>
      <c r="P532" s="3337"/>
    </row>
    <row r="533" spans="7:16" s="1634" customFormat="1">
      <c r="G533" s="3336"/>
      <c r="P533" s="3337"/>
    </row>
    <row r="534" spans="7:16" s="1634" customFormat="1">
      <c r="G534" s="3336"/>
      <c r="P534" s="3337"/>
    </row>
    <row r="535" spans="7:16" s="1634" customFormat="1">
      <c r="G535" s="3336"/>
      <c r="P535" s="3337"/>
    </row>
    <row r="536" spans="7:16" s="1634" customFormat="1">
      <c r="G536" s="3336"/>
      <c r="P536" s="3337"/>
    </row>
    <row r="537" spans="7:16" s="1634" customFormat="1">
      <c r="G537" s="3336"/>
      <c r="P537" s="3337"/>
    </row>
    <row r="538" spans="7:16" s="1634" customFormat="1">
      <c r="G538" s="3336"/>
      <c r="P538" s="3337"/>
    </row>
    <row r="539" spans="7:16" s="1634" customFormat="1">
      <c r="G539" s="3336"/>
      <c r="P539" s="3337"/>
    </row>
    <row r="540" spans="7:16" s="1634" customFormat="1">
      <c r="G540" s="3336"/>
      <c r="P540" s="3337"/>
    </row>
    <row r="541" spans="7:16" s="1634" customFormat="1">
      <c r="G541" s="3336"/>
      <c r="P541" s="3337"/>
    </row>
    <row r="542" spans="7:16" s="1634" customFormat="1">
      <c r="G542" s="3336"/>
      <c r="P542" s="3337"/>
    </row>
    <row r="543" spans="7:16" s="1634" customFormat="1">
      <c r="G543" s="3336"/>
      <c r="P543" s="3337"/>
    </row>
    <row r="544" spans="7:16" s="1634" customFormat="1">
      <c r="G544" s="3336"/>
      <c r="P544" s="3337"/>
    </row>
    <row r="545" spans="7:16" s="1634" customFormat="1">
      <c r="G545" s="3336"/>
      <c r="P545" s="3337"/>
    </row>
    <row r="546" spans="7:16" s="1634" customFormat="1">
      <c r="G546" s="3336"/>
      <c r="P546" s="3337"/>
    </row>
    <row r="547" spans="7:16" s="1634" customFormat="1">
      <c r="G547" s="3336"/>
      <c r="P547" s="3337"/>
    </row>
    <row r="548" spans="7:16" s="1634" customFormat="1">
      <c r="G548" s="3336"/>
      <c r="P548" s="3337"/>
    </row>
    <row r="549" spans="7:16" s="1634" customFormat="1">
      <c r="G549" s="3336"/>
      <c r="P549" s="3337"/>
    </row>
    <row r="550" spans="7:16" s="1634" customFormat="1">
      <c r="G550" s="3336"/>
      <c r="P550" s="3337"/>
    </row>
    <row r="551" spans="7:16" s="1634" customFormat="1">
      <c r="G551" s="3336"/>
      <c r="P551" s="3337"/>
    </row>
    <row r="552" spans="7:16" s="1634" customFormat="1">
      <c r="G552" s="3336"/>
      <c r="P552" s="3337"/>
    </row>
    <row r="553" spans="7:16" s="1634" customFormat="1">
      <c r="G553" s="3336"/>
      <c r="P553" s="3337"/>
    </row>
    <row r="554" spans="7:16" s="1634" customFormat="1">
      <c r="G554" s="3336"/>
      <c r="P554" s="3337"/>
    </row>
    <row r="555" spans="7:16" s="1634" customFormat="1">
      <c r="G555" s="3336"/>
      <c r="P555" s="3337"/>
    </row>
    <row r="556" spans="7:16" s="1634" customFormat="1">
      <c r="G556" s="3336"/>
      <c r="P556" s="3337"/>
    </row>
    <row r="557" spans="7:16" s="1634" customFormat="1">
      <c r="G557" s="3336"/>
      <c r="P557" s="3337"/>
    </row>
    <row r="558" spans="7:16" s="1634" customFormat="1">
      <c r="G558" s="3336"/>
      <c r="P558" s="3337"/>
    </row>
    <row r="559" spans="7:16" s="1634" customFormat="1">
      <c r="G559" s="3336"/>
      <c r="P559" s="3337"/>
    </row>
    <row r="560" spans="7:16" s="1634" customFormat="1">
      <c r="G560" s="3336"/>
      <c r="P560" s="3337"/>
    </row>
    <row r="561" spans="7:16" s="1634" customFormat="1">
      <c r="G561" s="3336"/>
      <c r="P561" s="3337"/>
    </row>
    <row r="562" spans="7:16" s="1634" customFormat="1">
      <c r="G562" s="3336"/>
      <c r="P562" s="3337"/>
    </row>
    <row r="563" spans="7:16" s="1634" customFormat="1">
      <c r="G563" s="3336"/>
      <c r="P563" s="3337"/>
    </row>
    <row r="564" spans="7:16" s="1634" customFormat="1">
      <c r="G564" s="3336"/>
      <c r="P564" s="3337"/>
    </row>
    <row r="565" spans="7:16" s="1634" customFormat="1">
      <c r="G565" s="3336"/>
      <c r="P565" s="3337"/>
    </row>
    <row r="566" spans="7:16" s="1634" customFormat="1">
      <c r="G566" s="3336"/>
      <c r="P566" s="3337"/>
    </row>
    <row r="567" spans="7:16" s="1634" customFormat="1">
      <c r="G567" s="3336"/>
      <c r="P567" s="3337"/>
    </row>
    <row r="568" spans="7:16" s="1634" customFormat="1">
      <c r="G568" s="3336"/>
      <c r="P568" s="3337"/>
    </row>
    <row r="569" spans="7:16" s="1634" customFormat="1">
      <c r="G569" s="3336"/>
      <c r="P569" s="3337"/>
    </row>
    <row r="570" spans="7:16" s="1634" customFormat="1">
      <c r="G570" s="3336"/>
      <c r="P570" s="3337"/>
    </row>
    <row r="571" spans="7:16" s="1634" customFormat="1">
      <c r="G571" s="3336"/>
      <c r="P571" s="3337"/>
    </row>
    <row r="572" spans="7:16" s="1634" customFormat="1">
      <c r="G572" s="3336"/>
      <c r="P572" s="3337"/>
    </row>
    <row r="573" spans="7:16" s="1634" customFormat="1">
      <c r="G573" s="3336"/>
      <c r="P573" s="3337"/>
    </row>
    <row r="574" spans="7:16" s="1634" customFormat="1">
      <c r="G574" s="3336"/>
      <c r="P574" s="3337"/>
    </row>
    <row r="575" spans="7:16" s="1634" customFormat="1">
      <c r="G575" s="3336"/>
      <c r="P575" s="3337"/>
    </row>
    <row r="576" spans="7:16" s="1634" customFormat="1">
      <c r="G576" s="3336"/>
      <c r="P576" s="3337"/>
    </row>
    <row r="577" spans="7:16" s="1634" customFormat="1">
      <c r="G577" s="3336"/>
      <c r="P577" s="3337"/>
    </row>
    <row r="578" spans="7:16" s="1634" customFormat="1">
      <c r="G578" s="3336"/>
      <c r="P578" s="3337"/>
    </row>
    <row r="579" spans="7:16" s="1634" customFormat="1">
      <c r="G579" s="3336"/>
      <c r="P579" s="3337"/>
    </row>
    <row r="580" spans="7:16" s="1634" customFormat="1">
      <c r="G580" s="3336"/>
      <c r="P580" s="3337"/>
    </row>
    <row r="581" spans="7:16" s="1634" customFormat="1">
      <c r="G581" s="3336"/>
      <c r="P581" s="3337"/>
    </row>
    <row r="582" spans="7:16" s="1634" customFormat="1">
      <c r="G582" s="3336"/>
      <c r="P582" s="3337"/>
    </row>
    <row r="583" spans="7:16" s="1634" customFormat="1">
      <c r="G583" s="3336"/>
      <c r="P583" s="3337"/>
    </row>
    <row r="584" spans="7:16" s="1634" customFormat="1">
      <c r="G584" s="3336"/>
      <c r="P584" s="3337"/>
    </row>
    <row r="585" spans="7:16" s="1634" customFormat="1">
      <c r="G585" s="3336"/>
      <c r="P585" s="3337"/>
    </row>
    <row r="586" spans="7:16" s="1634" customFormat="1">
      <c r="G586" s="3336"/>
      <c r="P586" s="3337"/>
    </row>
    <row r="587" spans="7:16" s="1634" customFormat="1">
      <c r="G587" s="3336"/>
      <c r="P587" s="3337"/>
    </row>
    <row r="588" spans="7:16" s="1634" customFormat="1">
      <c r="G588" s="3336"/>
      <c r="P588" s="3337"/>
    </row>
    <row r="589" spans="7:16" s="1634" customFormat="1">
      <c r="G589" s="3336"/>
      <c r="P589" s="3337"/>
    </row>
    <row r="590" spans="7:16" s="1634" customFormat="1">
      <c r="G590" s="3336"/>
      <c r="P590" s="3337"/>
    </row>
    <row r="591" spans="7:16" s="1634" customFormat="1">
      <c r="G591" s="3336"/>
      <c r="P591" s="3337"/>
    </row>
    <row r="592" spans="7:16" s="1634" customFormat="1">
      <c r="G592" s="3336"/>
      <c r="P592" s="3337"/>
    </row>
    <row r="593" spans="7:16" s="1634" customFormat="1">
      <c r="G593" s="3336"/>
      <c r="P593" s="3337"/>
    </row>
    <row r="594" spans="7:16" s="1634" customFormat="1">
      <c r="G594" s="3336"/>
      <c r="P594" s="3337"/>
    </row>
    <row r="595" spans="7:16" s="1634" customFormat="1">
      <c r="G595" s="3336"/>
      <c r="P595" s="3337"/>
    </row>
    <row r="596" spans="7:16" s="1634" customFormat="1">
      <c r="G596" s="3336"/>
      <c r="P596" s="3337"/>
    </row>
    <row r="597" spans="7:16" s="1634" customFormat="1">
      <c r="G597" s="3336"/>
      <c r="P597" s="3337"/>
    </row>
    <row r="598" spans="7:16" s="1634" customFormat="1">
      <c r="G598" s="3336"/>
      <c r="P598" s="3337"/>
    </row>
    <row r="599" spans="7:16" s="1634" customFormat="1">
      <c r="G599" s="3336"/>
      <c r="P599" s="3337"/>
    </row>
    <row r="600" spans="7:16" s="1634" customFormat="1">
      <c r="G600" s="3336"/>
      <c r="P600" s="3337"/>
    </row>
    <row r="601" spans="7:16" s="1634" customFormat="1">
      <c r="G601" s="3336"/>
      <c r="P601" s="3337"/>
    </row>
    <row r="602" spans="7:16" s="1634" customFormat="1">
      <c r="G602" s="3336"/>
      <c r="P602" s="3337"/>
    </row>
    <row r="603" spans="7:16" s="1634" customFormat="1">
      <c r="G603" s="3336"/>
      <c r="P603" s="3337"/>
    </row>
    <row r="604" spans="7:16" s="1634" customFormat="1">
      <c r="G604" s="3336"/>
      <c r="P604" s="3337"/>
    </row>
    <row r="605" spans="7:16" s="1634" customFormat="1">
      <c r="G605" s="3336"/>
      <c r="P605" s="3337"/>
    </row>
    <row r="606" spans="7:16" s="1634" customFormat="1">
      <c r="G606" s="3336"/>
      <c r="P606" s="3337"/>
    </row>
    <row r="607" spans="7:16" s="1634" customFormat="1">
      <c r="G607" s="3336"/>
      <c r="P607" s="3337"/>
    </row>
    <row r="608" spans="7:16" s="1634" customFormat="1">
      <c r="G608" s="3336"/>
      <c r="P608" s="3337"/>
    </row>
    <row r="609" spans="7:16" s="1634" customFormat="1">
      <c r="G609" s="3336"/>
      <c r="P609" s="3337"/>
    </row>
    <row r="610" spans="7:16" s="1634" customFormat="1">
      <c r="G610" s="3336"/>
      <c r="P610" s="3337"/>
    </row>
    <row r="611" spans="7:16" s="1634" customFormat="1">
      <c r="G611" s="3336"/>
      <c r="P611" s="3337"/>
    </row>
    <row r="612" spans="7:16" s="1634" customFormat="1">
      <c r="G612" s="3336"/>
      <c r="P612" s="3337"/>
    </row>
    <row r="613" spans="7:16" s="1634" customFormat="1">
      <c r="G613" s="3336"/>
      <c r="P613" s="3337"/>
    </row>
    <row r="614" spans="7:16" s="1634" customFormat="1">
      <c r="G614" s="3336"/>
      <c r="P614" s="3337"/>
    </row>
    <row r="615" spans="7:16" s="1634" customFormat="1">
      <c r="G615" s="3336"/>
      <c r="P615" s="3337"/>
    </row>
    <row r="616" spans="7:16" s="1634" customFormat="1">
      <c r="G616" s="3336"/>
      <c r="P616" s="3337"/>
    </row>
    <row r="617" spans="7:16" s="1634" customFormat="1">
      <c r="G617" s="3336"/>
      <c r="P617" s="3337"/>
    </row>
    <row r="618" spans="7:16" s="1634" customFormat="1">
      <c r="G618" s="3336"/>
      <c r="P618" s="3337"/>
    </row>
    <row r="619" spans="7:16" s="1634" customFormat="1">
      <c r="G619" s="3336"/>
      <c r="P619" s="3337"/>
    </row>
    <row r="620" spans="7:16" s="1634" customFormat="1">
      <c r="G620" s="3336"/>
      <c r="P620" s="3337"/>
    </row>
    <row r="621" spans="7:16" s="1634" customFormat="1">
      <c r="G621" s="3336"/>
      <c r="P621" s="3337"/>
    </row>
    <row r="622" spans="7:16" s="1634" customFormat="1">
      <c r="G622" s="3336"/>
      <c r="P622" s="3337"/>
    </row>
    <row r="623" spans="7:16" s="1634" customFormat="1">
      <c r="G623" s="3336"/>
      <c r="P623" s="3337"/>
    </row>
    <row r="624" spans="7:16" s="1634" customFormat="1">
      <c r="G624" s="3336"/>
      <c r="P624" s="3337"/>
    </row>
    <row r="625" spans="7:16" s="1634" customFormat="1">
      <c r="G625" s="3336"/>
      <c r="P625" s="3337"/>
    </row>
    <row r="626" spans="7:16" s="1634" customFormat="1">
      <c r="G626" s="3336"/>
      <c r="P626" s="3337"/>
    </row>
    <row r="627" spans="7:16" s="1634" customFormat="1">
      <c r="G627" s="3336"/>
      <c r="P627" s="3337"/>
    </row>
    <row r="628" spans="7:16" s="1634" customFormat="1">
      <c r="G628" s="3336"/>
      <c r="P628" s="3337"/>
    </row>
    <row r="629" spans="7:16" s="1634" customFormat="1">
      <c r="G629" s="3336"/>
      <c r="P629" s="3337"/>
    </row>
    <row r="630" spans="7:16" s="1634" customFormat="1">
      <c r="G630" s="3336"/>
      <c r="P630" s="3337"/>
    </row>
    <row r="631" spans="7:16" s="1634" customFormat="1">
      <c r="G631" s="3336"/>
      <c r="P631" s="3337"/>
    </row>
    <row r="632" spans="7:16" s="1634" customFormat="1">
      <c r="G632" s="3336"/>
      <c r="P632" s="3337"/>
    </row>
    <row r="633" spans="7:16" s="1634" customFormat="1">
      <c r="G633" s="3336"/>
      <c r="P633" s="3337"/>
    </row>
    <row r="634" spans="7:16" s="1634" customFormat="1">
      <c r="G634" s="3336"/>
      <c r="P634" s="3337"/>
    </row>
    <row r="635" spans="7:16" s="1634" customFormat="1">
      <c r="G635" s="3336"/>
      <c r="P635" s="3337"/>
    </row>
    <row r="636" spans="7:16" s="1634" customFormat="1">
      <c r="G636" s="3336"/>
      <c r="P636" s="3337"/>
    </row>
    <row r="637" spans="7:16" s="1634" customFormat="1">
      <c r="G637" s="3336"/>
      <c r="P637" s="3337"/>
    </row>
    <row r="638" spans="7:16" s="1634" customFormat="1">
      <c r="G638" s="3336"/>
      <c r="P638" s="3337"/>
    </row>
    <row r="639" spans="7:16" s="1634" customFormat="1">
      <c r="G639" s="3336"/>
      <c r="P639" s="3337"/>
    </row>
    <row r="640" spans="7:16" s="1634" customFormat="1">
      <c r="G640" s="3336"/>
      <c r="P640" s="3337"/>
    </row>
    <row r="641" spans="7:16" s="1634" customFormat="1">
      <c r="G641" s="3336"/>
      <c r="P641" s="3337"/>
    </row>
    <row r="642" spans="7:16" s="1634" customFormat="1">
      <c r="G642" s="3336"/>
      <c r="P642" s="3337"/>
    </row>
    <row r="643" spans="7:16" s="1634" customFormat="1">
      <c r="G643" s="3336"/>
      <c r="P643" s="3337"/>
    </row>
    <row r="644" spans="7:16" s="1634" customFormat="1">
      <c r="G644" s="3336"/>
      <c r="P644" s="3337"/>
    </row>
    <row r="645" spans="7:16" s="1634" customFormat="1">
      <c r="G645" s="3336"/>
      <c r="P645" s="3337"/>
    </row>
    <row r="646" spans="7:16" s="1634" customFormat="1">
      <c r="G646" s="3336"/>
      <c r="P646" s="3337"/>
    </row>
    <row r="647" spans="7:16" s="1634" customFormat="1">
      <c r="G647" s="3336"/>
      <c r="P647" s="3337"/>
    </row>
    <row r="648" spans="7:16" s="1634" customFormat="1">
      <c r="G648" s="3336"/>
      <c r="P648" s="3337"/>
    </row>
    <row r="649" spans="7:16" s="1634" customFormat="1">
      <c r="G649" s="3336"/>
      <c r="P649" s="3337"/>
    </row>
    <row r="650" spans="7:16" s="1634" customFormat="1">
      <c r="G650" s="3336"/>
      <c r="P650" s="3337"/>
    </row>
    <row r="651" spans="7:16" s="1634" customFormat="1">
      <c r="G651" s="3336"/>
      <c r="P651" s="3337"/>
    </row>
    <row r="652" spans="7:16" s="1634" customFormat="1">
      <c r="G652" s="3336"/>
      <c r="P652" s="3337"/>
    </row>
    <row r="653" spans="7:16" s="1634" customFormat="1">
      <c r="G653" s="3336"/>
      <c r="P653" s="3337"/>
    </row>
    <row r="654" spans="7:16" s="1634" customFormat="1">
      <c r="G654" s="3336"/>
      <c r="P654" s="3337"/>
    </row>
    <row r="655" spans="7:16" s="1634" customFormat="1">
      <c r="G655" s="3336"/>
      <c r="P655" s="3337"/>
    </row>
    <row r="656" spans="7:16" s="1634" customFormat="1">
      <c r="G656" s="3336"/>
      <c r="P656" s="3337"/>
    </row>
    <row r="657" spans="7:16" s="1634" customFormat="1">
      <c r="G657" s="3336"/>
      <c r="P657" s="3337"/>
    </row>
    <row r="658" spans="7:16" s="1634" customFormat="1">
      <c r="G658" s="3336"/>
      <c r="P658" s="3337"/>
    </row>
    <row r="659" spans="7:16" s="1634" customFormat="1">
      <c r="G659" s="3336"/>
      <c r="P659" s="3337"/>
    </row>
    <row r="660" spans="7:16" s="1634" customFormat="1">
      <c r="G660" s="3336"/>
      <c r="P660" s="3337"/>
    </row>
    <row r="661" spans="7:16" s="1634" customFormat="1">
      <c r="G661" s="3336"/>
      <c r="P661" s="3337"/>
    </row>
    <row r="662" spans="7:16" s="1634" customFormat="1">
      <c r="G662" s="3336"/>
      <c r="P662" s="3337"/>
    </row>
    <row r="663" spans="7:16" s="1634" customFormat="1">
      <c r="G663" s="3336"/>
      <c r="P663" s="3337"/>
    </row>
    <row r="664" spans="7:16" s="1634" customFormat="1">
      <c r="G664" s="3336"/>
      <c r="P664" s="3337"/>
    </row>
    <row r="665" spans="7:16" s="1634" customFormat="1">
      <c r="G665" s="3336"/>
      <c r="P665" s="3337"/>
    </row>
    <row r="666" spans="7:16" s="1634" customFormat="1">
      <c r="G666" s="3336"/>
      <c r="P666" s="3337"/>
    </row>
    <row r="667" spans="7:16" s="1634" customFormat="1">
      <c r="G667" s="3336"/>
      <c r="P667" s="3337"/>
    </row>
    <row r="668" spans="7:16" s="1634" customFormat="1">
      <c r="G668" s="3336"/>
      <c r="P668" s="3337"/>
    </row>
    <row r="669" spans="7:16" s="1634" customFormat="1">
      <c r="G669" s="3336"/>
      <c r="P669" s="3337"/>
    </row>
    <row r="670" spans="7:16" s="1634" customFormat="1">
      <c r="G670" s="3336"/>
      <c r="P670" s="3337"/>
    </row>
    <row r="671" spans="7:16" s="1634" customFormat="1">
      <c r="G671" s="3336"/>
      <c r="P671" s="3337"/>
    </row>
    <row r="672" spans="7:16" s="1634" customFormat="1">
      <c r="G672" s="3336"/>
      <c r="P672" s="3337"/>
    </row>
    <row r="673" spans="7:16" s="1634" customFormat="1">
      <c r="G673" s="3336"/>
      <c r="P673" s="3337"/>
    </row>
    <row r="674" spans="7:16" s="1634" customFormat="1">
      <c r="G674" s="3336"/>
      <c r="P674" s="3337"/>
    </row>
    <row r="675" spans="7:16" s="1634" customFormat="1">
      <c r="G675" s="3336"/>
      <c r="P675" s="3337"/>
    </row>
    <row r="676" spans="7:16" s="1634" customFormat="1">
      <c r="G676" s="3336"/>
      <c r="P676" s="3337"/>
    </row>
    <row r="677" spans="7:16" s="1634" customFormat="1">
      <c r="G677" s="3336"/>
      <c r="P677" s="3337"/>
    </row>
    <row r="678" spans="7:16" s="1634" customFormat="1">
      <c r="G678" s="3336"/>
      <c r="P678" s="3337"/>
    </row>
    <row r="679" spans="7:16" s="1634" customFormat="1">
      <c r="G679" s="3336"/>
      <c r="P679" s="3337"/>
    </row>
    <row r="680" spans="7:16" s="1634" customFormat="1">
      <c r="G680" s="3336"/>
      <c r="P680" s="3337"/>
    </row>
    <row r="681" spans="7:16" s="1634" customFormat="1">
      <c r="G681" s="3336"/>
      <c r="P681" s="3337"/>
    </row>
    <row r="682" spans="7:16" s="1634" customFormat="1">
      <c r="G682" s="3336"/>
      <c r="P682" s="3337"/>
    </row>
    <row r="683" spans="7:16" s="1634" customFormat="1">
      <c r="G683" s="3336"/>
      <c r="P683" s="3337"/>
    </row>
    <row r="684" spans="7:16" s="1634" customFormat="1">
      <c r="G684" s="3336"/>
      <c r="P684" s="3337"/>
    </row>
    <row r="685" spans="7:16" s="1634" customFormat="1">
      <c r="G685" s="3336"/>
      <c r="P685" s="3337"/>
    </row>
    <row r="686" spans="7:16" s="1634" customFormat="1">
      <c r="G686" s="3336"/>
      <c r="P686" s="3337"/>
    </row>
    <row r="687" spans="7:16" s="1634" customFormat="1">
      <c r="G687" s="3336"/>
      <c r="P687" s="3337"/>
    </row>
    <row r="688" spans="7:16" s="1634" customFormat="1">
      <c r="G688" s="3336"/>
      <c r="P688" s="3337"/>
    </row>
    <row r="689" spans="7:16" s="1634" customFormat="1">
      <c r="G689" s="3336"/>
      <c r="P689" s="3337"/>
    </row>
    <row r="690" spans="7:16" s="1634" customFormat="1">
      <c r="G690" s="3336"/>
      <c r="P690" s="3337"/>
    </row>
    <row r="691" spans="7:16" s="1634" customFormat="1">
      <c r="G691" s="3336"/>
      <c r="P691" s="3337"/>
    </row>
    <row r="692" spans="7:16" s="1634" customFormat="1">
      <c r="G692" s="3336"/>
      <c r="P692" s="3337"/>
    </row>
    <row r="693" spans="7:16" s="1634" customFormat="1">
      <c r="G693" s="3336"/>
      <c r="P693" s="3337"/>
    </row>
    <row r="694" spans="7:16" s="1634" customFormat="1">
      <c r="G694" s="3336"/>
      <c r="P694" s="3337"/>
    </row>
    <row r="695" spans="7:16" s="1634" customFormat="1">
      <c r="G695" s="3336"/>
      <c r="P695" s="3337"/>
    </row>
    <row r="696" spans="7:16" s="1634" customFormat="1">
      <c r="G696" s="3336"/>
      <c r="P696" s="3337"/>
    </row>
    <row r="697" spans="7:16" s="1634" customFormat="1">
      <c r="G697" s="3336"/>
      <c r="P697" s="3337"/>
    </row>
    <row r="698" spans="7:16" s="1634" customFormat="1">
      <c r="G698" s="3336"/>
      <c r="P698" s="3337"/>
    </row>
    <row r="699" spans="7:16" s="1634" customFormat="1">
      <c r="G699" s="3336"/>
      <c r="P699" s="3337"/>
    </row>
    <row r="700" spans="7:16" s="1634" customFormat="1">
      <c r="G700" s="3336"/>
      <c r="P700" s="3337"/>
    </row>
    <row r="701" spans="7:16" s="1634" customFormat="1">
      <c r="G701" s="3336"/>
      <c r="P701" s="3337"/>
    </row>
    <row r="702" spans="7:16" s="1634" customFormat="1">
      <c r="G702" s="3336"/>
      <c r="P702" s="3337"/>
    </row>
    <row r="703" spans="7:16" s="1634" customFormat="1">
      <c r="G703" s="3336"/>
      <c r="P703" s="3337"/>
    </row>
    <row r="704" spans="7:16" s="1634" customFormat="1">
      <c r="G704" s="3336"/>
      <c r="P704" s="3337"/>
    </row>
    <row r="705" spans="7:16" s="1634" customFormat="1">
      <c r="G705" s="3336"/>
      <c r="P705" s="3337"/>
    </row>
    <row r="706" spans="7:16" s="1634" customFormat="1">
      <c r="G706" s="3336"/>
      <c r="P706" s="3337"/>
    </row>
    <row r="707" spans="7:16" s="1634" customFormat="1">
      <c r="G707" s="3336"/>
      <c r="P707" s="3337"/>
    </row>
    <row r="708" spans="7:16" s="1634" customFormat="1">
      <c r="G708" s="3336"/>
      <c r="P708" s="3337"/>
    </row>
    <row r="709" spans="7:16" s="1634" customFormat="1">
      <c r="G709" s="3336"/>
      <c r="P709" s="3337"/>
    </row>
    <row r="710" spans="7:16" s="1634" customFormat="1">
      <c r="G710" s="3336"/>
      <c r="P710" s="3337"/>
    </row>
    <row r="711" spans="7:16" s="1634" customFormat="1">
      <c r="G711" s="3336"/>
      <c r="P711" s="3337"/>
    </row>
    <row r="712" spans="7:16" s="1634" customFormat="1">
      <c r="G712" s="3336"/>
      <c r="P712" s="3337"/>
    </row>
    <row r="713" spans="7:16" s="1634" customFormat="1">
      <c r="G713" s="3336"/>
      <c r="P713" s="3337"/>
    </row>
    <row r="714" spans="7:16" s="1634" customFormat="1">
      <c r="G714" s="3336"/>
      <c r="P714" s="3337"/>
    </row>
    <row r="715" spans="7:16" s="1634" customFormat="1">
      <c r="G715" s="3336"/>
      <c r="P715" s="3337"/>
    </row>
    <row r="716" spans="7:16" s="1634" customFormat="1">
      <c r="G716" s="3336"/>
      <c r="P716" s="3337"/>
    </row>
    <row r="717" spans="7:16" s="1634" customFormat="1">
      <c r="G717" s="3336"/>
      <c r="P717" s="3337"/>
    </row>
    <row r="718" spans="7:16" s="1634" customFormat="1">
      <c r="G718" s="3336"/>
      <c r="P718" s="3337"/>
    </row>
    <row r="719" spans="7:16" s="1634" customFormat="1">
      <c r="G719" s="3336"/>
      <c r="P719" s="3337"/>
    </row>
    <row r="720" spans="7:16" s="1634" customFormat="1">
      <c r="G720" s="3336"/>
      <c r="P720" s="3337"/>
    </row>
    <row r="721" spans="7:16" s="1634" customFormat="1">
      <c r="G721" s="3336"/>
      <c r="P721" s="3337"/>
    </row>
    <row r="722" spans="7:16" s="1634" customFormat="1">
      <c r="G722" s="3336"/>
      <c r="P722" s="3337"/>
    </row>
    <row r="723" spans="7:16" s="1634" customFormat="1">
      <c r="G723" s="3336"/>
      <c r="P723" s="3337"/>
    </row>
    <row r="724" spans="7:16" s="1634" customFormat="1">
      <c r="G724" s="3336"/>
      <c r="P724" s="3337"/>
    </row>
    <row r="725" spans="7:16" s="1634" customFormat="1">
      <c r="G725" s="3336"/>
      <c r="P725" s="3337"/>
    </row>
    <row r="726" spans="7:16" s="1634" customFormat="1">
      <c r="G726" s="3336"/>
      <c r="P726" s="3337"/>
    </row>
    <row r="727" spans="7:16" s="1634" customFormat="1">
      <c r="G727" s="3336"/>
      <c r="P727" s="3337"/>
    </row>
    <row r="728" spans="7:16" s="1634" customFormat="1">
      <c r="G728" s="3336"/>
      <c r="P728" s="3337"/>
    </row>
    <row r="729" spans="7:16" s="1634" customFormat="1">
      <c r="G729" s="3336"/>
      <c r="P729" s="3337"/>
    </row>
    <row r="730" spans="7:16" s="1634" customFormat="1">
      <c r="G730" s="3336"/>
      <c r="P730" s="3337"/>
    </row>
    <row r="731" spans="7:16" s="1634" customFormat="1">
      <c r="G731" s="3336"/>
      <c r="P731" s="3337"/>
    </row>
    <row r="732" spans="7:16" s="1634" customFormat="1">
      <c r="G732" s="3336"/>
      <c r="P732" s="3337"/>
    </row>
    <row r="733" spans="7:16" s="1634" customFormat="1">
      <c r="G733" s="3336"/>
      <c r="P733" s="3337"/>
    </row>
    <row r="734" spans="7:16" s="1634" customFormat="1">
      <c r="G734" s="3336"/>
      <c r="P734" s="3337"/>
    </row>
    <row r="735" spans="7:16" s="1634" customFormat="1">
      <c r="G735" s="3336"/>
      <c r="P735" s="3337"/>
    </row>
    <row r="736" spans="7:16" s="1634" customFormat="1">
      <c r="G736" s="3336"/>
      <c r="P736" s="3337"/>
    </row>
    <row r="737" spans="7:16" s="1634" customFormat="1">
      <c r="G737" s="3336"/>
      <c r="P737" s="3337"/>
    </row>
    <row r="738" spans="7:16" s="1634" customFormat="1">
      <c r="G738" s="3336"/>
      <c r="P738" s="3337"/>
    </row>
    <row r="739" spans="7:16" s="1634" customFormat="1">
      <c r="G739" s="3336"/>
      <c r="P739" s="3337"/>
    </row>
    <row r="740" spans="7:16" s="1634" customFormat="1">
      <c r="G740" s="3336"/>
      <c r="P740" s="3337"/>
    </row>
    <row r="741" spans="7:16" s="1634" customFormat="1">
      <c r="G741" s="3336"/>
      <c r="P741" s="3337"/>
    </row>
    <row r="742" spans="7:16" s="1634" customFormat="1">
      <c r="G742" s="3336"/>
      <c r="P742" s="3337"/>
    </row>
    <row r="743" spans="7:16" s="1634" customFormat="1">
      <c r="G743" s="3336"/>
      <c r="P743" s="3337"/>
    </row>
    <row r="744" spans="7:16" s="1634" customFormat="1">
      <c r="G744" s="3336"/>
      <c r="P744" s="3337"/>
    </row>
    <row r="745" spans="7:16" s="1634" customFormat="1">
      <c r="G745" s="3336"/>
      <c r="P745" s="3337"/>
    </row>
    <row r="746" spans="7:16" s="1634" customFormat="1">
      <c r="G746" s="3336"/>
      <c r="P746" s="3337"/>
    </row>
    <row r="747" spans="7:16" s="1634" customFormat="1">
      <c r="G747" s="3336"/>
      <c r="P747" s="3337"/>
    </row>
    <row r="748" spans="7:16" s="1634" customFormat="1">
      <c r="G748" s="3336"/>
      <c r="P748" s="3337"/>
    </row>
    <row r="749" spans="7:16" s="1634" customFormat="1">
      <c r="G749" s="3336"/>
      <c r="P749" s="3337"/>
    </row>
    <row r="750" spans="7:16" s="1634" customFormat="1">
      <c r="G750" s="3336"/>
      <c r="P750" s="3337"/>
    </row>
    <row r="751" spans="7:16" s="1634" customFormat="1">
      <c r="G751" s="3336"/>
      <c r="P751" s="3337"/>
    </row>
    <row r="752" spans="7:16" s="1634" customFormat="1">
      <c r="G752" s="3336"/>
      <c r="P752" s="3337"/>
    </row>
    <row r="753" spans="7:16" s="1634" customFormat="1">
      <c r="G753" s="3336"/>
      <c r="P753" s="3337"/>
    </row>
    <row r="754" spans="7:16" s="1634" customFormat="1">
      <c r="G754" s="3336"/>
      <c r="P754" s="3337"/>
    </row>
    <row r="755" spans="7:16" s="1634" customFormat="1">
      <c r="G755" s="3336"/>
      <c r="P755" s="3337"/>
    </row>
    <row r="756" spans="7:16" s="1634" customFormat="1">
      <c r="G756" s="3336"/>
      <c r="P756" s="3337"/>
    </row>
    <row r="757" spans="7:16" s="1634" customFormat="1">
      <c r="G757" s="3336"/>
      <c r="P757" s="3337"/>
    </row>
    <row r="758" spans="7:16" s="1634" customFormat="1">
      <c r="G758" s="3336"/>
      <c r="P758" s="3337"/>
    </row>
    <row r="759" spans="7:16" s="1634" customFormat="1">
      <c r="G759" s="3336"/>
      <c r="P759" s="3337"/>
    </row>
    <row r="760" spans="7:16" s="1634" customFormat="1">
      <c r="G760" s="3336"/>
      <c r="P760" s="3337"/>
    </row>
    <row r="761" spans="7:16" s="1634" customFormat="1">
      <c r="G761" s="3336"/>
      <c r="P761" s="3337"/>
    </row>
    <row r="762" spans="7:16" s="1634" customFormat="1">
      <c r="G762" s="3336"/>
      <c r="P762" s="3337"/>
    </row>
    <row r="763" spans="7:16" s="1634" customFormat="1">
      <c r="G763" s="3336"/>
      <c r="P763" s="3337"/>
    </row>
    <row r="764" spans="7:16" s="1634" customFormat="1">
      <c r="G764" s="3336"/>
      <c r="P764" s="3337"/>
    </row>
    <row r="765" spans="7:16" s="1634" customFormat="1">
      <c r="G765" s="3336"/>
      <c r="P765" s="3337"/>
    </row>
    <row r="766" spans="7:16" s="1634" customFormat="1">
      <c r="G766" s="3336"/>
      <c r="P766" s="3337"/>
    </row>
    <row r="767" spans="7:16" s="1634" customFormat="1">
      <c r="G767" s="3336"/>
      <c r="P767" s="3337"/>
    </row>
    <row r="768" spans="7:16" s="1634" customFormat="1">
      <c r="G768" s="3336"/>
      <c r="P768" s="3337"/>
    </row>
    <row r="769" spans="7:16" s="1634" customFormat="1">
      <c r="G769" s="3336"/>
      <c r="P769" s="3337"/>
    </row>
    <row r="770" spans="7:16" s="1634" customFormat="1">
      <c r="G770" s="3336"/>
      <c r="P770" s="3337"/>
    </row>
    <row r="771" spans="7:16" s="1634" customFormat="1">
      <c r="G771" s="3336"/>
      <c r="P771" s="3337"/>
    </row>
    <row r="772" spans="7:16" s="1634" customFormat="1">
      <c r="G772" s="3336"/>
      <c r="P772" s="3337"/>
    </row>
    <row r="773" spans="7:16" s="1634" customFormat="1">
      <c r="G773" s="3336"/>
      <c r="P773" s="3337"/>
    </row>
    <row r="774" spans="7:16" s="1634" customFormat="1">
      <c r="G774" s="3336"/>
      <c r="P774" s="3337"/>
    </row>
    <row r="775" spans="7:16" s="1634" customFormat="1">
      <c r="G775" s="3336"/>
      <c r="P775" s="3337"/>
    </row>
    <row r="776" spans="7:16" s="1634" customFormat="1">
      <c r="G776" s="3336"/>
      <c r="P776" s="3337"/>
    </row>
    <row r="777" spans="7:16" s="1634" customFormat="1">
      <c r="G777" s="3336"/>
      <c r="P777" s="3337"/>
    </row>
    <row r="778" spans="7:16" s="1634" customFormat="1">
      <c r="G778" s="3336"/>
      <c r="P778" s="3337"/>
    </row>
    <row r="779" spans="7:16" s="1634" customFormat="1">
      <c r="G779" s="3336"/>
      <c r="P779" s="3337"/>
    </row>
    <row r="780" spans="7:16" s="1634" customFormat="1">
      <c r="G780" s="3336"/>
      <c r="P780" s="3337"/>
    </row>
    <row r="781" spans="7:16" s="1634" customFormat="1">
      <c r="G781" s="3336"/>
      <c r="P781" s="3337"/>
    </row>
    <row r="782" spans="7:16" s="1634" customFormat="1">
      <c r="G782" s="3336"/>
      <c r="P782" s="3337"/>
    </row>
    <row r="783" spans="7:16" s="1634" customFormat="1">
      <c r="G783" s="3336"/>
      <c r="P783" s="3337"/>
    </row>
    <row r="784" spans="7:16" s="1634" customFormat="1">
      <c r="G784" s="3336"/>
      <c r="P784" s="3337"/>
    </row>
    <row r="785" spans="7:16" s="1634" customFormat="1">
      <c r="G785" s="3336"/>
      <c r="P785" s="3337"/>
    </row>
    <row r="786" spans="7:16" s="1634" customFormat="1">
      <c r="G786" s="3336"/>
      <c r="P786" s="3337"/>
    </row>
    <row r="787" spans="7:16" s="1634" customFormat="1">
      <c r="G787" s="3336"/>
      <c r="P787" s="3337"/>
    </row>
    <row r="788" spans="7:16" s="1634" customFormat="1">
      <c r="G788" s="3336"/>
      <c r="P788" s="3337"/>
    </row>
    <row r="789" spans="7:16" s="1634" customFormat="1">
      <c r="G789" s="3336"/>
      <c r="P789" s="3337"/>
    </row>
    <row r="790" spans="7:16" s="1634" customFormat="1">
      <c r="G790" s="3336"/>
      <c r="P790" s="3337"/>
    </row>
    <row r="791" spans="7:16" s="1634" customFormat="1">
      <c r="G791" s="3336"/>
      <c r="P791" s="3337"/>
    </row>
    <row r="792" spans="7:16" s="1634" customFormat="1">
      <c r="G792" s="3336"/>
      <c r="P792" s="3337"/>
    </row>
    <row r="793" spans="7:16" s="1634" customFormat="1">
      <c r="G793" s="3336"/>
      <c r="P793" s="3337"/>
    </row>
    <row r="794" spans="7:16" s="1634" customFormat="1">
      <c r="G794" s="3336"/>
      <c r="P794" s="3337"/>
    </row>
    <row r="795" spans="7:16" s="1634" customFormat="1">
      <c r="G795" s="3336"/>
      <c r="P795" s="3337"/>
    </row>
    <row r="796" spans="7:16" s="1634" customFormat="1">
      <c r="G796" s="3336"/>
      <c r="P796" s="3337"/>
    </row>
    <row r="797" spans="7:16" s="1634" customFormat="1">
      <c r="G797" s="3336"/>
      <c r="P797" s="3337"/>
    </row>
    <row r="798" spans="7:16" s="1634" customFormat="1">
      <c r="G798" s="3336"/>
      <c r="P798" s="3337"/>
    </row>
    <row r="799" spans="7:16" s="1634" customFormat="1">
      <c r="G799" s="3336"/>
      <c r="P799" s="3337"/>
    </row>
    <row r="800" spans="7:16" s="1634" customFormat="1">
      <c r="G800" s="3336"/>
      <c r="P800" s="3337"/>
    </row>
    <row r="801" spans="7:16" s="1634" customFormat="1">
      <c r="G801" s="3336"/>
      <c r="P801" s="3337"/>
    </row>
    <row r="802" spans="7:16" s="1634" customFormat="1">
      <c r="G802" s="3336"/>
      <c r="P802" s="3337"/>
    </row>
    <row r="803" spans="7:16" s="1634" customFormat="1">
      <c r="G803" s="3336"/>
      <c r="P803" s="3337"/>
    </row>
    <row r="804" spans="7:16" s="1634" customFormat="1">
      <c r="G804" s="3336"/>
      <c r="P804" s="3337"/>
    </row>
    <row r="805" spans="7:16" s="1634" customFormat="1">
      <c r="G805" s="3336"/>
      <c r="P805" s="3337"/>
    </row>
    <row r="806" spans="7:16" s="1634" customFormat="1">
      <c r="G806" s="3336"/>
      <c r="P806" s="3337"/>
    </row>
    <row r="807" spans="7:16" s="1634" customFormat="1">
      <c r="G807" s="3336"/>
      <c r="P807" s="3337"/>
    </row>
    <row r="808" spans="7:16" s="1634" customFormat="1">
      <c r="G808" s="3336"/>
      <c r="P808" s="3337"/>
    </row>
    <row r="809" spans="7:16" s="1634" customFormat="1">
      <c r="G809" s="3336"/>
      <c r="P809" s="3337"/>
    </row>
    <row r="810" spans="7:16" s="1634" customFormat="1">
      <c r="G810" s="3336"/>
      <c r="P810" s="3337"/>
    </row>
    <row r="811" spans="7:16" s="1634" customFormat="1">
      <c r="G811" s="3336"/>
      <c r="P811" s="3337"/>
    </row>
    <row r="812" spans="7:16" s="1634" customFormat="1">
      <c r="G812" s="3336"/>
      <c r="P812" s="3337"/>
    </row>
    <row r="813" spans="7:16" s="1634" customFormat="1">
      <c r="G813" s="3336"/>
      <c r="P813" s="3337"/>
    </row>
    <row r="814" spans="7:16" s="1634" customFormat="1">
      <c r="G814" s="3336"/>
      <c r="P814" s="3337"/>
    </row>
    <row r="815" spans="7:16" s="1634" customFormat="1">
      <c r="G815" s="3336"/>
      <c r="P815" s="3337"/>
    </row>
    <row r="816" spans="7:16" s="1634" customFormat="1">
      <c r="G816" s="3336"/>
      <c r="P816" s="3337"/>
    </row>
    <row r="817" spans="7:16" s="1634" customFormat="1">
      <c r="G817" s="3336"/>
      <c r="P817" s="3337"/>
    </row>
    <row r="818" spans="7:16" s="1634" customFormat="1">
      <c r="G818" s="3336"/>
      <c r="P818" s="3337"/>
    </row>
    <row r="819" spans="7:16" s="1634" customFormat="1">
      <c r="G819" s="3336"/>
      <c r="P819" s="3337"/>
    </row>
    <row r="820" spans="7:16" s="1634" customFormat="1">
      <c r="G820" s="3336"/>
      <c r="P820" s="3337"/>
    </row>
    <row r="821" spans="7:16" s="1634" customFormat="1">
      <c r="G821" s="3336"/>
      <c r="P821" s="3337"/>
    </row>
    <row r="822" spans="7:16" s="1634" customFormat="1">
      <c r="G822" s="3336"/>
      <c r="P822" s="3337"/>
    </row>
    <row r="823" spans="7:16" s="1634" customFormat="1">
      <c r="G823" s="3336"/>
      <c r="P823" s="3337"/>
    </row>
    <row r="824" spans="7:16" s="1634" customFormat="1">
      <c r="G824" s="3336"/>
      <c r="P824" s="3337"/>
    </row>
    <row r="825" spans="7:16" s="1634" customFormat="1">
      <c r="G825" s="3336"/>
      <c r="P825" s="3337"/>
    </row>
    <row r="826" spans="7:16" s="1634" customFormat="1">
      <c r="G826" s="3336"/>
      <c r="P826" s="3337"/>
    </row>
    <row r="827" spans="7:16" s="1634" customFormat="1">
      <c r="G827" s="3336"/>
      <c r="P827" s="3337"/>
    </row>
    <row r="828" spans="7:16" s="1634" customFormat="1">
      <c r="G828" s="3336"/>
      <c r="P828" s="3337"/>
    </row>
    <row r="829" spans="7:16" s="1634" customFormat="1">
      <c r="G829" s="3336"/>
      <c r="P829" s="3337"/>
    </row>
    <row r="830" spans="7:16" s="1634" customFormat="1">
      <c r="G830" s="3336"/>
      <c r="P830" s="3337"/>
    </row>
    <row r="831" spans="7:16" s="1634" customFormat="1">
      <c r="G831" s="3336"/>
      <c r="P831" s="3337"/>
    </row>
    <row r="832" spans="7:16" s="1634" customFormat="1">
      <c r="G832" s="3336"/>
      <c r="P832" s="3337"/>
    </row>
    <row r="833" spans="7:16" s="1634" customFormat="1">
      <c r="G833" s="3336"/>
      <c r="P833" s="3337"/>
    </row>
    <row r="834" spans="7:16" s="1634" customFormat="1">
      <c r="G834" s="3336"/>
      <c r="P834" s="3337"/>
    </row>
    <row r="835" spans="7:16" s="1634" customFormat="1">
      <c r="G835" s="3336"/>
      <c r="P835" s="3337"/>
    </row>
    <row r="836" spans="7:16" s="1634" customFormat="1">
      <c r="G836" s="3336"/>
      <c r="P836" s="3337"/>
    </row>
    <row r="837" spans="7:16" s="1634" customFormat="1">
      <c r="G837" s="3336"/>
      <c r="P837" s="3337"/>
    </row>
    <row r="838" spans="7:16" s="1634" customFormat="1">
      <c r="G838" s="3336"/>
      <c r="P838" s="3337"/>
    </row>
    <row r="839" spans="7:16" s="1634" customFormat="1">
      <c r="G839" s="3336"/>
      <c r="P839" s="3337"/>
    </row>
    <row r="840" spans="7:16" s="1634" customFormat="1">
      <c r="G840" s="3336"/>
      <c r="P840" s="3337"/>
    </row>
    <row r="841" spans="7:16" s="1634" customFormat="1">
      <c r="G841" s="3336"/>
      <c r="P841" s="3337"/>
    </row>
    <row r="842" spans="7:16" s="1634" customFormat="1">
      <c r="G842" s="3336"/>
      <c r="P842" s="3337"/>
    </row>
    <row r="843" spans="7:16" s="1634" customFormat="1">
      <c r="G843" s="3336"/>
      <c r="P843" s="3337"/>
    </row>
    <row r="844" spans="7:16" s="1634" customFormat="1">
      <c r="G844" s="3336"/>
      <c r="P844" s="3337"/>
    </row>
    <row r="845" spans="7:16" s="1634" customFormat="1">
      <c r="G845" s="3336"/>
      <c r="P845" s="3337"/>
    </row>
    <row r="846" spans="7:16" s="1634" customFormat="1">
      <c r="G846" s="3336"/>
      <c r="P846" s="3337"/>
    </row>
    <row r="847" spans="7:16" s="1634" customFormat="1">
      <c r="G847" s="3336"/>
      <c r="P847" s="3337"/>
    </row>
    <row r="848" spans="7:16" s="1634" customFormat="1">
      <c r="G848" s="3336"/>
      <c r="P848" s="3337"/>
    </row>
    <row r="849" spans="7:16" s="1634" customFormat="1">
      <c r="G849" s="3336"/>
      <c r="P849" s="3337"/>
    </row>
    <row r="850" spans="7:16" s="1634" customFormat="1">
      <c r="G850" s="3336"/>
      <c r="P850" s="3337"/>
    </row>
    <row r="851" spans="7:16" s="1634" customFormat="1">
      <c r="G851" s="3336"/>
      <c r="P851" s="3337"/>
    </row>
    <row r="852" spans="7:16" s="1634" customFormat="1">
      <c r="G852" s="3336"/>
      <c r="P852" s="3337"/>
    </row>
    <row r="853" spans="7:16" s="1634" customFormat="1">
      <c r="G853" s="3336"/>
      <c r="P853" s="3337"/>
    </row>
    <row r="854" spans="7:16" s="1634" customFormat="1">
      <c r="G854" s="3336"/>
      <c r="P854" s="3337"/>
    </row>
    <row r="855" spans="7:16" s="1634" customFormat="1">
      <c r="G855" s="3336"/>
      <c r="P855" s="3337"/>
    </row>
    <row r="856" spans="7:16" s="1634" customFormat="1">
      <c r="G856" s="3336"/>
      <c r="P856" s="3337"/>
    </row>
    <row r="857" spans="7:16" s="1634" customFormat="1">
      <c r="G857" s="3336"/>
      <c r="P857" s="3337"/>
    </row>
    <row r="858" spans="7:16" s="1634" customFormat="1">
      <c r="G858" s="3336"/>
      <c r="P858" s="3337"/>
    </row>
    <row r="859" spans="7:16" s="1634" customFormat="1">
      <c r="G859" s="3336"/>
      <c r="P859" s="3337"/>
    </row>
    <row r="860" spans="7:16" s="1634" customFormat="1">
      <c r="G860" s="3336"/>
      <c r="P860" s="3337"/>
    </row>
    <row r="861" spans="7:16" s="1634" customFormat="1">
      <c r="G861" s="3336"/>
      <c r="P861" s="3337"/>
    </row>
    <row r="862" spans="7:16" s="1634" customFormat="1">
      <c r="G862" s="3336"/>
      <c r="P862" s="3337"/>
    </row>
    <row r="863" spans="7:16" s="1634" customFormat="1">
      <c r="G863" s="3336"/>
      <c r="P863" s="3337"/>
    </row>
    <row r="864" spans="7:16" s="1634" customFormat="1">
      <c r="G864" s="3336"/>
      <c r="P864" s="3337"/>
    </row>
    <row r="865" spans="7:16" s="1634" customFormat="1">
      <c r="G865" s="3336"/>
      <c r="P865" s="3337"/>
    </row>
    <row r="866" spans="7:16" s="1634" customFormat="1">
      <c r="G866" s="3336"/>
      <c r="P866" s="3337"/>
    </row>
    <row r="867" spans="7:16" s="1634" customFormat="1">
      <c r="G867" s="3336"/>
      <c r="P867" s="3337"/>
    </row>
    <row r="868" spans="7:16" s="1634" customFormat="1">
      <c r="G868" s="3336"/>
      <c r="P868" s="3337"/>
    </row>
    <row r="869" spans="7:16" s="1634" customFormat="1">
      <c r="G869" s="3336"/>
      <c r="P869" s="3337"/>
    </row>
    <row r="870" spans="7:16" s="1634" customFormat="1">
      <c r="G870" s="3336"/>
      <c r="P870" s="3337"/>
    </row>
    <row r="871" spans="7:16" s="1634" customFormat="1">
      <c r="G871" s="3336"/>
      <c r="P871" s="3337"/>
    </row>
    <row r="872" spans="7:16" s="1634" customFormat="1">
      <c r="G872" s="3336"/>
      <c r="P872" s="3337"/>
    </row>
    <row r="873" spans="7:16" s="1634" customFormat="1">
      <c r="G873" s="3336"/>
      <c r="P873" s="3337"/>
    </row>
    <row r="874" spans="7:16" s="1634" customFormat="1">
      <c r="G874" s="3336"/>
      <c r="P874" s="3337"/>
    </row>
    <row r="875" spans="7:16" s="1634" customFormat="1">
      <c r="G875" s="3336"/>
      <c r="P875" s="3337"/>
    </row>
    <row r="876" spans="7:16" s="1634" customFormat="1">
      <c r="G876" s="3336"/>
      <c r="P876" s="3337"/>
    </row>
    <row r="877" spans="7:16" s="1634" customFormat="1">
      <c r="G877" s="3336"/>
      <c r="P877" s="3337"/>
    </row>
    <row r="878" spans="7:16" s="1634" customFormat="1">
      <c r="G878" s="3336"/>
      <c r="P878" s="3337"/>
    </row>
    <row r="879" spans="7:16" s="1634" customFormat="1">
      <c r="G879" s="3336"/>
      <c r="P879" s="3337"/>
    </row>
    <row r="880" spans="7:16" s="1634" customFormat="1">
      <c r="G880" s="3336"/>
      <c r="P880" s="3337"/>
    </row>
    <row r="881" spans="7:16" s="1634" customFormat="1">
      <c r="G881" s="3336"/>
      <c r="P881" s="3337"/>
    </row>
    <row r="882" spans="7:16" s="1634" customFormat="1">
      <c r="G882" s="3336"/>
      <c r="P882" s="3337"/>
    </row>
    <row r="883" spans="7:16" s="1634" customFormat="1">
      <c r="G883" s="3336"/>
      <c r="P883" s="3337"/>
    </row>
    <row r="884" spans="7:16" s="1634" customFormat="1">
      <c r="G884" s="3336"/>
      <c r="P884" s="3337"/>
    </row>
    <row r="885" spans="7:16" s="1634" customFormat="1">
      <c r="G885" s="3336"/>
      <c r="P885" s="3337"/>
    </row>
    <row r="886" spans="7:16" s="1634" customFormat="1">
      <c r="G886" s="3336"/>
      <c r="P886" s="3337"/>
    </row>
    <row r="887" spans="7:16" s="1634" customFormat="1">
      <c r="G887" s="3336"/>
      <c r="P887" s="3337"/>
    </row>
    <row r="888" spans="7:16" s="1634" customFormat="1">
      <c r="G888" s="3336"/>
      <c r="P888" s="3337"/>
    </row>
    <row r="889" spans="7:16" s="1634" customFormat="1">
      <c r="G889" s="3336"/>
      <c r="P889" s="3337"/>
    </row>
    <row r="890" spans="7:16" s="1634" customFormat="1">
      <c r="G890" s="3336"/>
      <c r="P890" s="3337"/>
    </row>
    <row r="891" spans="7:16" s="1634" customFormat="1">
      <c r="G891" s="3336"/>
      <c r="P891" s="3337"/>
    </row>
    <row r="892" spans="7:16" s="1634" customFormat="1">
      <c r="G892" s="3336"/>
      <c r="P892" s="3337"/>
    </row>
    <row r="893" spans="7:16" s="1634" customFormat="1">
      <c r="G893" s="3336"/>
      <c r="P893" s="3337"/>
    </row>
    <row r="894" spans="7:16" s="1634" customFormat="1">
      <c r="G894" s="3336"/>
      <c r="P894" s="3337"/>
    </row>
    <row r="895" spans="7:16" s="1634" customFormat="1">
      <c r="G895" s="3336"/>
      <c r="P895" s="3337"/>
    </row>
    <row r="896" spans="7:16" s="1634" customFormat="1">
      <c r="G896" s="3336"/>
      <c r="P896" s="3337"/>
    </row>
    <row r="897" spans="7:16" s="1634" customFormat="1">
      <c r="G897" s="3336"/>
      <c r="P897" s="3337"/>
    </row>
    <row r="898" spans="7:16" s="1634" customFormat="1">
      <c r="G898" s="3336"/>
      <c r="P898" s="3337"/>
    </row>
    <row r="899" spans="7:16" s="1634" customFormat="1">
      <c r="G899" s="3336"/>
      <c r="P899" s="3337"/>
    </row>
    <row r="900" spans="7:16" s="1634" customFormat="1">
      <c r="G900" s="3336"/>
      <c r="P900" s="3337"/>
    </row>
    <row r="901" spans="7:16" s="1634" customFormat="1">
      <c r="G901" s="3336"/>
      <c r="P901" s="3337"/>
    </row>
    <row r="902" spans="7:16" s="1634" customFormat="1">
      <c r="G902" s="3336"/>
      <c r="P902" s="3337"/>
    </row>
    <row r="903" spans="7:16" s="1634" customFormat="1">
      <c r="G903" s="3336"/>
      <c r="P903" s="3337"/>
    </row>
    <row r="904" spans="7:16" s="1634" customFormat="1">
      <c r="G904" s="3336"/>
      <c r="P904" s="3337"/>
    </row>
    <row r="905" spans="7:16" s="1634" customFormat="1">
      <c r="G905" s="3336"/>
      <c r="P905" s="3337"/>
    </row>
    <row r="906" spans="7:16" s="1634" customFormat="1">
      <c r="G906" s="3336"/>
      <c r="P906" s="3337"/>
    </row>
    <row r="907" spans="7:16" s="1634" customFormat="1">
      <c r="G907" s="3336"/>
      <c r="P907" s="3337"/>
    </row>
    <row r="908" spans="7:16" s="1634" customFormat="1">
      <c r="G908" s="3336"/>
      <c r="P908" s="3337"/>
    </row>
    <row r="909" spans="7:16" s="1634" customFormat="1">
      <c r="G909" s="3336"/>
      <c r="P909" s="3337"/>
    </row>
    <row r="910" spans="7:16" s="1634" customFormat="1">
      <c r="G910" s="3336"/>
      <c r="P910" s="3337"/>
    </row>
    <row r="911" spans="7:16" s="1634" customFormat="1">
      <c r="G911" s="3336"/>
      <c r="P911" s="3337"/>
    </row>
    <row r="912" spans="7:16" s="1634" customFormat="1">
      <c r="G912" s="3336"/>
      <c r="P912" s="3337"/>
    </row>
    <row r="913" spans="7:16" s="1634" customFormat="1">
      <c r="G913" s="3336"/>
      <c r="P913" s="3337"/>
    </row>
    <row r="914" spans="7:16" s="1634" customFormat="1">
      <c r="G914" s="3336"/>
      <c r="P914" s="3337"/>
    </row>
    <row r="915" spans="7:16" s="1634" customFormat="1">
      <c r="G915" s="3336"/>
      <c r="P915" s="3337"/>
    </row>
    <row r="916" spans="7:16" s="1634" customFormat="1">
      <c r="G916" s="3336"/>
      <c r="P916" s="3337"/>
    </row>
    <row r="917" spans="7:16" s="1634" customFormat="1">
      <c r="G917" s="3336"/>
      <c r="P917" s="3337"/>
    </row>
    <row r="918" spans="7:16" s="1634" customFormat="1">
      <c r="G918" s="3336"/>
      <c r="P918" s="3337"/>
    </row>
    <row r="919" spans="7:16" s="1634" customFormat="1">
      <c r="G919" s="3336"/>
      <c r="P919" s="3337"/>
    </row>
    <row r="920" spans="7:16" s="1634" customFormat="1">
      <c r="G920" s="3336"/>
      <c r="P920" s="3337"/>
    </row>
    <row r="921" spans="7:16" s="1634" customFormat="1">
      <c r="G921" s="3336"/>
      <c r="P921" s="3337"/>
    </row>
    <row r="922" spans="7:16" s="1634" customFormat="1">
      <c r="G922" s="3336"/>
      <c r="P922" s="3337"/>
    </row>
    <row r="923" spans="7:16" s="1634" customFormat="1">
      <c r="G923" s="3336"/>
      <c r="P923" s="3337"/>
    </row>
    <row r="924" spans="7:16" s="1634" customFormat="1">
      <c r="G924" s="3336"/>
      <c r="P924" s="3337"/>
    </row>
    <row r="925" spans="7:16" s="1634" customFormat="1">
      <c r="G925" s="3336"/>
      <c r="P925" s="3337"/>
    </row>
    <row r="926" spans="7:16" s="1634" customFormat="1">
      <c r="G926" s="3336"/>
      <c r="P926" s="3337"/>
    </row>
    <row r="927" spans="7:16" s="1634" customFormat="1">
      <c r="G927" s="3336"/>
      <c r="P927" s="3337"/>
    </row>
    <row r="928" spans="7:16" s="1634" customFormat="1">
      <c r="G928" s="3336"/>
      <c r="P928" s="3337"/>
    </row>
    <row r="929" spans="7:16" s="1634" customFormat="1">
      <c r="G929" s="3336"/>
      <c r="P929" s="3337"/>
    </row>
    <row r="930" spans="7:16" s="1634" customFormat="1">
      <c r="G930" s="3336"/>
      <c r="P930" s="3337"/>
    </row>
    <row r="931" spans="7:16" s="1634" customFormat="1">
      <c r="G931" s="3336"/>
      <c r="P931" s="3337"/>
    </row>
    <row r="932" spans="7:16" s="1634" customFormat="1">
      <c r="G932" s="3336"/>
      <c r="P932" s="3337"/>
    </row>
    <row r="933" spans="7:16" s="1634" customFormat="1">
      <c r="G933" s="3336"/>
      <c r="P933" s="3337"/>
    </row>
    <row r="934" spans="7:16" s="1634" customFormat="1">
      <c r="G934" s="3336"/>
      <c r="P934" s="3337"/>
    </row>
    <row r="935" spans="7:16" s="1634" customFormat="1">
      <c r="G935" s="3336"/>
      <c r="P935" s="3337"/>
    </row>
    <row r="936" spans="7:16" s="1634" customFormat="1">
      <c r="G936" s="3336"/>
      <c r="P936" s="3337"/>
    </row>
    <row r="937" spans="7:16" s="1634" customFormat="1">
      <c r="G937" s="3336"/>
      <c r="P937" s="3337"/>
    </row>
    <row r="938" spans="7:16" s="1634" customFormat="1">
      <c r="G938" s="3336"/>
      <c r="P938" s="3337"/>
    </row>
    <row r="939" spans="7:16" s="1634" customFormat="1">
      <c r="G939" s="3336"/>
      <c r="P939" s="3337"/>
    </row>
    <row r="940" spans="7:16" s="1634" customFormat="1">
      <c r="G940" s="3336"/>
      <c r="P940" s="3337"/>
    </row>
    <row r="941" spans="7:16" s="1634" customFormat="1">
      <c r="G941" s="3336"/>
      <c r="P941" s="3337"/>
    </row>
    <row r="942" spans="7:16" s="1634" customFormat="1">
      <c r="G942" s="3336"/>
      <c r="P942" s="3337"/>
    </row>
    <row r="943" spans="7:16" s="1634" customFormat="1">
      <c r="G943" s="3336"/>
      <c r="P943" s="3337"/>
    </row>
    <row r="944" spans="7:16" s="1634" customFormat="1">
      <c r="G944" s="3336"/>
      <c r="P944" s="3337"/>
    </row>
    <row r="945" spans="7:16" s="1634" customFormat="1">
      <c r="G945" s="3336"/>
      <c r="P945" s="3337"/>
    </row>
    <row r="946" spans="7:16" s="1634" customFormat="1">
      <c r="G946" s="3336"/>
      <c r="P946" s="3337"/>
    </row>
    <row r="947" spans="7:16" s="1634" customFormat="1">
      <c r="G947" s="3336"/>
      <c r="P947" s="3337"/>
    </row>
    <row r="948" spans="7:16" s="1634" customFormat="1">
      <c r="G948" s="3336"/>
      <c r="P948" s="3337"/>
    </row>
    <row r="949" spans="7:16" s="1634" customFormat="1">
      <c r="G949" s="3336"/>
      <c r="P949" s="3337"/>
    </row>
    <row r="950" spans="7:16" s="1634" customFormat="1">
      <c r="G950" s="3336"/>
      <c r="P950" s="3337"/>
    </row>
    <row r="951" spans="7:16" s="1634" customFormat="1">
      <c r="G951" s="3336"/>
      <c r="P951" s="3337"/>
    </row>
    <row r="952" spans="7:16" s="1634" customFormat="1">
      <c r="G952" s="3336"/>
      <c r="P952" s="3337"/>
    </row>
    <row r="953" spans="7:16" s="1634" customFormat="1">
      <c r="G953" s="3336"/>
      <c r="P953" s="3337"/>
    </row>
    <row r="954" spans="7:16" s="1634" customFormat="1">
      <c r="G954" s="3336"/>
      <c r="P954" s="3337"/>
    </row>
    <row r="955" spans="7:16" s="1634" customFormat="1">
      <c r="G955" s="3336"/>
      <c r="P955" s="3337"/>
    </row>
    <row r="956" spans="7:16" s="1634" customFormat="1">
      <c r="G956" s="3336"/>
      <c r="P956" s="3337"/>
    </row>
    <row r="957" spans="7:16" s="1634" customFormat="1">
      <c r="G957" s="3336"/>
      <c r="P957" s="3337"/>
    </row>
    <row r="958" spans="7:16" s="1634" customFormat="1">
      <c r="G958" s="3336"/>
      <c r="P958" s="3337"/>
    </row>
    <row r="959" spans="7:16" s="1634" customFormat="1">
      <c r="G959" s="3336"/>
      <c r="P959" s="3337"/>
    </row>
    <row r="960" spans="7:16" s="1634" customFormat="1">
      <c r="G960" s="3336"/>
      <c r="P960" s="3337"/>
    </row>
    <row r="961" spans="7:16" s="1634" customFormat="1">
      <c r="G961" s="3336"/>
      <c r="P961" s="3337"/>
    </row>
    <row r="962" spans="7:16" s="1634" customFormat="1">
      <c r="G962" s="3336"/>
      <c r="P962" s="3337"/>
    </row>
    <row r="963" spans="7:16" s="1634" customFormat="1">
      <c r="G963" s="3336"/>
      <c r="P963" s="3337"/>
    </row>
    <row r="964" spans="7:16" s="1634" customFormat="1">
      <c r="G964" s="3336"/>
      <c r="P964" s="3337"/>
    </row>
    <row r="965" spans="7:16" s="1634" customFormat="1">
      <c r="G965" s="3336"/>
      <c r="P965" s="3337"/>
    </row>
    <row r="966" spans="7:16" s="1634" customFormat="1">
      <c r="G966" s="3336"/>
      <c r="P966" s="3337"/>
    </row>
    <row r="967" spans="7:16" s="1634" customFormat="1">
      <c r="G967" s="3336"/>
      <c r="P967" s="3337"/>
    </row>
    <row r="968" spans="7:16" s="1634" customFormat="1">
      <c r="G968" s="3336"/>
      <c r="P968" s="3337"/>
    </row>
    <row r="969" spans="7:16" s="1634" customFormat="1">
      <c r="G969" s="3336"/>
      <c r="P969" s="3337"/>
    </row>
    <row r="970" spans="7:16" s="1634" customFormat="1">
      <c r="G970" s="3336"/>
      <c r="P970" s="3337"/>
    </row>
    <row r="971" spans="7:16" s="1634" customFormat="1">
      <c r="G971" s="3336"/>
      <c r="P971" s="3337"/>
    </row>
    <row r="972" spans="7:16" s="1634" customFormat="1">
      <c r="G972" s="3336"/>
      <c r="P972" s="3337"/>
    </row>
    <row r="973" spans="7:16" s="1634" customFormat="1">
      <c r="G973" s="3336"/>
      <c r="P973" s="3337"/>
    </row>
    <row r="974" spans="7:16" s="1634" customFormat="1">
      <c r="G974" s="3336"/>
      <c r="P974" s="3337"/>
    </row>
    <row r="975" spans="7:16" s="1634" customFormat="1">
      <c r="G975" s="3336"/>
      <c r="P975" s="3337"/>
    </row>
    <row r="976" spans="7:16" s="1634" customFormat="1">
      <c r="G976" s="3336"/>
      <c r="P976" s="3337"/>
    </row>
    <row r="977" spans="7:16" s="1634" customFormat="1">
      <c r="G977" s="3336"/>
      <c r="P977" s="3337"/>
    </row>
    <row r="978" spans="7:16" s="1634" customFormat="1">
      <c r="G978" s="3336"/>
      <c r="P978" s="3337"/>
    </row>
    <row r="979" spans="7:16" s="1634" customFormat="1">
      <c r="G979" s="3336"/>
      <c r="P979" s="3337"/>
    </row>
    <row r="980" spans="7:16" s="1634" customFormat="1">
      <c r="G980" s="3336"/>
      <c r="P980" s="3337"/>
    </row>
    <row r="981" spans="7:16" s="1634" customFormat="1">
      <c r="G981" s="3336"/>
      <c r="P981" s="3337"/>
    </row>
    <row r="982" spans="7:16" s="1634" customFormat="1">
      <c r="G982" s="3336"/>
      <c r="P982" s="3337"/>
    </row>
    <row r="983" spans="7:16" s="1634" customFormat="1">
      <c r="G983" s="3336"/>
      <c r="P983" s="3337"/>
    </row>
    <row r="984" spans="7:16" s="1634" customFormat="1">
      <c r="G984" s="3336"/>
      <c r="P984" s="3337"/>
    </row>
    <row r="985" spans="7:16" s="1634" customFormat="1">
      <c r="G985" s="3336"/>
      <c r="P985" s="3337"/>
    </row>
    <row r="986" spans="7:16" s="1634" customFormat="1">
      <c r="G986" s="3336"/>
      <c r="P986" s="3337"/>
    </row>
    <row r="987" spans="7:16" s="1634" customFormat="1">
      <c r="G987" s="3336"/>
      <c r="P987" s="3337"/>
    </row>
    <row r="988" spans="7:16" s="1634" customFormat="1">
      <c r="G988" s="3336"/>
      <c r="P988" s="3337"/>
    </row>
    <row r="989" spans="7:16" s="1634" customFormat="1">
      <c r="G989" s="3336"/>
      <c r="P989" s="3337"/>
    </row>
    <row r="990" spans="7:16" s="1634" customFormat="1">
      <c r="G990" s="3336"/>
      <c r="P990" s="3337"/>
    </row>
    <row r="991" spans="7:16" s="1634" customFormat="1">
      <c r="G991" s="3336"/>
      <c r="P991" s="3337"/>
    </row>
    <row r="992" spans="7:16" s="1634" customFormat="1">
      <c r="G992" s="3336"/>
      <c r="P992" s="3337"/>
    </row>
    <row r="993" spans="7:16" s="1634" customFormat="1">
      <c r="G993" s="3336"/>
      <c r="P993" s="3337"/>
    </row>
    <row r="994" spans="7:16" s="1634" customFormat="1">
      <c r="G994" s="3336"/>
      <c r="P994" s="3337"/>
    </row>
    <row r="995" spans="7:16" s="1634" customFormat="1">
      <c r="G995" s="3336"/>
      <c r="P995" s="3337"/>
    </row>
    <row r="996" spans="7:16" s="1634" customFormat="1">
      <c r="G996" s="3336"/>
      <c r="P996" s="3337"/>
    </row>
    <row r="997" spans="7:16" s="1634" customFormat="1">
      <c r="G997" s="3336"/>
      <c r="P997" s="3337"/>
    </row>
    <row r="998" spans="7:16" s="1634" customFormat="1">
      <c r="G998" s="3336"/>
      <c r="P998" s="3337"/>
    </row>
    <row r="999" spans="7:16" s="1634" customFormat="1">
      <c r="G999" s="3336"/>
      <c r="P999" s="3337"/>
    </row>
    <row r="1000" spans="7:16" s="1634" customFormat="1">
      <c r="G1000" s="3336"/>
      <c r="P1000" s="3337"/>
    </row>
    <row r="1001" spans="7:16" s="1634" customFormat="1">
      <c r="G1001" s="3336"/>
      <c r="P1001" s="3337"/>
    </row>
    <row r="1002" spans="7:16" s="1634" customFormat="1">
      <c r="G1002" s="3336"/>
      <c r="P1002" s="3337"/>
    </row>
    <row r="1003" spans="7:16" s="1634" customFormat="1">
      <c r="G1003" s="3336"/>
      <c r="P1003" s="3337"/>
    </row>
    <row r="1004" spans="7:16" s="1634" customFormat="1">
      <c r="G1004" s="3336"/>
      <c r="P1004" s="3337"/>
    </row>
    <row r="1005" spans="7:16" s="1634" customFormat="1">
      <c r="G1005" s="3336"/>
      <c r="P1005" s="3337"/>
    </row>
    <row r="1006" spans="7:16" s="1634" customFormat="1">
      <c r="G1006" s="3336"/>
      <c r="P1006" s="3337"/>
    </row>
    <row r="1007" spans="7:16" s="1634" customFormat="1">
      <c r="G1007" s="3336"/>
      <c r="P1007" s="3337"/>
    </row>
    <row r="1008" spans="7:16" s="1634" customFormat="1">
      <c r="G1008" s="3336"/>
      <c r="P1008" s="3337"/>
    </row>
    <row r="1009" spans="7:16" s="1634" customFormat="1">
      <c r="G1009" s="3336"/>
      <c r="P1009" s="3337"/>
    </row>
    <row r="1010" spans="7:16" s="1634" customFormat="1">
      <c r="G1010" s="3336"/>
      <c r="P1010" s="3337"/>
    </row>
    <row r="1011" spans="7:16" s="1634" customFormat="1">
      <c r="G1011" s="3336"/>
      <c r="P1011" s="3337"/>
    </row>
    <row r="1012" spans="7:16" s="1634" customFormat="1">
      <c r="G1012" s="3336"/>
      <c r="P1012" s="3337"/>
    </row>
    <row r="1013" spans="7:16" s="1634" customFormat="1">
      <c r="G1013" s="3336"/>
      <c r="P1013" s="3337"/>
    </row>
    <row r="1014" spans="7:16" s="1634" customFormat="1">
      <c r="G1014" s="3336"/>
      <c r="P1014" s="3337"/>
    </row>
    <row r="1015" spans="7:16" s="1634" customFormat="1">
      <c r="G1015" s="3336"/>
      <c r="P1015" s="3337"/>
    </row>
    <row r="1016" spans="7:16" s="1634" customFormat="1">
      <c r="G1016" s="3336"/>
      <c r="P1016" s="3337"/>
    </row>
    <row r="1017" spans="7:16" s="1634" customFormat="1">
      <c r="G1017" s="3336"/>
      <c r="P1017" s="3337"/>
    </row>
    <row r="1018" spans="7:16" s="1634" customFormat="1">
      <c r="G1018" s="3336"/>
      <c r="P1018" s="3337"/>
    </row>
    <row r="1019" spans="7:16" s="1634" customFormat="1">
      <c r="G1019" s="3336"/>
      <c r="P1019" s="3337"/>
    </row>
    <row r="1020" spans="7:16" s="1634" customFormat="1">
      <c r="G1020" s="3336"/>
      <c r="P1020" s="3337"/>
    </row>
    <row r="1021" spans="7:16" s="1634" customFormat="1">
      <c r="G1021" s="3336"/>
      <c r="P1021" s="3337"/>
    </row>
    <row r="1022" spans="7:16" s="1634" customFormat="1">
      <c r="G1022" s="3336"/>
      <c r="P1022" s="3337"/>
    </row>
    <row r="1023" spans="7:16" s="1634" customFormat="1">
      <c r="G1023" s="3336"/>
      <c r="P1023" s="3337"/>
    </row>
    <row r="1024" spans="7:16" s="1634" customFormat="1">
      <c r="G1024" s="3336"/>
      <c r="P1024" s="3337"/>
    </row>
    <row r="1025" spans="7:16" s="1634" customFormat="1">
      <c r="G1025" s="3336"/>
      <c r="P1025" s="3337"/>
    </row>
    <row r="1026" spans="7:16" s="1634" customFormat="1">
      <c r="G1026" s="3336"/>
      <c r="P1026" s="3337"/>
    </row>
    <row r="1027" spans="7:16" s="1634" customFormat="1">
      <c r="G1027" s="3336"/>
      <c r="P1027" s="3337"/>
    </row>
    <row r="1028" spans="7:16" s="1634" customFormat="1">
      <c r="G1028" s="3336"/>
      <c r="P1028" s="3337"/>
    </row>
    <row r="1029" spans="7:16" s="1634" customFormat="1">
      <c r="G1029" s="3336"/>
      <c r="P1029" s="3337"/>
    </row>
    <row r="1030" spans="7:16" s="1634" customFormat="1">
      <c r="G1030" s="3336"/>
      <c r="P1030" s="3337"/>
    </row>
    <row r="1031" spans="7:16" s="1634" customFormat="1">
      <c r="G1031" s="3336"/>
      <c r="P1031" s="3337"/>
    </row>
    <row r="1032" spans="7:16" s="1634" customFormat="1">
      <c r="G1032" s="3336"/>
      <c r="P1032" s="3337"/>
    </row>
    <row r="1033" spans="7:16" s="1634" customFormat="1">
      <c r="G1033" s="3336"/>
      <c r="P1033" s="3337"/>
    </row>
    <row r="1034" spans="7:16" s="1634" customFormat="1">
      <c r="G1034" s="3336"/>
      <c r="P1034" s="3337"/>
    </row>
    <row r="1035" spans="7:16" s="1634" customFormat="1">
      <c r="G1035" s="3336"/>
      <c r="P1035" s="3337"/>
    </row>
    <row r="1036" spans="7:16" s="1634" customFormat="1">
      <c r="G1036" s="3336"/>
      <c r="P1036" s="3337"/>
    </row>
    <row r="1037" spans="7:16" s="1634" customFormat="1">
      <c r="G1037" s="3336"/>
      <c r="P1037" s="3337"/>
    </row>
    <row r="1038" spans="7:16" s="1634" customFormat="1">
      <c r="G1038" s="3336"/>
      <c r="P1038" s="3337"/>
    </row>
    <row r="1039" spans="7:16" s="1634" customFormat="1">
      <c r="G1039" s="3336"/>
      <c r="P1039" s="3337"/>
    </row>
    <row r="1040" spans="7:16" s="1634" customFormat="1">
      <c r="G1040" s="3336"/>
      <c r="P1040" s="3337"/>
    </row>
    <row r="1041" spans="7:16" s="1634" customFormat="1">
      <c r="G1041" s="3336"/>
      <c r="P1041" s="3337"/>
    </row>
    <row r="1042" spans="7:16" s="1634" customFormat="1">
      <c r="G1042" s="3336"/>
      <c r="P1042" s="3337"/>
    </row>
    <row r="1043" spans="7:16" s="1634" customFormat="1">
      <c r="G1043" s="3336"/>
      <c r="P1043" s="3337"/>
    </row>
    <row r="1044" spans="7:16" s="1634" customFormat="1">
      <c r="G1044" s="3336"/>
      <c r="P1044" s="3337"/>
    </row>
    <row r="1045" spans="7:16" s="1634" customFormat="1">
      <c r="G1045" s="3336"/>
      <c r="P1045" s="3337"/>
    </row>
    <row r="1046" spans="7:16" s="1634" customFormat="1">
      <c r="G1046" s="3336"/>
      <c r="P1046" s="3337"/>
    </row>
    <row r="1047" spans="7:16" s="1634" customFormat="1">
      <c r="G1047" s="3336"/>
      <c r="P1047" s="3337"/>
    </row>
    <row r="1048" spans="7:16" s="1634" customFormat="1">
      <c r="G1048" s="3336"/>
      <c r="P1048" s="3337"/>
    </row>
    <row r="1049" spans="7:16" s="1634" customFormat="1">
      <c r="G1049" s="3336"/>
      <c r="P1049" s="3337"/>
    </row>
    <row r="1050" spans="7:16" s="1634" customFormat="1">
      <c r="G1050" s="3336"/>
      <c r="P1050" s="3337"/>
    </row>
    <row r="1051" spans="7:16" s="1634" customFormat="1">
      <c r="G1051" s="3336"/>
      <c r="P1051" s="3337"/>
    </row>
    <row r="1052" spans="7:16" s="1634" customFormat="1">
      <c r="G1052" s="3336"/>
      <c r="P1052" s="3337"/>
    </row>
    <row r="1053" spans="7:16" s="1634" customFormat="1">
      <c r="G1053" s="3336"/>
      <c r="P1053" s="3337"/>
    </row>
    <row r="1054" spans="7:16" s="1634" customFormat="1">
      <c r="G1054" s="3336"/>
      <c r="P1054" s="3337"/>
    </row>
    <row r="1055" spans="7:16" s="1634" customFormat="1">
      <c r="G1055" s="3336"/>
      <c r="P1055" s="3337"/>
    </row>
    <row r="1056" spans="7:16" s="1634" customFormat="1">
      <c r="G1056" s="3336"/>
      <c r="P1056" s="3337"/>
    </row>
    <row r="1057" spans="7:16" s="1634" customFormat="1">
      <c r="G1057" s="3336"/>
      <c r="P1057" s="3337"/>
    </row>
    <row r="1058" spans="7:16" s="1634" customFormat="1">
      <c r="G1058" s="3336"/>
      <c r="P1058" s="3337"/>
    </row>
    <row r="1059" spans="7:16" s="1634" customFormat="1">
      <c r="G1059" s="3336"/>
      <c r="P1059" s="3337"/>
    </row>
    <row r="1060" spans="7:16" s="1634" customFormat="1">
      <c r="G1060" s="3336"/>
      <c r="P1060" s="3337"/>
    </row>
    <row r="1061" spans="7:16" s="1634" customFormat="1">
      <c r="G1061" s="3336"/>
      <c r="P1061" s="3337"/>
    </row>
    <row r="1062" spans="7:16" s="1634" customFormat="1">
      <c r="G1062" s="3336"/>
      <c r="P1062" s="3337"/>
    </row>
    <row r="1063" spans="7:16" s="1634" customFormat="1">
      <c r="G1063" s="3336"/>
      <c r="P1063" s="3337"/>
    </row>
    <row r="1064" spans="7:16" s="1634" customFormat="1">
      <c r="G1064" s="3336"/>
      <c r="P1064" s="3337"/>
    </row>
    <row r="1065" spans="7:16" s="1634" customFormat="1">
      <c r="G1065" s="3336"/>
      <c r="P1065" s="3337"/>
    </row>
    <row r="1066" spans="7:16" s="1634" customFormat="1">
      <c r="G1066" s="3336"/>
      <c r="P1066" s="3337"/>
    </row>
    <row r="1067" spans="7:16" s="1634" customFormat="1">
      <c r="G1067" s="3336"/>
      <c r="P1067" s="3337"/>
    </row>
    <row r="1068" spans="7:16" s="1634" customFormat="1">
      <c r="G1068" s="3336"/>
      <c r="P1068" s="3337"/>
    </row>
    <row r="1069" spans="7:16" s="1634" customFormat="1">
      <c r="G1069" s="3336"/>
      <c r="P1069" s="3337"/>
    </row>
    <row r="1070" spans="7:16" s="1634" customFormat="1">
      <c r="G1070" s="3336"/>
      <c r="P1070" s="3337"/>
    </row>
    <row r="1071" spans="7:16" s="1634" customFormat="1">
      <c r="G1071" s="3336"/>
      <c r="P1071" s="3337"/>
    </row>
    <row r="1072" spans="7:16" s="1634" customFormat="1">
      <c r="G1072" s="3336"/>
      <c r="P1072" s="3337"/>
    </row>
    <row r="1073" spans="7:16" s="1634" customFormat="1">
      <c r="G1073" s="3336"/>
      <c r="P1073" s="3337"/>
    </row>
    <row r="1074" spans="7:16" s="1634" customFormat="1">
      <c r="G1074" s="3336"/>
      <c r="P1074" s="3337"/>
    </row>
    <row r="1075" spans="7:16" s="1634" customFormat="1">
      <c r="G1075" s="3336"/>
      <c r="P1075" s="3337"/>
    </row>
    <row r="1076" spans="7:16" s="1634" customFormat="1">
      <c r="G1076" s="3336"/>
      <c r="P1076" s="3337"/>
    </row>
    <row r="1077" spans="7:16" s="1634" customFormat="1">
      <c r="G1077" s="3336"/>
      <c r="P1077" s="3337"/>
    </row>
    <row r="1078" spans="7:16" s="1634" customFormat="1">
      <c r="G1078" s="3336"/>
      <c r="P1078" s="3337"/>
    </row>
    <row r="1079" spans="7:16" s="1634" customFormat="1">
      <c r="G1079" s="3336"/>
      <c r="P1079" s="3337"/>
    </row>
    <row r="1080" spans="7:16" s="1634" customFormat="1">
      <c r="G1080" s="3336"/>
      <c r="P1080" s="3337"/>
    </row>
    <row r="1081" spans="7:16" s="1634" customFormat="1">
      <c r="G1081" s="3336"/>
      <c r="P1081" s="3337"/>
    </row>
    <row r="1082" spans="7:16" s="1634" customFormat="1">
      <c r="G1082" s="3336"/>
      <c r="P1082" s="3337"/>
    </row>
    <row r="1083" spans="7:16" s="1634" customFormat="1">
      <c r="G1083" s="3336"/>
      <c r="P1083" s="3337"/>
    </row>
    <row r="1084" spans="7:16" s="1634" customFormat="1">
      <c r="G1084" s="3336"/>
      <c r="P1084" s="3337"/>
    </row>
    <row r="1085" spans="7:16" s="1634" customFormat="1">
      <c r="G1085" s="3336"/>
      <c r="P1085" s="3337"/>
    </row>
    <row r="1086" spans="7:16" s="1634" customFormat="1">
      <c r="G1086" s="3336"/>
      <c r="P1086" s="3337"/>
    </row>
    <row r="1087" spans="7:16" s="1634" customFormat="1">
      <c r="G1087" s="3336"/>
      <c r="P1087" s="3337"/>
    </row>
    <row r="1088" spans="7:16" s="1634" customFormat="1">
      <c r="G1088" s="3336"/>
      <c r="P1088" s="3337"/>
    </row>
    <row r="1089" spans="7:16" s="1634" customFormat="1">
      <c r="G1089" s="3336"/>
      <c r="P1089" s="3337"/>
    </row>
    <row r="1090" spans="7:16" s="1634" customFormat="1">
      <c r="G1090" s="3336"/>
      <c r="P1090" s="3337"/>
    </row>
    <row r="1091" spans="7:16" s="1634" customFormat="1">
      <c r="G1091" s="3336"/>
      <c r="P1091" s="3337"/>
    </row>
    <row r="1092" spans="7:16" s="1634" customFormat="1">
      <c r="G1092" s="3336"/>
      <c r="P1092" s="3337"/>
    </row>
    <row r="1093" spans="7:16" s="1634" customFormat="1">
      <c r="G1093" s="3336"/>
      <c r="P1093" s="3337"/>
    </row>
    <row r="1094" spans="7:16" s="1634" customFormat="1">
      <c r="G1094" s="3336"/>
      <c r="P1094" s="3337"/>
    </row>
    <row r="1095" spans="7:16" s="1634" customFormat="1">
      <c r="G1095" s="3336"/>
      <c r="P1095" s="3337"/>
    </row>
    <row r="1096" spans="7:16" s="1634" customFormat="1">
      <c r="G1096" s="3336"/>
      <c r="P1096" s="3337"/>
    </row>
    <row r="1097" spans="7:16" s="1634" customFormat="1">
      <c r="G1097" s="3336"/>
      <c r="P1097" s="3337"/>
    </row>
    <row r="1098" spans="7:16" s="1634" customFormat="1">
      <c r="G1098" s="3336"/>
      <c r="P1098" s="3337"/>
    </row>
    <row r="1099" spans="7:16" s="1634" customFormat="1">
      <c r="G1099" s="3336"/>
      <c r="P1099" s="3337"/>
    </row>
    <row r="1100" spans="7:16" s="1634" customFormat="1">
      <c r="G1100" s="3336"/>
      <c r="P1100" s="3337"/>
    </row>
    <row r="1101" spans="7:16" s="1634" customFormat="1">
      <c r="G1101" s="3336"/>
      <c r="P1101" s="3337"/>
    </row>
    <row r="1102" spans="7:16" s="1634" customFormat="1">
      <c r="G1102" s="3336"/>
      <c r="P1102" s="3337"/>
    </row>
    <row r="1103" spans="7:16" s="1634" customFormat="1">
      <c r="G1103" s="3336"/>
      <c r="P1103" s="3337"/>
    </row>
    <row r="1104" spans="7:16" s="1634" customFormat="1">
      <c r="G1104" s="3336"/>
      <c r="P1104" s="3337"/>
    </row>
    <row r="1105" spans="7:16" s="1634" customFormat="1">
      <c r="G1105" s="3336"/>
      <c r="P1105" s="3337"/>
    </row>
    <row r="1106" spans="7:16" s="1634" customFormat="1">
      <c r="G1106" s="3336"/>
      <c r="P1106" s="3337"/>
    </row>
    <row r="1107" spans="7:16" s="1634" customFormat="1">
      <c r="G1107" s="3336"/>
      <c r="P1107" s="3337"/>
    </row>
    <row r="1108" spans="7:16" s="1634" customFormat="1">
      <c r="G1108" s="3336"/>
      <c r="P1108" s="3337"/>
    </row>
    <row r="1109" spans="7:16" s="1634" customFormat="1">
      <c r="G1109" s="3336"/>
      <c r="P1109" s="3337"/>
    </row>
    <row r="1110" spans="7:16" s="1634" customFormat="1">
      <c r="G1110" s="3336"/>
      <c r="P1110" s="3337"/>
    </row>
    <row r="1111" spans="7:16" s="1634" customFormat="1">
      <c r="G1111" s="3336"/>
      <c r="P1111" s="3337"/>
    </row>
    <row r="1112" spans="7:16" s="1634" customFormat="1">
      <c r="G1112" s="3336"/>
      <c r="P1112" s="3337"/>
    </row>
    <row r="1113" spans="7:16" s="1634" customFormat="1">
      <c r="G1113" s="3336"/>
      <c r="P1113" s="3337"/>
    </row>
    <row r="1114" spans="7:16" s="1634" customFormat="1">
      <c r="G1114" s="3336"/>
      <c r="P1114" s="3337"/>
    </row>
    <row r="1115" spans="7:16" s="1634" customFormat="1">
      <c r="G1115" s="3336"/>
      <c r="P1115" s="3337"/>
    </row>
    <row r="1116" spans="7:16" s="1634" customFormat="1">
      <c r="G1116" s="3336"/>
      <c r="P1116" s="3337"/>
    </row>
    <row r="1117" spans="7:16" s="1634" customFormat="1">
      <c r="G1117" s="3336"/>
      <c r="P1117" s="3337"/>
    </row>
    <row r="1118" spans="7:16" s="1634" customFormat="1">
      <c r="G1118" s="3336"/>
      <c r="P1118" s="3337"/>
    </row>
    <row r="1119" spans="7:16" s="1634" customFormat="1">
      <c r="G1119" s="3336"/>
      <c r="P1119" s="3337"/>
    </row>
    <row r="1120" spans="7:16" s="1634" customFormat="1">
      <c r="G1120" s="3336"/>
      <c r="P1120" s="3337"/>
    </row>
    <row r="1121" spans="7:16" s="1634" customFormat="1">
      <c r="G1121" s="3336"/>
      <c r="P1121" s="3337"/>
    </row>
    <row r="1122" spans="7:16" s="1634" customFormat="1">
      <c r="G1122" s="3336"/>
      <c r="P1122" s="3337"/>
    </row>
    <row r="1123" spans="7:16" s="1634" customFormat="1">
      <c r="G1123" s="3336"/>
      <c r="P1123" s="3337"/>
    </row>
    <row r="1124" spans="7:16" s="1634" customFormat="1">
      <c r="G1124" s="3336"/>
      <c r="P1124" s="3337"/>
    </row>
    <row r="1125" spans="7:16" s="1634" customFormat="1">
      <c r="G1125" s="3336"/>
      <c r="P1125" s="3337"/>
    </row>
    <row r="1126" spans="7:16" s="1634" customFormat="1">
      <c r="G1126" s="3336"/>
      <c r="P1126" s="3337"/>
    </row>
    <row r="1127" spans="7:16" s="1634" customFormat="1">
      <c r="G1127" s="3336"/>
      <c r="P1127" s="3337"/>
    </row>
    <row r="1128" spans="7:16" s="1634" customFormat="1">
      <c r="G1128" s="3336"/>
      <c r="P1128" s="3337"/>
    </row>
    <row r="1129" spans="7:16" s="1634" customFormat="1">
      <c r="G1129" s="3336"/>
      <c r="P1129" s="3337"/>
    </row>
    <row r="1130" spans="7:16" s="1634" customFormat="1">
      <c r="G1130" s="3336"/>
      <c r="P1130" s="3337"/>
    </row>
    <row r="1131" spans="7:16" s="1634" customFormat="1">
      <c r="G1131" s="3336"/>
      <c r="P1131" s="3337"/>
    </row>
    <row r="1132" spans="7:16" s="1634" customFormat="1">
      <c r="G1132" s="3336"/>
      <c r="P1132" s="3337"/>
    </row>
    <row r="1133" spans="7:16" s="1634" customFormat="1">
      <c r="G1133" s="3336"/>
      <c r="P1133" s="3337"/>
    </row>
    <row r="1134" spans="7:16" s="1634" customFormat="1">
      <c r="G1134" s="3336"/>
      <c r="P1134" s="3337"/>
    </row>
    <row r="1135" spans="7:16" s="1634" customFormat="1">
      <c r="G1135" s="3336"/>
      <c r="P1135" s="3337"/>
    </row>
    <row r="1136" spans="7:16" s="1634" customFormat="1">
      <c r="G1136" s="3336"/>
      <c r="P1136" s="3337"/>
    </row>
    <row r="1137" spans="7:16" s="1634" customFormat="1">
      <c r="G1137" s="3336"/>
      <c r="P1137" s="3337"/>
    </row>
    <row r="1138" spans="7:16" s="1634" customFormat="1">
      <c r="G1138" s="3336"/>
      <c r="P1138" s="3337"/>
    </row>
    <row r="1139" spans="7:16" s="1634" customFormat="1">
      <c r="G1139" s="3336"/>
      <c r="P1139" s="3337"/>
    </row>
    <row r="1140" spans="7:16" s="1634" customFormat="1">
      <c r="G1140" s="3336"/>
      <c r="P1140" s="3337"/>
    </row>
    <row r="1141" spans="7:16" s="1634" customFormat="1">
      <c r="G1141" s="3336"/>
      <c r="P1141" s="3337"/>
    </row>
    <row r="1142" spans="7:16" s="1634" customFormat="1">
      <c r="G1142" s="3336"/>
      <c r="P1142" s="3337"/>
    </row>
    <row r="1143" spans="7:16" s="1634" customFormat="1">
      <c r="G1143" s="3336"/>
      <c r="P1143" s="3337"/>
    </row>
    <row r="1144" spans="7:16" s="1634" customFormat="1">
      <c r="G1144" s="3336"/>
      <c r="P1144" s="3337"/>
    </row>
    <row r="1145" spans="7:16" s="1634" customFormat="1">
      <c r="G1145" s="3336"/>
      <c r="P1145" s="3337"/>
    </row>
    <row r="1146" spans="7:16" s="1634" customFormat="1">
      <c r="G1146" s="3336"/>
      <c r="P1146" s="3337"/>
    </row>
    <row r="1147" spans="7:16" s="1634" customFormat="1">
      <c r="G1147" s="3336"/>
      <c r="P1147" s="3337"/>
    </row>
    <row r="1148" spans="7:16" s="1634" customFormat="1">
      <c r="G1148" s="3336"/>
      <c r="P1148" s="3337"/>
    </row>
    <row r="1149" spans="7:16" s="1634" customFormat="1">
      <c r="G1149" s="3336"/>
      <c r="P1149" s="3337"/>
    </row>
    <row r="1150" spans="7:16" s="1634" customFormat="1">
      <c r="G1150" s="3336"/>
      <c r="P1150" s="3337"/>
    </row>
    <row r="1151" spans="7:16" s="1634" customFormat="1">
      <c r="G1151" s="3336"/>
      <c r="P1151" s="3337"/>
    </row>
    <row r="1152" spans="7:16" s="1634" customFormat="1">
      <c r="G1152" s="3336"/>
      <c r="P1152" s="3337"/>
    </row>
    <row r="1153" spans="7:16" s="1634" customFormat="1">
      <c r="G1153" s="3336"/>
      <c r="P1153" s="3337"/>
    </row>
    <row r="1154" spans="7:16" s="1634" customFormat="1">
      <c r="G1154" s="3336"/>
      <c r="P1154" s="3337"/>
    </row>
    <row r="1155" spans="7:16" s="1634" customFormat="1">
      <c r="G1155" s="3336"/>
      <c r="P1155" s="3337"/>
    </row>
    <row r="1156" spans="7:16" s="1634" customFormat="1">
      <c r="G1156" s="3336"/>
      <c r="P1156" s="3337"/>
    </row>
    <row r="1157" spans="7:16" s="1634" customFormat="1">
      <c r="G1157" s="3336"/>
      <c r="P1157" s="3337"/>
    </row>
    <row r="1158" spans="7:16" s="1634" customFormat="1">
      <c r="G1158" s="3336"/>
      <c r="P1158" s="3337"/>
    </row>
    <row r="1159" spans="7:16" s="1634" customFormat="1">
      <c r="G1159" s="3336"/>
      <c r="P1159" s="3337"/>
    </row>
    <row r="1160" spans="7:16" s="1634" customFormat="1">
      <c r="G1160" s="3336"/>
      <c r="P1160" s="3337"/>
    </row>
    <row r="1161" spans="7:16" s="1634" customFormat="1">
      <c r="G1161" s="3336"/>
      <c r="P1161" s="3337"/>
    </row>
    <row r="1162" spans="7:16" s="1634" customFormat="1">
      <c r="G1162" s="3336"/>
      <c r="P1162" s="3337"/>
    </row>
    <row r="1163" spans="7:16" s="1634" customFormat="1">
      <c r="G1163" s="3336"/>
      <c r="P1163" s="3337"/>
    </row>
    <row r="1164" spans="7:16" s="1634" customFormat="1">
      <c r="G1164" s="3336"/>
      <c r="P1164" s="3337"/>
    </row>
    <row r="1165" spans="7:16" s="1634" customFormat="1">
      <c r="G1165" s="3336"/>
      <c r="P1165" s="3337"/>
    </row>
    <row r="1166" spans="7:16" s="1634" customFormat="1">
      <c r="G1166" s="3336"/>
      <c r="P1166" s="3337"/>
    </row>
    <row r="1167" spans="7:16" s="1634" customFormat="1">
      <c r="G1167" s="3336"/>
      <c r="P1167" s="3337"/>
    </row>
    <row r="1168" spans="7:16" s="1634" customFormat="1">
      <c r="G1168" s="3336"/>
      <c r="P1168" s="3337"/>
    </row>
    <row r="1169" spans="7:16" s="1634" customFormat="1">
      <c r="G1169" s="3336"/>
      <c r="P1169" s="3337"/>
    </row>
    <row r="1170" spans="7:16" s="1634" customFormat="1">
      <c r="G1170" s="3336"/>
      <c r="P1170" s="3337"/>
    </row>
    <row r="1171" spans="7:16" s="1634" customFormat="1">
      <c r="G1171" s="3336"/>
      <c r="P1171" s="3337"/>
    </row>
    <row r="1172" spans="7:16" s="1634" customFormat="1">
      <c r="G1172" s="3336"/>
      <c r="P1172" s="3337"/>
    </row>
    <row r="1173" spans="7:16" s="1634" customFormat="1">
      <c r="G1173" s="3336"/>
      <c r="P1173" s="3337"/>
    </row>
    <row r="1174" spans="7:16" s="1634" customFormat="1">
      <c r="G1174" s="3336"/>
      <c r="P1174" s="3337"/>
    </row>
    <row r="1175" spans="7:16" s="1634" customFormat="1">
      <c r="G1175" s="3336"/>
      <c r="P1175" s="3337"/>
    </row>
    <row r="1176" spans="7:16" s="1634" customFormat="1">
      <c r="G1176" s="3336"/>
      <c r="P1176" s="3337"/>
    </row>
    <row r="1177" spans="7:16" s="1634" customFormat="1">
      <c r="G1177" s="3336"/>
      <c r="P1177" s="3337"/>
    </row>
    <row r="1178" spans="7:16" s="1634" customFormat="1">
      <c r="G1178" s="3336"/>
      <c r="P1178" s="3337"/>
    </row>
    <row r="1179" spans="7:16" s="1634" customFormat="1">
      <c r="G1179" s="3336"/>
      <c r="P1179" s="3337"/>
    </row>
    <row r="1180" spans="7:16" s="1634" customFormat="1">
      <c r="G1180" s="3336"/>
      <c r="P1180" s="3337"/>
    </row>
    <row r="1181" spans="7:16" s="1634" customFormat="1">
      <c r="G1181" s="3336"/>
      <c r="P1181" s="3337"/>
    </row>
    <row r="1182" spans="7:16" s="1634" customFormat="1">
      <c r="G1182" s="3336"/>
      <c r="P1182" s="3337"/>
    </row>
    <row r="1183" spans="7:16" s="1634" customFormat="1">
      <c r="G1183" s="3336"/>
      <c r="P1183" s="3337"/>
    </row>
    <row r="1184" spans="7:16" s="1634" customFormat="1">
      <c r="G1184" s="3336"/>
      <c r="P1184" s="3337"/>
    </row>
    <row r="1185" spans="7:16" s="1634" customFormat="1">
      <c r="G1185" s="3336"/>
      <c r="P1185" s="3337"/>
    </row>
    <row r="1186" spans="7:16" s="1634" customFormat="1">
      <c r="G1186" s="3336"/>
      <c r="P1186" s="3337"/>
    </row>
    <row r="1187" spans="7:16" s="1634" customFormat="1">
      <c r="G1187" s="3336"/>
      <c r="P1187" s="3337"/>
    </row>
    <row r="1188" spans="7:16" s="1634" customFormat="1">
      <c r="G1188" s="3336"/>
      <c r="P1188" s="3337"/>
    </row>
    <row r="1189" spans="7:16" s="1634" customFormat="1">
      <c r="G1189" s="3336"/>
      <c r="P1189" s="3337"/>
    </row>
    <row r="1190" spans="7:16" s="1634" customFormat="1">
      <c r="G1190" s="3336"/>
      <c r="P1190" s="3337"/>
    </row>
    <row r="1191" spans="7:16" s="1634" customFormat="1">
      <c r="G1191" s="3336"/>
      <c r="P1191" s="3337"/>
    </row>
    <row r="1192" spans="7:16" s="1634" customFormat="1">
      <c r="G1192" s="3336"/>
      <c r="P1192" s="3337"/>
    </row>
    <row r="1193" spans="7:16" s="1634" customFormat="1">
      <c r="G1193" s="3336"/>
      <c r="P1193" s="3337"/>
    </row>
    <row r="1194" spans="7:16" s="1634" customFormat="1">
      <c r="G1194" s="3336"/>
      <c r="P1194" s="3337"/>
    </row>
    <row r="1195" spans="7:16" s="1634" customFormat="1">
      <c r="G1195" s="3336"/>
      <c r="P1195" s="3337"/>
    </row>
    <row r="1196" spans="7:16" s="1634" customFormat="1">
      <c r="G1196" s="3336"/>
      <c r="P1196" s="3337"/>
    </row>
    <row r="1197" spans="7:16" s="1634" customFormat="1">
      <c r="G1197" s="3336"/>
      <c r="P1197" s="3337"/>
    </row>
    <row r="1198" spans="7:16" s="1634" customFormat="1">
      <c r="G1198" s="3336"/>
      <c r="P1198" s="3337"/>
    </row>
    <row r="1199" spans="7:16" s="1634" customFormat="1">
      <c r="G1199" s="3336"/>
      <c r="P1199" s="3337"/>
    </row>
    <row r="1200" spans="7:16" s="1634" customFormat="1">
      <c r="G1200" s="3336"/>
      <c r="P1200" s="3337"/>
    </row>
    <row r="1201" spans="7:16" s="1634" customFormat="1">
      <c r="G1201" s="3336"/>
      <c r="P1201" s="3337"/>
    </row>
    <row r="1202" spans="7:16" s="1634" customFormat="1">
      <c r="G1202" s="3336"/>
      <c r="P1202" s="3337"/>
    </row>
    <row r="1203" spans="7:16" s="1634" customFormat="1">
      <c r="G1203" s="3336"/>
      <c r="P1203" s="3337"/>
    </row>
    <row r="1204" spans="7:16" s="1634" customFormat="1">
      <c r="G1204" s="3336"/>
      <c r="P1204" s="3337"/>
    </row>
    <row r="1205" spans="7:16" s="1634" customFormat="1">
      <c r="G1205" s="3336"/>
      <c r="P1205" s="3337"/>
    </row>
    <row r="1206" spans="7:16" s="1634" customFormat="1">
      <c r="G1206" s="3336"/>
      <c r="P1206" s="3337"/>
    </row>
    <row r="1207" spans="7:16" s="1634" customFormat="1">
      <c r="G1207" s="3336"/>
      <c r="P1207" s="3337"/>
    </row>
    <row r="1208" spans="7:16" s="1634" customFormat="1">
      <c r="G1208" s="3336"/>
      <c r="P1208" s="3337"/>
    </row>
    <row r="1209" spans="7:16" s="1634" customFormat="1">
      <c r="G1209" s="3336"/>
      <c r="P1209" s="3337"/>
    </row>
    <row r="1210" spans="7:16" s="1634" customFormat="1">
      <c r="G1210" s="3336"/>
      <c r="P1210" s="3337"/>
    </row>
    <row r="1211" spans="7:16" s="1634" customFormat="1">
      <c r="G1211" s="3336"/>
      <c r="P1211" s="3337"/>
    </row>
    <row r="1212" spans="7:16" s="1634" customFormat="1">
      <c r="G1212" s="3336"/>
      <c r="P1212" s="3337"/>
    </row>
    <row r="1213" spans="7:16" s="1634" customFormat="1">
      <c r="G1213" s="3336"/>
      <c r="P1213" s="3337"/>
    </row>
    <row r="1214" spans="7:16" s="1634" customFormat="1">
      <c r="G1214" s="3336"/>
      <c r="P1214" s="3337"/>
    </row>
    <row r="1215" spans="7:16" s="1634" customFormat="1">
      <c r="G1215" s="3336"/>
      <c r="P1215" s="3337"/>
    </row>
    <row r="1216" spans="7:16" s="1634" customFormat="1">
      <c r="G1216" s="3336"/>
      <c r="P1216" s="3337"/>
    </row>
    <row r="1217" spans="7:16" s="1634" customFormat="1">
      <c r="G1217" s="3336"/>
      <c r="P1217" s="3337"/>
    </row>
    <row r="1218" spans="7:16" s="1634" customFormat="1">
      <c r="G1218" s="3336"/>
      <c r="P1218" s="3337"/>
    </row>
    <row r="1219" spans="7:16" s="1634" customFormat="1">
      <c r="G1219" s="3336"/>
      <c r="P1219" s="3337"/>
    </row>
    <row r="1220" spans="7:16" s="1634" customFormat="1">
      <c r="G1220" s="3336"/>
      <c r="P1220" s="3337"/>
    </row>
    <row r="1221" spans="7:16" s="1634" customFormat="1">
      <c r="G1221" s="3336"/>
      <c r="P1221" s="3337"/>
    </row>
    <row r="1222" spans="7:16" s="1634" customFormat="1">
      <c r="G1222" s="3336"/>
      <c r="P1222" s="3337"/>
    </row>
    <row r="1223" spans="7:16" s="1634" customFormat="1">
      <c r="G1223" s="3336"/>
      <c r="P1223" s="3337"/>
    </row>
    <row r="1224" spans="7:16" s="1634" customFormat="1">
      <c r="G1224" s="3336"/>
      <c r="P1224" s="3337"/>
    </row>
    <row r="1225" spans="7:16" s="1634" customFormat="1">
      <c r="G1225" s="3336"/>
      <c r="P1225" s="3337"/>
    </row>
    <row r="1226" spans="7:16" s="1634" customFormat="1">
      <c r="G1226" s="3336"/>
      <c r="P1226" s="3337"/>
    </row>
    <row r="1227" spans="7:16" s="1634" customFormat="1">
      <c r="G1227" s="3336"/>
      <c r="P1227" s="3337"/>
    </row>
    <row r="1228" spans="7:16" s="1634" customFormat="1">
      <c r="G1228" s="3336"/>
      <c r="P1228" s="3337"/>
    </row>
    <row r="1229" spans="7:16" s="1634" customFormat="1">
      <c r="G1229" s="3336"/>
      <c r="P1229" s="3337"/>
    </row>
    <row r="1230" spans="7:16" s="1634" customFormat="1">
      <c r="G1230" s="3336"/>
      <c r="P1230" s="3337"/>
    </row>
    <row r="1231" spans="7:16" s="1634" customFormat="1">
      <c r="G1231" s="3336"/>
      <c r="P1231" s="3337"/>
    </row>
    <row r="1232" spans="7:16" s="1634" customFormat="1">
      <c r="G1232" s="3336"/>
      <c r="P1232" s="3337"/>
    </row>
    <row r="1233" spans="7:16" s="1634" customFormat="1">
      <c r="G1233" s="3336"/>
      <c r="P1233" s="3337"/>
    </row>
    <row r="1234" spans="7:16" s="1634" customFormat="1">
      <c r="G1234" s="3336"/>
      <c r="P1234" s="3337"/>
    </row>
    <row r="1235" spans="7:16" s="1634" customFormat="1">
      <c r="G1235" s="3336"/>
      <c r="P1235" s="3337"/>
    </row>
    <row r="1236" spans="7:16" s="1634" customFormat="1">
      <c r="G1236" s="3336"/>
      <c r="P1236" s="3337"/>
    </row>
    <row r="1237" spans="7:16" s="1634" customFormat="1">
      <c r="G1237" s="3336"/>
      <c r="P1237" s="3337"/>
    </row>
    <row r="1238" spans="7:16" s="1634" customFormat="1">
      <c r="G1238" s="3336"/>
      <c r="P1238" s="3337"/>
    </row>
    <row r="1239" spans="7:16" s="1634" customFormat="1">
      <c r="G1239" s="3336"/>
      <c r="P1239" s="3337"/>
    </row>
    <row r="1240" spans="7:16" s="1634" customFormat="1">
      <c r="G1240" s="3336"/>
      <c r="P1240" s="3337"/>
    </row>
    <row r="1241" spans="7:16" s="1634" customFormat="1">
      <c r="G1241" s="3336"/>
      <c r="P1241" s="3337"/>
    </row>
    <row r="1242" spans="7:16" s="1634" customFormat="1">
      <c r="G1242" s="3336"/>
      <c r="P1242" s="3337"/>
    </row>
    <row r="1243" spans="7:16" s="1634" customFormat="1">
      <c r="G1243" s="3336"/>
      <c r="P1243" s="3337"/>
    </row>
    <row r="1244" spans="7:16" s="1634" customFormat="1">
      <c r="G1244" s="3336"/>
      <c r="P1244" s="3337"/>
    </row>
    <row r="1245" spans="7:16" s="1634" customFormat="1">
      <c r="G1245" s="3336"/>
      <c r="P1245" s="3337"/>
    </row>
    <row r="1246" spans="7:16" s="1634" customFormat="1">
      <c r="G1246" s="3336"/>
      <c r="P1246" s="3337"/>
    </row>
    <row r="1247" spans="7:16" s="1634" customFormat="1">
      <c r="G1247" s="3336"/>
      <c r="P1247" s="3337"/>
    </row>
    <row r="1248" spans="7:16" s="1634" customFormat="1">
      <c r="G1248" s="3336"/>
      <c r="P1248" s="3337"/>
    </row>
    <row r="1249" spans="7:16" s="1634" customFormat="1">
      <c r="G1249" s="3336"/>
      <c r="P1249" s="3337"/>
    </row>
    <row r="1250" spans="7:16" s="1634" customFormat="1">
      <c r="G1250" s="3336"/>
      <c r="P1250" s="3337"/>
    </row>
    <row r="1251" spans="7:16" s="1634" customFormat="1">
      <c r="G1251" s="3336"/>
      <c r="P1251" s="3337"/>
    </row>
    <row r="1252" spans="7:16" s="1634" customFormat="1">
      <c r="G1252" s="3336"/>
      <c r="P1252" s="3337"/>
    </row>
    <row r="1253" spans="7:16" s="1634" customFormat="1">
      <c r="G1253" s="3336"/>
      <c r="P1253" s="3337"/>
    </row>
    <row r="1254" spans="7:16" s="1634" customFormat="1">
      <c r="G1254" s="3336"/>
      <c r="P1254" s="3337"/>
    </row>
    <row r="1255" spans="7:16" s="1634" customFormat="1">
      <c r="G1255" s="3336"/>
      <c r="P1255" s="3337"/>
    </row>
    <row r="1256" spans="7:16" s="1634" customFormat="1">
      <c r="G1256" s="3336"/>
      <c r="P1256" s="3337"/>
    </row>
    <row r="1257" spans="7:16" s="1634" customFormat="1">
      <c r="G1257" s="3336"/>
      <c r="P1257" s="3337"/>
    </row>
    <row r="1258" spans="7:16" s="1634" customFormat="1">
      <c r="G1258" s="3336"/>
      <c r="P1258" s="3337"/>
    </row>
    <row r="1259" spans="7:16" s="1634" customFormat="1">
      <c r="G1259" s="3336"/>
      <c r="P1259" s="3337"/>
    </row>
    <row r="1260" spans="7:16" s="1634" customFormat="1">
      <c r="G1260" s="3336"/>
      <c r="P1260" s="3337"/>
    </row>
    <row r="1261" spans="7:16" s="1634" customFormat="1">
      <c r="G1261" s="3336"/>
      <c r="P1261" s="3337"/>
    </row>
    <row r="1262" spans="7:16" s="1634" customFormat="1">
      <c r="G1262" s="3336"/>
      <c r="P1262" s="3337"/>
    </row>
    <row r="1263" spans="7:16" s="1634" customFormat="1">
      <c r="G1263" s="3336"/>
      <c r="P1263" s="3337"/>
    </row>
    <row r="1264" spans="7:16" s="1634" customFormat="1">
      <c r="G1264" s="3336"/>
      <c r="P1264" s="3337"/>
    </row>
    <row r="1265" spans="7:16" s="1634" customFormat="1">
      <c r="G1265" s="3336"/>
      <c r="P1265" s="3337"/>
    </row>
    <row r="1266" spans="7:16" s="1634" customFormat="1">
      <c r="G1266" s="3336"/>
      <c r="P1266" s="3337"/>
    </row>
    <row r="1267" spans="7:16" s="1634" customFormat="1">
      <c r="G1267" s="3336"/>
      <c r="P1267" s="3337"/>
    </row>
    <row r="1268" spans="7:16" s="1634" customFormat="1">
      <c r="G1268" s="3336"/>
      <c r="P1268" s="3337"/>
    </row>
    <row r="1269" spans="7:16" s="1634" customFormat="1">
      <c r="G1269" s="3336"/>
      <c r="P1269" s="3337"/>
    </row>
    <row r="1270" spans="7:16" s="1634" customFormat="1">
      <c r="G1270" s="3336"/>
      <c r="P1270" s="3337"/>
    </row>
    <row r="1271" spans="7:16" s="1634" customFormat="1">
      <c r="G1271" s="3336"/>
      <c r="P1271" s="3337"/>
    </row>
    <row r="1272" spans="7:16" s="1634" customFormat="1">
      <c r="G1272" s="3336"/>
      <c r="P1272" s="3337"/>
    </row>
    <row r="1273" spans="7:16" s="1634" customFormat="1">
      <c r="G1273" s="3336"/>
      <c r="P1273" s="3337"/>
    </row>
    <row r="1274" spans="7:16" s="1634" customFormat="1">
      <c r="G1274" s="3336"/>
      <c r="P1274" s="3337"/>
    </row>
    <row r="1275" spans="7:16" s="1634" customFormat="1">
      <c r="G1275" s="3336"/>
      <c r="P1275" s="3337"/>
    </row>
    <row r="1276" spans="7:16" s="1634" customFormat="1">
      <c r="G1276" s="3336"/>
      <c r="P1276" s="3337"/>
    </row>
    <row r="1277" spans="7:16" s="1634" customFormat="1">
      <c r="G1277" s="3336"/>
      <c r="P1277" s="3337"/>
    </row>
    <row r="1278" spans="7:16" s="1634" customFormat="1">
      <c r="G1278" s="3336"/>
      <c r="P1278" s="3337"/>
    </row>
    <row r="1279" spans="7:16" s="1634" customFormat="1">
      <c r="G1279" s="3336"/>
      <c r="P1279" s="3337"/>
    </row>
    <row r="1280" spans="7:16" s="1634" customFormat="1">
      <c r="G1280" s="3336"/>
      <c r="P1280" s="3337"/>
    </row>
    <row r="1281" spans="7:16" s="1634" customFormat="1">
      <c r="G1281" s="3336"/>
      <c r="P1281" s="3337"/>
    </row>
    <row r="1282" spans="7:16" s="1634" customFormat="1">
      <c r="G1282" s="3336"/>
      <c r="P1282" s="3337"/>
    </row>
    <row r="1283" spans="7:16" s="1634" customFormat="1">
      <c r="G1283" s="3336"/>
      <c r="P1283" s="3337"/>
    </row>
    <row r="1284" spans="7:16" s="1634" customFormat="1">
      <c r="G1284" s="3336"/>
      <c r="P1284" s="3337"/>
    </row>
    <row r="1285" spans="7:16" s="1634" customFormat="1">
      <c r="G1285" s="3336"/>
      <c r="P1285" s="3337"/>
    </row>
    <row r="1286" spans="7:16" s="1634" customFormat="1">
      <c r="G1286" s="3336"/>
      <c r="P1286" s="3337"/>
    </row>
    <row r="1287" spans="7:16" s="1634" customFormat="1">
      <c r="G1287" s="3336"/>
      <c r="P1287" s="3337"/>
    </row>
    <row r="1288" spans="7:16" s="1634" customFormat="1">
      <c r="G1288" s="3336"/>
      <c r="P1288" s="3337"/>
    </row>
    <row r="1289" spans="7:16" s="1634" customFormat="1">
      <c r="G1289" s="3336"/>
      <c r="P1289" s="3337"/>
    </row>
    <row r="1290" spans="7:16" s="1634" customFormat="1">
      <c r="G1290" s="3336"/>
      <c r="P1290" s="3337"/>
    </row>
    <row r="1291" spans="7:16" s="1634" customFormat="1">
      <c r="G1291" s="3336"/>
      <c r="P1291" s="3337"/>
    </row>
    <row r="1292" spans="7:16" s="1634" customFormat="1">
      <c r="G1292" s="3336"/>
      <c r="P1292" s="3337"/>
    </row>
    <row r="1293" spans="7:16" s="1634" customFormat="1">
      <c r="G1293" s="3336"/>
      <c r="P1293" s="3337"/>
    </row>
    <row r="1294" spans="7:16" s="1634" customFormat="1">
      <c r="G1294" s="3336"/>
      <c r="P1294" s="3337"/>
    </row>
    <row r="1295" spans="7:16" s="1634" customFormat="1">
      <c r="G1295" s="3336"/>
      <c r="P1295" s="3337"/>
    </row>
    <row r="1296" spans="7:16" s="1634" customFormat="1">
      <c r="G1296" s="3336"/>
      <c r="P1296" s="3337"/>
    </row>
    <row r="1297" spans="7:16" s="1634" customFormat="1">
      <c r="G1297" s="3336"/>
      <c r="P1297" s="3337"/>
    </row>
    <row r="1298" spans="7:16" s="1634" customFormat="1">
      <c r="G1298" s="3336"/>
      <c r="P1298" s="3337"/>
    </row>
    <row r="1299" spans="7:16" s="1634" customFormat="1">
      <c r="G1299" s="3336"/>
      <c r="P1299" s="3337"/>
    </row>
    <row r="1300" spans="7:16" s="1634" customFormat="1">
      <c r="G1300" s="3336"/>
      <c r="P1300" s="3337"/>
    </row>
    <row r="1301" spans="7:16" s="1634" customFormat="1">
      <c r="G1301" s="3336"/>
      <c r="P1301" s="3337"/>
    </row>
    <row r="1302" spans="7:16" s="1634" customFormat="1">
      <c r="G1302" s="3336"/>
      <c r="P1302" s="3337"/>
    </row>
    <row r="1303" spans="7:16" s="1634" customFormat="1">
      <c r="G1303" s="3336"/>
      <c r="P1303" s="3337"/>
    </row>
    <row r="1304" spans="7:16" s="1634" customFormat="1">
      <c r="G1304" s="3336"/>
      <c r="P1304" s="3337"/>
    </row>
    <row r="1305" spans="7:16" s="1634" customFormat="1">
      <c r="G1305" s="3336"/>
      <c r="P1305" s="3337"/>
    </row>
    <row r="1306" spans="7:16" s="1634" customFormat="1">
      <c r="G1306" s="3336"/>
      <c r="P1306" s="3337"/>
    </row>
    <row r="1307" spans="7:16" s="1634" customFormat="1">
      <c r="G1307" s="3336"/>
      <c r="P1307" s="3337"/>
    </row>
    <row r="1308" spans="7:16" s="1634" customFormat="1">
      <c r="G1308" s="3336"/>
      <c r="P1308" s="3337"/>
    </row>
    <row r="1309" spans="7:16" s="1634" customFormat="1">
      <c r="G1309" s="3336"/>
      <c r="P1309" s="3337"/>
    </row>
    <row r="1310" spans="7:16" s="1634" customFormat="1">
      <c r="G1310" s="3336"/>
      <c r="P1310" s="3337"/>
    </row>
    <row r="1311" spans="7:16" s="1634" customFormat="1">
      <c r="G1311" s="3336"/>
      <c r="P1311" s="3337"/>
    </row>
    <row r="1312" spans="7:16" s="1634" customFormat="1">
      <c r="G1312" s="3336"/>
      <c r="P1312" s="3337"/>
    </row>
    <row r="1313" spans="7:16" s="1634" customFormat="1">
      <c r="G1313" s="3336"/>
      <c r="P1313" s="3337"/>
    </row>
    <row r="1314" spans="7:16" s="1634" customFormat="1">
      <c r="G1314" s="3336"/>
      <c r="P1314" s="3337"/>
    </row>
    <row r="1315" spans="7:16" s="1634" customFormat="1">
      <c r="G1315" s="3336"/>
      <c r="P1315" s="3337"/>
    </row>
    <row r="1316" spans="7:16" s="1634" customFormat="1">
      <c r="G1316" s="3336"/>
      <c r="P1316" s="3337"/>
    </row>
    <row r="1317" spans="7:16" s="1634" customFormat="1">
      <c r="G1317" s="3336"/>
      <c r="P1317" s="3337"/>
    </row>
    <row r="1318" spans="7:16" s="1634" customFormat="1">
      <c r="G1318" s="3336"/>
      <c r="P1318" s="3337"/>
    </row>
    <row r="1319" spans="7:16" s="1634" customFormat="1">
      <c r="G1319" s="3336"/>
      <c r="P1319" s="3337"/>
    </row>
    <row r="1320" spans="7:16" s="1634" customFormat="1">
      <c r="G1320" s="3336"/>
      <c r="P1320" s="3337"/>
    </row>
    <row r="1321" spans="7:16" s="1634" customFormat="1">
      <c r="G1321" s="3336"/>
      <c r="P1321" s="3337"/>
    </row>
    <row r="1322" spans="7:16" s="1634" customFormat="1">
      <c r="G1322" s="3336"/>
      <c r="P1322" s="3337"/>
    </row>
    <row r="1323" spans="7:16" s="1634" customFormat="1">
      <c r="G1323" s="3336"/>
      <c r="P1323" s="3337"/>
    </row>
    <row r="1324" spans="7:16" s="1634" customFormat="1">
      <c r="G1324" s="3336"/>
      <c r="P1324" s="3337"/>
    </row>
    <row r="1325" spans="7:16" s="1634" customFormat="1">
      <c r="G1325" s="3336"/>
      <c r="P1325" s="3337"/>
    </row>
    <row r="1326" spans="7:16" s="1634" customFormat="1">
      <c r="G1326" s="3336"/>
      <c r="P1326" s="3337"/>
    </row>
    <row r="1327" spans="7:16" s="1634" customFormat="1">
      <c r="G1327" s="3336"/>
      <c r="P1327" s="3337"/>
    </row>
    <row r="1328" spans="7:16" s="1634" customFormat="1">
      <c r="G1328" s="3336"/>
      <c r="P1328" s="3337"/>
    </row>
    <row r="1329" spans="7:16" s="1634" customFormat="1">
      <c r="G1329" s="3336"/>
      <c r="P1329" s="3337"/>
    </row>
    <row r="1330" spans="7:16" s="1634" customFormat="1">
      <c r="G1330" s="3336"/>
      <c r="P1330" s="3337"/>
    </row>
    <row r="1331" spans="7:16" s="1634" customFormat="1">
      <c r="G1331" s="3336"/>
      <c r="P1331" s="3337"/>
    </row>
    <row r="1332" spans="7:16" s="1634" customFormat="1">
      <c r="G1332" s="3336"/>
      <c r="P1332" s="3337"/>
    </row>
    <row r="1333" spans="7:16" s="1634" customFormat="1">
      <c r="G1333" s="3336"/>
      <c r="P1333" s="3337"/>
    </row>
    <row r="1334" spans="7:16" s="1634" customFormat="1">
      <c r="G1334" s="3336"/>
      <c r="P1334" s="3337"/>
    </row>
    <row r="1335" spans="7:16" s="1634" customFormat="1">
      <c r="G1335" s="3336"/>
      <c r="P1335" s="3337"/>
    </row>
    <row r="1336" spans="7:16" s="1634" customFormat="1">
      <c r="G1336" s="3336"/>
      <c r="P1336" s="3337"/>
    </row>
    <row r="1337" spans="7:16" s="1634" customFormat="1">
      <c r="G1337" s="3336"/>
      <c r="P1337" s="3337"/>
    </row>
    <row r="1338" spans="7:16" s="1634" customFormat="1">
      <c r="G1338" s="3336"/>
      <c r="P1338" s="3337"/>
    </row>
    <row r="1339" spans="7:16" s="1634" customFormat="1">
      <c r="G1339" s="3336"/>
      <c r="P1339" s="3337"/>
    </row>
    <row r="1340" spans="7:16" s="1634" customFormat="1">
      <c r="G1340" s="3336"/>
      <c r="P1340" s="3337"/>
    </row>
    <row r="1341" spans="7:16" s="1634" customFormat="1">
      <c r="G1341" s="3336"/>
      <c r="P1341" s="3337"/>
    </row>
    <row r="1342" spans="7:16" s="1634" customFormat="1">
      <c r="G1342" s="3336"/>
      <c r="P1342" s="3337"/>
    </row>
    <row r="1343" spans="7:16" s="1634" customFormat="1">
      <c r="G1343" s="3336"/>
      <c r="P1343" s="3337"/>
    </row>
    <row r="1344" spans="7:16" s="1634" customFormat="1">
      <c r="G1344" s="3336"/>
      <c r="P1344" s="3337"/>
    </row>
    <row r="1345" spans="7:16" s="1634" customFormat="1">
      <c r="G1345" s="3336"/>
      <c r="P1345" s="3337"/>
    </row>
    <row r="1346" spans="7:16" s="1634" customFormat="1">
      <c r="G1346" s="3336"/>
      <c r="P1346" s="3337"/>
    </row>
    <row r="1347" spans="7:16" s="1634" customFormat="1">
      <c r="G1347" s="3336"/>
      <c r="P1347" s="3337"/>
    </row>
    <row r="1348" spans="7:16" s="1634" customFormat="1">
      <c r="G1348" s="3336"/>
      <c r="P1348" s="3337"/>
    </row>
    <row r="1349" spans="7:16" s="1634" customFormat="1">
      <c r="G1349" s="3336"/>
      <c r="P1349" s="3337"/>
    </row>
    <row r="1350" spans="7:16" s="1634" customFormat="1">
      <c r="G1350" s="3336"/>
      <c r="P1350" s="3337"/>
    </row>
    <row r="1351" spans="7:16" s="1634" customFormat="1">
      <c r="G1351" s="3336"/>
      <c r="P1351" s="3337"/>
    </row>
    <row r="1352" spans="7:16" s="1634" customFormat="1">
      <c r="G1352" s="3336"/>
      <c r="P1352" s="3337"/>
    </row>
    <row r="1353" spans="7:16" s="1634" customFormat="1">
      <c r="G1353" s="3336"/>
      <c r="P1353" s="3337"/>
    </row>
    <row r="1354" spans="7:16" s="1634" customFormat="1">
      <c r="G1354" s="3336"/>
      <c r="P1354" s="3337"/>
    </row>
    <row r="1355" spans="7:16" s="1634" customFormat="1">
      <c r="G1355" s="3336"/>
      <c r="P1355" s="3337"/>
    </row>
    <row r="1356" spans="7:16" s="1634" customFormat="1">
      <c r="G1356" s="3336"/>
      <c r="P1356" s="3337"/>
    </row>
    <row r="1357" spans="7:16" s="1634" customFormat="1">
      <c r="G1357" s="3336"/>
      <c r="P1357" s="3337"/>
    </row>
    <row r="1358" spans="7:16" s="1634" customFormat="1">
      <c r="G1358" s="3336"/>
      <c r="P1358" s="3337"/>
    </row>
    <row r="1359" spans="7:16" s="1634" customFormat="1">
      <c r="G1359" s="3336"/>
      <c r="P1359" s="3337"/>
    </row>
    <row r="1360" spans="7:16" s="1634" customFormat="1">
      <c r="G1360" s="3336"/>
      <c r="P1360" s="3337"/>
    </row>
    <row r="1361" spans="7:16" s="1634" customFormat="1">
      <c r="G1361" s="3336"/>
      <c r="P1361" s="3337"/>
    </row>
    <row r="1362" spans="7:16" s="1634" customFormat="1">
      <c r="G1362" s="3336"/>
      <c r="P1362" s="3337"/>
    </row>
    <row r="1363" spans="7:16" s="1634" customFormat="1">
      <c r="G1363" s="3336"/>
      <c r="P1363" s="3337"/>
    </row>
    <row r="1364" spans="7:16" s="1634" customFormat="1">
      <c r="G1364" s="3336"/>
      <c r="P1364" s="3337"/>
    </row>
    <row r="1365" spans="7:16" s="1634" customFormat="1">
      <c r="G1365" s="3336"/>
      <c r="P1365" s="3337"/>
    </row>
    <row r="1366" spans="7:16" s="1634" customFormat="1">
      <c r="G1366" s="3336"/>
      <c r="P1366" s="3337"/>
    </row>
    <row r="1367" spans="7:16" s="1634" customFormat="1">
      <c r="G1367" s="3336"/>
      <c r="P1367" s="3337"/>
    </row>
    <row r="1368" spans="7:16" s="1634" customFormat="1">
      <c r="G1368" s="3336"/>
      <c r="P1368" s="3337"/>
    </row>
    <row r="1369" spans="7:16" s="1634" customFormat="1">
      <c r="G1369" s="3336"/>
      <c r="P1369" s="3337"/>
    </row>
    <row r="1370" spans="7:16" s="1634" customFormat="1">
      <c r="G1370" s="3336"/>
      <c r="P1370" s="3337"/>
    </row>
    <row r="1371" spans="7:16" s="1634" customFormat="1">
      <c r="G1371" s="3336"/>
      <c r="P1371" s="3337"/>
    </row>
    <row r="1372" spans="7:16" s="1634" customFormat="1">
      <c r="G1372" s="3336"/>
      <c r="P1372" s="3337"/>
    </row>
    <row r="1373" spans="7:16" s="1634" customFormat="1">
      <c r="G1373" s="3336"/>
      <c r="P1373" s="3337"/>
    </row>
    <row r="1374" spans="7:16" s="1634" customFormat="1">
      <c r="G1374" s="3336"/>
      <c r="P1374" s="3337"/>
    </row>
    <row r="1375" spans="7:16" s="1634" customFormat="1">
      <c r="G1375" s="3336"/>
      <c r="P1375" s="3337"/>
    </row>
    <row r="1376" spans="7:16" s="1634" customFormat="1">
      <c r="G1376" s="3336"/>
      <c r="P1376" s="3337"/>
    </row>
    <row r="1377" spans="7:16" s="1634" customFormat="1">
      <c r="G1377" s="3336"/>
      <c r="P1377" s="3337"/>
    </row>
    <row r="1378" spans="7:16" s="1634" customFormat="1">
      <c r="G1378" s="3336"/>
      <c r="P1378" s="3337"/>
    </row>
    <row r="1379" spans="7:16" s="1634" customFormat="1">
      <c r="G1379" s="3336"/>
      <c r="P1379" s="3337"/>
    </row>
    <row r="1380" spans="7:16" s="1634" customFormat="1">
      <c r="G1380" s="3336"/>
      <c r="P1380" s="3337"/>
    </row>
    <row r="1381" spans="7:16" s="1634" customFormat="1">
      <c r="G1381" s="3336"/>
      <c r="P1381" s="3337"/>
    </row>
    <row r="1382" spans="7:16" s="1634" customFormat="1">
      <c r="G1382" s="3336"/>
      <c r="P1382" s="3337"/>
    </row>
    <row r="1383" spans="7:16" s="1634" customFormat="1">
      <c r="G1383" s="3336"/>
      <c r="P1383" s="3337"/>
    </row>
    <row r="1384" spans="7:16" s="1634" customFormat="1">
      <c r="G1384" s="3336"/>
      <c r="P1384" s="3337"/>
    </row>
    <row r="1385" spans="7:16" s="1634" customFormat="1">
      <c r="G1385" s="3336"/>
      <c r="P1385" s="3337"/>
    </row>
    <row r="1386" spans="7:16" s="1634" customFormat="1">
      <c r="G1386" s="3336"/>
      <c r="P1386" s="3337"/>
    </row>
    <row r="1387" spans="7:16" s="1634" customFormat="1">
      <c r="G1387" s="3336"/>
      <c r="P1387" s="3337"/>
    </row>
    <row r="1388" spans="7:16" s="1634" customFormat="1">
      <c r="G1388" s="3336"/>
      <c r="P1388" s="3337"/>
    </row>
    <row r="1389" spans="7:16" s="1634" customFormat="1">
      <c r="G1389" s="3336"/>
      <c r="P1389" s="3337"/>
    </row>
    <row r="1390" spans="7:16" s="1634" customFormat="1">
      <c r="G1390" s="3336"/>
      <c r="P1390" s="3337"/>
    </row>
    <row r="1391" spans="7:16" s="1634" customFormat="1">
      <c r="G1391" s="3336"/>
      <c r="P1391" s="3337"/>
    </row>
    <row r="1392" spans="7:16" s="1634" customFormat="1">
      <c r="G1392" s="3336"/>
      <c r="P1392" s="3337"/>
    </row>
    <row r="1393" spans="7:16" s="1634" customFormat="1">
      <c r="G1393" s="3336"/>
      <c r="P1393" s="3337"/>
    </row>
    <row r="1394" spans="7:16" s="1634" customFormat="1">
      <c r="G1394" s="3336"/>
      <c r="P1394" s="3337"/>
    </row>
    <row r="1395" spans="7:16" s="1634" customFormat="1">
      <c r="G1395" s="3336"/>
      <c r="P1395" s="3337"/>
    </row>
    <row r="1396" spans="7:16" s="1634" customFormat="1">
      <c r="G1396" s="3336"/>
      <c r="P1396" s="3337"/>
    </row>
    <row r="1397" spans="7:16" s="1634" customFormat="1">
      <c r="G1397" s="3336"/>
      <c r="P1397" s="3337"/>
    </row>
    <row r="1398" spans="7:16" s="1634" customFormat="1">
      <c r="G1398" s="3336"/>
      <c r="P1398" s="3337"/>
    </row>
    <row r="1399" spans="7:16" s="1634" customFormat="1">
      <c r="G1399" s="3336"/>
      <c r="P1399" s="3337"/>
    </row>
    <row r="1400" spans="7:16" s="1634" customFormat="1">
      <c r="G1400" s="3336"/>
      <c r="P1400" s="3337"/>
    </row>
    <row r="1401" spans="7:16" s="1634" customFormat="1">
      <c r="G1401" s="3336"/>
      <c r="P1401" s="3337"/>
    </row>
    <row r="1402" spans="7:16" s="1634" customFormat="1">
      <c r="G1402" s="3336"/>
      <c r="P1402" s="3337"/>
    </row>
    <row r="1403" spans="7:16" s="1634" customFormat="1">
      <c r="G1403" s="3336"/>
      <c r="P1403" s="3337"/>
    </row>
    <row r="1404" spans="7:16" s="1634" customFormat="1">
      <c r="G1404" s="3336"/>
      <c r="P1404" s="3337"/>
    </row>
    <row r="1405" spans="7:16" s="1634" customFormat="1">
      <c r="G1405" s="3336"/>
      <c r="P1405" s="3337"/>
    </row>
    <row r="1406" spans="7:16" s="1634" customFormat="1">
      <c r="G1406" s="3336"/>
      <c r="P1406" s="3337"/>
    </row>
    <row r="1407" spans="7:16" s="1634" customFormat="1">
      <c r="G1407" s="3336"/>
      <c r="P1407" s="3337"/>
    </row>
    <row r="1408" spans="7:16" s="1634" customFormat="1">
      <c r="G1408" s="3336"/>
      <c r="P1408" s="3337"/>
    </row>
    <row r="1409" spans="7:16" s="1634" customFormat="1">
      <c r="G1409" s="3336"/>
      <c r="P1409" s="3337"/>
    </row>
    <row r="1410" spans="7:16" s="1634" customFormat="1">
      <c r="G1410" s="3336"/>
      <c r="P1410" s="3337"/>
    </row>
    <row r="1411" spans="7:16" s="1634" customFormat="1">
      <c r="G1411" s="3336"/>
      <c r="P1411" s="3337"/>
    </row>
    <row r="1412" spans="7:16" s="1634" customFormat="1">
      <c r="G1412" s="3336"/>
      <c r="P1412" s="3337"/>
    </row>
    <row r="1413" spans="7:16" s="1634" customFormat="1">
      <c r="G1413" s="3336"/>
      <c r="P1413" s="3337"/>
    </row>
    <row r="1414" spans="7:16" s="1634" customFormat="1">
      <c r="G1414" s="3336"/>
      <c r="P1414" s="3337"/>
    </row>
    <row r="1415" spans="7:16" s="1634" customFormat="1">
      <c r="G1415" s="3336"/>
      <c r="P1415" s="3337"/>
    </row>
    <row r="1416" spans="7:16" s="1634" customFormat="1">
      <c r="G1416" s="3336"/>
      <c r="P1416" s="3337"/>
    </row>
    <row r="1417" spans="7:16" s="1634" customFormat="1">
      <c r="G1417" s="3336"/>
      <c r="P1417" s="3337"/>
    </row>
    <row r="1418" spans="7:16" s="1634" customFormat="1">
      <c r="G1418" s="3336"/>
      <c r="P1418" s="3337"/>
    </row>
    <row r="1419" spans="7:16" s="1634" customFormat="1">
      <c r="G1419" s="3336"/>
      <c r="P1419" s="3337"/>
    </row>
    <row r="1420" spans="7:16" s="1634" customFormat="1">
      <c r="G1420" s="3336"/>
      <c r="P1420" s="3337"/>
    </row>
    <row r="1421" spans="7:16" s="1634" customFormat="1">
      <c r="G1421" s="3336"/>
      <c r="P1421" s="3337"/>
    </row>
    <row r="1422" spans="7:16" s="1634" customFormat="1">
      <c r="G1422" s="3336"/>
      <c r="P1422" s="3337"/>
    </row>
    <row r="1423" spans="7:16" s="1634" customFormat="1">
      <c r="G1423" s="3336"/>
      <c r="P1423" s="3337"/>
    </row>
    <row r="1424" spans="7:16" s="1634" customFormat="1">
      <c r="G1424" s="3336"/>
      <c r="P1424" s="3337"/>
    </row>
    <row r="1425" spans="7:16" s="1634" customFormat="1">
      <c r="G1425" s="3336"/>
      <c r="P1425" s="3337"/>
    </row>
    <row r="1426" spans="7:16" s="1634" customFormat="1">
      <c r="G1426" s="3336"/>
      <c r="P1426" s="3337"/>
    </row>
    <row r="1427" spans="7:16" s="1634" customFormat="1">
      <c r="G1427" s="3336"/>
      <c r="P1427" s="3337"/>
    </row>
    <row r="1428" spans="7:16" s="1634" customFormat="1">
      <c r="G1428" s="3336"/>
      <c r="P1428" s="3337"/>
    </row>
    <row r="1429" spans="7:16" s="1634" customFormat="1">
      <c r="G1429" s="3336"/>
      <c r="P1429" s="3337"/>
    </row>
    <row r="1430" spans="7:16" s="1634" customFormat="1">
      <c r="G1430" s="3336"/>
      <c r="P1430" s="3337"/>
    </row>
    <row r="1431" spans="7:16" s="1634" customFormat="1">
      <c r="G1431" s="3336"/>
      <c r="P1431" s="3337"/>
    </row>
    <row r="1432" spans="7:16" s="1634" customFormat="1">
      <c r="G1432" s="3336"/>
      <c r="P1432" s="3337"/>
    </row>
    <row r="1433" spans="7:16" s="1634" customFormat="1">
      <c r="G1433" s="3336"/>
      <c r="P1433" s="3337"/>
    </row>
    <row r="1434" spans="7:16" s="1634" customFormat="1">
      <c r="G1434" s="3336"/>
      <c r="P1434" s="3337"/>
    </row>
    <row r="1435" spans="7:16" s="1634" customFormat="1">
      <c r="G1435" s="3336"/>
      <c r="P1435" s="3337"/>
    </row>
    <row r="1436" spans="7:16" s="1634" customFormat="1">
      <c r="G1436" s="3336"/>
      <c r="P1436" s="3337"/>
    </row>
    <row r="1437" spans="7:16" s="1634" customFormat="1">
      <c r="G1437" s="3336"/>
      <c r="P1437" s="3337"/>
    </row>
    <row r="1438" spans="7:16" s="1634" customFormat="1">
      <c r="G1438" s="3336"/>
      <c r="P1438" s="3337"/>
    </row>
    <row r="1439" spans="7:16" s="1634" customFormat="1">
      <c r="G1439" s="3336"/>
      <c r="P1439" s="3337"/>
    </row>
    <row r="1440" spans="7:16" s="1634" customFormat="1">
      <c r="G1440" s="3336"/>
      <c r="P1440" s="3337"/>
    </row>
    <row r="1441" spans="7:16" s="1634" customFormat="1">
      <c r="G1441" s="3336"/>
      <c r="P1441" s="3337"/>
    </row>
    <row r="1442" spans="7:16" s="1634" customFormat="1">
      <c r="G1442" s="3336"/>
      <c r="P1442" s="3337"/>
    </row>
    <row r="1443" spans="7:16" s="1634" customFormat="1">
      <c r="G1443" s="3336"/>
      <c r="P1443" s="3337"/>
    </row>
    <row r="1444" spans="7:16" s="1634" customFormat="1">
      <c r="G1444" s="3336"/>
      <c r="P1444" s="3337"/>
    </row>
    <row r="1445" spans="7:16" s="1634" customFormat="1">
      <c r="G1445" s="3336"/>
      <c r="P1445" s="3337"/>
    </row>
    <row r="1446" spans="7:16" s="1634" customFormat="1">
      <c r="G1446" s="3336"/>
      <c r="P1446" s="3337"/>
    </row>
    <row r="1447" spans="7:16" s="1634" customFormat="1">
      <c r="G1447" s="3336"/>
      <c r="P1447" s="3337"/>
    </row>
    <row r="1448" spans="7:16" s="1634" customFormat="1">
      <c r="G1448" s="3336"/>
      <c r="P1448" s="3337"/>
    </row>
    <row r="1449" spans="7:16" s="1634" customFormat="1">
      <c r="G1449" s="3336"/>
      <c r="P1449" s="3337"/>
    </row>
    <row r="1450" spans="7:16" s="1634" customFormat="1">
      <c r="G1450" s="3336"/>
      <c r="P1450" s="3337"/>
    </row>
    <row r="1451" spans="7:16" s="1634" customFormat="1">
      <c r="G1451" s="3336"/>
      <c r="P1451" s="3337"/>
    </row>
    <row r="1452" spans="7:16" s="1634" customFormat="1">
      <c r="G1452" s="3336"/>
      <c r="P1452" s="3337"/>
    </row>
    <row r="1453" spans="7:16" s="1634" customFormat="1">
      <c r="G1453" s="3336"/>
      <c r="P1453" s="3337"/>
    </row>
    <row r="1454" spans="7:16" s="1634" customFormat="1">
      <c r="G1454" s="3336"/>
      <c r="P1454" s="3337"/>
    </row>
    <row r="1455" spans="7:16" s="1634" customFormat="1">
      <c r="G1455" s="3336"/>
      <c r="P1455" s="3337"/>
    </row>
    <row r="1456" spans="7:16" s="1634" customFormat="1">
      <c r="G1456" s="3336"/>
      <c r="P1456" s="3337"/>
    </row>
    <row r="1457" spans="7:16" s="1634" customFormat="1">
      <c r="G1457" s="3336"/>
      <c r="P1457" s="3337"/>
    </row>
    <row r="1458" spans="7:16" s="1634" customFormat="1">
      <c r="G1458" s="3336"/>
      <c r="P1458" s="3337"/>
    </row>
    <row r="1459" spans="7:16" s="1634" customFormat="1">
      <c r="G1459" s="3336"/>
      <c r="P1459" s="3337"/>
    </row>
    <row r="1460" spans="7:16" s="1634" customFormat="1">
      <c r="G1460" s="3336"/>
      <c r="P1460" s="3337"/>
    </row>
    <row r="1461" spans="7:16" s="1634" customFormat="1">
      <c r="G1461" s="3336"/>
      <c r="P1461" s="3337"/>
    </row>
    <row r="1462" spans="7:16" s="1634" customFormat="1">
      <c r="G1462" s="3336"/>
      <c r="P1462" s="3337"/>
    </row>
    <row r="1463" spans="7:16" s="1634" customFormat="1">
      <c r="G1463" s="3336"/>
      <c r="P1463" s="3337"/>
    </row>
    <row r="1464" spans="7:16" s="1634" customFormat="1">
      <c r="G1464" s="3336"/>
      <c r="P1464" s="3337"/>
    </row>
    <row r="1465" spans="7:16" s="1634" customFormat="1">
      <c r="G1465" s="3336"/>
      <c r="P1465" s="3337"/>
    </row>
    <row r="1466" spans="7:16" s="1634" customFormat="1">
      <c r="G1466" s="3336"/>
      <c r="P1466" s="3337"/>
    </row>
    <row r="1467" spans="7:16" s="1634" customFormat="1">
      <c r="G1467" s="3336"/>
      <c r="P1467" s="3337"/>
    </row>
    <row r="1468" spans="7:16" s="1634" customFormat="1">
      <c r="G1468" s="3336"/>
      <c r="P1468" s="3337"/>
    </row>
    <row r="1469" spans="7:16" s="1634" customFormat="1">
      <c r="G1469" s="3336"/>
      <c r="P1469" s="3337"/>
    </row>
    <row r="1470" spans="7:16" s="1634" customFormat="1">
      <c r="G1470" s="3336"/>
      <c r="P1470" s="3337"/>
    </row>
    <row r="1471" spans="7:16" s="1634" customFormat="1">
      <c r="G1471" s="3336"/>
      <c r="P1471" s="3337"/>
    </row>
    <row r="1472" spans="7:16" s="1634" customFormat="1">
      <c r="G1472" s="3336"/>
      <c r="P1472" s="3337"/>
    </row>
    <row r="1473" spans="7:16" s="1634" customFormat="1">
      <c r="G1473" s="3336"/>
      <c r="P1473" s="3337"/>
    </row>
    <row r="1474" spans="7:16" s="1634" customFormat="1">
      <c r="G1474" s="3336"/>
      <c r="P1474" s="3337"/>
    </row>
    <row r="1475" spans="7:16" s="1634" customFormat="1">
      <c r="G1475" s="3336"/>
      <c r="P1475" s="3337"/>
    </row>
    <row r="1476" spans="7:16" s="1634" customFormat="1">
      <c r="G1476" s="3336"/>
      <c r="P1476" s="3337"/>
    </row>
    <row r="1477" spans="7:16" s="1634" customFormat="1">
      <c r="G1477" s="3336"/>
      <c r="P1477" s="3337"/>
    </row>
    <row r="1478" spans="7:16" s="1634" customFormat="1">
      <c r="G1478" s="3336"/>
      <c r="P1478" s="3337"/>
    </row>
    <row r="1479" spans="7:16" s="1634" customFormat="1">
      <c r="G1479" s="3336"/>
      <c r="P1479" s="3337"/>
    </row>
    <row r="1480" spans="7:16" s="1634" customFormat="1">
      <c r="G1480" s="3336"/>
      <c r="P1480" s="3337"/>
    </row>
    <row r="1481" spans="7:16" s="1634" customFormat="1">
      <c r="G1481" s="3336"/>
      <c r="P1481" s="3337"/>
    </row>
    <row r="1482" spans="7:16" s="1634" customFormat="1">
      <c r="G1482" s="3336"/>
      <c r="P1482" s="3337"/>
    </row>
    <row r="1483" spans="7:16" s="1634" customFormat="1">
      <c r="G1483" s="3336"/>
      <c r="P1483" s="3337"/>
    </row>
    <row r="1484" spans="7:16" s="1634" customFormat="1">
      <c r="G1484" s="3336"/>
      <c r="P1484" s="3337"/>
    </row>
    <row r="1485" spans="7:16" s="1634" customFormat="1">
      <c r="G1485" s="3336"/>
      <c r="P1485" s="3337"/>
    </row>
    <row r="1486" spans="7:16" s="1634" customFormat="1">
      <c r="G1486" s="3336"/>
      <c r="P1486" s="3337"/>
    </row>
    <row r="1487" spans="7:16" s="1634" customFormat="1">
      <c r="G1487" s="3336"/>
      <c r="P1487" s="3337"/>
    </row>
    <row r="1488" spans="7:16" s="1634" customFormat="1">
      <c r="G1488" s="3336"/>
      <c r="P1488" s="3337"/>
    </row>
    <row r="1489" spans="7:16" s="1634" customFormat="1">
      <c r="G1489" s="3336"/>
      <c r="P1489" s="3337"/>
    </row>
    <row r="1490" spans="7:16" s="1634" customFormat="1">
      <c r="G1490" s="3336"/>
      <c r="P1490" s="3337"/>
    </row>
    <row r="1491" spans="7:16" s="1634" customFormat="1">
      <c r="G1491" s="3336"/>
      <c r="P1491" s="3337"/>
    </row>
    <row r="1492" spans="7:16" s="1634" customFormat="1">
      <c r="G1492" s="3336"/>
      <c r="P1492" s="3337"/>
    </row>
    <row r="1493" spans="7:16" s="1634" customFormat="1">
      <c r="G1493" s="3336"/>
      <c r="P1493" s="3337"/>
    </row>
    <row r="1494" spans="7:16" s="1634" customFormat="1">
      <c r="G1494" s="3336"/>
      <c r="P1494" s="3337"/>
    </row>
    <row r="1495" spans="7:16" s="1634" customFormat="1">
      <c r="G1495" s="3336"/>
      <c r="P1495" s="3337"/>
    </row>
    <row r="1496" spans="7:16" s="1634" customFormat="1">
      <c r="G1496" s="3336"/>
      <c r="P1496" s="3337"/>
    </row>
    <row r="1497" spans="7:16" s="1634" customFormat="1">
      <c r="G1497" s="3336"/>
      <c r="P1497" s="3337"/>
    </row>
    <row r="1498" spans="7:16" s="1634" customFormat="1">
      <c r="G1498" s="3336"/>
      <c r="P1498" s="3337"/>
    </row>
    <row r="1499" spans="7:16" s="1634" customFormat="1">
      <c r="G1499" s="3336"/>
      <c r="P1499" s="3337"/>
    </row>
    <row r="1500" spans="7:16" s="1634" customFormat="1">
      <c r="G1500" s="3336"/>
      <c r="P1500" s="3337"/>
    </row>
    <row r="1501" spans="7:16" s="1634" customFormat="1">
      <c r="G1501" s="3336"/>
      <c r="P1501" s="3337"/>
    </row>
    <row r="1502" spans="7:16" s="1634" customFormat="1">
      <c r="G1502" s="3336"/>
      <c r="P1502" s="3337"/>
    </row>
    <row r="1503" spans="7:16" s="1634" customFormat="1">
      <c r="G1503" s="3336"/>
      <c r="P1503" s="3337"/>
    </row>
    <row r="1504" spans="7:16" s="1634" customFormat="1">
      <c r="G1504" s="3336"/>
      <c r="P1504" s="3337"/>
    </row>
    <row r="1505" spans="7:16" s="1634" customFormat="1">
      <c r="G1505" s="3336"/>
      <c r="P1505" s="3337"/>
    </row>
    <row r="1506" spans="7:16" s="1634" customFormat="1">
      <c r="G1506" s="3336"/>
      <c r="P1506" s="3337"/>
    </row>
    <row r="1507" spans="7:16" s="1634" customFormat="1">
      <c r="G1507" s="3336"/>
      <c r="P1507" s="3337"/>
    </row>
    <row r="1508" spans="7:16" s="1634" customFormat="1">
      <c r="G1508" s="3336"/>
      <c r="P1508" s="3337"/>
    </row>
    <row r="1509" spans="7:16" s="1634" customFormat="1">
      <c r="G1509" s="3336"/>
      <c r="P1509" s="3337"/>
    </row>
    <row r="1510" spans="7:16" s="1634" customFormat="1">
      <c r="G1510" s="3336"/>
      <c r="P1510" s="3337"/>
    </row>
    <row r="1511" spans="7:16" s="1634" customFormat="1">
      <c r="G1511" s="3336"/>
      <c r="P1511" s="3337"/>
    </row>
    <row r="1512" spans="7:16" s="1634" customFormat="1">
      <c r="G1512" s="3336"/>
      <c r="P1512" s="3337"/>
    </row>
    <row r="1513" spans="7:16" s="1634" customFormat="1">
      <c r="G1513" s="3336"/>
      <c r="P1513" s="3337"/>
    </row>
    <row r="1514" spans="7:16" s="1634" customFormat="1">
      <c r="G1514" s="3336"/>
      <c r="P1514" s="3337"/>
    </row>
    <row r="1515" spans="7:16" s="1634" customFormat="1">
      <c r="G1515" s="3336"/>
      <c r="P1515" s="3337"/>
    </row>
    <row r="1516" spans="7:16" s="1634" customFormat="1">
      <c r="G1516" s="3336"/>
      <c r="P1516" s="3337"/>
    </row>
    <row r="1517" spans="7:16" s="1634" customFormat="1">
      <c r="G1517" s="3336"/>
      <c r="P1517" s="3337"/>
    </row>
    <row r="1518" spans="7:16" s="1634" customFormat="1">
      <c r="G1518" s="3336"/>
      <c r="P1518" s="3337"/>
    </row>
    <row r="1519" spans="7:16" s="1634" customFormat="1">
      <c r="G1519" s="3336"/>
      <c r="P1519" s="3337"/>
    </row>
    <row r="1520" spans="7:16" s="1634" customFormat="1">
      <c r="G1520" s="3336"/>
      <c r="P1520" s="3337"/>
    </row>
    <row r="1521" spans="7:16" s="1634" customFormat="1">
      <c r="G1521" s="3336"/>
      <c r="P1521" s="3337"/>
    </row>
    <row r="1522" spans="7:16" s="1634" customFormat="1">
      <c r="G1522" s="3336"/>
      <c r="P1522" s="3337"/>
    </row>
    <row r="1523" spans="7:16" s="1634" customFormat="1">
      <c r="G1523" s="3336"/>
      <c r="P1523" s="3337"/>
    </row>
    <row r="1524" spans="7:16" s="1634" customFormat="1">
      <c r="G1524" s="3336"/>
      <c r="P1524" s="3337"/>
    </row>
    <row r="1525" spans="7:16" s="1634" customFormat="1">
      <c r="G1525" s="3336"/>
      <c r="P1525" s="3337"/>
    </row>
    <row r="1526" spans="7:16" s="1634" customFormat="1">
      <c r="G1526" s="3336"/>
      <c r="P1526" s="3337"/>
    </row>
    <row r="1527" spans="7:16" s="1634" customFormat="1">
      <c r="G1527" s="3336"/>
      <c r="P1527" s="3337"/>
    </row>
    <row r="1528" spans="7:16" s="1634" customFormat="1">
      <c r="G1528" s="3336"/>
      <c r="P1528" s="3337"/>
    </row>
    <row r="1529" spans="7:16" s="1634" customFormat="1">
      <c r="G1529" s="3336"/>
      <c r="P1529" s="3337"/>
    </row>
    <row r="1530" spans="7:16" s="1634" customFormat="1">
      <c r="G1530" s="3336"/>
      <c r="P1530" s="3337"/>
    </row>
    <row r="1531" spans="7:16" s="1634" customFormat="1">
      <c r="G1531" s="3336"/>
      <c r="P1531" s="3337"/>
    </row>
    <row r="1532" spans="7:16" s="1634" customFormat="1">
      <c r="G1532" s="3336"/>
      <c r="P1532" s="3337"/>
    </row>
    <row r="1533" spans="7:16" s="1634" customFormat="1">
      <c r="G1533" s="3336"/>
      <c r="P1533" s="3337"/>
    </row>
    <row r="1534" spans="7:16" s="1634" customFormat="1">
      <c r="G1534" s="3336"/>
      <c r="P1534" s="3337"/>
    </row>
    <row r="1535" spans="7:16" s="1634" customFormat="1">
      <c r="G1535" s="3336"/>
      <c r="P1535" s="3337"/>
    </row>
    <row r="1536" spans="7:16" s="1634" customFormat="1">
      <c r="G1536" s="3336"/>
      <c r="P1536" s="3337"/>
    </row>
    <row r="1537" spans="7:16" s="1634" customFormat="1">
      <c r="G1537" s="3336"/>
      <c r="P1537" s="3337"/>
    </row>
    <row r="1538" spans="7:16" s="1634" customFormat="1">
      <c r="G1538" s="3336"/>
      <c r="P1538" s="3337"/>
    </row>
    <row r="1539" spans="7:16" s="1634" customFormat="1">
      <c r="G1539" s="3336"/>
      <c r="P1539" s="3337"/>
    </row>
    <row r="1540" spans="7:16" s="1634" customFormat="1">
      <c r="G1540" s="3336"/>
      <c r="P1540" s="3337"/>
    </row>
    <row r="1541" spans="7:16" s="1634" customFormat="1">
      <c r="G1541" s="3336"/>
      <c r="P1541" s="3337"/>
    </row>
    <row r="1542" spans="7:16" s="1634" customFormat="1">
      <c r="G1542" s="3336"/>
      <c r="P1542" s="3337"/>
    </row>
    <row r="1543" spans="7:16" s="1634" customFormat="1">
      <c r="G1543" s="3336"/>
      <c r="P1543" s="3337"/>
    </row>
    <row r="1544" spans="7:16" s="1634" customFormat="1">
      <c r="G1544" s="3336"/>
      <c r="P1544" s="3337"/>
    </row>
    <row r="1545" spans="7:16" s="1634" customFormat="1">
      <c r="G1545" s="3336"/>
      <c r="P1545" s="3337"/>
    </row>
    <row r="1546" spans="7:16" s="1634" customFormat="1">
      <c r="G1546" s="3336"/>
      <c r="P1546" s="3337"/>
    </row>
    <row r="1547" spans="7:16" s="1634" customFormat="1">
      <c r="G1547" s="3336"/>
      <c r="P1547" s="3337"/>
    </row>
    <row r="1548" spans="7:16" s="1634" customFormat="1">
      <c r="G1548" s="3336"/>
      <c r="P1548" s="3337"/>
    </row>
    <row r="1549" spans="7:16" s="1634" customFormat="1">
      <c r="G1549" s="3336"/>
      <c r="P1549" s="3337"/>
    </row>
    <row r="1550" spans="7:16" s="1634" customFormat="1">
      <c r="G1550" s="3336"/>
      <c r="P1550" s="3337"/>
    </row>
    <row r="1551" spans="7:16" s="1634" customFormat="1">
      <c r="G1551" s="3336"/>
      <c r="P1551" s="3337"/>
    </row>
    <row r="1552" spans="7:16" s="1634" customFormat="1">
      <c r="G1552" s="3336"/>
      <c r="P1552" s="3337"/>
    </row>
    <row r="1553" spans="7:16" s="1634" customFormat="1">
      <c r="G1553" s="3336"/>
      <c r="P1553" s="3337"/>
    </row>
    <row r="1554" spans="7:16" s="1634" customFormat="1">
      <c r="G1554" s="3336"/>
      <c r="P1554" s="3337"/>
    </row>
    <row r="1555" spans="7:16" s="1634" customFormat="1">
      <c r="G1555" s="3336"/>
      <c r="P1555" s="3337"/>
    </row>
    <row r="1556" spans="7:16" s="1634" customFormat="1">
      <c r="G1556" s="3336"/>
      <c r="P1556" s="3337"/>
    </row>
    <row r="1557" spans="7:16" s="1634" customFormat="1">
      <c r="G1557" s="3336"/>
      <c r="P1557" s="3337"/>
    </row>
    <row r="1558" spans="7:16" s="1634" customFormat="1">
      <c r="G1558" s="3336"/>
      <c r="P1558" s="3337"/>
    </row>
    <row r="1559" spans="7:16" s="1634" customFormat="1">
      <c r="G1559" s="3336"/>
      <c r="P1559" s="3337"/>
    </row>
    <row r="1560" spans="7:16" s="1634" customFormat="1">
      <c r="G1560" s="3336"/>
      <c r="P1560" s="3337"/>
    </row>
    <row r="1561" spans="7:16" s="1634" customFormat="1">
      <c r="G1561" s="3336"/>
      <c r="P1561" s="3337"/>
    </row>
    <row r="1562" spans="7:16" s="1634" customFormat="1">
      <c r="G1562" s="3336"/>
      <c r="P1562" s="3337"/>
    </row>
    <row r="1563" spans="7:16" s="1634" customFormat="1">
      <c r="G1563" s="3336"/>
      <c r="P1563" s="3337"/>
    </row>
    <row r="1564" spans="7:16" s="1634" customFormat="1">
      <c r="G1564" s="3336"/>
      <c r="P1564" s="3337"/>
    </row>
    <row r="1565" spans="7:16" s="1634" customFormat="1">
      <c r="G1565" s="3336"/>
      <c r="P1565" s="3337"/>
    </row>
    <row r="1566" spans="7:16" s="1634" customFormat="1">
      <c r="G1566" s="3336"/>
      <c r="P1566" s="3337"/>
    </row>
    <row r="1567" spans="7:16" s="1634" customFormat="1">
      <c r="G1567" s="3336"/>
      <c r="P1567" s="3337"/>
    </row>
    <row r="1568" spans="7:16" s="1634" customFormat="1">
      <c r="G1568" s="3336"/>
      <c r="P1568" s="3337"/>
    </row>
    <row r="1569" spans="7:16" s="1634" customFormat="1">
      <c r="G1569" s="3336"/>
      <c r="P1569" s="3337"/>
    </row>
    <row r="1570" spans="7:16" s="1634" customFormat="1">
      <c r="G1570" s="3336"/>
      <c r="P1570" s="3337"/>
    </row>
    <row r="1571" spans="7:16" s="1634" customFormat="1">
      <c r="G1571" s="3336"/>
      <c r="P1571" s="3337"/>
    </row>
    <row r="1572" spans="7:16" s="1634" customFormat="1">
      <c r="G1572" s="3336"/>
      <c r="P1572" s="3337"/>
    </row>
    <row r="1573" spans="7:16" s="1634" customFormat="1">
      <c r="G1573" s="3336"/>
      <c r="P1573" s="3337"/>
    </row>
    <row r="1574" spans="7:16" s="1634" customFormat="1">
      <c r="G1574" s="3336"/>
      <c r="P1574" s="3337"/>
    </row>
    <row r="1575" spans="7:16" s="1634" customFormat="1">
      <c r="G1575" s="3336"/>
      <c r="P1575" s="3337"/>
    </row>
    <row r="1576" spans="7:16" s="1634" customFormat="1">
      <c r="G1576" s="3336"/>
      <c r="P1576" s="3337"/>
    </row>
    <row r="1577" spans="7:16" s="1634" customFormat="1">
      <c r="G1577" s="3336"/>
      <c r="P1577" s="3337"/>
    </row>
    <row r="1578" spans="7:16" s="1634" customFormat="1">
      <c r="G1578" s="3336"/>
      <c r="P1578" s="3337"/>
    </row>
    <row r="1579" spans="7:16" s="1634" customFormat="1">
      <c r="G1579" s="3336"/>
      <c r="P1579" s="3337"/>
    </row>
    <row r="1580" spans="7:16" s="1634" customFormat="1">
      <c r="G1580" s="3336"/>
      <c r="P1580" s="3337"/>
    </row>
    <row r="1581" spans="7:16" s="1634" customFormat="1">
      <c r="G1581" s="3336"/>
      <c r="P1581" s="3337"/>
    </row>
    <row r="1582" spans="7:16" s="1634" customFormat="1">
      <c r="G1582" s="3336"/>
      <c r="P1582" s="3337"/>
    </row>
    <row r="1583" spans="7:16" s="1634" customFormat="1">
      <c r="G1583" s="3336"/>
      <c r="P1583" s="3337"/>
    </row>
    <row r="1584" spans="7:16" s="1634" customFormat="1">
      <c r="G1584" s="3336"/>
      <c r="P1584" s="3337"/>
    </row>
    <row r="1585" spans="7:16" s="1634" customFormat="1">
      <c r="G1585" s="3336"/>
      <c r="P1585" s="3337"/>
    </row>
    <row r="1586" spans="7:16" s="1634" customFormat="1">
      <c r="G1586" s="3336"/>
      <c r="P1586" s="3337"/>
    </row>
    <row r="1587" spans="7:16" s="1634" customFormat="1">
      <c r="G1587" s="3336"/>
      <c r="P1587" s="3337"/>
    </row>
    <row r="1588" spans="7:16" s="1634" customFormat="1">
      <c r="G1588" s="3336"/>
      <c r="P1588" s="3337"/>
    </row>
    <row r="1589" spans="7:16" s="1634" customFormat="1">
      <c r="G1589" s="3336"/>
      <c r="P1589" s="3337"/>
    </row>
    <row r="1590" spans="7:16" s="1634" customFormat="1">
      <c r="G1590" s="3336"/>
      <c r="P1590" s="3337"/>
    </row>
    <row r="1591" spans="7:16" s="1634" customFormat="1">
      <c r="G1591" s="3336"/>
      <c r="P1591" s="3337"/>
    </row>
    <row r="1592" spans="7:16" s="1634" customFormat="1">
      <c r="G1592" s="3336"/>
      <c r="P1592" s="3337"/>
    </row>
    <row r="1593" spans="7:16" s="1634" customFormat="1">
      <c r="G1593" s="3336"/>
      <c r="P1593" s="3337"/>
    </row>
    <row r="1594" spans="7:16" s="1634" customFormat="1">
      <c r="G1594" s="3336"/>
      <c r="P1594" s="3337"/>
    </row>
    <row r="1595" spans="7:16" s="1634" customFormat="1">
      <c r="G1595" s="3336"/>
      <c r="P1595" s="3337"/>
    </row>
    <row r="1596" spans="7:16" s="1634" customFormat="1">
      <c r="G1596" s="3336"/>
      <c r="P1596" s="3337"/>
    </row>
    <row r="1597" spans="7:16" s="1634" customFormat="1">
      <c r="G1597" s="3336"/>
      <c r="P1597" s="3337"/>
    </row>
    <row r="1598" spans="7:16" s="1634" customFormat="1">
      <c r="G1598" s="3336"/>
      <c r="P1598" s="3337"/>
    </row>
    <row r="1599" spans="7:16" s="1634" customFormat="1">
      <c r="G1599" s="3336"/>
      <c r="P1599" s="3337"/>
    </row>
    <row r="1600" spans="7:16" s="1634" customFormat="1">
      <c r="G1600" s="3336"/>
      <c r="P1600" s="3337"/>
    </row>
    <row r="1601" spans="7:16" s="1634" customFormat="1">
      <c r="G1601" s="3336"/>
      <c r="P1601" s="3337"/>
    </row>
    <row r="1602" spans="7:16" s="1634" customFormat="1">
      <c r="G1602" s="3336"/>
      <c r="P1602" s="3337"/>
    </row>
    <row r="1603" spans="7:16" s="1634" customFormat="1">
      <c r="G1603" s="3336"/>
      <c r="P1603" s="3337"/>
    </row>
    <row r="1604" spans="7:16" s="1634" customFormat="1">
      <c r="G1604" s="3336"/>
      <c r="P1604" s="3337"/>
    </row>
    <row r="1605" spans="7:16" s="1634" customFormat="1">
      <c r="G1605" s="3336"/>
      <c r="P1605" s="3337"/>
    </row>
    <row r="1606" spans="7:16" s="1634" customFormat="1">
      <c r="G1606" s="3336"/>
      <c r="P1606" s="3337"/>
    </row>
    <row r="1607" spans="7:16" s="1634" customFormat="1">
      <c r="G1607" s="3336"/>
      <c r="P1607" s="3337"/>
    </row>
    <row r="1608" spans="7:16" s="1634" customFormat="1">
      <c r="G1608" s="3336"/>
      <c r="P1608" s="3337"/>
    </row>
    <row r="1609" spans="7:16" s="1634" customFormat="1">
      <c r="G1609" s="3336"/>
      <c r="P1609" s="3337"/>
    </row>
    <row r="1610" spans="7:16" s="1634" customFormat="1">
      <c r="G1610" s="3336"/>
      <c r="P1610" s="3337"/>
    </row>
    <row r="1611" spans="7:16" s="1634" customFormat="1">
      <c r="G1611" s="3336"/>
      <c r="P1611" s="3337"/>
    </row>
    <row r="1612" spans="7:16" s="1634" customFormat="1">
      <c r="G1612" s="3336"/>
      <c r="P1612" s="3337"/>
    </row>
    <row r="1613" spans="7:16" s="1634" customFormat="1">
      <c r="G1613" s="3336"/>
      <c r="P1613" s="3337"/>
    </row>
    <row r="1614" spans="7:16" s="1634" customFormat="1">
      <c r="G1614" s="3336"/>
      <c r="P1614" s="3337"/>
    </row>
    <row r="1615" spans="7:16" s="1634" customFormat="1">
      <c r="G1615" s="3336"/>
      <c r="P1615" s="3337"/>
    </row>
    <row r="1616" spans="7:16" s="1634" customFormat="1">
      <c r="G1616" s="3336"/>
      <c r="P1616" s="3337"/>
    </row>
    <row r="1617" spans="7:16" s="1634" customFormat="1">
      <c r="G1617" s="3336"/>
      <c r="P1617" s="3337"/>
    </row>
    <row r="1618" spans="7:16" s="1634" customFormat="1">
      <c r="G1618" s="3336"/>
      <c r="P1618" s="3337"/>
    </row>
    <row r="1619" spans="7:16" s="1634" customFormat="1">
      <c r="G1619" s="3336"/>
      <c r="P1619" s="3337"/>
    </row>
    <row r="1620" spans="7:16" s="1634" customFormat="1">
      <c r="G1620" s="3336"/>
      <c r="P1620" s="3337"/>
    </row>
    <row r="1621" spans="7:16" s="1634" customFormat="1">
      <c r="G1621" s="3336"/>
      <c r="P1621" s="3337"/>
    </row>
    <row r="1622" spans="7:16" s="1634" customFormat="1">
      <c r="G1622" s="3336"/>
      <c r="P1622" s="3337"/>
    </row>
    <row r="1623" spans="7:16" s="1634" customFormat="1">
      <c r="G1623" s="3336"/>
      <c r="P1623" s="3337"/>
    </row>
    <row r="1624" spans="7:16" s="1634" customFormat="1">
      <c r="G1624" s="3336"/>
      <c r="P1624" s="3337"/>
    </row>
    <row r="1625" spans="7:16" s="1634" customFormat="1">
      <c r="G1625" s="3336"/>
      <c r="P1625" s="3337"/>
    </row>
    <row r="1626" spans="7:16" s="1634" customFormat="1">
      <c r="G1626" s="3336"/>
      <c r="P1626" s="3337"/>
    </row>
    <row r="1627" spans="7:16" s="1634" customFormat="1">
      <c r="G1627" s="3336"/>
      <c r="P1627" s="3337"/>
    </row>
    <row r="1628" spans="7:16" s="1634" customFormat="1">
      <c r="G1628" s="3336"/>
      <c r="P1628" s="3337"/>
    </row>
    <row r="1629" spans="7:16" s="1634" customFormat="1">
      <c r="G1629" s="3336"/>
      <c r="P1629" s="3337"/>
    </row>
    <row r="1630" spans="7:16" s="1634" customFormat="1">
      <c r="G1630" s="3336"/>
      <c r="P1630" s="3337"/>
    </row>
    <row r="1631" spans="7:16" s="1634" customFormat="1">
      <c r="G1631" s="3336"/>
      <c r="P1631" s="3337"/>
    </row>
    <row r="1632" spans="7:16" s="1634" customFormat="1">
      <c r="G1632" s="3336"/>
      <c r="P1632" s="3337"/>
    </row>
    <row r="1633" spans="7:16" s="1634" customFormat="1">
      <c r="G1633" s="3336"/>
      <c r="P1633" s="3337"/>
    </row>
    <row r="1634" spans="7:16" s="1634" customFormat="1">
      <c r="G1634" s="3336"/>
      <c r="P1634" s="3337"/>
    </row>
    <row r="1635" spans="7:16" s="1634" customFormat="1">
      <c r="G1635" s="3336"/>
      <c r="P1635" s="3337"/>
    </row>
    <row r="1636" spans="7:16" s="1634" customFormat="1">
      <c r="G1636" s="3336"/>
      <c r="P1636" s="3337"/>
    </row>
    <row r="1637" spans="7:16" s="1634" customFormat="1">
      <c r="G1637" s="3336"/>
      <c r="P1637" s="3337"/>
    </row>
    <row r="1638" spans="7:16" s="1634" customFormat="1">
      <c r="G1638" s="3336"/>
      <c r="P1638" s="3337"/>
    </row>
    <row r="1639" spans="7:16" s="1634" customFormat="1">
      <c r="G1639" s="3336"/>
      <c r="P1639" s="3337"/>
    </row>
    <row r="1640" spans="7:16" s="1634" customFormat="1">
      <c r="G1640" s="3336"/>
      <c r="P1640" s="3337"/>
    </row>
    <row r="1641" spans="7:16" s="1634" customFormat="1">
      <c r="G1641" s="3336"/>
      <c r="P1641" s="3337"/>
    </row>
    <row r="1642" spans="7:16" s="1634" customFormat="1">
      <c r="G1642" s="3336"/>
      <c r="P1642" s="3337"/>
    </row>
    <row r="1643" spans="7:16" s="1634" customFormat="1">
      <c r="G1643" s="3336"/>
      <c r="P1643" s="3337"/>
    </row>
    <row r="1644" spans="7:16" s="1634" customFormat="1">
      <c r="G1644" s="3336"/>
      <c r="P1644" s="3337"/>
    </row>
    <row r="1645" spans="7:16" s="1634" customFormat="1">
      <c r="G1645" s="3336"/>
      <c r="P1645" s="3337"/>
    </row>
    <row r="1646" spans="7:16" s="1634" customFormat="1">
      <c r="G1646" s="3336"/>
      <c r="P1646" s="3337"/>
    </row>
    <row r="1647" spans="7:16" s="1634" customFormat="1">
      <c r="G1647" s="3336"/>
      <c r="P1647" s="3337"/>
    </row>
    <row r="1648" spans="7:16" s="1634" customFormat="1">
      <c r="G1648" s="3336"/>
      <c r="P1648" s="3337"/>
    </row>
    <row r="1649" spans="7:16" s="1634" customFormat="1">
      <c r="G1649" s="3336"/>
      <c r="P1649" s="3337"/>
    </row>
    <row r="1650" spans="7:16" s="1634" customFormat="1">
      <c r="G1650" s="3336"/>
      <c r="P1650" s="3337"/>
    </row>
    <row r="1651" spans="7:16" s="1634" customFormat="1">
      <c r="G1651" s="3336"/>
      <c r="P1651" s="3337"/>
    </row>
    <row r="1652" spans="7:16" s="1634" customFormat="1">
      <c r="G1652" s="3336"/>
      <c r="P1652" s="3337"/>
    </row>
    <row r="1653" spans="7:16" s="1634" customFormat="1">
      <c r="G1653" s="3336"/>
      <c r="P1653" s="3337"/>
    </row>
    <row r="1654" spans="7:16" s="1634" customFormat="1">
      <c r="G1654" s="3336"/>
      <c r="P1654" s="3337"/>
    </row>
    <row r="1655" spans="7:16" s="1634" customFormat="1">
      <c r="G1655" s="3336"/>
      <c r="P1655" s="3337"/>
    </row>
    <row r="1656" spans="7:16" s="1634" customFormat="1">
      <c r="G1656" s="3336"/>
      <c r="P1656" s="3337"/>
    </row>
    <row r="1657" spans="7:16" s="1634" customFormat="1">
      <c r="G1657" s="3336"/>
      <c r="P1657" s="3337"/>
    </row>
    <row r="1658" spans="7:16" s="1634" customFormat="1">
      <c r="G1658" s="3336"/>
      <c r="P1658" s="3337"/>
    </row>
    <row r="1659" spans="7:16" s="1634" customFormat="1">
      <c r="G1659" s="3336"/>
      <c r="P1659" s="3337"/>
    </row>
    <row r="1660" spans="7:16" s="1634" customFormat="1">
      <c r="G1660" s="3336"/>
      <c r="P1660" s="3337"/>
    </row>
    <row r="1661" spans="7:16" s="1634" customFormat="1">
      <c r="G1661" s="3336"/>
      <c r="P1661" s="3337"/>
    </row>
    <row r="1662" spans="7:16" s="1634" customFormat="1">
      <c r="G1662" s="3336"/>
      <c r="P1662" s="3337"/>
    </row>
    <row r="1663" spans="7:16" s="1634" customFormat="1">
      <c r="G1663" s="3336"/>
      <c r="P1663" s="3337"/>
    </row>
    <row r="1664" spans="7:16" s="1634" customFormat="1">
      <c r="G1664" s="3336"/>
      <c r="P1664" s="3337"/>
    </row>
    <row r="1665" spans="7:16" s="1634" customFormat="1">
      <c r="G1665" s="3336"/>
      <c r="P1665" s="3337"/>
    </row>
    <row r="1666" spans="7:16" s="1634" customFormat="1">
      <c r="G1666" s="3336"/>
      <c r="P1666" s="3337"/>
    </row>
    <row r="1667" spans="7:16" s="1634" customFormat="1">
      <c r="G1667" s="3336"/>
      <c r="P1667" s="3337"/>
    </row>
    <row r="1668" spans="7:16" s="1634" customFormat="1">
      <c r="G1668" s="3336"/>
      <c r="P1668" s="3337"/>
    </row>
    <row r="1669" spans="7:16" s="1634" customFormat="1">
      <c r="G1669" s="3336"/>
      <c r="P1669" s="3337"/>
    </row>
    <row r="1670" spans="7:16" s="1634" customFormat="1">
      <c r="G1670" s="3336"/>
      <c r="P1670" s="3337"/>
    </row>
    <row r="1671" spans="7:16" s="1634" customFormat="1">
      <c r="G1671" s="3336"/>
      <c r="P1671" s="3337"/>
    </row>
    <row r="1672" spans="7:16" s="1634" customFormat="1">
      <c r="G1672" s="3336"/>
      <c r="P1672" s="3337"/>
    </row>
    <row r="1673" spans="7:16" s="1634" customFormat="1">
      <c r="G1673" s="3336"/>
      <c r="P1673" s="3337"/>
    </row>
    <row r="1674" spans="7:16" s="1634" customFormat="1">
      <c r="G1674" s="3336"/>
      <c r="P1674" s="3337"/>
    </row>
    <row r="1675" spans="7:16" s="1634" customFormat="1">
      <c r="G1675" s="3336"/>
      <c r="P1675" s="3337"/>
    </row>
    <row r="1676" spans="7:16" s="1634" customFormat="1">
      <c r="G1676" s="3336"/>
      <c r="P1676" s="3337"/>
    </row>
    <row r="1677" spans="7:16" s="1634" customFormat="1">
      <c r="G1677" s="3336"/>
      <c r="P1677" s="3337"/>
    </row>
    <row r="1678" spans="7:16" s="1634" customFormat="1">
      <c r="G1678" s="3336"/>
      <c r="P1678" s="3337"/>
    </row>
    <row r="1679" spans="7:16" s="1634" customFormat="1">
      <c r="G1679" s="3336"/>
      <c r="P1679" s="3337"/>
    </row>
    <row r="1680" spans="7:16" s="1634" customFormat="1">
      <c r="G1680" s="3336"/>
      <c r="P1680" s="3337"/>
    </row>
    <row r="1681" spans="7:16" s="1634" customFormat="1">
      <c r="G1681" s="3336"/>
      <c r="P1681" s="3337"/>
    </row>
    <row r="1682" spans="7:16" s="1634" customFormat="1">
      <c r="G1682" s="3336"/>
      <c r="P1682" s="3337"/>
    </row>
    <row r="1683" spans="7:16" s="1634" customFormat="1">
      <c r="G1683" s="3336"/>
      <c r="P1683" s="3337"/>
    </row>
    <row r="1684" spans="7:16" s="1634" customFormat="1">
      <c r="G1684" s="3336"/>
      <c r="P1684" s="3337"/>
    </row>
    <row r="1685" spans="7:16" s="1634" customFormat="1">
      <c r="G1685" s="3336"/>
      <c r="P1685" s="3337"/>
    </row>
    <row r="1686" spans="7:16" s="1634" customFormat="1">
      <c r="G1686" s="3336"/>
      <c r="P1686" s="3337"/>
    </row>
    <row r="1687" spans="7:16" s="1634" customFormat="1">
      <c r="G1687" s="3336"/>
      <c r="P1687" s="3337"/>
    </row>
    <row r="1688" spans="7:16" s="1634" customFormat="1">
      <c r="G1688" s="3336"/>
      <c r="P1688" s="3337"/>
    </row>
    <row r="1689" spans="7:16" s="1634" customFormat="1">
      <c r="G1689" s="3336"/>
      <c r="P1689" s="3337"/>
    </row>
    <row r="1690" spans="7:16" s="1634" customFormat="1">
      <c r="G1690" s="3336"/>
      <c r="P1690" s="3337"/>
    </row>
    <row r="1691" spans="7:16" s="1634" customFormat="1">
      <c r="G1691" s="3336"/>
      <c r="P1691" s="3337"/>
    </row>
    <row r="1692" spans="7:16" s="1634" customFormat="1">
      <c r="G1692" s="3336"/>
      <c r="P1692" s="3337"/>
    </row>
    <row r="1693" spans="7:16" s="1634" customFormat="1">
      <c r="G1693" s="3336"/>
      <c r="P1693" s="3337"/>
    </row>
    <row r="1694" spans="7:16" s="1634" customFormat="1">
      <c r="G1694" s="3336"/>
      <c r="P1694" s="3337"/>
    </row>
    <row r="1695" spans="7:16" s="1634" customFormat="1">
      <c r="G1695" s="3336"/>
      <c r="P1695" s="3337"/>
    </row>
    <row r="1696" spans="7:16" s="1634" customFormat="1">
      <c r="G1696" s="3336"/>
      <c r="P1696" s="3337"/>
    </row>
    <row r="1697" spans="7:16" s="1634" customFormat="1">
      <c r="G1697" s="3336"/>
      <c r="P1697" s="3337"/>
    </row>
    <row r="1698" spans="7:16" s="1634" customFormat="1">
      <c r="G1698" s="3336"/>
      <c r="P1698" s="3337"/>
    </row>
    <row r="1699" spans="7:16" s="1634" customFormat="1">
      <c r="G1699" s="3336"/>
      <c r="P1699" s="3337"/>
    </row>
    <row r="1700" spans="7:16" s="1634" customFormat="1">
      <c r="G1700" s="3336"/>
      <c r="P1700" s="3337"/>
    </row>
    <row r="1701" spans="7:16" s="1634" customFormat="1">
      <c r="G1701" s="3336"/>
      <c r="P1701" s="3337"/>
    </row>
    <row r="1702" spans="7:16" s="1634" customFormat="1">
      <c r="G1702" s="3336"/>
      <c r="P1702" s="3337"/>
    </row>
    <row r="1703" spans="7:16" s="1634" customFormat="1">
      <c r="G1703" s="3336"/>
      <c r="P1703" s="3337"/>
    </row>
    <row r="1704" spans="7:16" s="1634" customFormat="1">
      <c r="G1704" s="3336"/>
      <c r="P1704" s="3337"/>
    </row>
    <row r="1705" spans="7:16" s="1634" customFormat="1">
      <c r="G1705" s="3336"/>
      <c r="P1705" s="3337"/>
    </row>
    <row r="1706" spans="7:16" s="1634" customFormat="1">
      <c r="G1706" s="3336"/>
      <c r="P1706" s="3337"/>
    </row>
    <row r="1707" spans="7:16" s="1634" customFormat="1">
      <c r="G1707" s="3336"/>
      <c r="P1707" s="3337"/>
    </row>
    <row r="1708" spans="7:16" s="1634" customFormat="1">
      <c r="G1708" s="3336"/>
      <c r="P1708" s="3337"/>
    </row>
    <row r="1709" spans="7:16" s="1634" customFormat="1">
      <c r="G1709" s="3336"/>
      <c r="P1709" s="3337"/>
    </row>
    <row r="1710" spans="7:16" s="1634" customFormat="1">
      <c r="G1710" s="3336"/>
      <c r="P1710" s="3337"/>
    </row>
    <row r="1711" spans="7:16" s="1634" customFormat="1">
      <c r="G1711" s="3336"/>
      <c r="P1711" s="3337"/>
    </row>
    <row r="1712" spans="7:16" s="1634" customFormat="1">
      <c r="G1712" s="3336"/>
      <c r="P1712" s="3337"/>
    </row>
    <row r="1713" spans="7:16" s="1634" customFormat="1">
      <c r="G1713" s="3336"/>
      <c r="P1713" s="3337"/>
    </row>
    <row r="1714" spans="7:16" s="1634" customFormat="1">
      <c r="G1714" s="3336"/>
      <c r="P1714" s="3337"/>
    </row>
    <row r="1715" spans="7:16" s="1634" customFormat="1">
      <c r="G1715" s="3336"/>
      <c r="P1715" s="3337"/>
    </row>
    <row r="1716" spans="7:16" s="1634" customFormat="1">
      <c r="G1716" s="3336"/>
      <c r="P1716" s="3337"/>
    </row>
    <row r="1717" spans="7:16" s="1634" customFormat="1">
      <c r="G1717" s="3336"/>
      <c r="P1717" s="3337"/>
    </row>
    <row r="1718" spans="7:16" s="1634" customFormat="1">
      <c r="G1718" s="3336"/>
      <c r="P1718" s="3337"/>
    </row>
    <row r="1719" spans="7:16" s="1634" customFormat="1">
      <c r="G1719" s="3336"/>
      <c r="P1719" s="3337"/>
    </row>
    <row r="1720" spans="7:16" s="1634" customFormat="1">
      <c r="G1720" s="3336"/>
      <c r="P1720" s="3337"/>
    </row>
    <row r="1721" spans="7:16" s="1634" customFormat="1">
      <c r="G1721" s="3336"/>
      <c r="P1721" s="3337"/>
    </row>
    <row r="1722" spans="7:16" s="1634" customFormat="1">
      <c r="G1722" s="3336"/>
      <c r="P1722" s="3337"/>
    </row>
    <row r="1723" spans="7:16" s="1634" customFormat="1">
      <c r="G1723" s="3336"/>
      <c r="P1723" s="3337"/>
    </row>
    <row r="1724" spans="7:16" s="1634" customFormat="1">
      <c r="G1724" s="3336"/>
      <c r="P1724" s="3337"/>
    </row>
    <row r="1725" spans="7:16" s="1634" customFormat="1">
      <c r="G1725" s="3336"/>
      <c r="P1725" s="3337"/>
    </row>
    <row r="1726" spans="7:16" s="1634" customFormat="1">
      <c r="G1726" s="3336"/>
      <c r="P1726" s="3337"/>
    </row>
    <row r="1727" spans="7:16" s="1634" customFormat="1">
      <c r="G1727" s="3336"/>
      <c r="P1727" s="3337"/>
    </row>
    <row r="1728" spans="7:16" s="1634" customFormat="1">
      <c r="G1728" s="3336"/>
      <c r="P1728" s="3337"/>
    </row>
    <row r="1729" spans="7:16" s="1634" customFormat="1">
      <c r="G1729" s="3336"/>
      <c r="P1729" s="3337"/>
    </row>
    <row r="1730" spans="7:16" s="1634" customFormat="1">
      <c r="G1730" s="3336"/>
      <c r="P1730" s="3337"/>
    </row>
    <row r="1731" spans="7:16" s="1634" customFormat="1">
      <c r="G1731" s="3336"/>
      <c r="P1731" s="3337"/>
    </row>
    <row r="1732" spans="7:16" s="1634" customFormat="1">
      <c r="G1732" s="3336"/>
      <c r="P1732" s="3337"/>
    </row>
    <row r="1733" spans="7:16" s="1634" customFormat="1">
      <c r="G1733" s="3336"/>
      <c r="P1733" s="3337"/>
    </row>
    <row r="1734" spans="7:16" s="1634" customFormat="1">
      <c r="G1734" s="3336"/>
      <c r="P1734" s="3337"/>
    </row>
    <row r="1735" spans="7:16" s="1634" customFormat="1">
      <c r="G1735" s="3336"/>
      <c r="P1735" s="3337"/>
    </row>
    <row r="1736" spans="7:16" s="1634" customFormat="1">
      <c r="G1736" s="3336"/>
      <c r="P1736" s="3337"/>
    </row>
    <row r="1737" spans="7:16" s="1634" customFormat="1">
      <c r="G1737" s="3336"/>
      <c r="P1737" s="3337"/>
    </row>
    <row r="1738" spans="7:16" s="1634" customFormat="1">
      <c r="G1738" s="3336"/>
      <c r="P1738" s="3337"/>
    </row>
    <row r="1739" spans="7:16" s="1634" customFormat="1">
      <c r="G1739" s="3336"/>
      <c r="P1739" s="3337"/>
    </row>
    <row r="1740" spans="7:16" s="1634" customFormat="1">
      <c r="G1740" s="3336"/>
      <c r="P1740" s="3337"/>
    </row>
    <row r="1741" spans="7:16" s="1634" customFormat="1">
      <c r="G1741" s="3336"/>
      <c r="P1741" s="3337"/>
    </row>
    <row r="1742" spans="7:16" s="1634" customFormat="1">
      <c r="G1742" s="3336"/>
      <c r="P1742" s="3337"/>
    </row>
    <row r="1743" spans="7:16" s="1634" customFormat="1">
      <c r="G1743" s="3336"/>
      <c r="P1743" s="3337"/>
    </row>
    <row r="1744" spans="7:16" s="1634" customFormat="1">
      <c r="G1744" s="3336"/>
      <c r="P1744" s="3337"/>
    </row>
    <row r="1745" spans="7:16" s="1634" customFormat="1">
      <c r="G1745" s="3336"/>
      <c r="P1745" s="3337"/>
    </row>
    <row r="1746" spans="7:16" s="1634" customFormat="1">
      <c r="G1746" s="3336"/>
      <c r="P1746" s="3337"/>
    </row>
    <row r="1747" spans="7:16" s="1634" customFormat="1">
      <c r="G1747" s="3336"/>
      <c r="P1747" s="3337"/>
    </row>
    <row r="1748" spans="7:16" s="1634" customFormat="1">
      <c r="G1748" s="3336"/>
      <c r="P1748" s="3337"/>
    </row>
    <row r="1749" spans="7:16" s="1634" customFormat="1">
      <c r="G1749" s="3336"/>
      <c r="P1749" s="3337"/>
    </row>
    <row r="1750" spans="7:16" s="1634" customFormat="1">
      <c r="G1750" s="3336"/>
      <c r="P1750" s="3337"/>
    </row>
    <row r="1751" spans="7:16" s="1634" customFormat="1">
      <c r="G1751" s="3336"/>
      <c r="P1751" s="3337"/>
    </row>
    <row r="1752" spans="7:16" s="1634" customFormat="1">
      <c r="G1752" s="3336"/>
      <c r="P1752" s="3337"/>
    </row>
    <row r="1753" spans="7:16" s="1634" customFormat="1">
      <c r="G1753" s="3336"/>
      <c r="P1753" s="3337"/>
    </row>
    <row r="1754" spans="7:16" s="1634" customFormat="1">
      <c r="G1754" s="3336"/>
      <c r="P1754" s="3337"/>
    </row>
    <row r="1755" spans="7:16" s="1634" customFormat="1">
      <c r="G1755" s="3336"/>
      <c r="P1755" s="3337"/>
    </row>
    <row r="1756" spans="7:16" s="1634" customFormat="1">
      <c r="G1756" s="3336"/>
      <c r="P1756" s="3337"/>
    </row>
    <row r="1757" spans="7:16" s="1634" customFormat="1">
      <c r="G1757" s="3336"/>
      <c r="P1757" s="3337"/>
    </row>
    <row r="1758" spans="7:16" s="1634" customFormat="1">
      <c r="G1758" s="3336"/>
      <c r="P1758" s="3337"/>
    </row>
    <row r="1759" spans="7:16" s="1634" customFormat="1">
      <c r="G1759" s="3336"/>
      <c r="P1759" s="3337"/>
    </row>
    <row r="1760" spans="7:16" s="1634" customFormat="1">
      <c r="G1760" s="3336"/>
      <c r="P1760" s="3337"/>
    </row>
    <row r="1761" spans="7:16" s="1634" customFormat="1">
      <c r="G1761" s="3336"/>
      <c r="P1761" s="3337"/>
    </row>
    <row r="1762" spans="7:16" s="1634" customFormat="1">
      <c r="G1762" s="3336"/>
      <c r="P1762" s="3337"/>
    </row>
    <row r="1763" spans="7:16" s="1634" customFormat="1">
      <c r="G1763" s="3336"/>
      <c r="P1763" s="3337"/>
    </row>
    <row r="1764" spans="7:16" s="1634" customFormat="1">
      <c r="G1764" s="3336"/>
      <c r="P1764" s="3337"/>
    </row>
    <row r="1765" spans="7:16" s="1634" customFormat="1">
      <c r="G1765" s="3336"/>
      <c r="P1765" s="3337"/>
    </row>
    <row r="1766" spans="7:16" s="1634" customFormat="1">
      <c r="G1766" s="3336"/>
      <c r="P1766" s="3337"/>
    </row>
    <row r="1767" spans="7:16" s="1634" customFormat="1">
      <c r="G1767" s="3336"/>
      <c r="P1767" s="3337"/>
    </row>
    <row r="1768" spans="7:16" s="1634" customFormat="1">
      <c r="G1768" s="3336"/>
      <c r="P1768" s="3337"/>
    </row>
    <row r="1769" spans="7:16" s="1634" customFormat="1">
      <c r="G1769" s="3336"/>
      <c r="P1769" s="3337"/>
    </row>
    <row r="1770" spans="7:16" s="1634" customFormat="1">
      <c r="G1770" s="3336"/>
      <c r="P1770" s="3337"/>
    </row>
    <row r="1771" spans="7:16" s="1634" customFormat="1">
      <c r="G1771" s="3336"/>
      <c r="P1771" s="3337"/>
    </row>
    <row r="1772" spans="7:16" s="1634" customFormat="1">
      <c r="G1772" s="3336"/>
      <c r="P1772" s="3337"/>
    </row>
    <row r="1773" spans="7:16" s="1634" customFormat="1">
      <c r="G1773" s="3336"/>
      <c r="P1773" s="3337"/>
    </row>
    <row r="1774" spans="7:16" s="1634" customFormat="1">
      <c r="G1774" s="3336"/>
      <c r="P1774" s="3337"/>
    </row>
    <row r="1775" spans="7:16" s="1634" customFormat="1">
      <c r="G1775" s="3336"/>
      <c r="P1775" s="3337"/>
    </row>
    <row r="1776" spans="7:16" s="1634" customFormat="1">
      <c r="G1776" s="3336"/>
      <c r="P1776" s="3337"/>
    </row>
    <row r="1777" spans="7:16" s="1634" customFormat="1">
      <c r="G1777" s="3336"/>
      <c r="P1777" s="3337"/>
    </row>
    <row r="1778" spans="7:16" s="1634" customFormat="1">
      <c r="G1778" s="3336"/>
      <c r="P1778" s="3337"/>
    </row>
    <row r="1779" spans="7:16" s="1634" customFormat="1">
      <c r="G1779" s="3336"/>
      <c r="P1779" s="3337"/>
    </row>
    <row r="1780" spans="7:16" s="1634" customFormat="1">
      <c r="G1780" s="3336"/>
      <c r="P1780" s="3337"/>
    </row>
    <row r="1781" spans="7:16" s="1634" customFormat="1">
      <c r="G1781" s="3336"/>
      <c r="P1781" s="3337"/>
    </row>
    <row r="1782" spans="7:16" s="1634" customFormat="1">
      <c r="G1782" s="3336"/>
      <c r="P1782" s="3337"/>
    </row>
    <row r="1783" spans="7:16" s="1634" customFormat="1">
      <c r="G1783" s="3336"/>
      <c r="P1783" s="3337"/>
    </row>
    <row r="1784" spans="7:16" s="1634" customFormat="1">
      <c r="G1784" s="3336"/>
      <c r="P1784" s="3337"/>
    </row>
    <row r="1785" spans="7:16" s="1634" customFormat="1">
      <c r="G1785" s="3336"/>
      <c r="P1785" s="3337"/>
    </row>
    <row r="1786" spans="7:16" s="1634" customFormat="1">
      <c r="G1786" s="3336"/>
      <c r="P1786" s="3337"/>
    </row>
    <row r="1787" spans="7:16" s="1634" customFormat="1">
      <c r="G1787" s="3336"/>
      <c r="P1787" s="3337"/>
    </row>
    <row r="1788" spans="7:16" s="1634" customFormat="1">
      <c r="G1788" s="3336"/>
      <c r="P1788" s="3337"/>
    </row>
    <row r="1789" spans="7:16" s="1634" customFormat="1">
      <c r="G1789" s="3336"/>
      <c r="P1789" s="3337"/>
    </row>
    <row r="1790" spans="7:16" s="1634" customFormat="1">
      <c r="G1790" s="3336"/>
      <c r="P1790" s="3337"/>
    </row>
    <row r="1791" spans="7:16" s="1634" customFormat="1">
      <c r="G1791" s="3336"/>
      <c r="P1791" s="3337"/>
    </row>
    <row r="1792" spans="7:16" s="1634" customFormat="1">
      <c r="G1792" s="3336"/>
      <c r="P1792" s="3337"/>
    </row>
    <row r="1793" spans="7:16" s="1634" customFormat="1">
      <c r="G1793" s="3336"/>
      <c r="P1793" s="3337"/>
    </row>
    <row r="1794" spans="7:16" s="1634" customFormat="1">
      <c r="G1794" s="3336"/>
      <c r="P1794" s="3337"/>
    </row>
    <row r="1795" spans="7:16" s="1634" customFormat="1">
      <c r="G1795" s="3336"/>
      <c r="P1795" s="3337"/>
    </row>
    <row r="1796" spans="7:16" s="1634" customFormat="1">
      <c r="G1796" s="3336"/>
      <c r="P1796" s="3337"/>
    </row>
    <row r="1797" spans="7:16" s="1634" customFormat="1">
      <c r="G1797" s="3336"/>
      <c r="P1797" s="3337"/>
    </row>
    <row r="1798" spans="7:16" s="1634" customFormat="1">
      <c r="G1798" s="3336"/>
      <c r="P1798" s="3337"/>
    </row>
    <row r="1799" spans="7:16" s="1634" customFormat="1">
      <c r="G1799" s="3336"/>
      <c r="P1799" s="3337"/>
    </row>
    <row r="1800" spans="7:16" s="1634" customFormat="1">
      <c r="G1800" s="3336"/>
      <c r="P1800" s="3337"/>
    </row>
    <row r="1801" spans="7:16" s="1634" customFormat="1">
      <c r="G1801" s="3336"/>
      <c r="P1801" s="3337"/>
    </row>
    <row r="1802" spans="7:16" s="1634" customFormat="1">
      <c r="G1802" s="3336"/>
      <c r="P1802" s="3337"/>
    </row>
    <row r="1803" spans="7:16" s="1634" customFormat="1">
      <c r="G1803" s="3336"/>
      <c r="P1803" s="3337"/>
    </row>
    <row r="1804" spans="7:16" s="1634" customFormat="1">
      <c r="G1804" s="3336"/>
      <c r="P1804" s="3337"/>
    </row>
    <row r="1805" spans="7:16" s="1634" customFormat="1">
      <c r="G1805" s="3336"/>
      <c r="P1805" s="3337"/>
    </row>
    <row r="1806" spans="7:16" s="1634" customFormat="1">
      <c r="G1806" s="3336"/>
      <c r="P1806" s="3337"/>
    </row>
    <row r="1807" spans="7:16" s="1634" customFormat="1">
      <c r="G1807" s="3336"/>
      <c r="P1807" s="3337"/>
    </row>
    <row r="1808" spans="7:16" s="1634" customFormat="1">
      <c r="G1808" s="3336"/>
      <c r="P1808" s="3337"/>
    </row>
    <row r="1809" spans="7:16" s="1634" customFormat="1">
      <c r="G1809" s="3336"/>
      <c r="P1809" s="3337"/>
    </row>
    <row r="1810" spans="7:16" s="1634" customFormat="1">
      <c r="G1810" s="3336"/>
      <c r="P1810" s="3337"/>
    </row>
    <row r="1811" spans="7:16" s="1634" customFormat="1">
      <c r="G1811" s="3336"/>
      <c r="P1811" s="3337"/>
    </row>
    <row r="1812" spans="7:16" s="1634" customFormat="1">
      <c r="G1812" s="3336"/>
      <c r="P1812" s="3337"/>
    </row>
    <row r="1813" spans="7:16" s="1634" customFormat="1">
      <c r="G1813" s="3336"/>
      <c r="P1813" s="3337"/>
    </row>
    <row r="1814" spans="7:16" s="1634" customFormat="1">
      <c r="G1814" s="3336"/>
      <c r="P1814" s="3337"/>
    </row>
    <row r="1815" spans="7:16" s="1634" customFormat="1">
      <c r="G1815" s="3336"/>
      <c r="P1815" s="3337"/>
    </row>
    <row r="1816" spans="7:16" s="1634" customFormat="1">
      <c r="G1816" s="3336"/>
      <c r="P1816" s="3337"/>
    </row>
    <row r="1817" spans="7:16" s="1634" customFormat="1">
      <c r="G1817" s="3336"/>
      <c r="P1817" s="3337"/>
    </row>
    <row r="1818" spans="7:16" s="1634" customFormat="1">
      <c r="G1818" s="3336"/>
      <c r="P1818" s="3337"/>
    </row>
    <row r="1819" spans="7:16" s="1634" customFormat="1">
      <c r="G1819" s="3336"/>
      <c r="P1819" s="3337"/>
    </row>
    <row r="1820" spans="7:16" s="1634" customFormat="1">
      <c r="G1820" s="3336"/>
      <c r="P1820" s="3337"/>
    </row>
    <row r="1821" spans="7:16" s="1634" customFormat="1">
      <c r="G1821" s="3336"/>
      <c r="P1821" s="3337"/>
    </row>
    <row r="1822" spans="7:16" s="1634" customFormat="1">
      <c r="G1822" s="3336"/>
      <c r="P1822" s="3337"/>
    </row>
    <row r="1823" spans="7:16" s="1634" customFormat="1">
      <c r="G1823" s="3336"/>
      <c r="P1823" s="3337"/>
    </row>
    <row r="1824" spans="7:16" s="1634" customFormat="1">
      <c r="G1824" s="3336"/>
      <c r="P1824" s="3337"/>
    </row>
    <row r="1825" spans="7:16" s="1634" customFormat="1">
      <c r="G1825" s="3336"/>
      <c r="P1825" s="3337"/>
    </row>
    <row r="1826" spans="7:16" s="1634" customFormat="1">
      <c r="G1826" s="3336"/>
      <c r="P1826" s="3337"/>
    </row>
    <row r="1827" spans="7:16" s="1634" customFormat="1">
      <c r="G1827" s="3336"/>
      <c r="P1827" s="3337"/>
    </row>
    <row r="1828" spans="7:16" s="1634" customFormat="1">
      <c r="G1828" s="3336"/>
      <c r="P1828" s="3337"/>
    </row>
    <row r="1829" spans="7:16" s="1634" customFormat="1">
      <c r="G1829" s="3336"/>
      <c r="P1829" s="3337"/>
    </row>
    <row r="1830" spans="7:16" s="1634" customFormat="1">
      <c r="G1830" s="3336"/>
      <c r="P1830" s="3337"/>
    </row>
    <row r="1831" spans="7:16" s="1634" customFormat="1">
      <c r="G1831" s="3336"/>
      <c r="P1831" s="3337"/>
    </row>
    <row r="1832" spans="7:16" s="1634" customFormat="1">
      <c r="G1832" s="3336"/>
      <c r="P1832" s="3337"/>
    </row>
    <row r="1833" spans="7:16" s="1634" customFormat="1">
      <c r="G1833" s="3336"/>
      <c r="P1833" s="3337"/>
    </row>
    <row r="1834" spans="7:16" s="1634" customFormat="1">
      <c r="G1834" s="3336"/>
      <c r="P1834" s="3337"/>
    </row>
    <row r="1835" spans="7:16" s="1634" customFormat="1">
      <c r="G1835" s="3336"/>
      <c r="P1835" s="3337"/>
    </row>
    <row r="1836" spans="7:16" s="1634" customFormat="1">
      <c r="G1836" s="3336"/>
      <c r="P1836" s="3337"/>
    </row>
    <row r="1837" spans="7:16" s="1634" customFormat="1">
      <c r="G1837" s="3336"/>
      <c r="P1837" s="3337"/>
    </row>
    <row r="1838" spans="7:16" s="1634" customFormat="1">
      <c r="G1838" s="3336"/>
      <c r="P1838" s="3337"/>
    </row>
    <row r="1839" spans="7:16" s="1634" customFormat="1">
      <c r="G1839" s="3336"/>
      <c r="P1839" s="3337"/>
    </row>
    <row r="1840" spans="7:16" s="1634" customFormat="1">
      <c r="G1840" s="3336"/>
      <c r="P1840" s="3337"/>
    </row>
    <row r="1841" spans="7:16" s="1634" customFormat="1">
      <c r="G1841" s="3336"/>
      <c r="P1841" s="3337"/>
    </row>
    <row r="1842" spans="7:16" s="1634" customFormat="1">
      <c r="G1842" s="3336"/>
      <c r="P1842" s="3337"/>
    </row>
    <row r="1843" spans="7:16" s="1634" customFormat="1">
      <c r="G1843" s="3336"/>
      <c r="P1843" s="3337"/>
    </row>
    <row r="1844" spans="7:16" s="1634" customFormat="1">
      <c r="G1844" s="3336"/>
      <c r="P1844" s="3337"/>
    </row>
    <row r="1845" spans="7:16" s="1634" customFormat="1">
      <c r="G1845" s="3336"/>
      <c r="P1845" s="3337"/>
    </row>
    <row r="1846" spans="7:16" s="1634" customFormat="1">
      <c r="G1846" s="3336"/>
      <c r="P1846" s="3337"/>
    </row>
    <row r="1847" spans="7:16" s="1634" customFormat="1">
      <c r="G1847" s="3336"/>
      <c r="P1847" s="3337"/>
    </row>
    <row r="1848" spans="7:16" s="1634" customFormat="1">
      <c r="G1848" s="3336"/>
      <c r="P1848" s="3337"/>
    </row>
    <row r="1849" spans="7:16" s="1634" customFormat="1">
      <c r="G1849" s="3336"/>
      <c r="P1849" s="3337"/>
    </row>
    <row r="1850" spans="7:16" s="1634" customFormat="1">
      <c r="G1850" s="3336"/>
      <c r="P1850" s="3337"/>
    </row>
    <row r="1851" spans="7:16" s="1634" customFormat="1">
      <c r="G1851" s="3336"/>
      <c r="P1851" s="3337"/>
    </row>
    <row r="1852" spans="7:16" s="1634" customFormat="1">
      <c r="G1852" s="3336"/>
      <c r="P1852" s="3337"/>
    </row>
    <row r="1853" spans="7:16" s="1634" customFormat="1">
      <c r="G1853" s="3336"/>
      <c r="P1853" s="3337"/>
    </row>
    <row r="1854" spans="7:16" s="1634" customFormat="1">
      <c r="G1854" s="3336"/>
      <c r="P1854" s="3337"/>
    </row>
    <row r="1855" spans="7:16" s="1634" customFormat="1">
      <c r="G1855" s="3336"/>
      <c r="P1855" s="3337"/>
    </row>
    <row r="1856" spans="7:16" s="1634" customFormat="1">
      <c r="G1856" s="3336"/>
      <c r="P1856" s="3337"/>
    </row>
    <row r="1857" spans="7:16" s="1634" customFormat="1">
      <c r="G1857" s="3336"/>
      <c r="P1857" s="3337"/>
    </row>
    <row r="1858" spans="7:16" s="1634" customFormat="1">
      <c r="G1858" s="3336"/>
      <c r="P1858" s="3337"/>
    </row>
    <row r="1859" spans="7:16" s="1634" customFormat="1">
      <c r="G1859" s="3336"/>
      <c r="P1859" s="3337"/>
    </row>
    <row r="1860" spans="7:16" s="1634" customFormat="1">
      <c r="G1860" s="3336"/>
      <c r="P1860" s="3337"/>
    </row>
    <row r="1861" spans="7:16" s="1634" customFormat="1">
      <c r="G1861" s="3336"/>
      <c r="P1861" s="3337"/>
    </row>
    <row r="1862" spans="7:16" s="1634" customFormat="1">
      <c r="G1862" s="3336"/>
      <c r="P1862" s="3337"/>
    </row>
    <row r="1863" spans="7:16" s="1634" customFormat="1">
      <c r="G1863" s="3336"/>
      <c r="P1863" s="3337"/>
    </row>
    <row r="1864" spans="7:16" s="1634" customFormat="1">
      <c r="G1864" s="3336"/>
      <c r="P1864" s="3337"/>
    </row>
    <row r="1865" spans="7:16" s="1634" customFormat="1">
      <c r="G1865" s="3336"/>
      <c r="P1865" s="3337"/>
    </row>
    <row r="1866" spans="7:16" s="1634" customFormat="1">
      <c r="G1866" s="3336"/>
      <c r="P1866" s="3337"/>
    </row>
    <row r="1867" spans="7:16" s="1634" customFormat="1">
      <c r="G1867" s="3336"/>
      <c r="P1867" s="3337"/>
    </row>
    <row r="1868" spans="7:16" s="1634" customFormat="1">
      <c r="G1868" s="3336"/>
      <c r="P1868" s="3337"/>
    </row>
    <row r="1869" spans="7:16" s="1634" customFormat="1">
      <c r="G1869" s="3336"/>
      <c r="P1869" s="3337"/>
    </row>
    <row r="1870" spans="7:16" s="1634" customFormat="1">
      <c r="G1870" s="3336"/>
      <c r="P1870" s="3337"/>
    </row>
    <row r="1871" spans="7:16" s="1634" customFormat="1">
      <c r="G1871" s="3336"/>
      <c r="P1871" s="3337"/>
    </row>
    <row r="1872" spans="7:16" s="1634" customFormat="1">
      <c r="G1872" s="3336"/>
      <c r="P1872" s="3337"/>
    </row>
    <row r="1873" spans="7:16" s="1634" customFormat="1">
      <c r="G1873" s="3336"/>
      <c r="P1873" s="3337"/>
    </row>
    <row r="1874" spans="7:16" s="1634" customFormat="1">
      <c r="G1874" s="3336"/>
      <c r="P1874" s="3337"/>
    </row>
    <row r="1875" spans="7:16" s="1634" customFormat="1">
      <c r="G1875" s="3336"/>
      <c r="P1875" s="3337"/>
    </row>
    <row r="1876" spans="7:16" s="1634" customFormat="1">
      <c r="G1876" s="3336"/>
      <c r="P1876" s="3337"/>
    </row>
    <row r="1877" spans="7:16" s="1634" customFormat="1">
      <c r="G1877" s="3336"/>
      <c r="P1877" s="3337"/>
    </row>
    <row r="1878" spans="7:16" s="1634" customFormat="1">
      <c r="G1878" s="3336"/>
      <c r="P1878" s="3337"/>
    </row>
    <row r="1879" spans="7:16" s="1634" customFormat="1">
      <c r="G1879" s="3336"/>
      <c r="P1879" s="3337"/>
    </row>
    <row r="1880" spans="7:16" s="1634" customFormat="1">
      <c r="G1880" s="3336"/>
      <c r="P1880" s="3337"/>
    </row>
    <row r="1881" spans="7:16" s="1634" customFormat="1">
      <c r="G1881" s="3336"/>
      <c r="P1881" s="3337"/>
    </row>
    <row r="1882" spans="7:16" s="1634" customFormat="1">
      <c r="G1882" s="3336"/>
      <c r="P1882" s="3337"/>
    </row>
    <row r="1883" spans="7:16" s="1634" customFormat="1">
      <c r="G1883" s="3336"/>
      <c r="P1883" s="3337"/>
    </row>
    <row r="1884" spans="7:16" s="1634" customFormat="1">
      <c r="G1884" s="3336"/>
      <c r="P1884" s="3337"/>
    </row>
    <row r="1885" spans="7:16" s="1634" customFormat="1">
      <c r="G1885" s="3336"/>
      <c r="P1885" s="3337"/>
    </row>
    <row r="1886" spans="7:16" s="1634" customFormat="1">
      <c r="G1886" s="3336"/>
      <c r="P1886" s="3337"/>
    </row>
    <row r="1887" spans="7:16" s="1634" customFormat="1">
      <c r="G1887" s="3336"/>
      <c r="P1887" s="3337"/>
    </row>
    <row r="1888" spans="7:16" s="1634" customFormat="1">
      <c r="G1888" s="3336"/>
      <c r="P1888" s="3337"/>
    </row>
    <row r="1889" spans="7:16" s="1634" customFormat="1">
      <c r="G1889" s="3336"/>
      <c r="P1889" s="3337"/>
    </row>
    <row r="1890" spans="7:16" s="1634" customFormat="1">
      <c r="G1890" s="3336"/>
      <c r="P1890" s="3337"/>
    </row>
    <row r="1891" spans="7:16" s="1634" customFormat="1">
      <c r="G1891" s="3336"/>
      <c r="P1891" s="3337"/>
    </row>
    <row r="1892" spans="7:16" s="1634" customFormat="1">
      <c r="G1892" s="3336"/>
      <c r="P1892" s="3337"/>
    </row>
    <row r="1893" spans="7:16" s="1634" customFormat="1">
      <c r="G1893" s="3336"/>
      <c r="P1893" s="3337"/>
    </row>
    <row r="1894" spans="7:16" s="1634" customFormat="1">
      <c r="G1894" s="3336"/>
      <c r="P1894" s="3337"/>
    </row>
    <row r="1895" spans="7:16" s="1634" customFormat="1">
      <c r="G1895" s="3336"/>
      <c r="P1895" s="3337"/>
    </row>
    <row r="1896" spans="7:16" s="1634" customFormat="1">
      <c r="G1896" s="3336"/>
      <c r="P1896" s="3337"/>
    </row>
    <row r="1897" spans="7:16" s="1634" customFormat="1">
      <c r="G1897" s="3336"/>
      <c r="P1897" s="3337"/>
    </row>
    <row r="1898" spans="7:16" s="1634" customFormat="1">
      <c r="G1898" s="3336"/>
      <c r="P1898" s="3337"/>
    </row>
    <row r="1899" spans="7:16" s="1634" customFormat="1">
      <c r="G1899" s="3336"/>
      <c r="P1899" s="3337"/>
    </row>
    <row r="1900" spans="7:16" s="1634" customFormat="1">
      <c r="G1900" s="3336"/>
      <c r="P1900" s="3337"/>
    </row>
    <row r="1901" spans="7:16" s="1634" customFormat="1">
      <c r="G1901" s="3336"/>
      <c r="P1901" s="3337"/>
    </row>
    <row r="1902" spans="7:16" s="1634" customFormat="1">
      <c r="G1902" s="3336"/>
      <c r="P1902" s="3337"/>
    </row>
    <row r="1903" spans="7:16" s="1634" customFormat="1">
      <c r="G1903" s="3336"/>
      <c r="P1903" s="3337"/>
    </row>
    <row r="1904" spans="7:16" s="1634" customFormat="1">
      <c r="G1904" s="3336"/>
      <c r="P1904" s="3337"/>
    </row>
    <row r="1905" spans="7:16" s="1634" customFormat="1">
      <c r="G1905" s="3336"/>
      <c r="P1905" s="3337"/>
    </row>
    <row r="1906" spans="7:16" s="1634" customFormat="1">
      <c r="G1906" s="3336"/>
      <c r="P1906" s="3337"/>
    </row>
    <row r="1907" spans="7:16" s="1634" customFormat="1">
      <c r="G1907" s="3336"/>
      <c r="P1907" s="3337"/>
    </row>
    <row r="1908" spans="7:16" s="1634" customFormat="1">
      <c r="G1908" s="3336"/>
      <c r="P1908" s="3337"/>
    </row>
    <row r="1909" spans="7:16" s="1634" customFormat="1">
      <c r="G1909" s="3336"/>
      <c r="P1909" s="3337"/>
    </row>
    <row r="1910" spans="7:16" s="1634" customFormat="1">
      <c r="G1910" s="3336"/>
      <c r="P1910" s="3337"/>
    </row>
    <row r="1911" spans="7:16" s="1634" customFormat="1">
      <c r="G1911" s="3336"/>
      <c r="P1911" s="3337"/>
    </row>
    <row r="1912" spans="7:16" s="1634" customFormat="1">
      <c r="G1912" s="3336"/>
      <c r="P1912" s="3337"/>
    </row>
    <row r="1913" spans="7:16" s="1634" customFormat="1">
      <c r="G1913" s="3336"/>
      <c r="P1913" s="3337"/>
    </row>
    <row r="1914" spans="7:16" s="1634" customFormat="1">
      <c r="G1914" s="3336"/>
      <c r="P1914" s="3337"/>
    </row>
    <row r="1915" spans="7:16" s="1634" customFormat="1">
      <c r="G1915" s="3336"/>
      <c r="P1915" s="3337"/>
    </row>
    <row r="1916" spans="7:16" s="1634" customFormat="1">
      <c r="G1916" s="3336"/>
      <c r="P1916" s="3337"/>
    </row>
    <row r="1917" spans="7:16" s="1634" customFormat="1">
      <c r="G1917" s="3336"/>
      <c r="P1917" s="3337"/>
    </row>
    <row r="1918" spans="7:16" s="1634" customFormat="1">
      <c r="G1918" s="3336"/>
      <c r="P1918" s="3337"/>
    </row>
    <row r="1919" spans="7:16" s="1634" customFormat="1">
      <c r="G1919" s="3336"/>
      <c r="P1919" s="3337"/>
    </row>
    <row r="1920" spans="7:16" s="1634" customFormat="1">
      <c r="G1920" s="3336"/>
      <c r="P1920" s="3337"/>
    </row>
    <row r="1921" spans="7:16" s="1634" customFormat="1">
      <c r="G1921" s="3336"/>
      <c r="P1921" s="3337"/>
    </row>
    <row r="1922" spans="7:16" s="1634" customFormat="1">
      <c r="G1922" s="3336"/>
      <c r="P1922" s="3337"/>
    </row>
    <row r="1923" spans="7:16" s="1634" customFormat="1">
      <c r="G1923" s="3336"/>
      <c r="P1923" s="3337"/>
    </row>
    <row r="1924" spans="7:16" s="1634" customFormat="1">
      <c r="G1924" s="3336"/>
      <c r="P1924" s="3337"/>
    </row>
    <row r="1925" spans="7:16" s="1634" customFormat="1">
      <c r="G1925" s="3336"/>
      <c r="P1925" s="3337"/>
    </row>
    <row r="1926" spans="7:16" s="1634" customFormat="1">
      <c r="G1926" s="3336"/>
      <c r="P1926" s="3337"/>
    </row>
    <row r="1927" spans="7:16" s="1634" customFormat="1">
      <c r="G1927" s="3336"/>
      <c r="P1927" s="3337"/>
    </row>
    <row r="1928" spans="7:16" s="1634" customFormat="1">
      <c r="G1928" s="3336"/>
      <c r="P1928" s="3337"/>
    </row>
    <row r="1929" spans="7:16" s="1634" customFormat="1">
      <c r="G1929" s="3336"/>
      <c r="P1929" s="3337"/>
    </row>
    <row r="1930" spans="7:16" s="1634" customFormat="1">
      <c r="G1930" s="3336"/>
      <c r="P1930" s="3337"/>
    </row>
    <row r="1931" spans="7:16" s="1634" customFormat="1">
      <c r="G1931" s="3336"/>
      <c r="P1931" s="3337"/>
    </row>
    <row r="1932" spans="7:16" s="1634" customFormat="1">
      <c r="G1932" s="3336"/>
      <c r="P1932" s="3337"/>
    </row>
    <row r="1933" spans="7:16" s="1634" customFormat="1">
      <c r="G1933" s="3336"/>
      <c r="P1933" s="3337"/>
    </row>
    <row r="1934" spans="7:16" s="1634" customFormat="1">
      <c r="G1934" s="3336"/>
      <c r="P1934" s="3337"/>
    </row>
    <row r="1935" spans="7:16" s="1634" customFormat="1">
      <c r="G1935" s="3336"/>
      <c r="P1935" s="3337"/>
    </row>
    <row r="1936" spans="7:16" s="1634" customFormat="1">
      <c r="G1936" s="3336"/>
      <c r="P1936" s="3337"/>
    </row>
    <row r="1937" spans="7:16" s="1634" customFormat="1">
      <c r="G1937" s="3336"/>
      <c r="P1937" s="3337"/>
    </row>
    <row r="1938" spans="7:16" s="1634" customFormat="1">
      <c r="G1938" s="3336"/>
      <c r="P1938" s="3337"/>
    </row>
    <row r="1939" spans="7:16" s="1634" customFormat="1">
      <c r="G1939" s="3336"/>
      <c r="P1939" s="3337"/>
    </row>
    <row r="1940" spans="7:16" s="1634" customFormat="1">
      <c r="G1940" s="3336"/>
      <c r="P1940" s="3337"/>
    </row>
    <row r="1941" spans="7:16" s="1634" customFormat="1">
      <c r="G1941" s="3336"/>
      <c r="P1941" s="3337"/>
    </row>
    <row r="1942" spans="7:16" s="1634" customFormat="1">
      <c r="G1942" s="3336"/>
      <c r="P1942" s="3337"/>
    </row>
    <row r="1943" spans="7:16" s="1634" customFormat="1">
      <c r="G1943" s="3336"/>
      <c r="P1943" s="3337"/>
    </row>
    <row r="1944" spans="7:16" s="1634" customFormat="1">
      <c r="G1944" s="3336"/>
      <c r="P1944" s="3337"/>
    </row>
    <row r="1945" spans="7:16" s="1634" customFormat="1">
      <c r="G1945" s="3336"/>
      <c r="P1945" s="3337"/>
    </row>
    <row r="1946" spans="7:16" s="1634" customFormat="1">
      <c r="G1946" s="3336"/>
      <c r="P1946" s="3337"/>
    </row>
    <row r="1947" spans="7:16" s="1634" customFormat="1">
      <c r="G1947" s="3336"/>
      <c r="P1947" s="3337"/>
    </row>
    <row r="1948" spans="7:16" s="1634" customFormat="1">
      <c r="G1948" s="3336"/>
      <c r="P1948" s="3337"/>
    </row>
    <row r="1949" spans="7:16" s="1634" customFormat="1">
      <c r="G1949" s="3336"/>
      <c r="P1949" s="3337"/>
    </row>
    <row r="1950" spans="7:16" s="1634" customFormat="1">
      <c r="G1950" s="3336"/>
      <c r="P1950" s="3337"/>
    </row>
    <row r="1951" spans="7:16" s="1634" customFormat="1">
      <c r="G1951" s="3336"/>
      <c r="P1951" s="3337"/>
    </row>
    <row r="1952" spans="7:16" s="1634" customFormat="1">
      <c r="G1952" s="3336"/>
      <c r="P1952" s="3337"/>
    </row>
    <row r="1953" spans="7:16" s="1634" customFormat="1">
      <c r="G1953" s="3336"/>
      <c r="P1953" s="3337"/>
    </row>
    <row r="1954" spans="7:16" s="1634" customFormat="1">
      <c r="G1954" s="3336"/>
      <c r="P1954" s="3337"/>
    </row>
    <row r="1955" spans="7:16" s="1634" customFormat="1">
      <c r="G1955" s="3336"/>
      <c r="P1955" s="3337"/>
    </row>
    <row r="1956" spans="7:16" s="1634" customFormat="1">
      <c r="G1956" s="3336"/>
      <c r="P1956" s="3337"/>
    </row>
    <row r="1957" spans="7:16" s="1634" customFormat="1">
      <c r="G1957" s="3336"/>
      <c r="P1957" s="3337"/>
    </row>
    <row r="1958" spans="7:16" s="1634" customFormat="1">
      <c r="G1958" s="3336"/>
      <c r="P1958" s="3337"/>
    </row>
    <row r="1959" spans="7:16" s="1634" customFormat="1">
      <c r="G1959" s="3336"/>
      <c r="P1959" s="3337"/>
    </row>
    <row r="1960" spans="7:16" s="1634" customFormat="1">
      <c r="G1960" s="3336"/>
      <c r="P1960" s="3337"/>
    </row>
    <row r="1961" spans="7:16" s="1634" customFormat="1">
      <c r="G1961" s="3336"/>
      <c r="P1961" s="3337"/>
    </row>
    <row r="1962" spans="7:16" s="1634" customFormat="1">
      <c r="G1962" s="3336"/>
      <c r="P1962" s="3337"/>
    </row>
    <row r="1963" spans="7:16" s="1634" customFormat="1">
      <c r="G1963" s="3336"/>
      <c r="P1963" s="3337"/>
    </row>
    <row r="1964" spans="7:16" s="1634" customFormat="1">
      <c r="G1964" s="3336"/>
      <c r="P1964" s="3337"/>
    </row>
    <row r="1965" spans="7:16" s="1634" customFormat="1">
      <c r="G1965" s="3336"/>
      <c r="P1965" s="3337"/>
    </row>
    <row r="1966" spans="7:16" s="1634" customFormat="1">
      <c r="G1966" s="3336"/>
      <c r="P1966" s="3337"/>
    </row>
    <row r="1967" spans="7:16" s="1634" customFormat="1">
      <c r="G1967" s="3336"/>
      <c r="P1967" s="3337"/>
    </row>
    <row r="1968" spans="7:16" s="1634" customFormat="1">
      <c r="G1968" s="3336"/>
      <c r="P1968" s="3337"/>
    </row>
    <row r="1969" spans="7:16" s="1634" customFormat="1">
      <c r="G1969" s="3336"/>
      <c r="P1969" s="3337"/>
    </row>
    <row r="1970" spans="7:16" s="1634" customFormat="1">
      <c r="G1970" s="3336"/>
      <c r="P1970" s="3337"/>
    </row>
    <row r="1971" spans="7:16" s="1634" customFormat="1">
      <c r="G1971" s="3336"/>
      <c r="P1971" s="3337"/>
    </row>
    <row r="1972" spans="7:16" s="1634" customFormat="1">
      <c r="G1972" s="3336"/>
      <c r="P1972" s="3337"/>
    </row>
    <row r="1973" spans="7:16" s="1634" customFormat="1">
      <c r="G1973" s="3336"/>
      <c r="P1973" s="3337"/>
    </row>
    <row r="1974" spans="7:16" s="1634" customFormat="1">
      <c r="G1974" s="3336"/>
      <c r="P1974" s="3337"/>
    </row>
    <row r="1975" spans="7:16" s="1634" customFormat="1">
      <c r="G1975" s="3336"/>
      <c r="P1975" s="3337"/>
    </row>
    <row r="1976" spans="7:16" s="1634" customFormat="1">
      <c r="G1976" s="3336"/>
      <c r="P1976" s="3337"/>
    </row>
    <row r="1977" spans="7:16" s="1634" customFormat="1">
      <c r="G1977" s="3336"/>
      <c r="P1977" s="3337"/>
    </row>
    <row r="1978" spans="7:16" s="1634" customFormat="1">
      <c r="G1978" s="3336"/>
      <c r="P1978" s="3337"/>
    </row>
    <row r="1979" spans="7:16" s="1634" customFormat="1">
      <c r="G1979" s="3336"/>
      <c r="P1979" s="3337"/>
    </row>
    <row r="1980" spans="7:16" s="1634" customFormat="1">
      <c r="G1980" s="3336"/>
      <c r="P1980" s="3337"/>
    </row>
    <row r="1981" spans="7:16" s="1634" customFormat="1">
      <c r="G1981" s="3336"/>
      <c r="P1981" s="3337"/>
    </row>
    <row r="1982" spans="7:16" s="1634" customFormat="1">
      <c r="G1982" s="3336"/>
      <c r="P1982" s="3337"/>
    </row>
    <row r="1983" spans="7:16" s="1634" customFormat="1">
      <c r="G1983" s="3336"/>
      <c r="P1983" s="3337"/>
    </row>
    <row r="1984" spans="7:16" s="1634" customFormat="1">
      <c r="G1984" s="3336"/>
      <c r="P1984" s="3337"/>
    </row>
    <row r="1985" spans="7:16" s="1634" customFormat="1">
      <c r="G1985" s="3336"/>
      <c r="P1985" s="3337"/>
    </row>
    <row r="1986" spans="7:16" s="1634" customFormat="1">
      <c r="G1986" s="3336"/>
      <c r="P1986" s="3337"/>
    </row>
    <row r="1987" spans="7:16" s="1634" customFormat="1">
      <c r="G1987" s="3336"/>
      <c r="P1987" s="3337"/>
    </row>
    <row r="1988" spans="7:16" s="1634" customFormat="1">
      <c r="G1988" s="3336"/>
      <c r="P1988" s="3337"/>
    </row>
    <row r="1989" spans="7:16" s="1634" customFormat="1">
      <c r="G1989" s="3336"/>
      <c r="P1989" s="3337"/>
    </row>
    <row r="1990" spans="7:16" s="1634" customFormat="1">
      <c r="G1990" s="3336"/>
      <c r="P1990" s="3337"/>
    </row>
    <row r="1991" spans="7:16" s="1634" customFormat="1">
      <c r="G1991" s="3336"/>
      <c r="P1991" s="3337"/>
    </row>
    <row r="1992" spans="7:16" s="1634" customFormat="1">
      <c r="G1992" s="3336"/>
      <c r="P1992" s="3337"/>
    </row>
    <row r="1993" spans="7:16" s="1634" customFormat="1">
      <c r="G1993" s="3336"/>
      <c r="P1993" s="3337"/>
    </row>
    <row r="1994" spans="7:16" s="1634" customFormat="1">
      <c r="G1994" s="3336"/>
      <c r="P1994" s="3337"/>
    </row>
    <row r="1995" spans="7:16" s="1634" customFormat="1">
      <c r="G1995" s="3336"/>
      <c r="P1995" s="3337"/>
    </row>
    <row r="1996" spans="7:16" s="1634" customFormat="1">
      <c r="G1996" s="3336"/>
      <c r="P1996" s="3337"/>
    </row>
    <row r="1997" spans="7:16" s="1634" customFormat="1">
      <c r="G1997" s="3336"/>
      <c r="P1997" s="3337"/>
    </row>
    <row r="1998" spans="7:16" s="1634" customFormat="1">
      <c r="G1998" s="3336"/>
      <c r="P1998" s="3337"/>
    </row>
    <row r="1999" spans="7:16" s="1634" customFormat="1">
      <c r="G1999" s="3336"/>
      <c r="P1999" s="3337"/>
    </row>
    <row r="2000" spans="7:16" s="1634" customFormat="1">
      <c r="G2000" s="3336"/>
      <c r="P2000" s="3337"/>
    </row>
    <row r="2001" spans="7:16" s="1634" customFormat="1">
      <c r="G2001" s="3336"/>
      <c r="P2001" s="3337"/>
    </row>
    <row r="2002" spans="7:16" s="1634" customFormat="1">
      <c r="G2002" s="3336"/>
      <c r="P2002" s="3337"/>
    </row>
    <row r="2003" spans="7:16" s="1634" customFormat="1">
      <c r="G2003" s="3336"/>
      <c r="P2003" s="3337"/>
    </row>
    <row r="2004" spans="7:16" s="1634" customFormat="1">
      <c r="G2004" s="3336"/>
      <c r="P2004" s="3337"/>
    </row>
    <row r="2005" spans="7:16" s="1634" customFormat="1">
      <c r="G2005" s="3336"/>
      <c r="P2005" s="3337"/>
    </row>
    <row r="2006" spans="7:16" s="1634" customFormat="1">
      <c r="G2006" s="3336"/>
      <c r="P2006" s="3337"/>
    </row>
    <row r="2007" spans="7:16" s="1634" customFormat="1">
      <c r="G2007" s="3336"/>
      <c r="P2007" s="3337"/>
    </row>
    <row r="2008" spans="7:16" s="1634" customFormat="1">
      <c r="G2008" s="3336"/>
      <c r="P2008" s="3337"/>
    </row>
    <row r="2009" spans="7:16" s="1634" customFormat="1">
      <c r="G2009" s="3336"/>
      <c r="P2009" s="3337"/>
    </row>
    <row r="2010" spans="7:16" s="1634" customFormat="1">
      <c r="G2010" s="3336"/>
      <c r="P2010" s="3337"/>
    </row>
    <row r="2011" spans="7:16" s="1634" customFormat="1">
      <c r="G2011" s="3336"/>
      <c r="P2011" s="3337"/>
    </row>
    <row r="2012" spans="7:16" s="1634" customFormat="1">
      <c r="G2012" s="3336"/>
      <c r="P2012" s="3337"/>
    </row>
    <row r="2013" spans="7:16" s="1634" customFormat="1">
      <c r="G2013" s="3336"/>
      <c r="P2013" s="3337"/>
    </row>
    <row r="2014" spans="7:16" s="1634" customFormat="1">
      <c r="G2014" s="3336"/>
      <c r="P2014" s="3337"/>
    </row>
    <row r="2015" spans="7:16" s="1634" customFormat="1">
      <c r="G2015" s="3336"/>
      <c r="P2015" s="3337"/>
    </row>
    <row r="2016" spans="7:16" s="1634" customFormat="1">
      <c r="G2016" s="3336"/>
      <c r="P2016" s="3337"/>
    </row>
    <row r="2017" spans="7:16" s="1634" customFormat="1">
      <c r="G2017" s="3336"/>
      <c r="P2017" s="3337"/>
    </row>
    <row r="2018" spans="7:16" s="1634" customFormat="1">
      <c r="G2018" s="3336"/>
      <c r="P2018" s="3337"/>
    </row>
    <row r="2019" spans="7:16" s="1634" customFormat="1">
      <c r="G2019" s="3336"/>
      <c r="P2019" s="3337"/>
    </row>
    <row r="2020" spans="7:16" s="1634" customFormat="1">
      <c r="G2020" s="3336"/>
      <c r="P2020" s="3337"/>
    </row>
    <row r="2021" spans="7:16" s="1634" customFormat="1">
      <c r="G2021" s="3336"/>
      <c r="P2021" s="3337"/>
    </row>
    <row r="2022" spans="7:16" s="1634" customFormat="1">
      <c r="G2022" s="3336"/>
      <c r="P2022" s="3337"/>
    </row>
    <row r="2023" spans="7:16" s="1634" customFormat="1">
      <c r="G2023" s="3336"/>
      <c r="P2023" s="3337"/>
    </row>
    <row r="2024" spans="7:16" s="1634" customFormat="1">
      <c r="G2024" s="3336"/>
      <c r="P2024" s="3337"/>
    </row>
    <row r="2025" spans="7:16" s="1634" customFormat="1">
      <c r="G2025" s="3336"/>
      <c r="P2025" s="3337"/>
    </row>
    <row r="2026" spans="7:16" s="1634" customFormat="1">
      <c r="G2026" s="3336"/>
      <c r="P2026" s="3337"/>
    </row>
    <row r="2027" spans="7:16" s="1634" customFormat="1">
      <c r="G2027" s="3336"/>
      <c r="P2027" s="3337"/>
    </row>
    <row r="2028" spans="7:16" s="1634" customFormat="1">
      <c r="G2028" s="3336"/>
      <c r="P2028" s="3337"/>
    </row>
    <row r="2029" spans="7:16" s="1634" customFormat="1">
      <c r="G2029" s="3336"/>
      <c r="P2029" s="3337"/>
    </row>
    <row r="2030" spans="7:16" s="1634" customFormat="1">
      <c r="G2030" s="3336"/>
      <c r="P2030" s="3337"/>
    </row>
    <row r="2031" spans="7:16" s="1634" customFormat="1">
      <c r="G2031" s="3336"/>
      <c r="P2031" s="3337"/>
    </row>
    <row r="2032" spans="7:16" s="1634" customFormat="1">
      <c r="G2032" s="3336"/>
      <c r="P2032" s="3337"/>
    </row>
    <row r="2033" spans="7:16" s="1634" customFormat="1">
      <c r="G2033" s="3336"/>
      <c r="P2033" s="3337"/>
    </row>
    <row r="2034" spans="7:16" s="1634" customFormat="1">
      <c r="G2034" s="3336"/>
      <c r="P2034" s="3337"/>
    </row>
    <row r="2035" spans="7:16" s="1634" customFormat="1">
      <c r="G2035" s="3336"/>
      <c r="P2035" s="3337"/>
    </row>
    <row r="2036" spans="7:16" s="1634" customFormat="1">
      <c r="G2036" s="3336"/>
      <c r="P2036" s="3337"/>
    </row>
    <row r="2037" spans="7:16" s="1634" customFormat="1">
      <c r="G2037" s="3336"/>
      <c r="P2037" s="3337"/>
    </row>
    <row r="2038" spans="7:16" s="1634" customFormat="1">
      <c r="G2038" s="3336"/>
      <c r="P2038" s="3337"/>
    </row>
    <row r="2039" spans="7:16" s="1634" customFormat="1">
      <c r="G2039" s="3336"/>
      <c r="P2039" s="3337"/>
    </row>
    <row r="2040" spans="7:16" s="1634" customFormat="1">
      <c r="G2040" s="3336"/>
      <c r="P2040" s="3337"/>
    </row>
    <row r="2041" spans="7:16" s="1634" customFormat="1">
      <c r="G2041" s="3336"/>
      <c r="P2041" s="3337"/>
    </row>
    <row r="2042" spans="7:16" s="1634" customFormat="1">
      <c r="G2042" s="3336"/>
      <c r="P2042" s="3337"/>
    </row>
    <row r="2043" spans="7:16" s="1634" customFormat="1">
      <c r="G2043" s="3336"/>
      <c r="P2043" s="3337"/>
    </row>
    <row r="2044" spans="7:16" s="1634" customFormat="1">
      <c r="G2044" s="3336"/>
      <c r="P2044" s="3337"/>
    </row>
    <row r="2045" spans="7:16" s="1634" customFormat="1">
      <c r="G2045" s="3336"/>
      <c r="P2045" s="3337"/>
    </row>
    <row r="2046" spans="7:16" s="1634" customFormat="1">
      <c r="G2046" s="3336"/>
      <c r="P2046" s="3337"/>
    </row>
    <row r="2047" spans="7:16" s="1634" customFormat="1">
      <c r="G2047" s="3336"/>
      <c r="P2047" s="3337"/>
    </row>
    <row r="2048" spans="7:16" s="1634" customFormat="1">
      <c r="G2048" s="3336"/>
      <c r="P2048" s="3337"/>
    </row>
    <row r="2049" spans="7:16" s="1634" customFormat="1">
      <c r="G2049" s="3336"/>
      <c r="P2049" s="3337"/>
    </row>
    <row r="2050" spans="7:16" s="1634" customFormat="1">
      <c r="G2050" s="3336"/>
      <c r="P2050" s="3337"/>
    </row>
    <row r="2051" spans="7:16" s="1634" customFormat="1">
      <c r="G2051" s="3336"/>
      <c r="P2051" s="3337"/>
    </row>
    <row r="2052" spans="7:16" s="1634" customFormat="1">
      <c r="G2052" s="3336"/>
      <c r="P2052" s="3337"/>
    </row>
    <row r="2053" spans="7:16" s="1634" customFormat="1">
      <c r="G2053" s="3336"/>
      <c r="P2053" s="3337"/>
    </row>
    <row r="2054" spans="7:16" s="1634" customFormat="1">
      <c r="G2054" s="3336"/>
      <c r="P2054" s="3337"/>
    </row>
    <row r="2055" spans="7:16" s="1634" customFormat="1">
      <c r="G2055" s="3336"/>
      <c r="P2055" s="3337"/>
    </row>
    <row r="2056" spans="7:16" s="1634" customFormat="1">
      <c r="G2056" s="3336"/>
      <c r="P2056" s="3337"/>
    </row>
    <row r="2057" spans="7:16" s="1634" customFormat="1">
      <c r="G2057" s="3336"/>
      <c r="P2057" s="3337"/>
    </row>
    <row r="2058" spans="7:16" s="1634" customFormat="1">
      <c r="G2058" s="3336"/>
      <c r="P2058" s="3337"/>
    </row>
    <row r="2059" spans="7:16" s="1634" customFormat="1">
      <c r="G2059" s="3336"/>
      <c r="P2059" s="3337"/>
    </row>
    <row r="2060" spans="7:16" s="1634" customFormat="1">
      <c r="G2060" s="3336"/>
      <c r="P2060" s="3337"/>
    </row>
    <row r="2061" spans="7:16" s="1634" customFormat="1">
      <c r="G2061" s="3336"/>
      <c r="P2061" s="3337"/>
    </row>
    <row r="2062" spans="7:16" s="1634" customFormat="1">
      <c r="G2062" s="3336"/>
      <c r="P2062" s="3337"/>
    </row>
    <row r="2063" spans="7:16" s="1634" customFormat="1">
      <c r="G2063" s="3336"/>
      <c r="P2063" s="3337"/>
    </row>
    <row r="2064" spans="7:16" s="1634" customFormat="1">
      <c r="G2064" s="3336"/>
      <c r="P2064" s="3337"/>
    </row>
    <row r="2065" spans="7:16" s="1634" customFormat="1">
      <c r="G2065" s="3336"/>
      <c r="P2065" s="3337"/>
    </row>
    <row r="2066" spans="7:16" s="1634" customFormat="1">
      <c r="G2066" s="3336"/>
      <c r="P2066" s="3337"/>
    </row>
    <row r="2067" spans="7:16" s="1634" customFormat="1">
      <c r="G2067" s="3336"/>
      <c r="P2067" s="3337"/>
    </row>
    <row r="2068" spans="7:16" s="1634" customFormat="1">
      <c r="G2068" s="3336"/>
      <c r="P2068" s="3337"/>
    </row>
    <row r="2069" spans="7:16" s="1634" customFormat="1">
      <c r="G2069" s="3336"/>
      <c r="P2069" s="3337"/>
    </row>
    <row r="2070" spans="7:16" s="1634" customFormat="1">
      <c r="G2070" s="3336"/>
      <c r="P2070" s="3337"/>
    </row>
    <row r="2071" spans="7:16" s="1634" customFormat="1">
      <c r="G2071" s="3336"/>
      <c r="P2071" s="3337"/>
    </row>
    <row r="2072" spans="7:16" s="1634" customFormat="1">
      <c r="G2072" s="3336"/>
      <c r="P2072" s="3337"/>
    </row>
    <row r="2073" spans="7:16" s="1634" customFormat="1">
      <c r="G2073" s="3336"/>
      <c r="P2073" s="3337"/>
    </row>
    <row r="2074" spans="7:16" s="1634" customFormat="1">
      <c r="G2074" s="3336"/>
      <c r="P2074" s="3337"/>
    </row>
    <row r="2075" spans="7:16" s="1634" customFormat="1">
      <c r="G2075" s="3336"/>
      <c r="P2075" s="3337"/>
    </row>
    <row r="2076" spans="7:16" s="1634" customFormat="1">
      <c r="G2076" s="3336"/>
      <c r="P2076" s="3337"/>
    </row>
    <row r="2077" spans="7:16" s="1634" customFormat="1">
      <c r="G2077" s="3336"/>
      <c r="P2077" s="3337"/>
    </row>
    <row r="2078" spans="7:16" s="1634" customFormat="1">
      <c r="G2078" s="3336"/>
      <c r="P2078" s="3337"/>
    </row>
    <row r="2079" spans="7:16" s="1634" customFormat="1">
      <c r="G2079" s="3336"/>
      <c r="P2079" s="3337"/>
    </row>
    <row r="2080" spans="7:16" s="1634" customFormat="1">
      <c r="G2080" s="3336"/>
      <c r="P2080" s="3337"/>
    </row>
    <row r="2081" spans="7:16" s="1634" customFormat="1">
      <c r="G2081" s="3336"/>
      <c r="P2081" s="3337"/>
    </row>
    <row r="2082" spans="7:16" s="1634" customFormat="1">
      <c r="G2082" s="3336"/>
      <c r="P2082" s="3337"/>
    </row>
    <row r="2083" spans="7:16" s="1634" customFormat="1">
      <c r="G2083" s="3336"/>
      <c r="P2083" s="3337"/>
    </row>
    <row r="2084" spans="7:16" s="1634" customFormat="1">
      <c r="G2084" s="3336"/>
      <c r="P2084" s="3337"/>
    </row>
    <row r="2085" spans="7:16" s="1634" customFormat="1">
      <c r="G2085" s="3336"/>
      <c r="P2085" s="3337"/>
    </row>
    <row r="2086" spans="7:16" s="1634" customFormat="1">
      <c r="G2086" s="3336"/>
      <c r="P2086" s="3337"/>
    </row>
    <row r="2087" spans="7:16" s="1634" customFormat="1">
      <c r="G2087" s="3336"/>
      <c r="P2087" s="3337"/>
    </row>
    <row r="2088" spans="7:16" s="1634" customFormat="1">
      <c r="G2088" s="3336"/>
      <c r="P2088" s="3337"/>
    </row>
    <row r="2089" spans="7:16" s="1634" customFormat="1">
      <c r="G2089" s="3336"/>
      <c r="P2089" s="3337"/>
    </row>
    <row r="2090" spans="7:16" s="1634" customFormat="1">
      <c r="G2090" s="3336"/>
      <c r="P2090" s="3337"/>
    </row>
    <row r="2091" spans="7:16" s="1634" customFormat="1">
      <c r="G2091" s="3336"/>
      <c r="P2091" s="3337"/>
    </row>
    <row r="2092" spans="7:16" s="1634" customFormat="1">
      <c r="G2092" s="3336"/>
      <c r="P2092" s="3337"/>
    </row>
    <row r="2093" spans="7:16" s="1634" customFormat="1">
      <c r="G2093" s="3336"/>
      <c r="P2093" s="3337"/>
    </row>
    <row r="2094" spans="7:16" s="1634" customFormat="1">
      <c r="G2094" s="3336"/>
      <c r="P2094" s="3337"/>
    </row>
    <row r="2095" spans="7:16" s="1634" customFormat="1">
      <c r="G2095" s="3336"/>
      <c r="P2095" s="3337"/>
    </row>
    <row r="2096" spans="7:16" s="1634" customFormat="1">
      <c r="G2096" s="3336"/>
      <c r="P2096" s="3337"/>
    </row>
    <row r="2097" spans="7:16" s="1634" customFormat="1">
      <c r="G2097" s="3336"/>
      <c r="P2097" s="3337"/>
    </row>
    <row r="2098" spans="7:16" s="1634" customFormat="1">
      <c r="G2098" s="3336"/>
      <c r="P2098" s="3337"/>
    </row>
    <row r="2099" spans="7:16" s="1634" customFormat="1">
      <c r="G2099" s="3336"/>
      <c r="P2099" s="3337"/>
    </row>
    <row r="2100" spans="7:16" s="1634" customFormat="1">
      <c r="G2100" s="3336"/>
      <c r="P2100" s="3337"/>
    </row>
    <row r="2101" spans="7:16" s="1634" customFormat="1">
      <c r="G2101" s="3336"/>
      <c r="P2101" s="3337"/>
    </row>
    <row r="2102" spans="7:16" s="1634" customFormat="1">
      <c r="G2102" s="3336"/>
      <c r="P2102" s="3337"/>
    </row>
    <row r="2103" spans="7:16" s="1634" customFormat="1">
      <c r="G2103" s="3336"/>
      <c r="P2103" s="3337"/>
    </row>
    <row r="2104" spans="7:16" s="1634" customFormat="1">
      <c r="G2104" s="3336"/>
      <c r="P2104" s="3337"/>
    </row>
    <row r="2105" spans="7:16" s="1634" customFormat="1">
      <c r="G2105" s="3336"/>
      <c r="P2105" s="3337"/>
    </row>
    <row r="2106" spans="7:16" s="1634" customFormat="1">
      <c r="G2106" s="3336"/>
      <c r="P2106" s="3337"/>
    </row>
    <row r="2107" spans="7:16" s="1634" customFormat="1">
      <c r="G2107" s="3336"/>
      <c r="P2107" s="3337"/>
    </row>
    <row r="2108" spans="7:16" s="1634" customFormat="1">
      <c r="G2108" s="3336"/>
      <c r="P2108" s="3337"/>
    </row>
    <row r="2109" spans="7:16" s="1634" customFormat="1">
      <c r="G2109" s="3336"/>
      <c r="P2109" s="3337"/>
    </row>
    <row r="2110" spans="7:16" s="1634" customFormat="1">
      <c r="G2110" s="3336"/>
      <c r="P2110" s="3337"/>
    </row>
    <row r="2111" spans="7:16" s="1634" customFormat="1">
      <c r="G2111" s="3336"/>
      <c r="P2111" s="3337"/>
    </row>
    <row r="2112" spans="7:16" s="1634" customFormat="1">
      <c r="G2112" s="3336"/>
      <c r="P2112" s="3337"/>
    </row>
    <row r="2113" spans="7:16" s="1634" customFormat="1">
      <c r="G2113" s="3336"/>
      <c r="P2113" s="3337"/>
    </row>
    <row r="2114" spans="7:16" s="1634" customFormat="1">
      <c r="G2114" s="3336"/>
      <c r="P2114" s="3337"/>
    </row>
    <row r="2115" spans="7:16" s="1634" customFormat="1">
      <c r="G2115" s="3336"/>
      <c r="P2115" s="3337"/>
    </row>
    <row r="2116" spans="7:16" s="1634" customFormat="1">
      <c r="G2116" s="3336"/>
      <c r="P2116" s="3337"/>
    </row>
    <row r="2117" spans="7:16" s="1634" customFormat="1">
      <c r="G2117" s="3336"/>
      <c r="P2117" s="3337"/>
    </row>
    <row r="2118" spans="7:16" s="1634" customFormat="1">
      <c r="G2118" s="3336"/>
      <c r="P2118" s="3337"/>
    </row>
    <row r="2119" spans="7:16" s="1634" customFormat="1">
      <c r="G2119" s="3336"/>
      <c r="P2119" s="3337"/>
    </row>
    <row r="2120" spans="7:16" s="1634" customFormat="1">
      <c r="G2120" s="3336"/>
      <c r="P2120" s="3337"/>
    </row>
    <row r="2121" spans="7:16" s="1634" customFormat="1">
      <c r="G2121" s="3336"/>
      <c r="P2121" s="3337"/>
    </row>
    <row r="2122" spans="7:16" s="1634" customFormat="1">
      <c r="G2122" s="3336"/>
      <c r="P2122" s="3337"/>
    </row>
    <row r="2123" spans="7:16" s="1634" customFormat="1">
      <c r="G2123" s="3336"/>
      <c r="P2123" s="3337"/>
    </row>
    <row r="2124" spans="7:16" s="1634" customFormat="1">
      <c r="G2124" s="3336"/>
      <c r="P2124" s="3337"/>
    </row>
    <row r="2125" spans="7:16" s="1634" customFormat="1">
      <c r="G2125" s="3336"/>
      <c r="P2125" s="3337"/>
    </row>
    <row r="2126" spans="7:16" s="1634" customFormat="1">
      <c r="G2126" s="3336"/>
      <c r="P2126" s="3337"/>
    </row>
    <row r="2127" spans="7:16" s="1634" customFormat="1">
      <c r="G2127" s="3336"/>
      <c r="P2127" s="3337"/>
    </row>
    <row r="2128" spans="7:16" s="1634" customFormat="1">
      <c r="G2128" s="3336"/>
      <c r="P2128" s="3337"/>
    </row>
    <row r="2129" spans="7:16" s="1634" customFormat="1">
      <c r="G2129" s="3336"/>
      <c r="P2129" s="3337"/>
    </row>
    <row r="2130" spans="7:16" s="1634" customFormat="1">
      <c r="G2130" s="3336"/>
      <c r="P2130" s="3337"/>
    </row>
    <row r="2131" spans="7:16" s="1634" customFormat="1">
      <c r="G2131" s="3336"/>
      <c r="P2131" s="3337"/>
    </row>
    <row r="2132" spans="7:16" s="1634" customFormat="1">
      <c r="G2132" s="3336"/>
      <c r="P2132" s="3337"/>
    </row>
    <row r="2133" spans="7:16" s="1634" customFormat="1">
      <c r="G2133" s="3336"/>
      <c r="P2133" s="3337"/>
    </row>
    <row r="2134" spans="7:16" s="1634" customFormat="1">
      <c r="G2134" s="3336"/>
      <c r="P2134" s="3337"/>
    </row>
    <row r="2135" spans="7:16" s="1634" customFormat="1">
      <c r="G2135" s="3336"/>
      <c r="P2135" s="3337"/>
    </row>
    <row r="2136" spans="7:16" s="1634" customFormat="1">
      <c r="G2136" s="3336"/>
      <c r="P2136" s="3337"/>
    </row>
    <row r="2137" spans="7:16" s="1634" customFormat="1">
      <c r="G2137" s="3336"/>
      <c r="P2137" s="3337"/>
    </row>
    <row r="2138" spans="7:16" s="1634" customFormat="1">
      <c r="G2138" s="3336"/>
      <c r="P2138" s="3337"/>
    </row>
    <row r="2139" spans="7:16" s="1634" customFormat="1">
      <c r="G2139" s="3336"/>
      <c r="P2139" s="3337"/>
    </row>
    <row r="2140" spans="7:16" s="1634" customFormat="1">
      <c r="G2140" s="3336"/>
      <c r="P2140" s="3337"/>
    </row>
    <row r="2141" spans="7:16" s="1634" customFormat="1">
      <c r="G2141" s="3336"/>
      <c r="P2141" s="3337"/>
    </row>
    <row r="2142" spans="7:16" s="1634" customFormat="1">
      <c r="G2142" s="3336"/>
      <c r="P2142" s="3337"/>
    </row>
    <row r="2143" spans="7:16" s="1634" customFormat="1">
      <c r="G2143" s="3336"/>
      <c r="P2143" s="3337"/>
    </row>
    <row r="2144" spans="7:16" s="1634" customFormat="1">
      <c r="G2144" s="3336"/>
      <c r="P2144" s="3337"/>
    </row>
    <row r="2145" spans="7:16" s="1634" customFormat="1">
      <c r="G2145" s="3336"/>
      <c r="P2145" s="3337"/>
    </row>
    <row r="2146" spans="7:16" s="1634" customFormat="1">
      <c r="G2146" s="3336"/>
      <c r="P2146" s="3337"/>
    </row>
    <row r="2147" spans="7:16" s="1634" customFormat="1">
      <c r="G2147" s="3336"/>
      <c r="P2147" s="3337"/>
    </row>
    <row r="2148" spans="7:16" s="1634" customFormat="1">
      <c r="G2148" s="3336"/>
      <c r="P2148" s="3337"/>
    </row>
    <row r="2149" spans="7:16" s="1634" customFormat="1">
      <c r="G2149" s="3336"/>
      <c r="P2149" s="3337"/>
    </row>
    <row r="2150" spans="7:16" s="1634" customFormat="1">
      <c r="G2150" s="3336"/>
      <c r="P2150" s="3337"/>
    </row>
    <row r="2151" spans="7:16" s="1634" customFormat="1">
      <c r="G2151" s="3336"/>
      <c r="P2151" s="3337"/>
    </row>
    <row r="2152" spans="7:16" s="1634" customFormat="1">
      <c r="G2152" s="3336"/>
      <c r="P2152" s="3337"/>
    </row>
    <row r="2153" spans="7:16" s="1634" customFormat="1">
      <c r="G2153" s="3336"/>
      <c r="P2153" s="3337"/>
    </row>
    <row r="2154" spans="7:16" s="1634" customFormat="1">
      <c r="G2154" s="3336"/>
      <c r="P2154" s="3337"/>
    </row>
    <row r="2155" spans="7:16" s="1634" customFormat="1">
      <c r="G2155" s="3336"/>
      <c r="P2155" s="3337"/>
    </row>
    <row r="2156" spans="7:16" s="1634" customFormat="1">
      <c r="G2156" s="3336"/>
      <c r="P2156" s="3337"/>
    </row>
    <row r="2157" spans="7:16" s="1634" customFormat="1">
      <c r="G2157" s="3336"/>
      <c r="P2157" s="3337"/>
    </row>
    <row r="2158" spans="7:16" s="1634" customFormat="1">
      <c r="G2158" s="3336"/>
      <c r="P2158" s="3337"/>
    </row>
    <row r="2159" spans="7:16" s="1634" customFormat="1">
      <c r="G2159" s="3336"/>
      <c r="P2159" s="3337"/>
    </row>
    <row r="2160" spans="7:16" s="1634" customFormat="1">
      <c r="G2160" s="3336"/>
      <c r="P2160" s="3337"/>
    </row>
    <row r="2161" spans="7:16" s="1634" customFormat="1">
      <c r="G2161" s="3336"/>
      <c r="P2161" s="3337"/>
    </row>
    <row r="2162" spans="7:16" s="1634" customFormat="1">
      <c r="G2162" s="3336"/>
      <c r="P2162" s="3337"/>
    </row>
    <row r="2163" spans="7:16" s="1634" customFormat="1">
      <c r="G2163" s="3336"/>
      <c r="P2163" s="3337"/>
    </row>
    <row r="2164" spans="7:16" s="1634" customFormat="1">
      <c r="G2164" s="3336"/>
      <c r="P2164" s="3337"/>
    </row>
    <row r="2165" spans="7:16" s="1634" customFormat="1">
      <c r="G2165" s="3336"/>
      <c r="P2165" s="3337"/>
    </row>
    <row r="2166" spans="7:16" s="1634" customFormat="1">
      <c r="G2166" s="3336"/>
      <c r="P2166" s="3337"/>
    </row>
    <row r="2167" spans="7:16" s="1634" customFormat="1">
      <c r="G2167" s="3336"/>
      <c r="P2167" s="3337"/>
    </row>
    <row r="2168" spans="7:16" s="1634" customFormat="1">
      <c r="G2168" s="3336"/>
      <c r="P2168" s="3337"/>
    </row>
    <row r="2169" spans="7:16" s="1634" customFormat="1">
      <c r="G2169" s="3336"/>
      <c r="P2169" s="3337"/>
    </row>
    <row r="2170" spans="7:16" s="1634" customFormat="1">
      <c r="G2170" s="3336"/>
      <c r="P2170" s="3337"/>
    </row>
    <row r="2171" spans="7:16" s="1634" customFormat="1">
      <c r="G2171" s="3336"/>
      <c r="P2171" s="3337"/>
    </row>
    <row r="2172" spans="7:16" s="1634" customFormat="1">
      <c r="G2172" s="3336"/>
      <c r="P2172" s="3337"/>
    </row>
    <row r="2173" spans="7:16" s="1634" customFormat="1">
      <c r="G2173" s="3336"/>
      <c r="P2173" s="3337"/>
    </row>
    <row r="2174" spans="7:16" s="1634" customFormat="1">
      <c r="G2174" s="3336"/>
      <c r="P2174" s="3337"/>
    </row>
    <row r="2175" spans="7:16" s="1634" customFormat="1">
      <c r="G2175" s="3336"/>
      <c r="P2175" s="3337"/>
    </row>
    <row r="2176" spans="7:16" s="1634" customFormat="1">
      <c r="G2176" s="3336"/>
      <c r="P2176" s="3337"/>
    </row>
    <row r="2177" spans="7:16" s="1634" customFormat="1">
      <c r="G2177" s="3336"/>
      <c r="P2177" s="3337"/>
    </row>
    <row r="2178" spans="7:16" s="1634" customFormat="1">
      <c r="G2178" s="3336"/>
      <c r="P2178" s="3337"/>
    </row>
    <row r="2179" spans="7:16" s="1634" customFormat="1">
      <c r="G2179" s="3336"/>
      <c r="P2179" s="3337"/>
    </row>
    <row r="2180" spans="7:16" s="1634" customFormat="1">
      <c r="G2180" s="3336"/>
      <c r="P2180" s="3337"/>
    </row>
    <row r="2181" spans="7:16" s="1634" customFormat="1">
      <c r="G2181" s="3336"/>
      <c r="P2181" s="3337"/>
    </row>
    <row r="2182" spans="7:16" s="1634" customFormat="1">
      <c r="G2182" s="3336"/>
      <c r="P2182" s="3337"/>
    </row>
    <row r="2183" spans="7:16" s="1634" customFormat="1">
      <c r="G2183" s="3336"/>
      <c r="P2183" s="3337"/>
    </row>
    <row r="2184" spans="7:16" s="1634" customFormat="1">
      <c r="G2184" s="3336"/>
      <c r="P2184" s="3337"/>
    </row>
    <row r="2185" spans="7:16" s="1634" customFormat="1">
      <c r="G2185" s="3336"/>
      <c r="P2185" s="3337"/>
    </row>
    <row r="2186" spans="7:16" s="1634" customFormat="1">
      <c r="G2186" s="3336"/>
      <c r="P2186" s="3337"/>
    </row>
    <row r="2187" spans="7:16" s="1634" customFormat="1">
      <c r="G2187" s="3336"/>
      <c r="P2187" s="3337"/>
    </row>
    <row r="2188" spans="7:16" s="1634" customFormat="1">
      <c r="G2188" s="3336"/>
      <c r="P2188" s="3337"/>
    </row>
    <row r="2189" spans="7:16" s="1634" customFormat="1">
      <c r="G2189" s="3336"/>
      <c r="P2189" s="3337"/>
    </row>
    <row r="2190" spans="7:16" s="1634" customFormat="1">
      <c r="G2190" s="3336"/>
      <c r="P2190" s="3337"/>
    </row>
    <row r="2191" spans="7:16" s="1634" customFormat="1">
      <c r="G2191" s="3336"/>
      <c r="P2191" s="3337"/>
    </row>
    <row r="2192" spans="7:16" s="1634" customFormat="1">
      <c r="G2192" s="3336"/>
      <c r="P2192" s="3337"/>
    </row>
    <row r="2193" spans="7:16" s="1634" customFormat="1">
      <c r="G2193" s="3336"/>
      <c r="P2193" s="3337"/>
    </row>
    <row r="2194" spans="7:16" s="1634" customFormat="1">
      <c r="G2194" s="3336"/>
      <c r="P2194" s="3337"/>
    </row>
    <row r="2195" spans="7:16" s="1634" customFormat="1">
      <c r="G2195" s="3336"/>
      <c r="P2195" s="3337"/>
    </row>
    <row r="2196" spans="7:16" s="1634" customFormat="1">
      <c r="G2196" s="3336"/>
      <c r="P2196" s="3337"/>
    </row>
    <row r="2197" spans="7:16" s="1634" customFormat="1">
      <c r="G2197" s="3336"/>
      <c r="P2197" s="3337"/>
    </row>
    <row r="2198" spans="7:16" s="1634" customFormat="1">
      <c r="G2198" s="3336"/>
      <c r="P2198" s="3337"/>
    </row>
    <row r="2199" spans="7:16" s="1634" customFormat="1">
      <c r="G2199" s="3336"/>
      <c r="P2199" s="3337"/>
    </row>
    <row r="2200" spans="7:16" s="1634" customFormat="1">
      <c r="G2200" s="3336"/>
      <c r="P2200" s="3337"/>
    </row>
    <row r="2201" spans="7:16" s="1634" customFormat="1">
      <c r="G2201" s="3336"/>
      <c r="P2201" s="3337"/>
    </row>
    <row r="2202" spans="7:16" s="1634" customFormat="1">
      <c r="G2202" s="3336"/>
      <c r="P2202" s="3337"/>
    </row>
    <row r="2203" spans="7:16" s="1634" customFormat="1">
      <c r="G2203" s="3336"/>
      <c r="P2203" s="3337"/>
    </row>
    <row r="2204" spans="7:16" s="1634" customFormat="1">
      <c r="G2204" s="3336"/>
      <c r="P2204" s="3337"/>
    </row>
    <row r="2205" spans="7:16" s="1634" customFormat="1">
      <c r="G2205" s="3336"/>
      <c r="P2205" s="3337"/>
    </row>
    <row r="2206" spans="7:16" s="1634" customFormat="1">
      <c r="G2206" s="3336"/>
      <c r="P2206" s="3337"/>
    </row>
    <row r="2207" spans="7:16" s="1634" customFormat="1">
      <c r="G2207" s="3336"/>
      <c r="P2207" s="3337"/>
    </row>
    <row r="2208" spans="7:16" s="1634" customFormat="1">
      <c r="G2208" s="3336"/>
      <c r="P2208" s="3337"/>
    </row>
    <row r="2209" spans="7:16" s="1634" customFormat="1">
      <c r="G2209" s="3336"/>
      <c r="P2209" s="3337"/>
    </row>
    <row r="2210" spans="7:16" s="1634" customFormat="1">
      <c r="G2210" s="3336"/>
      <c r="P2210" s="3337"/>
    </row>
    <row r="2211" spans="7:16" s="1634" customFormat="1">
      <c r="G2211" s="3336"/>
      <c r="P2211" s="3337"/>
    </row>
    <row r="2212" spans="7:16" s="1634" customFormat="1">
      <c r="G2212" s="3336"/>
      <c r="P2212" s="3337"/>
    </row>
    <row r="2213" spans="7:16" s="1634" customFormat="1">
      <c r="G2213" s="3336"/>
      <c r="P2213" s="3337"/>
    </row>
    <row r="2214" spans="7:16" s="1634" customFormat="1">
      <c r="G2214" s="3336"/>
      <c r="P2214" s="3337"/>
    </row>
    <row r="2215" spans="7:16" s="1634" customFormat="1">
      <c r="G2215" s="3336"/>
      <c r="P2215" s="3337"/>
    </row>
    <row r="2216" spans="7:16" s="1634" customFormat="1">
      <c r="G2216" s="3336"/>
      <c r="P2216" s="3337"/>
    </row>
    <row r="2217" spans="7:16" s="1634" customFormat="1">
      <c r="G2217" s="3336"/>
      <c r="P2217" s="3337"/>
    </row>
    <row r="2218" spans="7:16" s="1634" customFormat="1">
      <c r="G2218" s="3336"/>
      <c r="P2218" s="3337"/>
    </row>
    <row r="2219" spans="7:16" s="1634" customFormat="1">
      <c r="G2219" s="3336"/>
      <c r="P2219" s="3337"/>
    </row>
    <row r="2220" spans="7:16" s="1634" customFormat="1">
      <c r="G2220" s="3336"/>
      <c r="P2220" s="3337"/>
    </row>
    <row r="2221" spans="7:16" s="1634" customFormat="1">
      <c r="G2221" s="3336"/>
      <c r="P2221" s="3337"/>
    </row>
    <row r="2222" spans="7:16" s="1634" customFormat="1">
      <c r="G2222" s="3336"/>
      <c r="P2222" s="3337"/>
    </row>
    <row r="2223" spans="7:16" s="1634" customFormat="1">
      <c r="G2223" s="3336"/>
      <c r="P2223" s="3337"/>
    </row>
    <row r="2224" spans="7:16" s="1634" customFormat="1">
      <c r="G2224" s="3336"/>
      <c r="P2224" s="3337"/>
    </row>
    <row r="2225" spans="7:16" s="1634" customFormat="1">
      <c r="G2225" s="3336"/>
      <c r="P2225" s="3337"/>
    </row>
    <row r="2226" spans="7:16" s="1634" customFormat="1">
      <c r="G2226" s="3336"/>
      <c r="P2226" s="3337"/>
    </row>
    <row r="2227" spans="7:16" s="1634" customFormat="1">
      <c r="G2227" s="3336"/>
      <c r="P2227" s="3337"/>
    </row>
    <row r="2228" spans="7:16" s="1634" customFormat="1">
      <c r="G2228" s="3336"/>
      <c r="P2228" s="3337"/>
    </row>
    <row r="2229" spans="7:16" s="1634" customFormat="1">
      <c r="G2229" s="3336"/>
      <c r="P2229" s="3337"/>
    </row>
    <row r="2230" spans="7:16" s="1634" customFormat="1">
      <c r="G2230" s="3336"/>
      <c r="P2230" s="3337"/>
    </row>
    <row r="2231" spans="7:16" s="1634" customFormat="1">
      <c r="G2231" s="3336"/>
      <c r="P2231" s="3337"/>
    </row>
    <row r="2232" spans="7:16" s="1634" customFormat="1">
      <c r="G2232" s="3336"/>
      <c r="P2232" s="3337"/>
    </row>
    <row r="2233" spans="7:16" s="1634" customFormat="1">
      <c r="G2233" s="3336"/>
      <c r="P2233" s="3337"/>
    </row>
    <row r="2234" spans="7:16" s="1634" customFormat="1">
      <c r="G2234" s="3336"/>
      <c r="P2234" s="3337"/>
    </row>
    <row r="2235" spans="7:16" s="1634" customFormat="1">
      <c r="G2235" s="3336"/>
      <c r="P2235" s="3337"/>
    </row>
    <row r="2236" spans="7:16" s="1634" customFormat="1">
      <c r="G2236" s="3336"/>
      <c r="P2236" s="3337"/>
    </row>
    <row r="2237" spans="7:16" s="1634" customFormat="1">
      <c r="G2237" s="3336"/>
      <c r="P2237" s="3337"/>
    </row>
    <row r="2238" spans="7:16" s="1634" customFormat="1">
      <c r="G2238" s="3336"/>
      <c r="P2238" s="3337"/>
    </row>
    <row r="2239" spans="7:16" s="1634" customFormat="1">
      <c r="G2239" s="3336"/>
      <c r="P2239" s="3337"/>
    </row>
    <row r="2240" spans="7:16" s="1634" customFormat="1">
      <c r="G2240" s="3336"/>
      <c r="P2240" s="3337"/>
    </row>
    <row r="2241" spans="7:16" s="1634" customFormat="1">
      <c r="G2241" s="3336"/>
      <c r="P2241" s="3337"/>
    </row>
    <row r="2242" spans="7:16" s="1634" customFormat="1">
      <c r="G2242" s="3336"/>
      <c r="P2242" s="3337"/>
    </row>
    <row r="2243" spans="7:16" s="1634" customFormat="1">
      <c r="G2243" s="3336"/>
      <c r="P2243" s="3337"/>
    </row>
    <row r="2244" spans="7:16" s="1634" customFormat="1">
      <c r="G2244" s="3336"/>
      <c r="P2244" s="3337"/>
    </row>
    <row r="2245" spans="7:16" s="1634" customFormat="1">
      <c r="G2245" s="3336"/>
      <c r="P2245" s="3337"/>
    </row>
    <row r="2246" spans="7:16" s="1634" customFormat="1">
      <c r="G2246" s="3336"/>
      <c r="P2246" s="3337"/>
    </row>
    <row r="2247" spans="7:16" s="1634" customFormat="1">
      <c r="G2247" s="3336"/>
      <c r="P2247" s="3337"/>
    </row>
    <row r="2248" spans="7:16" s="1634" customFormat="1">
      <c r="G2248" s="3336"/>
      <c r="P2248" s="3337"/>
    </row>
    <row r="2249" spans="7:16" s="1634" customFormat="1">
      <c r="G2249" s="3336"/>
      <c r="P2249" s="3337"/>
    </row>
    <row r="2250" spans="7:16" s="1634" customFormat="1">
      <c r="G2250" s="3336"/>
      <c r="P2250" s="3337"/>
    </row>
    <row r="2251" spans="7:16" s="1634" customFormat="1">
      <c r="G2251" s="3336"/>
      <c r="P2251" s="3337"/>
    </row>
    <row r="2252" spans="7:16" s="1634" customFormat="1">
      <c r="G2252" s="3336"/>
      <c r="P2252" s="3337"/>
    </row>
    <row r="2253" spans="7:16" s="1634" customFormat="1">
      <c r="G2253" s="3336"/>
      <c r="P2253" s="3337"/>
    </row>
    <row r="2254" spans="7:16" s="1634" customFormat="1">
      <c r="G2254" s="3336"/>
      <c r="P2254" s="3337"/>
    </row>
    <row r="2255" spans="7:16" s="1634" customFormat="1">
      <c r="G2255" s="3336"/>
      <c r="P2255" s="3337"/>
    </row>
    <row r="2256" spans="7:16" s="1634" customFormat="1">
      <c r="G2256" s="3336"/>
      <c r="P2256" s="3337"/>
    </row>
    <row r="2257" spans="7:16" s="1634" customFormat="1">
      <c r="G2257" s="3336"/>
      <c r="P2257" s="3337"/>
    </row>
    <row r="2258" spans="7:16" s="1634" customFormat="1">
      <c r="G2258" s="3336"/>
      <c r="P2258" s="3337"/>
    </row>
    <row r="2259" spans="7:16" s="1634" customFormat="1">
      <c r="G2259" s="3336"/>
      <c r="P2259" s="3337"/>
    </row>
    <row r="2260" spans="7:16" s="1634" customFormat="1">
      <c r="G2260" s="3336"/>
      <c r="P2260" s="3337"/>
    </row>
    <row r="2261" spans="7:16" s="1634" customFormat="1">
      <c r="G2261" s="3336"/>
      <c r="P2261" s="3337"/>
    </row>
    <row r="2262" spans="7:16" s="1634" customFormat="1">
      <c r="G2262" s="3336"/>
      <c r="P2262" s="3337"/>
    </row>
    <row r="2263" spans="7:16" s="1634" customFormat="1">
      <c r="G2263" s="3336"/>
      <c r="P2263" s="3337"/>
    </row>
    <row r="2264" spans="7:16" s="1634" customFormat="1">
      <c r="G2264" s="3336"/>
      <c r="P2264" s="3337"/>
    </row>
    <row r="2265" spans="7:16" s="1634" customFormat="1">
      <c r="G2265" s="3336"/>
      <c r="P2265" s="3337"/>
    </row>
    <row r="2266" spans="7:16" s="1634" customFormat="1">
      <c r="G2266" s="3336"/>
      <c r="P2266" s="3337"/>
    </row>
    <row r="2267" spans="7:16" s="1634" customFormat="1">
      <c r="G2267" s="3336"/>
      <c r="P2267" s="3337"/>
    </row>
    <row r="2268" spans="7:16" s="1634" customFormat="1">
      <c r="G2268" s="3336"/>
      <c r="P2268" s="3337"/>
    </row>
    <row r="2269" spans="7:16" s="1634" customFormat="1">
      <c r="G2269" s="3336"/>
      <c r="P2269" s="3337"/>
    </row>
    <row r="2270" spans="7:16" s="1634" customFormat="1">
      <c r="G2270" s="3336"/>
      <c r="P2270" s="3337"/>
    </row>
    <row r="2271" spans="7:16" s="1634" customFormat="1">
      <c r="G2271" s="3336"/>
      <c r="P2271" s="3337"/>
    </row>
    <row r="2272" spans="7:16" s="1634" customFormat="1">
      <c r="G2272" s="3336"/>
      <c r="P2272" s="3337"/>
    </row>
    <row r="2273" spans="7:16" s="1634" customFormat="1">
      <c r="G2273" s="3336"/>
      <c r="P2273" s="3337"/>
    </row>
    <row r="2274" spans="7:16" s="1634" customFormat="1">
      <c r="G2274" s="3336"/>
      <c r="P2274" s="3337"/>
    </row>
    <row r="2275" spans="7:16" s="1634" customFormat="1">
      <c r="G2275" s="3336"/>
      <c r="P2275" s="3337"/>
    </row>
    <row r="2276" spans="7:16" s="1634" customFormat="1">
      <c r="G2276" s="3336"/>
      <c r="P2276" s="3337"/>
    </row>
    <row r="2277" spans="7:16" s="1634" customFormat="1">
      <c r="G2277" s="3336"/>
      <c r="P2277" s="3337"/>
    </row>
    <row r="2278" spans="7:16" s="1634" customFormat="1">
      <c r="G2278" s="3336"/>
      <c r="P2278" s="3337"/>
    </row>
    <row r="2279" spans="7:16" s="1634" customFormat="1">
      <c r="G2279" s="3336"/>
      <c r="P2279" s="3337"/>
    </row>
    <row r="2280" spans="7:16" s="1634" customFormat="1">
      <c r="G2280" s="3336"/>
      <c r="P2280" s="3337"/>
    </row>
    <row r="2281" spans="7:16" s="1634" customFormat="1">
      <c r="G2281" s="3336"/>
      <c r="P2281" s="3337"/>
    </row>
    <row r="2282" spans="7:16" s="1634" customFormat="1">
      <c r="G2282" s="3336"/>
      <c r="P2282" s="3337"/>
    </row>
    <row r="2283" spans="7:16" s="1634" customFormat="1">
      <c r="G2283" s="3336"/>
      <c r="P2283" s="3337"/>
    </row>
    <row r="2284" spans="7:16" s="1634" customFormat="1">
      <c r="G2284" s="3336"/>
      <c r="P2284" s="3337"/>
    </row>
    <row r="2285" spans="7:16" s="1634" customFormat="1">
      <c r="G2285" s="3336"/>
      <c r="P2285" s="3337"/>
    </row>
    <row r="2286" spans="7:16" s="1634" customFormat="1">
      <c r="G2286" s="3336"/>
      <c r="P2286" s="3337"/>
    </row>
    <row r="2287" spans="7:16" s="1634" customFormat="1">
      <c r="G2287" s="3336"/>
      <c r="P2287" s="3337"/>
    </row>
    <row r="2288" spans="7:16" s="1634" customFormat="1">
      <c r="G2288" s="3336"/>
      <c r="P2288" s="3337"/>
    </row>
    <row r="2289" spans="7:16" s="1634" customFormat="1">
      <c r="G2289" s="3336"/>
      <c r="P2289" s="3337"/>
    </row>
    <row r="2290" spans="7:16" s="1634" customFormat="1">
      <c r="G2290" s="3336"/>
      <c r="P2290" s="3337"/>
    </row>
    <row r="2291" spans="7:16" s="1634" customFormat="1">
      <c r="G2291" s="3336"/>
      <c r="P2291" s="3337"/>
    </row>
    <row r="2292" spans="7:16" s="1634" customFormat="1">
      <c r="G2292" s="3336"/>
      <c r="P2292" s="3337"/>
    </row>
    <row r="2293" spans="7:16" s="1634" customFormat="1">
      <c r="G2293" s="3336"/>
      <c r="P2293" s="3337"/>
    </row>
    <row r="2294" spans="7:16" s="1634" customFormat="1">
      <c r="G2294" s="3336"/>
      <c r="P2294" s="3337"/>
    </row>
    <row r="2295" spans="7:16" s="1634" customFormat="1">
      <c r="G2295" s="3336"/>
      <c r="P2295" s="3337"/>
    </row>
    <row r="2296" spans="7:16" s="1634" customFormat="1">
      <c r="G2296" s="3336"/>
      <c r="P2296" s="3337"/>
    </row>
    <row r="2297" spans="7:16" s="1634" customFormat="1">
      <c r="G2297" s="3336"/>
      <c r="P2297" s="3337"/>
    </row>
    <row r="2298" spans="7:16" s="1634" customFormat="1">
      <c r="G2298" s="3336"/>
      <c r="P2298" s="3337"/>
    </row>
    <row r="2299" spans="7:16" s="1634" customFormat="1">
      <c r="G2299" s="3336"/>
      <c r="P2299" s="3337"/>
    </row>
    <row r="2300" spans="7:16" s="1634" customFormat="1">
      <c r="G2300" s="3336"/>
      <c r="P2300" s="3337"/>
    </row>
    <row r="2301" spans="7:16" s="1634" customFormat="1">
      <c r="G2301" s="3336"/>
      <c r="P2301" s="3337"/>
    </row>
    <row r="2302" spans="7:16" s="1634" customFormat="1">
      <c r="G2302" s="3336"/>
      <c r="P2302" s="3337"/>
    </row>
    <row r="2303" spans="7:16" s="1634" customFormat="1">
      <c r="G2303" s="3336"/>
      <c r="P2303" s="3337"/>
    </row>
    <row r="2304" spans="7:16" s="1634" customFormat="1">
      <c r="G2304" s="3336"/>
      <c r="P2304" s="3337"/>
    </row>
    <row r="2305" spans="7:16" s="1634" customFormat="1">
      <c r="G2305" s="3336"/>
      <c r="P2305" s="3337"/>
    </row>
    <row r="2306" spans="7:16" s="1634" customFormat="1">
      <c r="G2306" s="3336"/>
      <c r="P2306" s="3337"/>
    </row>
    <row r="2307" spans="7:16" s="1634" customFormat="1">
      <c r="G2307" s="3336"/>
      <c r="P2307" s="3337"/>
    </row>
    <row r="2308" spans="7:16" s="1634" customFormat="1">
      <c r="G2308" s="3336"/>
      <c r="P2308" s="3337"/>
    </row>
    <row r="2309" spans="7:16" s="1634" customFormat="1">
      <c r="G2309" s="3336"/>
      <c r="P2309" s="3337"/>
    </row>
    <row r="2310" spans="7:16" s="1634" customFormat="1">
      <c r="G2310" s="3336"/>
      <c r="P2310" s="3337"/>
    </row>
    <row r="2311" spans="7:16" s="1634" customFormat="1">
      <c r="G2311" s="3336"/>
      <c r="P2311" s="3337"/>
    </row>
    <row r="2312" spans="7:16" s="1634" customFormat="1">
      <c r="G2312" s="3336"/>
      <c r="P2312" s="3337"/>
    </row>
    <row r="2313" spans="7:16" s="1634" customFormat="1">
      <c r="G2313" s="3336"/>
      <c r="P2313" s="3337"/>
    </row>
    <row r="2314" spans="7:16" s="1634" customFormat="1">
      <c r="G2314" s="3336"/>
      <c r="P2314" s="3337"/>
    </row>
    <row r="2315" spans="7:16" s="1634" customFormat="1">
      <c r="G2315" s="3336"/>
      <c r="P2315" s="3337"/>
    </row>
    <row r="2316" spans="7:16" s="1634" customFormat="1">
      <c r="G2316" s="3336"/>
      <c r="P2316" s="3337"/>
    </row>
    <row r="2317" spans="7:16" s="1634" customFormat="1">
      <c r="G2317" s="3336"/>
      <c r="P2317" s="3337"/>
    </row>
    <row r="2318" spans="7:16" s="1634" customFormat="1">
      <c r="G2318" s="3336"/>
      <c r="P2318" s="3337"/>
    </row>
    <row r="2319" spans="7:16" s="1634" customFormat="1">
      <c r="G2319" s="3336"/>
      <c r="P2319" s="3337"/>
    </row>
    <row r="2320" spans="7:16" s="1634" customFormat="1">
      <c r="G2320" s="3336"/>
      <c r="P2320" s="3337"/>
    </row>
    <row r="2321" spans="7:16" s="1634" customFormat="1">
      <c r="G2321" s="3336"/>
      <c r="P2321" s="3337"/>
    </row>
    <row r="2322" spans="7:16" s="1634" customFormat="1">
      <c r="G2322" s="3336"/>
      <c r="P2322" s="3337"/>
    </row>
    <row r="2323" spans="7:16" s="1634" customFormat="1">
      <c r="G2323" s="3336"/>
      <c r="P2323" s="3337"/>
    </row>
    <row r="2324" spans="7:16" s="1634" customFormat="1">
      <c r="G2324" s="3336"/>
      <c r="P2324" s="3337"/>
    </row>
    <row r="2325" spans="7:16" s="1634" customFormat="1">
      <c r="G2325" s="3336"/>
      <c r="P2325" s="3337"/>
    </row>
    <row r="2326" spans="7:16" s="1634" customFormat="1">
      <c r="G2326" s="3336"/>
      <c r="P2326" s="3337"/>
    </row>
    <row r="2327" spans="7:16" s="1634" customFormat="1">
      <c r="G2327" s="3336"/>
      <c r="P2327" s="3337"/>
    </row>
    <row r="2328" spans="7:16" s="1634" customFormat="1">
      <c r="G2328" s="3336"/>
      <c r="P2328" s="3337"/>
    </row>
    <row r="2329" spans="7:16" s="1634" customFormat="1">
      <c r="G2329" s="3336"/>
      <c r="P2329" s="3337"/>
    </row>
    <row r="2330" spans="7:16" s="1634" customFormat="1">
      <c r="G2330" s="3336"/>
      <c r="P2330" s="3337"/>
    </row>
    <row r="2331" spans="7:16" s="1634" customFormat="1">
      <c r="G2331" s="3336"/>
      <c r="P2331" s="3337"/>
    </row>
    <row r="2332" spans="7:16" s="1634" customFormat="1">
      <c r="G2332" s="3336"/>
      <c r="P2332" s="3337"/>
    </row>
    <row r="2333" spans="7:16" s="1634" customFormat="1">
      <c r="G2333" s="3336"/>
      <c r="P2333" s="3337"/>
    </row>
    <row r="2334" spans="7:16" s="1634" customFormat="1">
      <c r="G2334" s="3336"/>
      <c r="P2334" s="3337"/>
    </row>
    <row r="2335" spans="7:16" s="1634" customFormat="1">
      <c r="G2335" s="3336"/>
      <c r="P2335" s="3337"/>
    </row>
    <row r="2336" spans="7:16" s="1634" customFormat="1">
      <c r="G2336" s="3336"/>
      <c r="P2336" s="3337"/>
    </row>
    <row r="2337" spans="7:16" s="1634" customFormat="1">
      <c r="G2337" s="3336"/>
      <c r="P2337" s="3337"/>
    </row>
    <row r="2338" spans="7:16" s="1634" customFormat="1">
      <c r="G2338" s="3336"/>
      <c r="P2338" s="3337"/>
    </row>
    <row r="2339" spans="7:16" s="1634" customFormat="1">
      <c r="G2339" s="3336"/>
      <c r="P2339" s="3337"/>
    </row>
    <row r="2340" spans="7:16" s="1634" customFormat="1">
      <c r="G2340" s="3336"/>
      <c r="P2340" s="3337"/>
    </row>
    <row r="2341" spans="7:16" s="1634" customFormat="1">
      <c r="G2341" s="3336"/>
      <c r="P2341" s="3337"/>
    </row>
    <row r="2342" spans="7:16" s="1634" customFormat="1">
      <c r="G2342" s="3336"/>
      <c r="P2342" s="3337"/>
    </row>
    <row r="2343" spans="7:16" s="1634" customFormat="1">
      <c r="G2343" s="3336"/>
      <c r="P2343" s="3337"/>
    </row>
    <row r="2344" spans="7:16" s="1634" customFormat="1">
      <c r="G2344" s="3336"/>
      <c r="P2344" s="3337"/>
    </row>
    <row r="2345" spans="7:16" s="1634" customFormat="1">
      <c r="G2345" s="3336"/>
      <c r="P2345" s="3337"/>
    </row>
    <row r="2346" spans="7:16" s="1634" customFormat="1">
      <c r="G2346" s="3336"/>
      <c r="P2346" s="3337"/>
    </row>
    <row r="2347" spans="7:16" s="1634" customFormat="1">
      <c r="G2347" s="3336"/>
      <c r="P2347" s="3337"/>
    </row>
    <row r="2348" spans="7:16" s="1634" customFormat="1">
      <c r="G2348" s="3336"/>
      <c r="P2348" s="3337"/>
    </row>
    <row r="2349" spans="7:16" s="1634" customFormat="1">
      <c r="G2349" s="3336"/>
      <c r="P2349" s="3337"/>
    </row>
    <row r="2350" spans="7:16" s="1634" customFormat="1">
      <c r="G2350" s="3336"/>
      <c r="P2350" s="3337"/>
    </row>
    <row r="2351" spans="7:16" s="1634" customFormat="1">
      <c r="G2351" s="3336"/>
      <c r="P2351" s="3337"/>
    </row>
    <row r="2352" spans="7:16" s="1634" customFormat="1">
      <c r="G2352" s="3336"/>
      <c r="P2352" s="3337"/>
    </row>
    <row r="2353" spans="7:16" s="1634" customFormat="1">
      <c r="G2353" s="3336"/>
      <c r="P2353" s="3337"/>
    </row>
    <row r="2354" spans="7:16" s="1634" customFormat="1">
      <c r="G2354" s="3336"/>
      <c r="P2354" s="3337"/>
    </row>
    <row r="2355" spans="7:16" s="1634" customFormat="1">
      <c r="G2355" s="3336"/>
      <c r="P2355" s="3337"/>
    </row>
    <row r="2356" spans="7:16" s="1634" customFormat="1">
      <c r="G2356" s="3336"/>
      <c r="P2356" s="3337"/>
    </row>
    <row r="2357" spans="7:16" s="1634" customFormat="1">
      <c r="G2357" s="3336"/>
      <c r="P2357" s="3337"/>
    </row>
    <row r="2358" spans="7:16" s="1634" customFormat="1">
      <c r="G2358" s="3336"/>
      <c r="P2358" s="3337"/>
    </row>
    <row r="2359" spans="7:16" s="1634" customFormat="1">
      <c r="G2359" s="3336"/>
      <c r="P2359" s="3337"/>
    </row>
    <row r="2360" spans="7:16" s="1634" customFormat="1">
      <c r="G2360" s="3336"/>
      <c r="P2360" s="3337"/>
    </row>
    <row r="2361" spans="7:16" s="1634" customFormat="1">
      <c r="G2361" s="3336"/>
      <c r="P2361" s="3337"/>
    </row>
    <row r="2362" spans="7:16" s="1634" customFormat="1">
      <c r="G2362" s="3336"/>
      <c r="P2362" s="3337"/>
    </row>
    <row r="2363" spans="7:16" s="1634" customFormat="1">
      <c r="G2363" s="3336"/>
      <c r="P2363" s="3337"/>
    </row>
    <row r="2364" spans="7:16" s="1634" customFormat="1">
      <c r="G2364" s="3336"/>
      <c r="P2364" s="3337"/>
    </row>
    <row r="2365" spans="7:16" s="1634" customFormat="1">
      <c r="G2365" s="3336"/>
      <c r="P2365" s="3337"/>
    </row>
    <row r="2366" spans="7:16" s="1634" customFormat="1">
      <c r="G2366" s="3336"/>
      <c r="P2366" s="3337"/>
    </row>
    <row r="2367" spans="7:16" s="1634" customFormat="1">
      <c r="G2367" s="3336"/>
      <c r="P2367" s="3337"/>
    </row>
    <row r="2368" spans="7:16" s="1634" customFormat="1">
      <c r="G2368" s="3336"/>
      <c r="P2368" s="3337"/>
    </row>
    <row r="2369" spans="7:16" s="1634" customFormat="1">
      <c r="G2369" s="3336"/>
      <c r="P2369" s="3337"/>
    </row>
    <row r="2370" spans="7:16" s="1634" customFormat="1">
      <c r="G2370" s="3336"/>
      <c r="P2370" s="3337"/>
    </row>
    <row r="2371" spans="7:16" s="1634" customFormat="1">
      <c r="G2371" s="3336"/>
      <c r="P2371" s="3337"/>
    </row>
    <row r="2372" spans="7:16" s="1634" customFormat="1">
      <c r="G2372" s="3336"/>
      <c r="P2372" s="3337"/>
    </row>
    <row r="2373" spans="7:16" s="1634" customFormat="1">
      <c r="G2373" s="3336"/>
      <c r="P2373" s="3337"/>
    </row>
    <row r="2374" spans="7:16" s="1634" customFormat="1">
      <c r="G2374" s="3336"/>
      <c r="P2374" s="3337"/>
    </row>
    <row r="2375" spans="7:16" s="1634" customFormat="1">
      <c r="G2375" s="3336"/>
      <c r="P2375" s="3337"/>
    </row>
    <row r="2376" spans="7:16" s="1634" customFormat="1">
      <c r="G2376" s="3336"/>
      <c r="P2376" s="3337"/>
    </row>
    <row r="2377" spans="7:16" s="1634" customFormat="1">
      <c r="G2377" s="3336"/>
      <c r="P2377" s="3337"/>
    </row>
    <row r="2378" spans="7:16" s="1634" customFormat="1">
      <c r="G2378" s="3336"/>
      <c r="P2378" s="3337"/>
    </row>
    <row r="2379" spans="7:16" s="1634" customFormat="1">
      <c r="G2379" s="3336"/>
      <c r="P2379" s="3337"/>
    </row>
    <row r="2380" spans="7:16" s="1634" customFormat="1">
      <c r="G2380" s="3336"/>
      <c r="P2380" s="3337"/>
    </row>
    <row r="2381" spans="7:16" s="1634" customFormat="1">
      <c r="G2381" s="3336"/>
      <c r="P2381" s="3337"/>
    </row>
    <row r="2382" spans="7:16" s="1634" customFormat="1">
      <c r="G2382" s="3336"/>
      <c r="P2382" s="3337"/>
    </row>
    <row r="2383" spans="7:16" s="1634" customFormat="1">
      <c r="G2383" s="3336"/>
      <c r="P2383" s="3337"/>
    </row>
    <row r="2384" spans="7:16" s="1634" customFormat="1">
      <c r="G2384" s="3336"/>
      <c r="P2384" s="3337"/>
    </row>
    <row r="2385" spans="7:16" s="1634" customFormat="1">
      <c r="G2385" s="3336"/>
      <c r="P2385" s="3337"/>
    </row>
    <row r="2386" spans="7:16" s="1634" customFormat="1">
      <c r="G2386" s="3336"/>
      <c r="P2386" s="3337"/>
    </row>
    <row r="2387" spans="7:16" s="1634" customFormat="1">
      <c r="G2387" s="3336"/>
      <c r="P2387" s="3337"/>
    </row>
    <row r="2388" spans="7:16" s="1634" customFormat="1">
      <c r="G2388" s="3336"/>
      <c r="P2388" s="3337"/>
    </row>
    <row r="2389" spans="7:16" s="1634" customFormat="1">
      <c r="G2389" s="3336"/>
      <c r="P2389" s="3337"/>
    </row>
    <row r="2390" spans="7:16" s="1634" customFormat="1">
      <c r="G2390" s="3336"/>
      <c r="P2390" s="3337"/>
    </row>
    <row r="2391" spans="7:16" s="1634" customFormat="1">
      <c r="G2391" s="3336"/>
      <c r="P2391" s="3337"/>
    </row>
    <row r="2392" spans="7:16" s="1634" customFormat="1">
      <c r="G2392" s="3336"/>
      <c r="P2392" s="3337"/>
    </row>
    <row r="2393" spans="7:16" s="1634" customFormat="1">
      <c r="G2393" s="3336"/>
      <c r="P2393" s="3337"/>
    </row>
    <row r="2394" spans="7:16" s="1634" customFormat="1">
      <c r="G2394" s="3336"/>
      <c r="P2394" s="3337"/>
    </row>
    <row r="2395" spans="7:16" s="1634" customFormat="1">
      <c r="G2395" s="3336"/>
      <c r="P2395" s="3337"/>
    </row>
    <row r="2396" spans="7:16" s="1634" customFormat="1">
      <c r="G2396" s="3336"/>
      <c r="P2396" s="3337"/>
    </row>
    <row r="2397" spans="7:16" s="1634" customFormat="1">
      <c r="G2397" s="3336"/>
      <c r="P2397" s="3337"/>
    </row>
    <row r="2398" spans="7:16" s="1634" customFormat="1">
      <c r="G2398" s="3336"/>
      <c r="P2398" s="3337"/>
    </row>
    <row r="2399" spans="7:16" s="1634" customFormat="1">
      <c r="G2399" s="3336"/>
      <c r="P2399" s="3337"/>
    </row>
    <row r="2400" spans="7:16" s="1634" customFormat="1">
      <c r="G2400" s="3336"/>
      <c r="P2400" s="3337"/>
    </row>
    <row r="2401" spans="7:16" s="1634" customFormat="1">
      <c r="G2401" s="3336"/>
      <c r="P2401" s="3337"/>
    </row>
    <row r="2402" spans="7:16" s="1634" customFormat="1">
      <c r="G2402" s="3336"/>
      <c r="P2402" s="3337"/>
    </row>
    <row r="2403" spans="7:16" s="1634" customFormat="1">
      <c r="G2403" s="3336"/>
      <c r="P2403" s="3337"/>
    </row>
    <row r="2404" spans="7:16" s="1634" customFormat="1">
      <c r="G2404" s="3336"/>
      <c r="P2404" s="3337"/>
    </row>
    <row r="2405" spans="7:16" s="1634" customFormat="1">
      <c r="G2405" s="3336"/>
      <c r="P2405" s="3337"/>
    </row>
    <row r="2406" spans="7:16" s="1634" customFormat="1">
      <c r="G2406" s="3336"/>
      <c r="P2406" s="3337"/>
    </row>
    <row r="2407" spans="7:16" s="1634" customFormat="1">
      <c r="G2407" s="3336"/>
      <c r="P2407" s="3337"/>
    </row>
    <row r="2408" spans="7:16" s="1634" customFormat="1">
      <c r="G2408" s="3336"/>
      <c r="P2408" s="3337"/>
    </row>
    <row r="2409" spans="7:16" s="1634" customFormat="1">
      <c r="G2409" s="3336"/>
      <c r="P2409" s="3337"/>
    </row>
    <row r="2410" spans="7:16" s="1634" customFormat="1">
      <c r="G2410" s="3336"/>
      <c r="P2410" s="3337"/>
    </row>
    <row r="2411" spans="7:16" s="1634" customFormat="1">
      <c r="G2411" s="3336"/>
      <c r="P2411" s="3337"/>
    </row>
    <row r="2412" spans="7:16" s="1634" customFormat="1">
      <c r="G2412" s="3336"/>
      <c r="P2412" s="3337"/>
    </row>
    <row r="2413" spans="7:16" s="1634" customFormat="1">
      <c r="G2413" s="3336"/>
      <c r="P2413" s="3337"/>
    </row>
    <row r="2414" spans="7:16" s="1634" customFormat="1">
      <c r="G2414" s="3336"/>
      <c r="P2414" s="3337"/>
    </row>
    <row r="2415" spans="7:16" s="1634" customFormat="1">
      <c r="G2415" s="3336"/>
      <c r="P2415" s="3337"/>
    </row>
    <row r="2416" spans="7:16" s="1634" customFormat="1">
      <c r="G2416" s="3336"/>
      <c r="P2416" s="3337"/>
    </row>
    <row r="2417" spans="7:16" s="1634" customFormat="1">
      <c r="G2417" s="3336"/>
      <c r="P2417" s="3337"/>
    </row>
    <row r="2418" spans="7:16" s="1634" customFormat="1">
      <c r="G2418" s="3336"/>
      <c r="P2418" s="3337"/>
    </row>
    <row r="2419" spans="7:16" s="1634" customFormat="1">
      <c r="G2419" s="3336"/>
      <c r="P2419" s="3337"/>
    </row>
    <row r="2420" spans="7:16" s="1634" customFormat="1">
      <c r="G2420" s="3336"/>
      <c r="P2420" s="3337"/>
    </row>
    <row r="2421" spans="7:16" s="1634" customFormat="1">
      <c r="G2421" s="3336"/>
      <c r="P2421" s="3337"/>
    </row>
    <row r="2422" spans="7:16" s="1634" customFormat="1">
      <c r="G2422" s="3336"/>
      <c r="P2422" s="3337"/>
    </row>
    <row r="2423" spans="7:16" s="1634" customFormat="1">
      <c r="G2423" s="3336"/>
      <c r="P2423" s="3337"/>
    </row>
    <row r="2424" spans="7:16" s="1634" customFormat="1">
      <c r="G2424" s="3336"/>
      <c r="P2424" s="3337"/>
    </row>
    <row r="2425" spans="7:16" s="1634" customFormat="1">
      <c r="G2425" s="3336"/>
      <c r="P2425" s="3337"/>
    </row>
    <row r="2426" spans="7:16" s="1634" customFormat="1">
      <c r="G2426" s="3336"/>
      <c r="P2426" s="3337"/>
    </row>
    <row r="2427" spans="7:16" s="1634" customFormat="1">
      <c r="G2427" s="3336"/>
      <c r="P2427" s="3337"/>
    </row>
    <row r="2428" spans="7:16" s="1634" customFormat="1">
      <c r="G2428" s="3336"/>
      <c r="P2428" s="3337"/>
    </row>
    <row r="2429" spans="7:16" s="1634" customFormat="1">
      <c r="G2429" s="3336"/>
      <c r="P2429" s="3337"/>
    </row>
    <row r="2430" spans="7:16" s="1634" customFormat="1">
      <c r="G2430" s="3336"/>
      <c r="P2430" s="3337"/>
    </row>
    <row r="2431" spans="7:16" s="1634" customFormat="1">
      <c r="G2431" s="3336"/>
      <c r="P2431" s="3337"/>
    </row>
    <row r="2432" spans="7:16" s="1634" customFormat="1">
      <c r="G2432" s="3336"/>
      <c r="P2432" s="3337"/>
    </row>
    <row r="2433" spans="7:16" s="1634" customFormat="1">
      <c r="G2433" s="3336"/>
      <c r="P2433" s="3337"/>
    </row>
    <row r="2434" spans="7:16" s="1634" customFormat="1">
      <c r="G2434" s="3336"/>
      <c r="P2434" s="3337"/>
    </row>
    <row r="2435" spans="7:16" s="1634" customFormat="1">
      <c r="G2435" s="3336"/>
      <c r="P2435" s="3337"/>
    </row>
    <row r="2436" spans="7:16" s="1634" customFormat="1">
      <c r="G2436" s="3336"/>
      <c r="P2436" s="3337"/>
    </row>
    <row r="2437" spans="7:16" s="1634" customFormat="1">
      <c r="G2437" s="3336"/>
      <c r="P2437" s="3337"/>
    </row>
    <row r="2438" spans="7:16" s="1634" customFormat="1">
      <c r="G2438" s="3336"/>
      <c r="P2438" s="3337"/>
    </row>
    <row r="2439" spans="7:16" s="1634" customFormat="1">
      <c r="G2439" s="3336"/>
      <c r="P2439" s="3337"/>
    </row>
    <row r="2440" spans="7:16" s="1634" customFormat="1">
      <c r="G2440" s="3336"/>
      <c r="P2440" s="3337"/>
    </row>
    <row r="2441" spans="7:16" s="1634" customFormat="1">
      <c r="G2441" s="3336"/>
      <c r="P2441" s="3337"/>
    </row>
    <row r="2442" spans="7:16" s="1634" customFormat="1">
      <c r="G2442" s="3336"/>
      <c r="P2442" s="3337"/>
    </row>
    <row r="2443" spans="7:16" s="1634" customFormat="1">
      <c r="G2443" s="3336"/>
      <c r="P2443" s="3337"/>
    </row>
    <row r="2444" spans="7:16" s="1634" customFormat="1">
      <c r="G2444" s="3336"/>
      <c r="P2444" s="3337"/>
    </row>
    <row r="2445" spans="7:16" s="1634" customFormat="1">
      <c r="G2445" s="3336"/>
      <c r="P2445" s="3337"/>
    </row>
    <row r="2446" spans="7:16" s="1634" customFormat="1">
      <c r="G2446" s="3336"/>
      <c r="P2446" s="3337"/>
    </row>
    <row r="2447" spans="7:16" s="1634" customFormat="1">
      <c r="G2447" s="3336"/>
      <c r="P2447" s="3337"/>
    </row>
    <row r="2448" spans="7:16" s="1634" customFormat="1">
      <c r="G2448" s="3336"/>
      <c r="P2448" s="3337"/>
    </row>
    <row r="2449" spans="7:16" s="1634" customFormat="1">
      <c r="G2449" s="3336"/>
      <c r="P2449" s="3337"/>
    </row>
    <row r="2450" spans="7:16" s="1634" customFormat="1">
      <c r="G2450" s="3336"/>
      <c r="P2450" s="3337"/>
    </row>
    <row r="2451" spans="7:16" s="1634" customFormat="1">
      <c r="G2451" s="3336"/>
      <c r="P2451" s="3337"/>
    </row>
    <row r="2452" spans="7:16" s="1634" customFormat="1">
      <c r="G2452" s="3336"/>
      <c r="P2452" s="3337"/>
    </row>
    <row r="2453" spans="7:16" s="1634" customFormat="1">
      <c r="G2453" s="3336"/>
      <c r="P2453" s="3337"/>
    </row>
    <row r="2454" spans="7:16" s="1634" customFormat="1">
      <c r="G2454" s="3336"/>
      <c r="P2454" s="3337"/>
    </row>
    <row r="2455" spans="7:16" s="1634" customFormat="1">
      <c r="G2455" s="3336"/>
      <c r="P2455" s="3337"/>
    </row>
    <row r="2456" spans="7:16" s="1634" customFormat="1">
      <c r="G2456" s="3336"/>
      <c r="P2456" s="3337"/>
    </row>
    <row r="2457" spans="7:16" s="1634" customFormat="1">
      <c r="G2457" s="3336"/>
      <c r="P2457" s="3337"/>
    </row>
    <row r="2458" spans="7:16" s="1634" customFormat="1">
      <c r="G2458" s="3336"/>
      <c r="P2458" s="3337"/>
    </row>
    <row r="2459" spans="7:16" s="1634" customFormat="1">
      <c r="G2459" s="3336"/>
      <c r="P2459" s="3337"/>
    </row>
    <row r="2460" spans="7:16" s="1634" customFormat="1">
      <c r="G2460" s="3336"/>
      <c r="P2460" s="3337"/>
    </row>
    <row r="2461" spans="7:16" s="1634" customFormat="1">
      <c r="G2461" s="3336"/>
      <c r="P2461" s="3337"/>
    </row>
    <row r="2462" spans="7:16" s="1634" customFormat="1">
      <c r="G2462" s="3336"/>
      <c r="P2462" s="3337"/>
    </row>
    <row r="2463" spans="7:16" s="1634" customFormat="1">
      <c r="G2463" s="3336"/>
      <c r="P2463" s="3337"/>
    </row>
    <row r="2464" spans="7:16" s="1634" customFormat="1">
      <c r="G2464" s="3336"/>
      <c r="P2464" s="3337"/>
    </row>
    <row r="2465" spans="7:16" s="1634" customFormat="1">
      <c r="G2465" s="3336"/>
      <c r="P2465" s="3337"/>
    </row>
    <row r="2466" spans="7:16" s="1634" customFormat="1">
      <c r="G2466" s="3336"/>
      <c r="P2466" s="3337"/>
    </row>
    <row r="2467" spans="7:16" s="1634" customFormat="1">
      <c r="G2467" s="3336"/>
      <c r="P2467" s="3337"/>
    </row>
    <row r="2468" spans="7:16" s="1634" customFormat="1">
      <c r="G2468" s="3336"/>
      <c r="P2468" s="3337"/>
    </row>
    <row r="2469" spans="7:16" s="1634" customFormat="1">
      <c r="G2469" s="3336"/>
      <c r="P2469" s="3337"/>
    </row>
    <row r="2470" spans="7:16" s="1634" customFormat="1">
      <c r="G2470" s="3336"/>
      <c r="P2470" s="3337"/>
    </row>
    <row r="2471" spans="7:16" s="1634" customFormat="1">
      <c r="G2471" s="3336"/>
      <c r="P2471" s="3337"/>
    </row>
    <row r="2472" spans="7:16" s="1634" customFormat="1">
      <c r="G2472" s="3336"/>
      <c r="P2472" s="3337"/>
    </row>
    <row r="2473" spans="7:16" s="1634" customFormat="1">
      <c r="G2473" s="3336"/>
      <c r="P2473" s="3337"/>
    </row>
    <row r="2474" spans="7:16" s="1634" customFormat="1">
      <c r="G2474" s="3336"/>
      <c r="P2474" s="3337"/>
    </row>
    <row r="2475" spans="7:16" s="1634" customFormat="1">
      <c r="G2475" s="3336"/>
      <c r="P2475" s="3337"/>
    </row>
    <row r="2476" spans="7:16" s="1634" customFormat="1">
      <c r="G2476" s="3336"/>
      <c r="P2476" s="3337"/>
    </row>
    <row r="2477" spans="7:16" s="1634" customFormat="1">
      <c r="G2477" s="3336"/>
      <c r="P2477" s="3337"/>
    </row>
    <row r="2478" spans="7:16" s="1634" customFormat="1">
      <c r="G2478" s="3336"/>
      <c r="P2478" s="3337"/>
    </row>
    <row r="2479" spans="7:16" s="1634" customFormat="1">
      <c r="G2479" s="3336"/>
      <c r="P2479" s="3337"/>
    </row>
    <row r="2480" spans="7:16" s="1634" customFormat="1">
      <c r="G2480" s="3336"/>
      <c r="P2480" s="3337"/>
    </row>
    <row r="2481" spans="7:16" s="1634" customFormat="1">
      <c r="G2481" s="3336"/>
      <c r="P2481" s="3337"/>
    </row>
    <row r="2482" spans="7:16" s="1634" customFormat="1">
      <c r="G2482" s="3336"/>
      <c r="P2482" s="3337"/>
    </row>
    <row r="2483" spans="7:16" s="1634" customFormat="1">
      <c r="G2483" s="3336"/>
      <c r="P2483" s="3337"/>
    </row>
    <row r="2484" spans="7:16" s="1634" customFormat="1">
      <c r="G2484" s="3336"/>
      <c r="P2484" s="3337"/>
    </row>
    <row r="2485" spans="7:16" s="1634" customFormat="1">
      <c r="G2485" s="3336"/>
      <c r="P2485" s="3337"/>
    </row>
    <row r="2486" spans="7:16" s="1634" customFormat="1">
      <c r="G2486" s="3336"/>
      <c r="P2486" s="3337"/>
    </row>
    <row r="2487" spans="7:16" s="1634" customFormat="1">
      <c r="G2487" s="3336"/>
      <c r="P2487" s="3337"/>
    </row>
    <row r="2488" spans="7:16" s="1634" customFormat="1">
      <c r="G2488" s="3336"/>
      <c r="P2488" s="3337"/>
    </row>
    <row r="2489" spans="7:16" s="1634" customFormat="1">
      <c r="G2489" s="3336"/>
      <c r="P2489" s="3337"/>
    </row>
    <row r="2490" spans="7:16" s="1634" customFormat="1">
      <c r="G2490" s="3336"/>
      <c r="P2490" s="3337"/>
    </row>
    <row r="2491" spans="7:16" s="1634" customFormat="1">
      <c r="G2491" s="3336"/>
      <c r="P2491" s="3337"/>
    </row>
    <row r="2492" spans="7:16" s="1634" customFormat="1">
      <c r="G2492" s="3336"/>
      <c r="P2492" s="3337"/>
    </row>
    <row r="2493" spans="7:16" s="1634" customFormat="1">
      <c r="G2493" s="3336"/>
      <c r="P2493" s="3337"/>
    </row>
    <row r="2494" spans="7:16" s="1634" customFormat="1">
      <c r="G2494" s="3336"/>
      <c r="P2494" s="3337"/>
    </row>
    <row r="2495" spans="7:16" s="1634" customFormat="1">
      <c r="G2495" s="3336"/>
      <c r="P2495" s="3337"/>
    </row>
    <row r="2496" spans="7:16" s="1634" customFormat="1">
      <c r="G2496" s="3336"/>
      <c r="P2496" s="3337"/>
    </row>
    <row r="2497" spans="7:16" s="1634" customFormat="1">
      <c r="G2497" s="3336"/>
      <c r="P2497" s="3337"/>
    </row>
    <row r="2498" spans="7:16" s="1634" customFormat="1">
      <c r="G2498" s="3336"/>
      <c r="P2498" s="3337"/>
    </row>
    <row r="2499" spans="7:16" s="1634" customFormat="1">
      <c r="G2499" s="3336"/>
      <c r="P2499" s="3337"/>
    </row>
    <row r="2500" spans="7:16" s="1634" customFormat="1">
      <c r="G2500" s="3336"/>
      <c r="P2500" s="3337"/>
    </row>
    <row r="2501" spans="7:16" s="1634" customFormat="1">
      <c r="G2501" s="3336"/>
      <c r="P2501" s="3337"/>
    </row>
    <row r="2502" spans="7:16" s="1634" customFormat="1">
      <c r="G2502" s="3336"/>
      <c r="P2502" s="3337"/>
    </row>
    <row r="2503" spans="7:16" s="1634" customFormat="1">
      <c r="G2503" s="3336"/>
      <c r="P2503" s="3337"/>
    </row>
    <row r="2504" spans="7:16" s="1634" customFormat="1">
      <c r="G2504" s="3336"/>
      <c r="P2504" s="3337"/>
    </row>
    <row r="2505" spans="7:16" s="1634" customFormat="1">
      <c r="G2505" s="3336"/>
      <c r="P2505" s="3337"/>
    </row>
    <row r="2506" spans="7:16" s="1634" customFormat="1">
      <c r="G2506" s="3336"/>
      <c r="P2506" s="3337"/>
    </row>
    <row r="2507" spans="7:16" s="1634" customFormat="1">
      <c r="G2507" s="3336"/>
      <c r="P2507" s="3337"/>
    </row>
    <row r="2508" spans="7:16" s="1634" customFormat="1">
      <c r="G2508" s="3336"/>
      <c r="P2508" s="3337"/>
    </row>
    <row r="2509" spans="7:16" s="1634" customFormat="1">
      <c r="G2509" s="3336"/>
      <c r="P2509" s="3337"/>
    </row>
    <row r="2510" spans="7:16" s="1634" customFormat="1">
      <c r="G2510" s="3336"/>
      <c r="P2510" s="3337"/>
    </row>
    <row r="2511" spans="7:16" s="1634" customFormat="1">
      <c r="G2511" s="3336"/>
      <c r="P2511" s="3337"/>
    </row>
    <row r="2512" spans="7:16" s="1634" customFormat="1">
      <c r="G2512" s="3336"/>
      <c r="P2512" s="3337"/>
    </row>
    <row r="2513" spans="7:16" s="1634" customFormat="1">
      <c r="G2513" s="3336"/>
      <c r="P2513" s="3337"/>
    </row>
    <row r="2514" spans="7:16" s="1634" customFormat="1">
      <c r="G2514" s="3336"/>
      <c r="P2514" s="3337"/>
    </row>
    <row r="2515" spans="7:16" s="1634" customFormat="1">
      <c r="G2515" s="3336"/>
      <c r="P2515" s="3337"/>
    </row>
    <row r="2516" spans="7:16" s="1634" customFormat="1">
      <c r="G2516" s="3336"/>
      <c r="P2516" s="3337"/>
    </row>
    <row r="2517" spans="7:16" s="1634" customFormat="1">
      <c r="G2517" s="3336"/>
      <c r="P2517" s="3337"/>
    </row>
    <row r="2518" spans="7:16" s="1634" customFormat="1">
      <c r="G2518" s="3336"/>
      <c r="P2518" s="3337"/>
    </row>
    <row r="2519" spans="7:16" s="1634" customFormat="1">
      <c r="G2519" s="3336"/>
      <c r="P2519" s="3337"/>
    </row>
    <row r="2520" spans="7:16" s="1634" customFormat="1">
      <c r="G2520" s="3336"/>
      <c r="P2520" s="3337"/>
    </row>
    <row r="2521" spans="7:16" s="1634" customFormat="1">
      <c r="G2521" s="3336"/>
      <c r="P2521" s="3337"/>
    </row>
    <row r="2522" spans="7:16" s="1634" customFormat="1">
      <c r="G2522" s="3336"/>
      <c r="P2522" s="3337"/>
    </row>
    <row r="2523" spans="7:16" s="1634" customFormat="1">
      <c r="G2523" s="3336"/>
      <c r="P2523" s="3337"/>
    </row>
    <row r="2524" spans="7:16" s="1634" customFormat="1">
      <c r="G2524" s="3336"/>
      <c r="P2524" s="3337"/>
    </row>
    <row r="2525" spans="7:16" s="1634" customFormat="1">
      <c r="G2525" s="3336"/>
      <c r="P2525" s="3337"/>
    </row>
    <row r="2526" spans="7:16" s="1634" customFormat="1">
      <c r="G2526" s="3336"/>
      <c r="P2526" s="3337"/>
    </row>
    <row r="2527" spans="7:16" s="1634" customFormat="1">
      <c r="G2527" s="3336"/>
      <c r="P2527" s="3337"/>
    </row>
    <row r="2528" spans="7:16" s="1634" customFormat="1">
      <c r="G2528" s="3336"/>
      <c r="P2528" s="3337"/>
    </row>
    <row r="2529" spans="7:16" s="1634" customFormat="1">
      <c r="G2529" s="3336"/>
      <c r="P2529" s="3337"/>
    </row>
    <row r="2530" spans="7:16" s="1634" customFormat="1">
      <c r="G2530" s="3336"/>
      <c r="P2530" s="3337"/>
    </row>
    <row r="2531" spans="7:16" s="1634" customFormat="1">
      <c r="G2531" s="3336"/>
      <c r="P2531" s="3337"/>
    </row>
    <row r="2532" spans="7:16" s="1634" customFormat="1">
      <c r="G2532" s="3336"/>
      <c r="P2532" s="3337"/>
    </row>
    <row r="2533" spans="7:16" s="1634" customFormat="1">
      <c r="G2533" s="3336"/>
      <c r="P2533" s="3337"/>
    </row>
    <row r="2534" spans="7:16" s="1634" customFormat="1">
      <c r="G2534" s="3336"/>
      <c r="P2534" s="3337"/>
    </row>
    <row r="2535" spans="7:16" s="1634" customFormat="1">
      <c r="G2535" s="3336"/>
      <c r="P2535" s="3337"/>
    </row>
    <row r="2536" spans="7:16" s="1634" customFormat="1">
      <c r="G2536" s="3336"/>
      <c r="P2536" s="3337"/>
    </row>
    <row r="2537" spans="7:16" s="1634" customFormat="1">
      <c r="G2537" s="3336"/>
      <c r="P2537" s="3337"/>
    </row>
    <row r="2538" spans="7:16" s="1634" customFormat="1">
      <c r="G2538" s="3336"/>
      <c r="P2538" s="3337"/>
    </row>
    <row r="2539" spans="7:16" s="1634" customFormat="1">
      <c r="G2539" s="3336"/>
      <c r="P2539" s="3337"/>
    </row>
    <row r="2540" spans="7:16" s="1634" customFormat="1">
      <c r="G2540" s="3336"/>
      <c r="P2540" s="3337"/>
    </row>
    <row r="2541" spans="7:16" s="1634" customFormat="1">
      <c r="G2541" s="3336"/>
      <c r="P2541" s="3337"/>
    </row>
    <row r="2542" spans="7:16" s="1634" customFormat="1">
      <c r="G2542" s="3336"/>
      <c r="P2542" s="3337"/>
    </row>
    <row r="2543" spans="7:16" s="1634" customFormat="1">
      <c r="G2543" s="3336"/>
      <c r="P2543" s="3337"/>
    </row>
    <row r="2544" spans="7:16" s="1634" customFormat="1">
      <c r="G2544" s="3336"/>
      <c r="P2544" s="3337"/>
    </row>
    <row r="2545" spans="7:16" s="1634" customFormat="1">
      <c r="G2545" s="3336"/>
      <c r="P2545" s="3337"/>
    </row>
    <row r="2546" spans="7:16" s="1634" customFormat="1">
      <c r="G2546" s="3336"/>
      <c r="P2546" s="3337"/>
    </row>
    <row r="2547" spans="7:16" s="1634" customFormat="1">
      <c r="G2547" s="3336"/>
      <c r="P2547" s="3337"/>
    </row>
    <row r="2548" spans="7:16" s="1634" customFormat="1">
      <c r="G2548" s="3336"/>
      <c r="P2548" s="3337"/>
    </row>
    <row r="2549" spans="7:16" s="1634" customFormat="1">
      <c r="G2549" s="3336"/>
      <c r="P2549" s="3337"/>
    </row>
    <row r="2550" spans="7:16" s="1634" customFormat="1">
      <c r="G2550" s="3336"/>
      <c r="P2550" s="3337"/>
    </row>
    <row r="2551" spans="7:16" s="1634" customFormat="1">
      <c r="G2551" s="3336"/>
      <c r="P2551" s="3337"/>
    </row>
    <row r="2552" spans="7:16" s="1634" customFormat="1">
      <c r="G2552" s="3336"/>
      <c r="P2552" s="3337"/>
    </row>
    <row r="2553" spans="7:16" s="1634" customFormat="1">
      <c r="G2553" s="3336"/>
      <c r="P2553" s="3337"/>
    </row>
    <row r="2554" spans="7:16" s="1634" customFormat="1">
      <c r="G2554" s="3336"/>
      <c r="P2554" s="3337"/>
    </row>
    <row r="2555" spans="7:16" s="1634" customFormat="1">
      <c r="G2555" s="3336"/>
      <c r="P2555" s="3337"/>
    </row>
    <row r="2556" spans="7:16" s="1634" customFormat="1">
      <c r="G2556" s="3336"/>
      <c r="P2556" s="3337"/>
    </row>
    <row r="2557" spans="7:16" s="1634" customFormat="1">
      <c r="G2557" s="3336"/>
      <c r="P2557" s="3337"/>
    </row>
    <row r="2558" spans="7:16" s="1634" customFormat="1">
      <c r="G2558" s="3336"/>
      <c r="P2558" s="3337"/>
    </row>
    <row r="2559" spans="7:16" s="1634" customFormat="1">
      <c r="G2559" s="3336"/>
      <c r="P2559" s="3337"/>
    </row>
    <row r="2560" spans="7:16" s="1634" customFormat="1">
      <c r="G2560" s="3336"/>
      <c r="P2560" s="3337"/>
    </row>
    <row r="2561" spans="7:16" s="1634" customFormat="1">
      <c r="G2561" s="3336"/>
      <c r="P2561" s="3337"/>
    </row>
    <row r="2562" spans="7:16" s="1634" customFormat="1">
      <c r="G2562" s="3336"/>
      <c r="P2562" s="3337"/>
    </row>
    <row r="2563" spans="7:16" s="1634" customFormat="1">
      <c r="G2563" s="3336"/>
      <c r="P2563" s="3337"/>
    </row>
    <row r="2564" spans="7:16" s="1634" customFormat="1">
      <c r="G2564" s="3336"/>
      <c r="P2564" s="3337"/>
    </row>
    <row r="2565" spans="7:16" s="1634" customFormat="1">
      <c r="G2565" s="3336"/>
      <c r="P2565" s="3337"/>
    </row>
    <row r="2566" spans="7:16" s="1634" customFormat="1">
      <c r="G2566" s="3336"/>
      <c r="P2566" s="3337"/>
    </row>
    <row r="2567" spans="7:16" s="1634" customFormat="1">
      <c r="G2567" s="3336"/>
      <c r="P2567" s="3337"/>
    </row>
    <row r="2568" spans="7:16" s="1634" customFormat="1">
      <c r="G2568" s="3336"/>
      <c r="P2568" s="3337"/>
    </row>
    <row r="2569" spans="7:16" s="1634" customFormat="1">
      <c r="G2569" s="3336"/>
      <c r="P2569" s="3337"/>
    </row>
    <row r="2570" spans="7:16" s="1634" customFormat="1">
      <c r="G2570" s="3336"/>
      <c r="P2570" s="3337"/>
    </row>
    <row r="2571" spans="7:16" s="1634" customFormat="1">
      <c r="G2571" s="3336"/>
      <c r="P2571" s="3337"/>
    </row>
    <row r="2572" spans="7:16" s="1634" customFormat="1">
      <c r="G2572" s="3336"/>
      <c r="P2572" s="3337"/>
    </row>
    <row r="2573" spans="7:16" s="1634" customFormat="1">
      <c r="G2573" s="3336"/>
      <c r="P2573" s="3337"/>
    </row>
    <row r="2574" spans="7:16" s="1634" customFormat="1">
      <c r="G2574" s="3336"/>
      <c r="P2574" s="3337"/>
    </row>
    <row r="2575" spans="7:16" s="1634" customFormat="1">
      <c r="G2575" s="3336"/>
      <c r="P2575" s="3337"/>
    </row>
    <row r="2576" spans="7:16" s="1634" customFormat="1">
      <c r="G2576" s="3336"/>
      <c r="P2576" s="3337"/>
    </row>
    <row r="2577" spans="7:16" s="1634" customFormat="1">
      <c r="G2577" s="3336"/>
      <c r="P2577" s="3337"/>
    </row>
    <row r="2578" spans="7:16" s="1634" customFormat="1">
      <c r="G2578" s="3336"/>
      <c r="P2578" s="3337"/>
    </row>
    <row r="2579" spans="7:16" s="1634" customFormat="1">
      <c r="G2579" s="3336"/>
      <c r="P2579" s="3337"/>
    </row>
    <row r="2580" spans="7:16" s="1634" customFormat="1">
      <c r="G2580" s="3336"/>
      <c r="P2580" s="3337"/>
    </row>
    <row r="2581" spans="7:16" s="1634" customFormat="1">
      <c r="G2581" s="3336"/>
      <c r="P2581" s="3337"/>
    </row>
    <row r="2582" spans="7:16" s="1634" customFormat="1">
      <c r="G2582" s="3336"/>
      <c r="P2582" s="3337"/>
    </row>
    <row r="2583" spans="7:16" s="1634" customFormat="1">
      <c r="G2583" s="3336"/>
      <c r="P2583" s="3337"/>
    </row>
    <row r="2584" spans="7:16" s="1634" customFormat="1">
      <c r="G2584" s="3336"/>
      <c r="P2584" s="3337"/>
    </row>
    <row r="2585" spans="7:16" s="1634" customFormat="1">
      <c r="G2585" s="3336"/>
      <c r="P2585" s="3337"/>
    </row>
    <row r="2586" spans="7:16" s="1634" customFormat="1">
      <c r="G2586" s="3336"/>
      <c r="P2586" s="3337"/>
    </row>
    <row r="2587" spans="7:16" s="1634" customFormat="1">
      <c r="G2587" s="3336"/>
      <c r="P2587" s="3337"/>
    </row>
    <row r="2588" spans="7:16" s="1634" customFormat="1">
      <c r="G2588" s="3336"/>
      <c r="P2588" s="3337"/>
    </row>
    <row r="2589" spans="7:16" s="1634" customFormat="1">
      <c r="G2589" s="3336"/>
      <c r="P2589" s="3337"/>
    </row>
    <row r="2590" spans="7:16" s="1634" customFormat="1">
      <c r="G2590" s="3336"/>
      <c r="P2590" s="3337"/>
    </row>
    <row r="2591" spans="7:16" s="1634" customFormat="1">
      <c r="G2591" s="3336"/>
      <c r="P2591" s="3337"/>
    </row>
    <row r="2592" spans="7:16" s="1634" customFormat="1">
      <c r="G2592" s="3336"/>
      <c r="P2592" s="3337"/>
    </row>
    <row r="2593" spans="7:16" s="1634" customFormat="1">
      <c r="G2593" s="3336"/>
      <c r="P2593" s="3337"/>
    </row>
    <row r="2594" spans="7:16" s="1634" customFormat="1">
      <c r="G2594" s="3336"/>
      <c r="P2594" s="3337"/>
    </row>
    <row r="2595" spans="7:16" s="1634" customFormat="1">
      <c r="G2595" s="3336"/>
      <c r="P2595" s="3337"/>
    </row>
    <row r="2596" spans="7:16" s="1634" customFormat="1">
      <c r="G2596" s="3336"/>
      <c r="P2596" s="3337"/>
    </row>
    <row r="2597" spans="7:16" s="1634" customFormat="1">
      <c r="G2597" s="3336"/>
      <c r="P2597" s="3337"/>
    </row>
    <row r="2598" spans="7:16" s="1634" customFormat="1">
      <c r="G2598" s="3336"/>
      <c r="P2598" s="3337"/>
    </row>
    <row r="2599" spans="7:16" s="1634" customFormat="1">
      <c r="G2599" s="3336"/>
      <c r="P2599" s="3337"/>
    </row>
    <row r="2600" spans="7:16" s="1634" customFormat="1">
      <c r="G2600" s="3336"/>
      <c r="P2600" s="3337"/>
    </row>
    <row r="2601" spans="7:16" s="1634" customFormat="1">
      <c r="G2601" s="3336"/>
      <c r="P2601" s="3337"/>
    </row>
    <row r="2602" spans="7:16" s="1634" customFormat="1">
      <c r="G2602" s="3336"/>
      <c r="P2602" s="3337"/>
    </row>
    <row r="2603" spans="7:16" s="1634" customFormat="1">
      <c r="G2603" s="3336"/>
      <c r="P2603" s="3337"/>
    </row>
    <row r="2604" spans="7:16" s="1634" customFormat="1">
      <c r="G2604" s="3336"/>
      <c r="P2604" s="3337"/>
    </row>
    <row r="2605" spans="7:16" s="1634" customFormat="1">
      <c r="G2605" s="3336"/>
      <c r="P2605" s="3337"/>
    </row>
    <row r="2606" spans="7:16" s="1634" customFormat="1">
      <c r="G2606" s="3336"/>
      <c r="P2606" s="3337"/>
    </row>
    <row r="2607" spans="7:16" s="1634" customFormat="1">
      <c r="G2607" s="3336"/>
      <c r="P2607" s="3337"/>
    </row>
    <row r="2608" spans="7:16" s="1634" customFormat="1">
      <c r="G2608" s="3336"/>
      <c r="P2608" s="3337"/>
    </row>
    <row r="2609" spans="7:16" s="1634" customFormat="1">
      <c r="G2609" s="3336"/>
      <c r="P2609" s="3337"/>
    </row>
    <row r="2610" spans="7:16" s="1634" customFormat="1">
      <c r="G2610" s="3336"/>
      <c r="P2610" s="3337"/>
    </row>
    <row r="2611" spans="7:16" s="1634" customFormat="1">
      <c r="G2611" s="3336"/>
      <c r="P2611" s="3337"/>
    </row>
    <row r="2612" spans="7:16" s="1634" customFormat="1">
      <c r="G2612" s="3336"/>
      <c r="P2612" s="3337"/>
    </row>
    <row r="2613" spans="7:16" s="1634" customFormat="1">
      <c r="G2613" s="3336"/>
      <c r="P2613" s="3337"/>
    </row>
    <row r="2614" spans="7:16" s="1634" customFormat="1">
      <c r="G2614" s="3336"/>
      <c r="P2614" s="3337"/>
    </row>
    <row r="2615" spans="7:16" s="1634" customFormat="1">
      <c r="G2615" s="3336"/>
      <c r="P2615" s="3337"/>
    </row>
    <row r="2616" spans="7:16" s="1634" customFormat="1">
      <c r="G2616" s="3336"/>
      <c r="P2616" s="3337"/>
    </row>
    <row r="2617" spans="7:16" s="1634" customFormat="1">
      <c r="G2617" s="3336"/>
      <c r="P2617" s="3337"/>
    </row>
    <row r="2618" spans="7:16" s="1634" customFormat="1">
      <c r="G2618" s="3336"/>
      <c r="P2618" s="3337"/>
    </row>
    <row r="2619" spans="7:16" s="1634" customFormat="1">
      <c r="G2619" s="3336"/>
      <c r="P2619" s="3337"/>
    </row>
    <row r="2620" spans="7:16" s="1634" customFormat="1">
      <c r="G2620" s="3336"/>
      <c r="P2620" s="3337"/>
    </row>
    <row r="2621" spans="7:16" s="1634" customFormat="1">
      <c r="G2621" s="3336"/>
      <c r="P2621" s="3337"/>
    </row>
    <row r="2622" spans="7:16" s="1634" customFormat="1">
      <c r="G2622" s="3336"/>
      <c r="P2622" s="3337"/>
    </row>
    <row r="2623" spans="7:16" s="1634" customFormat="1">
      <c r="G2623" s="3336"/>
      <c r="P2623" s="3337"/>
    </row>
    <row r="2624" spans="7:16" s="1634" customFormat="1">
      <c r="G2624" s="3336"/>
      <c r="P2624" s="3337"/>
    </row>
    <row r="2625" spans="7:16" s="1634" customFormat="1">
      <c r="G2625" s="3336"/>
      <c r="P2625" s="3337"/>
    </row>
    <row r="2626" spans="7:16" s="1634" customFormat="1">
      <c r="G2626" s="3336"/>
      <c r="P2626" s="3337"/>
    </row>
    <row r="2627" spans="7:16" s="1634" customFormat="1">
      <c r="G2627" s="3336"/>
      <c r="P2627" s="3337"/>
    </row>
    <row r="2628" spans="7:16" s="1634" customFormat="1">
      <c r="G2628" s="3336"/>
      <c r="P2628" s="3337"/>
    </row>
    <row r="2629" spans="7:16" s="1634" customFormat="1">
      <c r="G2629" s="3336"/>
      <c r="P2629" s="3337"/>
    </row>
    <row r="2630" spans="7:16" s="1634" customFormat="1">
      <c r="G2630" s="3336"/>
      <c r="P2630" s="3337"/>
    </row>
    <row r="2631" spans="7:16" s="1634" customFormat="1">
      <c r="G2631" s="3336"/>
      <c r="P2631" s="3337"/>
    </row>
    <row r="2632" spans="7:16" s="1634" customFormat="1">
      <c r="G2632" s="3336"/>
      <c r="P2632" s="3337"/>
    </row>
    <row r="2633" spans="7:16" s="1634" customFormat="1">
      <c r="G2633" s="3336"/>
      <c r="P2633" s="3337"/>
    </row>
    <row r="2634" spans="7:16" s="1634" customFormat="1">
      <c r="G2634" s="3336"/>
      <c r="P2634" s="3337"/>
    </row>
    <row r="2635" spans="7:16" s="1634" customFormat="1">
      <c r="G2635" s="3336"/>
      <c r="P2635" s="3337"/>
    </row>
    <row r="2636" spans="7:16" s="1634" customFormat="1">
      <c r="G2636" s="3336"/>
      <c r="P2636" s="3337"/>
    </row>
    <row r="2637" spans="7:16" s="1634" customFormat="1">
      <c r="G2637" s="3336"/>
      <c r="P2637" s="3337"/>
    </row>
    <row r="2638" spans="7:16" s="1634" customFormat="1">
      <c r="G2638" s="3336"/>
      <c r="P2638" s="3337"/>
    </row>
    <row r="2639" spans="7:16" s="1634" customFormat="1">
      <c r="G2639" s="3336"/>
      <c r="P2639" s="3337"/>
    </row>
    <row r="2640" spans="7:16" s="1634" customFormat="1">
      <c r="G2640" s="3336"/>
      <c r="P2640" s="3337"/>
    </row>
    <row r="2641" spans="7:16" s="1634" customFormat="1">
      <c r="G2641" s="3336"/>
      <c r="P2641" s="3337"/>
    </row>
    <row r="2642" spans="7:16" s="1634" customFormat="1">
      <c r="G2642" s="3336"/>
      <c r="P2642" s="3337"/>
    </row>
    <row r="2643" spans="7:16" s="1634" customFormat="1">
      <c r="G2643" s="3336"/>
      <c r="P2643" s="3337"/>
    </row>
    <row r="2644" spans="7:16" s="1634" customFormat="1">
      <c r="G2644" s="3336"/>
      <c r="P2644" s="3337"/>
    </row>
    <row r="2645" spans="7:16" s="1634" customFormat="1">
      <c r="G2645" s="3336"/>
      <c r="P2645" s="3337"/>
    </row>
    <row r="2646" spans="7:16" s="1634" customFormat="1">
      <c r="G2646" s="3336"/>
      <c r="P2646" s="3337"/>
    </row>
    <row r="2647" spans="7:16" s="1634" customFormat="1">
      <c r="G2647" s="3336"/>
      <c r="P2647" s="3337"/>
    </row>
    <row r="2648" spans="7:16" s="1634" customFormat="1">
      <c r="G2648" s="3336"/>
      <c r="P2648" s="3337"/>
    </row>
    <row r="2649" spans="7:16" s="1634" customFormat="1">
      <c r="G2649" s="3336"/>
      <c r="P2649" s="3337"/>
    </row>
    <row r="2650" spans="7:16" s="1634" customFormat="1">
      <c r="G2650" s="3336"/>
      <c r="P2650" s="3337"/>
    </row>
    <row r="2651" spans="7:16" s="1634" customFormat="1">
      <c r="G2651" s="3336"/>
      <c r="P2651" s="3337"/>
    </row>
    <row r="2652" spans="7:16" s="1634" customFormat="1">
      <c r="G2652" s="3336"/>
      <c r="P2652" s="3337"/>
    </row>
    <row r="2653" spans="7:16" s="1634" customFormat="1">
      <c r="G2653" s="3336"/>
      <c r="P2653" s="3337"/>
    </row>
    <row r="2654" spans="7:16" s="1634" customFormat="1">
      <c r="G2654" s="3336"/>
      <c r="P2654" s="3337"/>
    </row>
    <row r="2655" spans="7:16" s="1634" customFormat="1">
      <c r="G2655" s="3336"/>
      <c r="P2655" s="3337"/>
    </row>
    <row r="2656" spans="7:16" s="1634" customFormat="1">
      <c r="G2656" s="3336"/>
      <c r="P2656" s="3337"/>
    </row>
    <row r="2657" spans="7:16" s="1634" customFormat="1">
      <c r="G2657" s="3336"/>
      <c r="P2657" s="3337"/>
    </row>
    <row r="2658" spans="7:16" s="1634" customFormat="1">
      <c r="G2658" s="3336"/>
      <c r="P2658" s="3337"/>
    </row>
    <row r="2659" spans="7:16" s="1634" customFormat="1">
      <c r="G2659" s="3336"/>
      <c r="P2659" s="3337"/>
    </row>
    <row r="2660" spans="7:16" s="1634" customFormat="1">
      <c r="G2660" s="3336"/>
      <c r="P2660" s="3337"/>
    </row>
    <row r="2661" spans="7:16" s="1634" customFormat="1">
      <c r="G2661" s="3336"/>
      <c r="P2661" s="3337"/>
    </row>
    <row r="2662" spans="7:16" s="1634" customFormat="1">
      <c r="G2662" s="3336"/>
      <c r="P2662" s="3337"/>
    </row>
    <row r="2663" spans="7:16" s="1634" customFormat="1">
      <c r="G2663" s="3336"/>
      <c r="P2663" s="3337"/>
    </row>
    <row r="2664" spans="7:16" s="1634" customFormat="1">
      <c r="G2664" s="3336"/>
      <c r="P2664" s="3337"/>
    </row>
    <row r="2665" spans="7:16" s="1634" customFormat="1">
      <c r="G2665" s="3336"/>
      <c r="P2665" s="3337"/>
    </row>
    <row r="2666" spans="7:16" s="1634" customFormat="1">
      <c r="G2666" s="3336"/>
      <c r="P2666" s="3337"/>
    </row>
    <row r="2667" spans="7:16" s="1634" customFormat="1">
      <c r="G2667" s="3336"/>
      <c r="P2667" s="3337"/>
    </row>
    <row r="2668" spans="7:16" s="1634" customFormat="1">
      <c r="G2668" s="3336"/>
      <c r="P2668" s="3337"/>
    </row>
    <row r="2669" spans="7:16" s="1634" customFormat="1">
      <c r="G2669" s="3336"/>
      <c r="P2669" s="3337"/>
    </row>
    <row r="2670" spans="7:16" s="1634" customFormat="1">
      <c r="G2670" s="3336"/>
      <c r="P2670" s="3337"/>
    </row>
    <row r="2671" spans="7:16" s="1634" customFormat="1">
      <c r="G2671" s="3336"/>
      <c r="P2671" s="3337"/>
    </row>
    <row r="2672" spans="7:16" s="1634" customFormat="1">
      <c r="G2672" s="3336"/>
      <c r="P2672" s="3337"/>
    </row>
    <row r="2673" spans="7:16" s="1634" customFormat="1">
      <c r="G2673" s="3336"/>
      <c r="P2673" s="3337"/>
    </row>
    <row r="2674" spans="7:16" s="1634" customFormat="1">
      <c r="G2674" s="3336"/>
      <c r="P2674" s="3337"/>
    </row>
    <row r="2675" spans="7:16" s="1634" customFormat="1">
      <c r="G2675" s="3336"/>
      <c r="P2675" s="3337"/>
    </row>
    <row r="2676" spans="7:16" s="1634" customFormat="1">
      <c r="G2676" s="3336"/>
      <c r="P2676" s="3337"/>
    </row>
    <row r="2677" spans="7:16" s="1634" customFormat="1">
      <c r="G2677" s="3336"/>
      <c r="P2677" s="3337"/>
    </row>
    <row r="2678" spans="7:16" s="1634" customFormat="1">
      <c r="G2678" s="3336"/>
      <c r="P2678" s="3337"/>
    </row>
    <row r="2679" spans="7:16" s="1634" customFormat="1">
      <c r="G2679" s="3336"/>
      <c r="P2679" s="3337"/>
    </row>
    <row r="2680" spans="7:16" s="1634" customFormat="1">
      <c r="G2680" s="3336"/>
      <c r="P2680" s="3337"/>
    </row>
    <row r="2681" spans="7:16" s="1634" customFormat="1">
      <c r="G2681" s="3336"/>
      <c r="P2681" s="3337"/>
    </row>
    <row r="2682" spans="7:16" s="1634" customFormat="1">
      <c r="G2682" s="3336"/>
      <c r="P2682" s="3337"/>
    </row>
    <row r="2683" spans="7:16" s="1634" customFormat="1">
      <c r="G2683" s="3336"/>
      <c r="P2683" s="3337"/>
    </row>
    <row r="2684" spans="7:16" s="1634" customFormat="1">
      <c r="G2684" s="3336"/>
      <c r="P2684" s="3337"/>
    </row>
    <row r="2685" spans="7:16" s="1634" customFormat="1">
      <c r="G2685" s="3336"/>
      <c r="P2685" s="3337"/>
    </row>
    <row r="2686" spans="7:16" s="1634" customFormat="1">
      <c r="G2686" s="3336"/>
      <c r="P2686" s="3337"/>
    </row>
    <row r="2687" spans="7:16" s="1634" customFormat="1">
      <c r="G2687" s="3336"/>
      <c r="P2687" s="3337"/>
    </row>
    <row r="2688" spans="7:16" s="1634" customFormat="1">
      <c r="G2688" s="3336"/>
      <c r="P2688" s="3337"/>
    </row>
    <row r="2689" spans="7:16" s="1634" customFormat="1">
      <c r="G2689" s="3336"/>
      <c r="P2689" s="3337"/>
    </row>
    <row r="2690" spans="7:16" s="1634" customFormat="1">
      <c r="G2690" s="3336"/>
      <c r="P2690" s="3337"/>
    </row>
    <row r="2691" spans="7:16" s="1634" customFormat="1">
      <c r="G2691" s="3336"/>
      <c r="P2691" s="3337"/>
    </row>
    <row r="2692" spans="7:16" s="1634" customFormat="1">
      <c r="G2692" s="3336"/>
      <c r="P2692" s="3337"/>
    </row>
    <row r="2693" spans="7:16" s="1634" customFormat="1">
      <c r="G2693" s="3336"/>
      <c r="P2693" s="3337"/>
    </row>
    <row r="2694" spans="7:16" s="1634" customFormat="1">
      <c r="G2694" s="3336"/>
      <c r="P2694" s="3337"/>
    </row>
    <row r="2695" spans="7:16" s="1634" customFormat="1">
      <c r="G2695" s="3336"/>
      <c r="P2695" s="3337"/>
    </row>
    <row r="2696" spans="7:16" s="1634" customFormat="1">
      <c r="G2696" s="3336"/>
      <c r="P2696" s="3337"/>
    </row>
    <row r="2697" spans="7:16" s="1634" customFormat="1">
      <c r="G2697" s="3336"/>
      <c r="P2697" s="3337"/>
    </row>
    <row r="2698" spans="7:16" s="1634" customFormat="1">
      <c r="G2698" s="3336"/>
      <c r="P2698" s="3337"/>
    </row>
    <row r="2699" spans="7:16" s="1634" customFormat="1">
      <c r="G2699" s="3336"/>
      <c r="P2699" s="3337"/>
    </row>
    <row r="2700" spans="7:16" s="1634" customFormat="1">
      <c r="G2700" s="3336"/>
      <c r="P2700" s="3337"/>
    </row>
    <row r="2701" spans="7:16" s="1634" customFormat="1">
      <c r="G2701" s="3336"/>
      <c r="P2701" s="3337"/>
    </row>
    <row r="2702" spans="7:16" s="1634" customFormat="1">
      <c r="G2702" s="3336"/>
      <c r="P2702" s="3337"/>
    </row>
    <row r="2703" spans="7:16" s="1634" customFormat="1">
      <c r="G2703" s="3336"/>
      <c r="P2703" s="3337"/>
    </row>
    <row r="2704" spans="7:16" s="1634" customFormat="1">
      <c r="G2704" s="3336"/>
      <c r="P2704" s="3337"/>
    </row>
    <row r="2705" spans="7:16" s="1634" customFormat="1">
      <c r="G2705" s="3336"/>
      <c r="P2705" s="3337"/>
    </row>
    <row r="2706" spans="7:16" s="1634" customFormat="1">
      <c r="G2706" s="3336"/>
      <c r="P2706" s="3337"/>
    </row>
    <row r="2707" spans="7:16" s="1634" customFormat="1">
      <c r="G2707" s="3336"/>
      <c r="P2707" s="3337"/>
    </row>
    <row r="2708" spans="7:16" s="1634" customFormat="1">
      <c r="G2708" s="3336"/>
      <c r="P2708" s="3337"/>
    </row>
    <row r="2709" spans="7:16" s="1634" customFormat="1">
      <c r="G2709" s="3336"/>
      <c r="P2709" s="3337"/>
    </row>
    <row r="2710" spans="7:16" s="1634" customFormat="1">
      <c r="G2710" s="3336"/>
      <c r="P2710" s="3337"/>
    </row>
    <row r="2711" spans="7:16" s="1634" customFormat="1">
      <c r="G2711" s="3336"/>
      <c r="P2711" s="3337"/>
    </row>
    <row r="2712" spans="7:16" s="1634" customFormat="1">
      <c r="G2712" s="3336"/>
      <c r="P2712" s="3337"/>
    </row>
    <row r="2713" spans="7:16" s="1634" customFormat="1">
      <c r="G2713" s="3336"/>
      <c r="P2713" s="3337"/>
    </row>
    <row r="2714" spans="7:16" s="1634" customFormat="1">
      <c r="G2714" s="3336"/>
      <c r="P2714" s="3337"/>
    </row>
    <row r="2715" spans="7:16" s="1634" customFormat="1">
      <c r="G2715" s="3336"/>
      <c r="P2715" s="3337"/>
    </row>
    <row r="2716" spans="7:16" s="1634" customFormat="1">
      <c r="G2716" s="3336"/>
      <c r="P2716" s="3337"/>
    </row>
    <row r="2717" spans="7:16" s="1634" customFormat="1">
      <c r="G2717" s="3336"/>
      <c r="P2717" s="3337"/>
    </row>
    <row r="2718" spans="7:16" s="1634" customFormat="1">
      <c r="G2718" s="3336"/>
      <c r="P2718" s="3337"/>
    </row>
    <row r="2719" spans="7:16" s="1634" customFormat="1">
      <c r="G2719" s="3336"/>
      <c r="P2719" s="3337"/>
    </row>
    <row r="2720" spans="7:16" s="1634" customFormat="1">
      <c r="G2720" s="3336"/>
      <c r="P2720" s="3337"/>
    </row>
    <row r="2721" spans="7:16" s="1634" customFormat="1">
      <c r="G2721" s="3336"/>
      <c r="P2721" s="3337"/>
    </row>
    <row r="2722" spans="7:16" s="1634" customFormat="1">
      <c r="G2722" s="3336"/>
      <c r="P2722" s="3337"/>
    </row>
    <row r="2723" spans="7:16" s="1634" customFormat="1">
      <c r="G2723" s="3336"/>
      <c r="P2723" s="3337"/>
    </row>
    <row r="2724" spans="7:16" s="1634" customFormat="1">
      <c r="G2724" s="3336"/>
      <c r="P2724" s="3337"/>
    </row>
    <row r="2725" spans="7:16" s="1634" customFormat="1">
      <c r="G2725" s="3336"/>
      <c r="P2725" s="3337"/>
    </row>
    <row r="2726" spans="7:16" s="1634" customFormat="1">
      <c r="G2726" s="3336"/>
      <c r="P2726" s="3337"/>
    </row>
    <row r="2727" spans="7:16" s="1634" customFormat="1">
      <c r="G2727" s="3336"/>
      <c r="P2727" s="3337"/>
    </row>
    <row r="2728" spans="7:16" s="1634" customFormat="1">
      <c r="G2728" s="3336"/>
      <c r="P2728" s="3337"/>
    </row>
    <row r="2729" spans="7:16" s="1634" customFormat="1">
      <c r="G2729" s="3336"/>
      <c r="P2729" s="3337"/>
    </row>
    <row r="2730" spans="7:16" s="1634" customFormat="1">
      <c r="G2730" s="3336"/>
      <c r="P2730" s="3337"/>
    </row>
    <row r="2731" spans="7:16" s="1634" customFormat="1">
      <c r="G2731" s="3336"/>
      <c r="P2731" s="3337"/>
    </row>
    <row r="2732" spans="7:16" s="1634" customFormat="1">
      <c r="G2732" s="3336"/>
      <c r="P2732" s="3337"/>
    </row>
    <row r="2733" spans="7:16" s="1634" customFormat="1">
      <c r="G2733" s="3336"/>
      <c r="P2733" s="3337"/>
    </row>
    <row r="2734" spans="7:16" s="1634" customFormat="1">
      <c r="G2734" s="3336"/>
      <c r="P2734" s="3337"/>
    </row>
    <row r="2735" spans="7:16" s="1634" customFormat="1">
      <c r="G2735" s="3336"/>
      <c r="P2735" s="3337"/>
    </row>
    <row r="2736" spans="7:16" s="1634" customFormat="1">
      <c r="G2736" s="3336"/>
      <c r="P2736" s="3337"/>
    </row>
    <row r="2737" spans="7:16" s="1634" customFormat="1">
      <c r="G2737" s="3336"/>
      <c r="P2737" s="3337"/>
    </row>
    <row r="2738" spans="7:16" s="1634" customFormat="1">
      <c r="G2738" s="3336"/>
      <c r="P2738" s="3337"/>
    </row>
    <row r="2739" spans="7:16" s="1634" customFormat="1">
      <c r="G2739" s="3336"/>
      <c r="P2739" s="3337"/>
    </row>
    <row r="2740" spans="7:16" s="1634" customFormat="1">
      <c r="G2740" s="3336"/>
      <c r="P2740" s="3337"/>
    </row>
    <row r="2741" spans="7:16" s="1634" customFormat="1">
      <c r="G2741" s="3336"/>
      <c r="P2741" s="3337"/>
    </row>
    <row r="2742" spans="7:16" s="1634" customFormat="1">
      <c r="G2742" s="3336"/>
      <c r="P2742" s="3337"/>
    </row>
    <row r="2743" spans="7:16" s="1634" customFormat="1">
      <c r="G2743" s="3336"/>
      <c r="P2743" s="3337"/>
    </row>
    <row r="2744" spans="7:16" s="1634" customFormat="1">
      <c r="G2744" s="3336"/>
      <c r="P2744" s="3337"/>
    </row>
    <row r="2745" spans="7:16" s="1634" customFormat="1">
      <c r="G2745" s="3336"/>
      <c r="P2745" s="3337"/>
    </row>
    <row r="2746" spans="7:16" s="1634" customFormat="1">
      <c r="G2746" s="3336"/>
      <c r="P2746" s="3337"/>
    </row>
    <row r="2747" spans="7:16" s="1634" customFormat="1">
      <c r="G2747" s="3336"/>
      <c r="P2747" s="3337"/>
    </row>
    <row r="2748" spans="7:16" s="1634" customFormat="1">
      <c r="G2748" s="3336"/>
      <c r="P2748" s="3337"/>
    </row>
    <row r="2749" spans="7:16" s="1634" customFormat="1">
      <c r="G2749" s="3336"/>
      <c r="P2749" s="3337"/>
    </row>
    <row r="2750" spans="7:16" s="1634" customFormat="1">
      <c r="G2750" s="3336"/>
      <c r="P2750" s="3337"/>
    </row>
    <row r="2751" spans="7:16" s="1634" customFormat="1">
      <c r="G2751" s="3336"/>
      <c r="P2751" s="3337"/>
    </row>
    <row r="2752" spans="7:16" s="1634" customFormat="1">
      <c r="G2752" s="3336"/>
      <c r="P2752" s="3337"/>
    </row>
    <row r="2753" spans="7:16" s="1634" customFormat="1">
      <c r="G2753" s="3336"/>
      <c r="P2753" s="3337"/>
    </row>
    <row r="2754" spans="7:16" s="1634" customFormat="1">
      <c r="G2754" s="3336"/>
      <c r="P2754" s="3337"/>
    </row>
    <row r="2755" spans="7:16" s="1634" customFormat="1">
      <c r="G2755" s="3336"/>
      <c r="P2755" s="3337"/>
    </row>
    <row r="2756" spans="7:16" s="1634" customFormat="1">
      <c r="G2756" s="3336"/>
      <c r="P2756" s="3337"/>
    </row>
    <row r="2757" spans="7:16" s="1634" customFormat="1">
      <c r="G2757" s="3336"/>
      <c r="P2757" s="3337"/>
    </row>
    <row r="2758" spans="7:16" s="1634" customFormat="1">
      <c r="G2758" s="3336"/>
      <c r="P2758" s="3337"/>
    </row>
    <row r="2759" spans="7:16" s="1634" customFormat="1">
      <c r="G2759" s="3336"/>
      <c r="P2759" s="3337"/>
    </row>
    <row r="2760" spans="7:16" s="1634" customFormat="1">
      <c r="G2760" s="3336"/>
      <c r="P2760" s="3337"/>
    </row>
    <row r="2761" spans="7:16" s="1634" customFormat="1">
      <c r="G2761" s="3336"/>
      <c r="P2761" s="3337"/>
    </row>
    <row r="2762" spans="7:16" s="1634" customFormat="1">
      <c r="G2762" s="3336"/>
      <c r="P2762" s="3337"/>
    </row>
    <row r="2763" spans="7:16" s="1634" customFormat="1">
      <c r="G2763" s="3336"/>
      <c r="P2763" s="3337"/>
    </row>
    <row r="2764" spans="7:16" s="1634" customFormat="1">
      <c r="G2764" s="3336"/>
      <c r="P2764" s="3337"/>
    </row>
    <row r="2765" spans="7:16" s="1634" customFormat="1">
      <c r="G2765" s="3336"/>
      <c r="P2765" s="3337"/>
    </row>
    <row r="2766" spans="7:16" s="1634" customFormat="1">
      <c r="G2766" s="3336"/>
      <c r="P2766" s="3337"/>
    </row>
    <row r="2767" spans="7:16" s="1634" customFormat="1">
      <c r="G2767" s="3336"/>
      <c r="P2767" s="3337"/>
    </row>
    <row r="2768" spans="7:16" s="1634" customFormat="1">
      <c r="G2768" s="3336"/>
      <c r="P2768" s="3337"/>
    </row>
    <row r="2769" spans="7:16" s="1634" customFormat="1">
      <c r="G2769" s="3336"/>
      <c r="P2769" s="3337"/>
    </row>
    <row r="2770" spans="7:16" s="1634" customFormat="1">
      <c r="G2770" s="3336"/>
      <c r="P2770" s="3337"/>
    </row>
    <row r="2771" spans="7:16" s="1634" customFormat="1">
      <c r="G2771" s="3336"/>
      <c r="P2771" s="3337"/>
    </row>
    <row r="2772" spans="7:16" s="1634" customFormat="1">
      <c r="G2772" s="3336"/>
      <c r="P2772" s="3337"/>
    </row>
    <row r="2773" spans="7:16" s="1634" customFormat="1">
      <c r="G2773" s="3336"/>
      <c r="P2773" s="3337"/>
    </row>
    <row r="2774" spans="7:16" s="1634" customFormat="1">
      <c r="G2774" s="3336"/>
      <c r="P2774" s="3337"/>
    </row>
    <row r="2775" spans="7:16" s="1634" customFormat="1">
      <c r="G2775" s="3336"/>
      <c r="P2775" s="3337"/>
    </row>
    <row r="2776" spans="7:16" s="1634" customFormat="1">
      <c r="G2776" s="3336"/>
      <c r="P2776" s="3337"/>
    </row>
    <row r="2777" spans="7:16" s="1634" customFormat="1">
      <c r="G2777" s="3336"/>
      <c r="P2777" s="3337"/>
    </row>
    <row r="2778" spans="7:16" s="1634" customFormat="1">
      <c r="G2778" s="3336"/>
      <c r="P2778" s="3337"/>
    </row>
    <row r="2779" spans="7:16" s="1634" customFormat="1">
      <c r="G2779" s="3336"/>
      <c r="P2779" s="3337"/>
    </row>
    <row r="2780" spans="7:16" s="1634" customFormat="1">
      <c r="G2780" s="3336"/>
      <c r="P2780" s="3337"/>
    </row>
    <row r="2781" spans="7:16" s="1634" customFormat="1">
      <c r="G2781" s="3336"/>
      <c r="P2781" s="3337"/>
    </row>
    <row r="2782" spans="7:16" s="1634" customFormat="1">
      <c r="G2782" s="3336"/>
      <c r="P2782" s="3337"/>
    </row>
    <row r="2783" spans="7:16" s="1634" customFormat="1">
      <c r="G2783" s="3336"/>
      <c r="P2783" s="3337"/>
    </row>
    <row r="2784" spans="7:16" s="1634" customFormat="1">
      <c r="G2784" s="3336"/>
      <c r="P2784" s="3337"/>
    </row>
    <row r="2785" spans="7:16" s="1634" customFormat="1">
      <c r="G2785" s="3336"/>
      <c r="P2785" s="3337"/>
    </row>
    <row r="2786" spans="7:16" s="1634" customFormat="1">
      <c r="G2786" s="3336"/>
      <c r="P2786" s="3337"/>
    </row>
    <row r="2787" spans="7:16" s="1634" customFormat="1">
      <c r="G2787" s="3336"/>
      <c r="P2787" s="3337"/>
    </row>
    <row r="2788" spans="7:16" s="1634" customFormat="1">
      <c r="G2788" s="3336"/>
      <c r="P2788" s="3337"/>
    </row>
    <row r="2789" spans="7:16" s="1634" customFormat="1">
      <c r="G2789" s="3336"/>
      <c r="P2789" s="3337"/>
    </row>
    <row r="2790" spans="7:16" s="1634" customFormat="1">
      <c r="G2790" s="3336"/>
      <c r="P2790" s="3337"/>
    </row>
    <row r="2791" spans="7:16" s="1634" customFormat="1">
      <c r="G2791" s="3336"/>
      <c r="P2791" s="3337"/>
    </row>
    <row r="2792" spans="7:16" s="1634" customFormat="1">
      <c r="G2792" s="3336"/>
      <c r="P2792" s="3337"/>
    </row>
    <row r="2793" spans="7:16" s="1634" customFormat="1">
      <c r="G2793" s="3336"/>
      <c r="P2793" s="3337"/>
    </row>
    <row r="2794" spans="7:16" s="1634" customFormat="1">
      <c r="G2794" s="3336"/>
      <c r="P2794" s="3337"/>
    </row>
    <row r="2795" spans="7:16" s="1634" customFormat="1">
      <c r="G2795" s="3336"/>
      <c r="P2795" s="3337"/>
    </row>
    <row r="2796" spans="7:16" s="1634" customFormat="1">
      <c r="G2796" s="3336"/>
      <c r="P2796" s="3337"/>
    </row>
    <row r="2797" spans="7:16" s="1634" customFormat="1">
      <c r="G2797" s="3336"/>
      <c r="P2797" s="3337"/>
    </row>
    <row r="2798" spans="7:16" s="1634" customFormat="1">
      <c r="G2798" s="3336"/>
      <c r="P2798" s="3337"/>
    </row>
    <row r="2799" spans="7:16" s="1634" customFormat="1">
      <c r="G2799" s="3336"/>
      <c r="P2799" s="3337"/>
    </row>
    <row r="2800" spans="7:16" s="1634" customFormat="1">
      <c r="G2800" s="3336"/>
      <c r="P2800" s="3337"/>
    </row>
    <row r="2801" spans="7:16" s="1634" customFormat="1">
      <c r="G2801" s="3336"/>
      <c r="P2801" s="3337"/>
    </row>
    <row r="2802" spans="7:16" s="1634" customFormat="1">
      <c r="G2802" s="3336"/>
      <c r="P2802" s="3337"/>
    </row>
    <row r="2803" spans="7:16" s="1634" customFormat="1">
      <c r="G2803" s="3336"/>
      <c r="P2803" s="3337"/>
    </row>
    <row r="2804" spans="7:16" s="1634" customFormat="1">
      <c r="G2804" s="3336"/>
      <c r="P2804" s="3337"/>
    </row>
    <row r="2805" spans="7:16" s="1634" customFormat="1">
      <c r="G2805" s="3336"/>
      <c r="P2805" s="3337"/>
    </row>
    <row r="2806" spans="7:16" s="1634" customFormat="1">
      <c r="G2806" s="3336"/>
      <c r="P2806" s="3337"/>
    </row>
    <row r="2807" spans="7:16" s="1634" customFormat="1">
      <c r="G2807" s="3336"/>
      <c r="P2807" s="3337"/>
    </row>
    <row r="2808" spans="7:16" s="1634" customFormat="1">
      <c r="G2808" s="3336"/>
      <c r="P2808" s="3337"/>
    </row>
    <row r="2809" spans="7:16" s="1634" customFormat="1">
      <c r="G2809" s="3336"/>
      <c r="P2809" s="3337"/>
    </row>
    <row r="2810" spans="7:16" s="1634" customFormat="1">
      <c r="G2810" s="3336"/>
      <c r="P2810" s="3337"/>
    </row>
    <row r="2811" spans="7:16" s="1634" customFormat="1">
      <c r="G2811" s="3336"/>
      <c r="P2811" s="3337"/>
    </row>
    <row r="2812" spans="7:16" s="1634" customFormat="1">
      <c r="G2812" s="3336"/>
      <c r="P2812" s="3337"/>
    </row>
    <row r="2813" spans="7:16" s="1634" customFormat="1">
      <c r="G2813" s="3336"/>
      <c r="P2813" s="3337"/>
    </row>
    <row r="2814" spans="7:16" s="1634" customFormat="1">
      <c r="G2814" s="3336"/>
      <c r="P2814" s="3337"/>
    </row>
    <row r="2815" spans="7:16" s="1634" customFormat="1">
      <c r="G2815" s="3336"/>
      <c r="P2815" s="3337"/>
    </row>
    <row r="2816" spans="7:16" s="1634" customFormat="1">
      <c r="G2816" s="3336"/>
      <c r="P2816" s="3337"/>
    </row>
    <row r="2817" spans="7:16" s="1634" customFormat="1">
      <c r="G2817" s="3336"/>
      <c r="P2817" s="3337"/>
    </row>
    <row r="2818" spans="7:16" s="1634" customFormat="1">
      <c r="G2818" s="3336"/>
      <c r="P2818" s="3337"/>
    </row>
    <row r="2819" spans="7:16" s="1634" customFormat="1">
      <c r="G2819" s="3336"/>
      <c r="P2819" s="3337"/>
    </row>
    <row r="2820" spans="7:16" s="1634" customFormat="1">
      <c r="G2820" s="3336"/>
      <c r="P2820" s="3337"/>
    </row>
    <row r="2821" spans="7:16" s="1634" customFormat="1">
      <c r="G2821" s="3336"/>
      <c r="P2821" s="3337"/>
    </row>
    <row r="2822" spans="7:16" s="1634" customFormat="1">
      <c r="G2822" s="3336"/>
      <c r="P2822" s="3337"/>
    </row>
    <row r="2823" spans="7:16" s="1634" customFormat="1">
      <c r="G2823" s="3336"/>
      <c r="P2823" s="3337"/>
    </row>
    <row r="2824" spans="7:16" s="1634" customFormat="1">
      <c r="G2824" s="3336"/>
      <c r="P2824" s="3337"/>
    </row>
    <row r="2825" spans="7:16" s="1634" customFormat="1">
      <c r="G2825" s="3336"/>
      <c r="P2825" s="3337"/>
    </row>
    <row r="2826" spans="7:16" s="1634" customFormat="1">
      <c r="G2826" s="3336"/>
      <c r="P2826" s="3337"/>
    </row>
    <row r="2827" spans="7:16" s="1634" customFormat="1">
      <c r="G2827" s="3336"/>
      <c r="P2827" s="3337"/>
    </row>
    <row r="2828" spans="7:16" s="1634" customFormat="1">
      <c r="G2828" s="3336"/>
      <c r="P2828" s="3337"/>
    </row>
    <row r="2829" spans="7:16" s="1634" customFormat="1">
      <c r="G2829" s="3336"/>
      <c r="P2829" s="3337"/>
    </row>
    <row r="2830" spans="7:16" s="1634" customFormat="1">
      <c r="G2830" s="3336"/>
      <c r="P2830" s="3337"/>
    </row>
    <row r="2831" spans="7:16" s="1634" customFormat="1">
      <c r="G2831" s="3336"/>
      <c r="P2831" s="3337"/>
    </row>
    <row r="2832" spans="7:16" s="1634" customFormat="1">
      <c r="G2832" s="3336"/>
      <c r="P2832" s="3337"/>
    </row>
    <row r="2833" spans="7:16" s="1634" customFormat="1">
      <c r="G2833" s="3336"/>
      <c r="P2833" s="3337"/>
    </row>
    <row r="2834" spans="7:16" s="1634" customFormat="1">
      <c r="G2834" s="3336"/>
      <c r="P2834" s="3337"/>
    </row>
    <row r="2835" spans="7:16" s="1634" customFormat="1">
      <c r="G2835" s="3336"/>
      <c r="P2835" s="3337"/>
    </row>
    <row r="2836" spans="7:16" s="1634" customFormat="1">
      <c r="G2836" s="3336"/>
      <c r="P2836" s="3337"/>
    </row>
    <row r="2837" spans="7:16" s="1634" customFormat="1">
      <c r="G2837" s="3336"/>
      <c r="P2837" s="3337"/>
    </row>
    <row r="2838" spans="7:16" s="1634" customFormat="1">
      <c r="G2838" s="3336"/>
      <c r="P2838" s="3337"/>
    </row>
    <row r="2839" spans="7:16" s="1634" customFormat="1">
      <c r="G2839" s="3336"/>
      <c r="P2839" s="3337"/>
    </row>
    <row r="2840" spans="7:16" s="1634" customFormat="1">
      <c r="G2840" s="3336"/>
      <c r="P2840" s="3337"/>
    </row>
    <row r="2841" spans="7:16" s="1634" customFormat="1">
      <c r="G2841" s="3336"/>
      <c r="P2841" s="3337"/>
    </row>
    <row r="2842" spans="7:16" s="1634" customFormat="1">
      <c r="G2842" s="3336"/>
      <c r="P2842" s="3337"/>
    </row>
    <row r="2843" spans="7:16" s="1634" customFormat="1">
      <c r="G2843" s="3336"/>
      <c r="P2843" s="3337"/>
    </row>
    <row r="2844" spans="7:16" s="1634" customFormat="1">
      <c r="G2844" s="3336"/>
      <c r="P2844" s="3337"/>
    </row>
    <row r="2845" spans="7:16" s="1634" customFormat="1">
      <c r="G2845" s="3336"/>
      <c r="P2845" s="3337"/>
    </row>
    <row r="2846" spans="7:16" s="1634" customFormat="1">
      <c r="G2846" s="3336"/>
      <c r="P2846" s="3337"/>
    </row>
    <row r="2847" spans="7:16" s="1634" customFormat="1">
      <c r="G2847" s="3336"/>
      <c r="P2847" s="3337"/>
    </row>
    <row r="2848" spans="7:16" s="1634" customFormat="1">
      <c r="G2848" s="3336"/>
      <c r="P2848" s="3337"/>
    </row>
    <row r="2849" spans="7:16" s="1634" customFormat="1">
      <c r="G2849" s="3336"/>
      <c r="P2849" s="3337"/>
    </row>
    <row r="2850" spans="7:16" s="1634" customFormat="1">
      <c r="G2850" s="3336"/>
      <c r="P2850" s="3337"/>
    </row>
    <row r="2851" spans="7:16" s="1634" customFormat="1">
      <c r="G2851" s="3336"/>
      <c r="P2851" s="3337"/>
    </row>
    <row r="2852" spans="7:16" s="1634" customFormat="1">
      <c r="G2852" s="3336"/>
      <c r="P2852" s="3337"/>
    </row>
    <row r="2853" spans="7:16" s="1634" customFormat="1">
      <c r="G2853" s="3336"/>
      <c r="P2853" s="3337"/>
    </row>
    <row r="2854" spans="7:16" s="1634" customFormat="1">
      <c r="G2854" s="3336"/>
      <c r="P2854" s="3337"/>
    </row>
    <row r="2855" spans="7:16" s="1634" customFormat="1">
      <c r="G2855" s="3336"/>
      <c r="P2855" s="3337"/>
    </row>
    <row r="2856" spans="7:16" s="1634" customFormat="1">
      <c r="G2856" s="3336"/>
      <c r="P2856" s="3337"/>
    </row>
    <row r="2857" spans="7:16" s="1634" customFormat="1">
      <c r="G2857" s="3336"/>
      <c r="P2857" s="3337"/>
    </row>
    <row r="2858" spans="7:16" s="1634" customFormat="1">
      <c r="G2858" s="3336"/>
      <c r="P2858" s="3337"/>
    </row>
    <row r="2859" spans="7:16" s="1634" customFormat="1">
      <c r="G2859" s="3336"/>
      <c r="P2859" s="3337"/>
    </row>
    <row r="2860" spans="7:16" s="1634" customFormat="1">
      <c r="G2860" s="3336"/>
      <c r="P2860" s="3337"/>
    </row>
    <row r="2861" spans="7:16" s="1634" customFormat="1">
      <c r="G2861" s="3336"/>
      <c r="P2861" s="3337"/>
    </row>
    <row r="2862" spans="7:16" s="1634" customFormat="1">
      <c r="G2862" s="3336"/>
      <c r="P2862" s="3337"/>
    </row>
    <row r="2863" spans="7:16" s="1634" customFormat="1">
      <c r="G2863" s="3336"/>
      <c r="P2863" s="3337"/>
    </row>
    <row r="2864" spans="7:16" s="1634" customFormat="1">
      <c r="G2864" s="3336"/>
      <c r="P2864" s="3337"/>
    </row>
    <row r="2865" spans="7:16" s="1634" customFormat="1">
      <c r="G2865" s="3336"/>
      <c r="P2865" s="3337"/>
    </row>
    <row r="2866" spans="7:16" s="1634" customFormat="1">
      <c r="G2866" s="3336"/>
      <c r="P2866" s="3337"/>
    </row>
    <row r="2867" spans="7:16" s="1634" customFormat="1">
      <c r="G2867" s="3336"/>
      <c r="P2867" s="3337"/>
    </row>
    <row r="2868" spans="7:16" s="1634" customFormat="1">
      <c r="G2868" s="3336"/>
      <c r="P2868" s="3337"/>
    </row>
    <row r="2869" spans="7:16" s="1634" customFormat="1">
      <c r="G2869" s="3336"/>
      <c r="P2869" s="3337"/>
    </row>
    <row r="2870" spans="7:16" s="1634" customFormat="1">
      <c r="G2870" s="3336"/>
      <c r="P2870" s="3337"/>
    </row>
    <row r="2871" spans="7:16" s="1634" customFormat="1">
      <c r="G2871" s="3336"/>
      <c r="P2871" s="3337"/>
    </row>
    <row r="2872" spans="7:16" s="1634" customFormat="1">
      <c r="G2872" s="3336"/>
      <c r="P2872" s="3337"/>
    </row>
    <row r="2873" spans="7:16" s="1634" customFormat="1">
      <c r="G2873" s="3336"/>
      <c r="P2873" s="3337"/>
    </row>
    <row r="2874" spans="7:16" s="1634" customFormat="1">
      <c r="G2874" s="3336"/>
      <c r="P2874" s="3337"/>
    </row>
    <row r="2875" spans="7:16" s="1634" customFormat="1">
      <c r="G2875" s="3336"/>
      <c r="P2875" s="3337"/>
    </row>
    <row r="2876" spans="7:16" s="1634" customFormat="1">
      <c r="G2876" s="3336"/>
      <c r="P2876" s="3337"/>
    </row>
    <row r="2877" spans="7:16" s="1634" customFormat="1">
      <c r="G2877" s="3336"/>
      <c r="P2877" s="3337"/>
    </row>
    <row r="2878" spans="7:16" s="1634" customFormat="1">
      <c r="G2878" s="3336"/>
      <c r="P2878" s="3337"/>
    </row>
    <row r="2879" spans="7:16" s="1634" customFormat="1">
      <c r="G2879" s="3336"/>
      <c r="P2879" s="3337"/>
    </row>
    <row r="2880" spans="7:16" s="1634" customFormat="1">
      <c r="G2880" s="3336"/>
      <c r="P2880" s="3337"/>
    </row>
    <row r="2881" spans="7:16" s="1634" customFormat="1">
      <c r="G2881" s="3336"/>
      <c r="P2881" s="3337"/>
    </row>
    <row r="2882" spans="7:16" s="1634" customFormat="1">
      <c r="G2882" s="3336"/>
      <c r="P2882" s="3337"/>
    </row>
    <row r="2883" spans="7:16" s="1634" customFormat="1">
      <c r="G2883" s="3336"/>
      <c r="P2883" s="3337"/>
    </row>
    <row r="2884" spans="7:16" s="1634" customFormat="1">
      <c r="G2884" s="3336"/>
      <c r="P2884" s="3337"/>
    </row>
    <row r="2885" spans="7:16" s="1634" customFormat="1">
      <c r="G2885" s="3336"/>
      <c r="P2885" s="3337"/>
    </row>
    <row r="2886" spans="7:16" s="1634" customFormat="1">
      <c r="G2886" s="3336"/>
      <c r="P2886" s="3337"/>
    </row>
    <row r="2887" spans="7:16" s="1634" customFormat="1">
      <c r="G2887" s="3336"/>
      <c r="P2887" s="3337"/>
    </row>
    <row r="2888" spans="7:16" s="1634" customFormat="1">
      <c r="G2888" s="3336"/>
      <c r="P2888" s="3337"/>
    </row>
    <row r="2889" spans="7:16" s="1634" customFormat="1">
      <c r="G2889" s="3336"/>
      <c r="P2889" s="3337"/>
    </row>
    <row r="2890" spans="7:16" s="1634" customFormat="1">
      <c r="G2890" s="3336"/>
      <c r="P2890" s="3337"/>
    </row>
    <row r="2891" spans="7:16" s="1634" customFormat="1">
      <c r="G2891" s="3336"/>
      <c r="P2891" s="3337"/>
    </row>
    <row r="2892" spans="7:16" s="1634" customFormat="1">
      <c r="G2892" s="3336"/>
      <c r="P2892" s="3337"/>
    </row>
    <row r="2893" spans="7:16" s="1634" customFormat="1">
      <c r="G2893" s="3336"/>
      <c r="P2893" s="3337"/>
    </row>
    <row r="2894" spans="7:16" s="1634" customFormat="1">
      <c r="G2894" s="3336"/>
      <c r="P2894" s="3337"/>
    </row>
    <row r="2895" spans="7:16" s="1634" customFormat="1">
      <c r="G2895" s="3336"/>
      <c r="P2895" s="3337"/>
    </row>
    <row r="2896" spans="7:16" s="1634" customFormat="1">
      <c r="G2896" s="3336"/>
      <c r="P2896" s="3337"/>
    </row>
    <row r="2897" spans="7:16" s="1634" customFormat="1">
      <c r="G2897" s="3336"/>
      <c r="P2897" s="3337"/>
    </row>
    <row r="2898" spans="7:16" s="1634" customFormat="1">
      <c r="G2898" s="3336"/>
      <c r="P2898" s="3337"/>
    </row>
    <row r="2899" spans="7:16" s="1634" customFormat="1">
      <c r="G2899" s="3336"/>
      <c r="P2899" s="3337"/>
    </row>
    <row r="2900" spans="7:16" s="1634" customFormat="1">
      <c r="G2900" s="3336"/>
      <c r="P2900" s="3337"/>
    </row>
    <row r="2901" spans="7:16" s="1634" customFormat="1">
      <c r="G2901" s="3336"/>
      <c r="P2901" s="3337"/>
    </row>
    <row r="2902" spans="7:16" s="1634" customFormat="1">
      <c r="G2902" s="3336"/>
      <c r="P2902" s="3337"/>
    </row>
    <row r="2903" spans="7:16" s="1634" customFormat="1">
      <c r="G2903" s="3336"/>
      <c r="P2903" s="3337"/>
    </row>
    <row r="2904" spans="7:16" s="1634" customFormat="1">
      <c r="G2904" s="3336"/>
      <c r="P2904" s="3337"/>
    </row>
    <row r="2905" spans="7:16" s="1634" customFormat="1">
      <c r="G2905" s="3336"/>
      <c r="P2905" s="3337"/>
    </row>
    <row r="2906" spans="7:16" s="1634" customFormat="1">
      <c r="G2906" s="3336"/>
      <c r="P2906" s="3337"/>
    </row>
    <row r="2907" spans="7:16" s="1634" customFormat="1">
      <c r="G2907" s="3336"/>
      <c r="P2907" s="3337"/>
    </row>
    <row r="2908" spans="7:16" s="1634" customFormat="1">
      <c r="G2908" s="3336"/>
      <c r="P2908" s="3337"/>
    </row>
    <row r="2909" spans="7:16" s="1634" customFormat="1">
      <c r="G2909" s="3336"/>
      <c r="P2909" s="3337"/>
    </row>
    <row r="2910" spans="7:16" s="1634" customFormat="1">
      <c r="G2910" s="3336"/>
      <c r="P2910" s="3337"/>
    </row>
    <row r="2911" spans="7:16" s="1634" customFormat="1">
      <c r="G2911" s="3336"/>
      <c r="P2911" s="3337"/>
    </row>
    <row r="2912" spans="7:16" s="1634" customFormat="1">
      <c r="G2912" s="3336"/>
      <c r="P2912" s="3337"/>
    </row>
    <row r="2913" spans="7:16" s="1634" customFormat="1">
      <c r="G2913" s="3336"/>
      <c r="P2913" s="3337"/>
    </row>
    <row r="2914" spans="7:16" s="1634" customFormat="1">
      <c r="G2914" s="3336"/>
      <c r="P2914" s="3337"/>
    </row>
    <row r="2915" spans="7:16" s="1634" customFormat="1">
      <c r="G2915" s="3336"/>
      <c r="P2915" s="3337"/>
    </row>
    <row r="2916" spans="7:16" s="1634" customFormat="1">
      <c r="G2916" s="3336"/>
      <c r="P2916" s="3337"/>
    </row>
    <row r="2917" spans="7:16" s="1634" customFormat="1">
      <c r="G2917" s="3336"/>
      <c r="P2917" s="3337"/>
    </row>
    <row r="2918" spans="7:16" s="1634" customFormat="1">
      <c r="G2918" s="3336"/>
      <c r="P2918" s="3337"/>
    </row>
    <row r="2919" spans="7:16" s="1634" customFormat="1">
      <c r="G2919" s="3336"/>
      <c r="P2919" s="3337"/>
    </row>
    <row r="2920" spans="7:16" s="1634" customFormat="1">
      <c r="G2920" s="3336"/>
      <c r="P2920" s="3337"/>
    </row>
    <row r="2921" spans="7:16" s="1634" customFormat="1">
      <c r="G2921" s="3336"/>
      <c r="P2921" s="3337"/>
    </row>
    <row r="2922" spans="7:16" s="1634" customFormat="1">
      <c r="G2922" s="3336"/>
      <c r="P2922" s="3337"/>
    </row>
    <row r="2923" spans="7:16" s="1634" customFormat="1">
      <c r="G2923" s="3336"/>
      <c r="P2923" s="3337"/>
    </row>
    <row r="2924" spans="7:16" s="1634" customFormat="1">
      <c r="G2924" s="3336"/>
      <c r="P2924" s="3337"/>
    </row>
    <row r="2925" spans="7:16" s="1634" customFormat="1">
      <c r="G2925" s="3336"/>
      <c r="P2925" s="3337"/>
    </row>
    <row r="2926" spans="7:16" s="1634" customFormat="1">
      <c r="G2926" s="3336"/>
      <c r="P2926" s="3337"/>
    </row>
    <row r="2927" spans="7:16" s="1634" customFormat="1">
      <c r="G2927" s="3336"/>
      <c r="P2927" s="3337"/>
    </row>
    <row r="2928" spans="7:16" s="1634" customFormat="1">
      <c r="G2928" s="3336"/>
      <c r="P2928" s="3337"/>
    </row>
    <row r="2929" spans="7:16" s="1634" customFormat="1">
      <c r="G2929" s="3336"/>
      <c r="P2929" s="3337"/>
    </row>
    <row r="2930" spans="7:16" s="1634" customFormat="1">
      <c r="G2930" s="3336"/>
      <c r="P2930" s="3337"/>
    </row>
    <row r="2931" spans="7:16" s="1634" customFormat="1">
      <c r="G2931" s="3336"/>
      <c r="P2931" s="3337"/>
    </row>
    <row r="2932" spans="7:16" s="1634" customFormat="1">
      <c r="G2932" s="3336"/>
      <c r="P2932" s="3337"/>
    </row>
    <row r="2933" spans="7:16" s="1634" customFormat="1">
      <c r="G2933" s="3336"/>
      <c r="P2933" s="3337"/>
    </row>
    <row r="2934" spans="7:16" s="1634" customFormat="1">
      <c r="G2934" s="3336"/>
      <c r="P2934" s="3337"/>
    </row>
    <row r="2935" spans="7:16" s="1634" customFormat="1">
      <c r="G2935" s="3336"/>
      <c r="P2935" s="3337"/>
    </row>
    <row r="2936" spans="7:16" s="1634" customFormat="1">
      <c r="G2936" s="3336"/>
      <c r="P2936" s="3337"/>
    </row>
    <row r="2937" spans="7:16" s="1634" customFormat="1">
      <c r="G2937" s="3336"/>
      <c r="P2937" s="3337"/>
    </row>
    <row r="2938" spans="7:16" s="1634" customFormat="1">
      <c r="G2938" s="3336"/>
      <c r="P2938" s="3337"/>
    </row>
    <row r="2939" spans="7:16" s="1634" customFormat="1">
      <c r="G2939" s="3336"/>
      <c r="P2939" s="3337"/>
    </row>
    <row r="2940" spans="7:16" s="1634" customFormat="1">
      <c r="G2940" s="3336"/>
      <c r="P2940" s="3337"/>
    </row>
    <row r="2941" spans="7:16" s="1634" customFormat="1">
      <c r="G2941" s="3336"/>
      <c r="P2941" s="3337"/>
    </row>
    <row r="2942" spans="7:16" s="1634" customFormat="1">
      <c r="G2942" s="3336"/>
      <c r="P2942" s="3337"/>
    </row>
    <row r="2943" spans="7:16" s="1634" customFormat="1">
      <c r="G2943" s="3336"/>
      <c r="P2943" s="3337"/>
    </row>
    <row r="2944" spans="7:16" s="1634" customFormat="1">
      <c r="G2944" s="3336"/>
      <c r="P2944" s="3337"/>
    </row>
    <row r="2945" spans="7:16" s="1634" customFormat="1">
      <c r="G2945" s="3336"/>
      <c r="P2945" s="3337"/>
    </row>
    <row r="2946" spans="7:16" s="1634" customFormat="1">
      <c r="G2946" s="3336"/>
      <c r="P2946" s="3337"/>
    </row>
    <row r="2947" spans="7:16" s="1634" customFormat="1">
      <c r="G2947" s="3336"/>
      <c r="P2947" s="3337"/>
    </row>
    <row r="2948" spans="7:16" s="1634" customFormat="1">
      <c r="G2948" s="3336"/>
      <c r="P2948" s="3337"/>
    </row>
    <row r="2949" spans="7:16" s="1634" customFormat="1">
      <c r="G2949" s="3336"/>
      <c r="P2949" s="3337"/>
    </row>
    <row r="2950" spans="7:16" s="1634" customFormat="1">
      <c r="G2950" s="3336"/>
      <c r="P2950" s="3337"/>
    </row>
    <row r="2951" spans="7:16" s="1634" customFormat="1">
      <c r="G2951" s="3336"/>
      <c r="P2951" s="3337"/>
    </row>
    <row r="2952" spans="7:16" s="1634" customFormat="1">
      <c r="G2952" s="3336"/>
      <c r="P2952" s="3337"/>
    </row>
    <row r="2953" spans="7:16" s="1634" customFormat="1">
      <c r="G2953" s="3336"/>
      <c r="P2953" s="3337"/>
    </row>
    <row r="2954" spans="7:16" s="1634" customFormat="1">
      <c r="G2954" s="3336"/>
      <c r="P2954" s="3337"/>
    </row>
    <row r="2955" spans="7:16" s="1634" customFormat="1">
      <c r="G2955" s="3336"/>
      <c r="P2955" s="3337"/>
    </row>
    <row r="2956" spans="7:16" s="1634" customFormat="1">
      <c r="G2956" s="3336"/>
      <c r="P2956" s="3337"/>
    </row>
    <row r="2957" spans="7:16" s="1634" customFormat="1">
      <c r="G2957" s="3336"/>
      <c r="P2957" s="3337"/>
    </row>
    <row r="2958" spans="7:16" s="1634" customFormat="1">
      <c r="G2958" s="3336"/>
      <c r="P2958" s="3337"/>
    </row>
    <row r="2959" spans="7:16" s="1634" customFormat="1">
      <c r="G2959" s="3336"/>
      <c r="P2959" s="3337"/>
    </row>
    <row r="2960" spans="7:16" s="1634" customFormat="1">
      <c r="G2960" s="3336"/>
      <c r="P2960" s="3337"/>
    </row>
    <row r="2961" spans="7:16" s="1634" customFormat="1">
      <c r="G2961" s="3336"/>
      <c r="P2961" s="3337"/>
    </row>
    <row r="2962" spans="7:16" s="1634" customFormat="1">
      <c r="G2962" s="3336"/>
      <c r="P2962" s="3337"/>
    </row>
    <row r="2963" spans="7:16" s="1634" customFormat="1">
      <c r="G2963" s="3336"/>
      <c r="P2963" s="3337"/>
    </row>
    <row r="2964" spans="7:16" s="1634" customFormat="1">
      <c r="G2964" s="3336"/>
      <c r="P2964" s="3337"/>
    </row>
    <row r="2965" spans="7:16" s="1634" customFormat="1">
      <c r="G2965" s="3336"/>
      <c r="P2965" s="3337"/>
    </row>
    <row r="2966" spans="7:16" s="1634" customFormat="1">
      <c r="G2966" s="3336"/>
      <c r="P2966" s="3337"/>
    </row>
    <row r="2967" spans="7:16" s="1634" customFormat="1">
      <c r="G2967" s="3336"/>
      <c r="P2967" s="3337"/>
    </row>
    <row r="2968" spans="7:16" s="1634" customFormat="1">
      <c r="G2968" s="3336"/>
      <c r="P2968" s="3337"/>
    </row>
    <row r="2969" spans="7:16" s="1634" customFormat="1">
      <c r="G2969" s="3336"/>
      <c r="P2969" s="3337"/>
    </row>
    <row r="2970" spans="7:16" s="1634" customFormat="1">
      <c r="G2970" s="3336"/>
      <c r="P2970" s="3337"/>
    </row>
    <row r="2971" spans="7:16" s="1634" customFormat="1">
      <c r="G2971" s="3336"/>
      <c r="P2971" s="3337"/>
    </row>
    <row r="2972" spans="7:16" s="1634" customFormat="1">
      <c r="G2972" s="3336"/>
      <c r="P2972" s="3337"/>
    </row>
    <row r="2973" spans="7:16" s="1634" customFormat="1">
      <c r="G2973" s="3336"/>
      <c r="P2973" s="3337"/>
    </row>
    <row r="2974" spans="7:16" s="1634" customFormat="1">
      <c r="G2974" s="3336"/>
      <c r="P2974" s="3337"/>
    </row>
    <row r="2975" spans="7:16" s="1634" customFormat="1">
      <c r="G2975" s="3336"/>
      <c r="P2975" s="3337"/>
    </row>
    <row r="2976" spans="7:16" s="1634" customFormat="1">
      <c r="G2976" s="3336"/>
      <c r="P2976" s="3337"/>
    </row>
    <row r="2977" spans="7:16" s="1634" customFormat="1">
      <c r="G2977" s="3336"/>
      <c r="P2977" s="3337"/>
    </row>
    <row r="2978" spans="7:16" s="1634" customFormat="1">
      <c r="G2978" s="3336"/>
      <c r="P2978" s="3337"/>
    </row>
    <row r="2979" spans="7:16" s="1634" customFormat="1">
      <c r="G2979" s="3336"/>
      <c r="P2979" s="3337"/>
    </row>
    <row r="2980" spans="7:16" s="1634" customFormat="1">
      <c r="G2980" s="3336"/>
      <c r="P2980" s="3337"/>
    </row>
    <row r="2981" spans="7:16" s="1634" customFormat="1">
      <c r="G2981" s="3336"/>
      <c r="P2981" s="3337"/>
    </row>
    <row r="2982" spans="7:16" s="1634" customFormat="1">
      <c r="G2982" s="3336"/>
      <c r="P2982" s="3337"/>
    </row>
    <row r="2983" spans="7:16" s="1634" customFormat="1">
      <c r="G2983" s="3336"/>
      <c r="P2983" s="3337"/>
    </row>
    <row r="2984" spans="7:16" s="1634" customFormat="1">
      <c r="G2984" s="3336"/>
      <c r="P2984" s="3337"/>
    </row>
    <row r="2985" spans="7:16" s="1634" customFormat="1">
      <c r="G2985" s="3336"/>
      <c r="P2985" s="3337"/>
    </row>
    <row r="2986" spans="7:16" s="1634" customFormat="1">
      <c r="G2986" s="3336"/>
      <c r="P2986" s="3337"/>
    </row>
    <row r="2987" spans="7:16" s="1634" customFormat="1">
      <c r="G2987" s="3336"/>
      <c r="P2987" s="3337"/>
    </row>
    <row r="2988" spans="7:16" s="1634" customFormat="1">
      <c r="G2988" s="3336"/>
      <c r="P2988" s="3337"/>
    </row>
    <row r="2989" spans="7:16" s="1634" customFormat="1">
      <c r="G2989" s="3336"/>
      <c r="P2989" s="3337"/>
    </row>
    <row r="2990" spans="7:16" s="1634" customFormat="1">
      <c r="G2990" s="3336"/>
      <c r="P2990" s="3337"/>
    </row>
    <row r="2991" spans="7:16" s="1634" customFormat="1">
      <c r="G2991" s="3336"/>
      <c r="P2991" s="3337"/>
    </row>
    <row r="2992" spans="7:16" s="1634" customFormat="1">
      <c r="G2992" s="3336"/>
      <c r="P2992" s="3337"/>
    </row>
    <row r="2993" spans="7:16" s="1634" customFormat="1">
      <c r="G2993" s="3336"/>
      <c r="P2993" s="3337"/>
    </row>
    <row r="2994" spans="7:16" s="1634" customFormat="1">
      <c r="G2994" s="3336"/>
      <c r="P2994" s="3337"/>
    </row>
    <row r="2995" spans="7:16" s="1634" customFormat="1">
      <c r="G2995" s="3336"/>
      <c r="P2995" s="3337"/>
    </row>
    <row r="2996" spans="7:16" s="1634" customFormat="1">
      <c r="G2996" s="3336"/>
      <c r="P2996" s="3337"/>
    </row>
    <row r="2997" spans="7:16" s="1634" customFormat="1">
      <c r="G2997" s="3336"/>
      <c r="P2997" s="3337"/>
    </row>
    <row r="2998" spans="7:16" s="1634" customFormat="1">
      <c r="G2998" s="3336"/>
      <c r="P2998" s="3337"/>
    </row>
    <row r="2999" spans="7:16" s="1634" customFormat="1">
      <c r="G2999" s="3336"/>
      <c r="P2999" s="3337"/>
    </row>
    <row r="3000" spans="7:16" s="1634" customFormat="1">
      <c r="G3000" s="3336"/>
      <c r="P3000" s="3337"/>
    </row>
    <row r="3001" spans="7:16" s="1634" customFormat="1">
      <c r="G3001" s="3336"/>
      <c r="P3001" s="3337"/>
    </row>
    <row r="3002" spans="7:16" s="1634" customFormat="1">
      <c r="G3002" s="3336"/>
      <c r="P3002" s="3337"/>
    </row>
    <row r="3003" spans="7:16" s="1634" customFormat="1">
      <c r="G3003" s="3336"/>
      <c r="P3003" s="3337"/>
    </row>
    <row r="3004" spans="7:16" s="1634" customFormat="1">
      <c r="G3004" s="3336"/>
      <c r="P3004" s="3337"/>
    </row>
    <row r="3005" spans="7:16" s="1634" customFormat="1">
      <c r="G3005" s="3336"/>
      <c r="P3005" s="3337"/>
    </row>
    <row r="3006" spans="7:16" s="1634" customFormat="1">
      <c r="G3006" s="3336"/>
      <c r="P3006" s="3337"/>
    </row>
    <row r="3007" spans="7:16" s="1634" customFormat="1">
      <c r="G3007" s="3336"/>
      <c r="P3007" s="3337"/>
    </row>
    <row r="3008" spans="7:16" s="1634" customFormat="1">
      <c r="G3008" s="3336"/>
      <c r="P3008" s="3337"/>
    </row>
    <row r="3009" spans="7:16" s="1634" customFormat="1">
      <c r="G3009" s="3336"/>
      <c r="P3009" s="3337"/>
    </row>
    <row r="3010" spans="7:16" s="1634" customFormat="1">
      <c r="G3010" s="3336"/>
      <c r="P3010" s="3337"/>
    </row>
    <row r="3011" spans="7:16" s="1634" customFormat="1">
      <c r="G3011" s="3336"/>
      <c r="P3011" s="3337"/>
    </row>
    <row r="3012" spans="7:16" s="1634" customFormat="1">
      <c r="G3012" s="3336"/>
      <c r="P3012" s="3337"/>
    </row>
    <row r="3013" spans="7:16" s="1634" customFormat="1">
      <c r="G3013" s="3336"/>
      <c r="P3013" s="3337"/>
    </row>
    <row r="3014" spans="7:16" s="1634" customFormat="1">
      <c r="G3014" s="3336"/>
      <c r="P3014" s="3337"/>
    </row>
    <row r="3015" spans="7:16" s="1634" customFormat="1">
      <c r="G3015" s="3336"/>
      <c r="P3015" s="3337"/>
    </row>
    <row r="3016" spans="7:16" s="1634" customFormat="1">
      <c r="G3016" s="3336"/>
      <c r="P3016" s="3337"/>
    </row>
    <row r="3017" spans="7:16" s="1634" customFormat="1">
      <c r="G3017" s="3336"/>
      <c r="P3017" s="3337"/>
    </row>
    <row r="3018" spans="7:16" s="1634" customFormat="1">
      <c r="G3018" s="3336"/>
      <c r="P3018" s="3337"/>
    </row>
    <row r="3019" spans="7:16" s="1634" customFormat="1">
      <c r="G3019" s="3336"/>
      <c r="P3019" s="3337"/>
    </row>
    <row r="3020" spans="7:16" s="1634" customFormat="1">
      <c r="G3020" s="3336"/>
      <c r="P3020" s="3337"/>
    </row>
    <row r="3021" spans="7:16" s="1634" customFormat="1">
      <c r="G3021" s="3336"/>
      <c r="P3021" s="3337"/>
    </row>
    <row r="3022" spans="7:16" s="1634" customFormat="1">
      <c r="G3022" s="3336"/>
      <c r="P3022" s="3337"/>
    </row>
    <row r="3023" spans="7:16" s="1634" customFormat="1">
      <c r="G3023" s="3336"/>
      <c r="P3023" s="3337"/>
    </row>
    <row r="3024" spans="7:16" s="1634" customFormat="1">
      <c r="G3024" s="3336"/>
      <c r="P3024" s="3337"/>
    </row>
    <row r="3025" spans="7:16" s="1634" customFormat="1">
      <c r="G3025" s="3336"/>
      <c r="P3025" s="3337"/>
    </row>
    <row r="3026" spans="7:16" s="1634" customFormat="1">
      <c r="G3026" s="3336"/>
      <c r="P3026" s="3337"/>
    </row>
    <row r="3027" spans="7:16" s="1634" customFormat="1">
      <c r="G3027" s="3336"/>
      <c r="P3027" s="3337"/>
    </row>
    <row r="3028" spans="7:16" s="1634" customFormat="1">
      <c r="G3028" s="3336"/>
      <c r="P3028" s="3337"/>
    </row>
    <row r="3029" spans="7:16" s="1634" customFormat="1">
      <c r="G3029" s="3336"/>
      <c r="P3029" s="3337"/>
    </row>
    <row r="3030" spans="7:16" s="1634" customFormat="1">
      <c r="G3030" s="3336"/>
      <c r="P3030" s="3337"/>
    </row>
    <row r="3031" spans="7:16" s="1634" customFormat="1">
      <c r="G3031" s="3336"/>
      <c r="P3031" s="3337"/>
    </row>
    <row r="3032" spans="7:16" s="1634" customFormat="1">
      <c r="G3032" s="3336"/>
      <c r="P3032" s="3337"/>
    </row>
    <row r="3033" spans="7:16" s="1634" customFormat="1">
      <c r="G3033" s="3336"/>
      <c r="P3033" s="3337"/>
    </row>
    <row r="3034" spans="7:16" s="1634" customFormat="1">
      <c r="G3034" s="3336"/>
      <c r="P3034" s="3337"/>
    </row>
    <row r="3035" spans="7:16" s="1634" customFormat="1">
      <c r="G3035" s="3336"/>
      <c r="P3035" s="3337"/>
    </row>
    <row r="3036" spans="7:16" s="1634" customFormat="1">
      <c r="G3036" s="3336"/>
      <c r="P3036" s="3337"/>
    </row>
    <row r="3037" spans="7:16" s="1634" customFormat="1">
      <c r="G3037" s="3336"/>
      <c r="P3037" s="3337"/>
    </row>
    <row r="3038" spans="7:16" s="1634" customFormat="1">
      <c r="G3038" s="3336"/>
      <c r="P3038" s="3337"/>
    </row>
    <row r="3039" spans="7:16" s="1634" customFormat="1">
      <c r="G3039" s="3336"/>
      <c r="P3039" s="3337"/>
    </row>
    <row r="3040" spans="7:16" s="1634" customFormat="1">
      <c r="G3040" s="3336"/>
      <c r="P3040" s="3337"/>
    </row>
    <row r="3041" spans="7:16" s="1634" customFormat="1">
      <c r="G3041" s="3336"/>
      <c r="P3041" s="3337"/>
    </row>
    <row r="3042" spans="7:16" s="1634" customFormat="1">
      <c r="G3042" s="3336"/>
      <c r="P3042" s="3337"/>
    </row>
    <row r="3043" spans="7:16" s="1634" customFormat="1">
      <c r="G3043" s="3336"/>
      <c r="P3043" s="3337"/>
    </row>
    <row r="3044" spans="7:16" s="1634" customFormat="1">
      <c r="G3044" s="3336"/>
      <c r="P3044" s="3337"/>
    </row>
    <row r="3045" spans="7:16" s="1634" customFormat="1">
      <c r="G3045" s="3336"/>
      <c r="P3045" s="3337"/>
    </row>
    <row r="3046" spans="7:16" s="1634" customFormat="1">
      <c r="G3046" s="3336"/>
      <c r="P3046" s="3337"/>
    </row>
    <row r="3047" spans="7:16" s="1634" customFormat="1">
      <c r="G3047" s="3336"/>
      <c r="P3047" s="3337"/>
    </row>
    <row r="3048" spans="7:16" s="1634" customFormat="1">
      <c r="G3048" s="3336"/>
      <c r="P3048" s="3337"/>
    </row>
    <row r="3049" spans="7:16" s="1634" customFormat="1">
      <c r="G3049" s="3336"/>
      <c r="P3049" s="3337"/>
    </row>
    <row r="3050" spans="7:16" s="1634" customFormat="1">
      <c r="G3050" s="3336"/>
      <c r="P3050" s="3337"/>
    </row>
    <row r="3051" spans="7:16" s="1634" customFormat="1">
      <c r="G3051" s="3336"/>
      <c r="P3051" s="3337"/>
    </row>
    <row r="3052" spans="7:16" s="1634" customFormat="1">
      <c r="G3052" s="3336"/>
      <c r="P3052" s="3337"/>
    </row>
    <row r="3053" spans="7:16" s="1634" customFormat="1">
      <c r="G3053" s="3336"/>
      <c r="P3053" s="3337"/>
    </row>
    <row r="3054" spans="7:16" s="1634" customFormat="1">
      <c r="G3054" s="3336"/>
      <c r="P3054" s="3337"/>
    </row>
    <row r="3055" spans="7:16" s="1634" customFormat="1">
      <c r="G3055" s="3336"/>
      <c r="P3055" s="3337"/>
    </row>
    <row r="3056" spans="7:16" s="1634" customFormat="1">
      <c r="G3056" s="3336"/>
      <c r="P3056" s="3337"/>
    </row>
    <row r="3057" spans="7:16" s="1634" customFormat="1">
      <c r="G3057" s="3336"/>
      <c r="P3057" s="3337"/>
    </row>
    <row r="3058" spans="7:16" s="1634" customFormat="1">
      <c r="G3058" s="3336"/>
      <c r="P3058" s="3337"/>
    </row>
    <row r="3059" spans="7:16" s="1634" customFormat="1">
      <c r="G3059" s="3336"/>
      <c r="P3059" s="3337"/>
    </row>
    <row r="3060" spans="7:16" s="1634" customFormat="1">
      <c r="G3060" s="3336"/>
      <c r="P3060" s="3337"/>
    </row>
    <row r="3061" spans="7:16" s="1634" customFormat="1">
      <c r="G3061" s="3336"/>
      <c r="P3061" s="3337"/>
    </row>
    <row r="3062" spans="7:16" s="1634" customFormat="1">
      <c r="G3062" s="3336"/>
      <c r="P3062" s="3337"/>
    </row>
    <row r="3063" spans="7:16" s="1634" customFormat="1">
      <c r="G3063" s="3336"/>
      <c r="P3063" s="3337"/>
    </row>
    <row r="3064" spans="7:16" s="1634" customFormat="1">
      <c r="G3064" s="3336"/>
      <c r="P3064" s="3337"/>
    </row>
    <row r="3065" spans="7:16" s="1634" customFormat="1">
      <c r="G3065" s="3336"/>
      <c r="P3065" s="3337"/>
    </row>
    <row r="3066" spans="7:16" s="1634" customFormat="1">
      <c r="G3066" s="3336"/>
      <c r="P3066" s="3337"/>
    </row>
    <row r="3067" spans="7:16" s="1634" customFormat="1">
      <c r="G3067" s="3336"/>
      <c r="P3067" s="3337"/>
    </row>
    <row r="3068" spans="7:16" s="1634" customFormat="1">
      <c r="G3068" s="3336"/>
      <c r="P3068" s="3337"/>
    </row>
    <row r="3069" spans="7:16" s="1634" customFormat="1">
      <c r="G3069" s="3336"/>
      <c r="P3069" s="3337"/>
    </row>
    <row r="3070" spans="7:16" s="1634" customFormat="1">
      <c r="G3070" s="3336"/>
      <c r="P3070" s="3337"/>
    </row>
    <row r="3071" spans="7:16" s="1634" customFormat="1">
      <c r="G3071" s="3336"/>
      <c r="P3071" s="3337"/>
    </row>
    <row r="3072" spans="7:16" s="1634" customFormat="1">
      <c r="G3072" s="3336"/>
      <c r="P3072" s="3337"/>
    </row>
    <row r="3073" spans="7:16" s="1634" customFormat="1">
      <c r="G3073" s="3336"/>
      <c r="P3073" s="3337"/>
    </row>
    <row r="3074" spans="7:16" s="1634" customFormat="1">
      <c r="G3074" s="3336"/>
      <c r="P3074" s="3337"/>
    </row>
    <row r="3075" spans="7:16" s="1634" customFormat="1">
      <c r="G3075" s="3336"/>
      <c r="P3075" s="3337"/>
    </row>
    <row r="3076" spans="7:16" s="1634" customFormat="1">
      <c r="G3076" s="3336"/>
      <c r="P3076" s="3337"/>
    </row>
    <row r="3077" spans="7:16" s="1634" customFormat="1">
      <c r="G3077" s="3336"/>
      <c r="P3077" s="3337"/>
    </row>
    <row r="3078" spans="7:16" s="1634" customFormat="1">
      <c r="G3078" s="3336"/>
      <c r="P3078" s="3337"/>
    </row>
    <row r="3079" spans="7:16" s="1634" customFormat="1">
      <c r="G3079" s="3336"/>
      <c r="P3079" s="3337"/>
    </row>
    <row r="3080" spans="7:16" s="1634" customFormat="1">
      <c r="G3080" s="3336"/>
      <c r="P3080" s="3337"/>
    </row>
    <row r="3081" spans="7:16" s="1634" customFormat="1">
      <c r="G3081" s="3336"/>
      <c r="P3081" s="3337"/>
    </row>
    <row r="3082" spans="7:16" s="1634" customFormat="1">
      <c r="G3082" s="3336"/>
      <c r="P3082" s="3337"/>
    </row>
    <row r="3083" spans="7:16" s="1634" customFormat="1">
      <c r="G3083" s="3336"/>
      <c r="P3083" s="3337"/>
    </row>
    <row r="3084" spans="7:16" s="1634" customFormat="1">
      <c r="G3084" s="3336"/>
      <c r="P3084" s="3337"/>
    </row>
    <row r="3085" spans="7:16" s="1634" customFormat="1">
      <c r="G3085" s="3336"/>
      <c r="P3085" s="3337"/>
    </row>
    <row r="3086" spans="7:16" s="1634" customFormat="1">
      <c r="G3086" s="3336"/>
      <c r="P3086" s="3337"/>
    </row>
    <row r="3087" spans="7:16" s="1634" customFormat="1">
      <c r="G3087" s="3336"/>
      <c r="P3087" s="3337"/>
    </row>
    <row r="3088" spans="7:16" s="1634" customFormat="1">
      <c r="G3088" s="3336"/>
      <c r="P3088" s="3337"/>
    </row>
    <row r="3089" spans="7:16" s="1634" customFormat="1">
      <c r="G3089" s="3336"/>
      <c r="P3089" s="3337"/>
    </row>
    <row r="3090" spans="7:16" s="1634" customFormat="1">
      <c r="G3090" s="3336"/>
      <c r="P3090" s="3337"/>
    </row>
    <row r="3091" spans="7:16" s="1634" customFormat="1">
      <c r="G3091" s="3336"/>
      <c r="P3091" s="3337"/>
    </row>
    <row r="3092" spans="7:16" s="1634" customFormat="1">
      <c r="G3092" s="3336"/>
      <c r="P3092" s="3337"/>
    </row>
    <row r="3093" spans="7:16" s="1634" customFormat="1">
      <c r="G3093" s="3336"/>
      <c r="P3093" s="3337"/>
    </row>
    <row r="3094" spans="7:16" s="1634" customFormat="1">
      <c r="G3094" s="3336"/>
      <c r="P3094" s="3337"/>
    </row>
    <row r="3095" spans="7:16" s="1634" customFormat="1">
      <c r="G3095" s="3336"/>
      <c r="P3095" s="3337"/>
    </row>
    <row r="3096" spans="7:16" s="1634" customFormat="1">
      <c r="G3096" s="3336"/>
      <c r="P3096" s="3337"/>
    </row>
    <row r="3097" spans="7:16" s="1634" customFormat="1">
      <c r="G3097" s="3336"/>
      <c r="P3097" s="3337"/>
    </row>
    <row r="3098" spans="7:16" s="1634" customFormat="1">
      <c r="G3098" s="3336"/>
      <c r="P3098" s="3337"/>
    </row>
    <row r="3099" spans="7:16" s="1634" customFormat="1">
      <c r="G3099" s="3336"/>
      <c r="P3099" s="3337"/>
    </row>
    <row r="3100" spans="7:16" s="1634" customFormat="1">
      <c r="G3100" s="3336"/>
      <c r="P3100" s="3337"/>
    </row>
    <row r="3101" spans="7:16" s="1634" customFormat="1">
      <c r="G3101" s="3336"/>
      <c r="P3101" s="3337"/>
    </row>
    <row r="3102" spans="7:16" s="1634" customFormat="1">
      <c r="G3102" s="3336"/>
      <c r="P3102" s="3337"/>
    </row>
    <row r="3103" spans="7:16" s="1634" customFormat="1">
      <c r="G3103" s="3336"/>
      <c r="P3103" s="3337"/>
    </row>
    <row r="3104" spans="7:16" s="1634" customFormat="1">
      <c r="G3104" s="3336"/>
      <c r="P3104" s="3337"/>
    </row>
    <row r="3105" spans="7:16" s="1634" customFormat="1">
      <c r="G3105" s="3336"/>
      <c r="P3105" s="3337"/>
    </row>
    <row r="3106" spans="7:16" s="1634" customFormat="1">
      <c r="G3106" s="3336"/>
      <c r="P3106" s="3337"/>
    </row>
    <row r="3107" spans="7:16" s="1634" customFormat="1">
      <c r="G3107" s="3336"/>
      <c r="P3107" s="3337"/>
    </row>
    <row r="3108" spans="7:16" s="1634" customFormat="1">
      <c r="G3108" s="3336"/>
      <c r="P3108" s="3337"/>
    </row>
    <row r="3109" spans="7:16" s="1634" customFormat="1">
      <c r="G3109" s="3336"/>
      <c r="P3109" s="3337"/>
    </row>
    <row r="3110" spans="7:16" s="1634" customFormat="1">
      <c r="G3110" s="3336"/>
      <c r="P3110" s="3337"/>
    </row>
    <row r="3111" spans="7:16" s="1634" customFormat="1">
      <c r="G3111" s="3336"/>
      <c r="P3111" s="3337"/>
    </row>
    <row r="3112" spans="7:16" s="1634" customFormat="1">
      <c r="G3112" s="3336"/>
      <c r="P3112" s="3337"/>
    </row>
    <row r="3113" spans="7:16" s="1634" customFormat="1">
      <c r="G3113" s="3336"/>
      <c r="P3113" s="3337"/>
    </row>
    <row r="3114" spans="7:16" s="1634" customFormat="1">
      <c r="G3114" s="3336"/>
      <c r="P3114" s="3337"/>
    </row>
    <row r="3115" spans="7:16" s="1634" customFormat="1">
      <c r="G3115" s="3336"/>
      <c r="P3115" s="3337"/>
    </row>
    <row r="3116" spans="7:16" s="1634" customFormat="1">
      <c r="G3116" s="3336"/>
      <c r="P3116" s="3337"/>
    </row>
    <row r="3117" spans="7:16" s="1634" customFormat="1">
      <c r="G3117" s="3336"/>
      <c r="P3117" s="3337"/>
    </row>
    <row r="3118" spans="7:16" s="1634" customFormat="1">
      <c r="G3118" s="3336"/>
      <c r="P3118" s="3337"/>
    </row>
    <row r="3119" spans="7:16" s="1634" customFormat="1">
      <c r="G3119" s="3336"/>
      <c r="P3119" s="3337"/>
    </row>
    <row r="3120" spans="7:16" s="1634" customFormat="1">
      <c r="G3120" s="3336"/>
      <c r="P3120" s="3337"/>
    </row>
    <row r="3121" spans="7:16" s="1634" customFormat="1">
      <c r="G3121" s="3336"/>
      <c r="P3121" s="3337"/>
    </row>
    <row r="3122" spans="7:16" s="1634" customFormat="1">
      <c r="G3122" s="3336"/>
      <c r="P3122" s="3337"/>
    </row>
    <row r="3123" spans="7:16" s="1634" customFormat="1">
      <c r="G3123" s="3336"/>
      <c r="P3123" s="3337"/>
    </row>
    <row r="3124" spans="7:16" s="1634" customFormat="1">
      <c r="G3124" s="3336"/>
      <c r="P3124" s="3337"/>
    </row>
    <row r="3125" spans="7:16" s="1634" customFormat="1">
      <c r="G3125" s="3336"/>
      <c r="P3125" s="3337"/>
    </row>
    <row r="3126" spans="7:16" s="1634" customFormat="1">
      <c r="G3126" s="3336"/>
      <c r="P3126" s="3337"/>
    </row>
    <row r="3127" spans="7:16" s="1634" customFormat="1">
      <c r="G3127" s="3336"/>
      <c r="P3127" s="3337"/>
    </row>
    <row r="3128" spans="7:16" s="1634" customFormat="1">
      <c r="G3128" s="3336"/>
      <c r="P3128" s="3337"/>
    </row>
    <row r="3129" spans="7:16" s="1634" customFormat="1">
      <c r="G3129" s="3336"/>
      <c r="P3129" s="3337"/>
    </row>
    <row r="3130" spans="7:16" s="1634" customFormat="1">
      <c r="G3130" s="3336"/>
      <c r="P3130" s="3337"/>
    </row>
    <row r="3131" spans="7:16" s="1634" customFormat="1">
      <c r="G3131" s="3336"/>
      <c r="P3131" s="3337"/>
    </row>
    <row r="3132" spans="7:16" s="1634" customFormat="1">
      <c r="G3132" s="3336"/>
      <c r="P3132" s="3337"/>
    </row>
    <row r="3133" spans="7:16" s="1634" customFormat="1">
      <c r="G3133" s="3336"/>
      <c r="P3133" s="3337"/>
    </row>
    <row r="3134" spans="7:16" s="1634" customFormat="1">
      <c r="G3134" s="3336"/>
      <c r="P3134" s="3337"/>
    </row>
    <row r="3135" spans="7:16" s="1634" customFormat="1">
      <c r="G3135" s="3336"/>
      <c r="P3135" s="3337"/>
    </row>
    <row r="3136" spans="7:16" s="1634" customFormat="1">
      <c r="G3136" s="3336"/>
      <c r="P3136" s="3337"/>
    </row>
    <row r="3137" spans="7:16" s="1634" customFormat="1">
      <c r="G3137" s="3336"/>
      <c r="P3137" s="3337"/>
    </row>
    <row r="3138" spans="7:16" s="1634" customFormat="1">
      <c r="G3138" s="3336"/>
      <c r="P3138" s="3337"/>
    </row>
    <row r="3139" spans="7:16" s="1634" customFormat="1">
      <c r="G3139" s="3336"/>
      <c r="P3139" s="3337"/>
    </row>
    <row r="3140" spans="7:16" s="1634" customFormat="1">
      <c r="G3140" s="3336"/>
      <c r="P3140" s="3337"/>
    </row>
    <row r="3141" spans="7:16" s="1634" customFormat="1">
      <c r="G3141" s="3336"/>
      <c r="P3141" s="3337"/>
    </row>
    <row r="3142" spans="7:16" s="1634" customFormat="1">
      <c r="G3142" s="3336"/>
      <c r="P3142" s="3337"/>
    </row>
    <row r="3143" spans="7:16" s="1634" customFormat="1">
      <c r="G3143" s="3336"/>
      <c r="P3143" s="3337"/>
    </row>
    <row r="3144" spans="7:16" s="1634" customFormat="1">
      <c r="G3144" s="3336"/>
      <c r="P3144" s="3337"/>
    </row>
    <row r="3145" spans="7:16" s="1634" customFormat="1">
      <c r="G3145" s="3336"/>
      <c r="P3145" s="3337"/>
    </row>
    <row r="3146" spans="7:16" s="1634" customFormat="1">
      <c r="G3146" s="3336"/>
      <c r="P3146" s="3337"/>
    </row>
    <row r="3147" spans="7:16" s="1634" customFormat="1">
      <c r="G3147" s="3336"/>
      <c r="P3147" s="3337"/>
    </row>
    <row r="3148" spans="7:16" s="1634" customFormat="1">
      <c r="G3148" s="3336"/>
      <c r="P3148" s="3337"/>
    </row>
    <row r="3149" spans="7:16" s="1634" customFormat="1">
      <c r="G3149" s="3336"/>
      <c r="P3149" s="3337"/>
    </row>
    <row r="3150" spans="7:16" s="1634" customFormat="1">
      <c r="G3150" s="3336"/>
      <c r="P3150" s="3337"/>
    </row>
    <row r="3151" spans="7:16" s="1634" customFormat="1">
      <c r="G3151" s="3336"/>
      <c r="P3151" s="3337"/>
    </row>
    <row r="3152" spans="7:16" s="1634" customFormat="1">
      <c r="G3152" s="3336"/>
      <c r="P3152" s="3337"/>
    </row>
    <row r="3153" spans="7:16" s="1634" customFormat="1">
      <c r="G3153" s="3336"/>
      <c r="P3153" s="3337"/>
    </row>
    <row r="3154" spans="7:16" s="1634" customFormat="1">
      <c r="G3154" s="3336"/>
      <c r="P3154" s="3337"/>
    </row>
    <row r="3155" spans="7:16" s="1634" customFormat="1">
      <c r="G3155" s="3336"/>
      <c r="P3155" s="3337"/>
    </row>
    <row r="3156" spans="7:16" s="1634" customFormat="1">
      <c r="G3156" s="3336"/>
      <c r="P3156" s="3337"/>
    </row>
    <row r="3157" spans="7:16" s="1634" customFormat="1">
      <c r="G3157" s="3336"/>
      <c r="P3157" s="3337"/>
    </row>
    <row r="3158" spans="7:16" s="1634" customFormat="1">
      <c r="G3158" s="3336"/>
      <c r="P3158" s="3337"/>
    </row>
    <row r="3159" spans="7:16" s="1634" customFormat="1">
      <c r="G3159" s="3336"/>
      <c r="P3159" s="3337"/>
    </row>
    <row r="3160" spans="7:16" s="1634" customFormat="1">
      <c r="G3160" s="3336"/>
      <c r="P3160" s="3337"/>
    </row>
    <row r="3161" spans="7:16" s="1634" customFormat="1">
      <c r="G3161" s="3336"/>
      <c r="P3161" s="3337"/>
    </row>
    <row r="3162" spans="7:16" s="1634" customFormat="1">
      <c r="G3162" s="3336"/>
      <c r="P3162" s="3337"/>
    </row>
    <row r="3163" spans="7:16" s="1634" customFormat="1">
      <c r="G3163" s="3336"/>
      <c r="P3163" s="3337"/>
    </row>
    <row r="3164" spans="7:16" s="1634" customFormat="1">
      <c r="G3164" s="3336"/>
      <c r="P3164" s="3337"/>
    </row>
    <row r="3165" spans="7:16" s="1634" customFormat="1">
      <c r="G3165" s="3336"/>
      <c r="P3165" s="3337"/>
    </row>
    <row r="3166" spans="7:16" s="1634" customFormat="1">
      <c r="G3166" s="3336"/>
      <c r="P3166" s="3337"/>
    </row>
    <row r="3167" spans="7:16" s="1634" customFormat="1">
      <c r="G3167" s="3336"/>
      <c r="P3167" s="3337"/>
    </row>
    <row r="3168" spans="7:16" s="1634" customFormat="1">
      <c r="G3168" s="3336"/>
      <c r="P3168" s="3337"/>
    </row>
    <row r="3169" spans="7:16" s="1634" customFormat="1">
      <c r="G3169" s="3336"/>
      <c r="P3169" s="3337"/>
    </row>
    <row r="3170" spans="7:16" s="1634" customFormat="1">
      <c r="G3170" s="3336"/>
      <c r="P3170" s="3337"/>
    </row>
    <row r="3171" spans="7:16" s="1634" customFormat="1">
      <c r="G3171" s="3336"/>
      <c r="P3171" s="3337"/>
    </row>
    <row r="3172" spans="7:16" s="1634" customFormat="1">
      <c r="G3172" s="3336"/>
      <c r="P3172" s="3337"/>
    </row>
    <row r="3173" spans="7:16" s="1634" customFormat="1">
      <c r="G3173" s="3336"/>
      <c r="P3173" s="3337"/>
    </row>
    <row r="3174" spans="7:16" s="1634" customFormat="1">
      <c r="G3174" s="3336"/>
      <c r="P3174" s="3337"/>
    </row>
    <row r="3175" spans="7:16" s="1634" customFormat="1">
      <c r="G3175" s="3336"/>
      <c r="P3175" s="3337"/>
    </row>
    <row r="3176" spans="7:16" s="1634" customFormat="1">
      <c r="G3176" s="3336"/>
      <c r="P3176" s="3337"/>
    </row>
    <row r="3177" spans="7:16" s="1634" customFormat="1">
      <c r="G3177" s="3336"/>
      <c r="P3177" s="3337"/>
    </row>
    <row r="3178" spans="7:16" s="1634" customFormat="1">
      <c r="G3178" s="3336"/>
      <c r="P3178" s="3337"/>
    </row>
    <row r="3179" spans="7:16" s="1634" customFormat="1">
      <c r="G3179" s="3336"/>
      <c r="P3179" s="3337"/>
    </row>
    <row r="3180" spans="7:16" s="1634" customFormat="1">
      <c r="G3180" s="3336"/>
      <c r="P3180" s="3337"/>
    </row>
    <row r="3181" spans="7:16" s="1634" customFormat="1">
      <c r="G3181" s="3336"/>
      <c r="P3181" s="3337"/>
    </row>
    <row r="3182" spans="7:16" s="1634" customFormat="1">
      <c r="G3182" s="3336"/>
      <c r="P3182" s="3337"/>
    </row>
    <row r="3183" spans="7:16" s="1634" customFormat="1">
      <c r="G3183" s="3336"/>
      <c r="P3183" s="3337"/>
    </row>
    <row r="3184" spans="7:16" s="1634" customFormat="1">
      <c r="G3184" s="3336"/>
      <c r="P3184" s="3337"/>
    </row>
    <row r="3185" spans="7:16" s="1634" customFormat="1">
      <c r="G3185" s="3336"/>
      <c r="P3185" s="3337"/>
    </row>
    <row r="3186" spans="7:16" s="1634" customFormat="1">
      <c r="G3186" s="3336"/>
      <c r="P3186" s="3337"/>
    </row>
    <row r="3187" spans="7:16" s="1634" customFormat="1">
      <c r="G3187" s="3336"/>
      <c r="P3187" s="3337"/>
    </row>
    <row r="3188" spans="7:16" s="1634" customFormat="1">
      <c r="G3188" s="3336"/>
      <c r="P3188" s="3337"/>
    </row>
    <row r="3189" spans="7:16" s="1634" customFormat="1">
      <c r="G3189" s="3336"/>
      <c r="P3189" s="3337"/>
    </row>
    <row r="3190" spans="7:16" s="1634" customFormat="1">
      <c r="G3190" s="3336"/>
      <c r="P3190" s="3337"/>
    </row>
    <row r="3191" spans="7:16" s="1634" customFormat="1">
      <c r="G3191" s="3336"/>
      <c r="P3191" s="3337"/>
    </row>
    <row r="3192" spans="7:16" s="1634" customFormat="1">
      <c r="G3192" s="3336"/>
      <c r="P3192" s="3337"/>
    </row>
    <row r="3193" spans="7:16" s="1634" customFormat="1">
      <c r="G3193" s="3336"/>
      <c r="P3193" s="3337"/>
    </row>
    <row r="3194" spans="7:16" s="1634" customFormat="1">
      <c r="G3194" s="3336"/>
      <c r="P3194" s="3337"/>
    </row>
    <row r="3195" spans="7:16" s="1634" customFormat="1">
      <c r="G3195" s="3336"/>
      <c r="P3195" s="3337"/>
    </row>
    <row r="3196" spans="7:16" s="1634" customFormat="1">
      <c r="G3196" s="3336"/>
      <c r="P3196" s="3337"/>
    </row>
    <row r="3197" spans="7:16" s="1634" customFormat="1">
      <c r="G3197" s="3336"/>
      <c r="P3197" s="3337"/>
    </row>
    <row r="3198" spans="7:16" s="1634" customFormat="1">
      <c r="G3198" s="3336"/>
      <c r="P3198" s="3337"/>
    </row>
    <row r="3199" spans="7:16" s="1634" customFormat="1">
      <c r="G3199" s="3336"/>
      <c r="P3199" s="3337"/>
    </row>
    <row r="3200" spans="7:16" s="1634" customFormat="1">
      <c r="G3200" s="3336"/>
      <c r="P3200" s="3337"/>
    </row>
    <row r="3201" spans="7:16" s="1634" customFormat="1">
      <c r="G3201" s="3336"/>
      <c r="P3201" s="3337"/>
    </row>
    <row r="3202" spans="7:16" s="1634" customFormat="1">
      <c r="G3202" s="3336"/>
      <c r="P3202" s="3337"/>
    </row>
    <row r="3203" spans="7:16" s="1634" customFormat="1">
      <c r="G3203" s="3336"/>
      <c r="P3203" s="3337"/>
    </row>
    <row r="3204" spans="7:16" s="1634" customFormat="1">
      <c r="G3204" s="3336"/>
      <c r="P3204" s="3337"/>
    </row>
    <row r="3205" spans="7:16" s="1634" customFormat="1">
      <c r="G3205" s="3336"/>
      <c r="P3205" s="3337"/>
    </row>
    <row r="3206" spans="7:16" s="1634" customFormat="1">
      <c r="G3206" s="3336"/>
      <c r="P3206" s="3337"/>
    </row>
    <row r="3207" spans="7:16" s="1634" customFormat="1">
      <c r="G3207" s="3336"/>
      <c r="P3207" s="3337"/>
    </row>
    <row r="3208" spans="7:16" s="1634" customFormat="1">
      <c r="G3208" s="3336"/>
      <c r="P3208" s="3337"/>
    </row>
    <row r="3209" spans="7:16" s="1634" customFormat="1">
      <c r="G3209" s="3336"/>
      <c r="P3209" s="3337"/>
    </row>
    <row r="3210" spans="7:16" s="1634" customFormat="1">
      <c r="G3210" s="3336"/>
      <c r="P3210" s="3337"/>
    </row>
    <row r="3211" spans="7:16" s="1634" customFormat="1">
      <c r="G3211" s="3336"/>
      <c r="P3211" s="3337"/>
    </row>
    <row r="3212" spans="7:16" s="1634" customFormat="1">
      <c r="G3212" s="3336"/>
      <c r="P3212" s="3337"/>
    </row>
    <row r="3213" spans="7:16" s="1634" customFormat="1">
      <c r="G3213" s="3336"/>
      <c r="P3213" s="3337"/>
    </row>
    <row r="3214" spans="7:16" s="1634" customFormat="1">
      <c r="G3214" s="3336"/>
      <c r="P3214" s="3337"/>
    </row>
    <row r="3215" spans="7:16" s="1634" customFormat="1">
      <c r="G3215" s="3336"/>
      <c r="P3215" s="3337"/>
    </row>
    <row r="3216" spans="7:16" s="1634" customFormat="1">
      <c r="G3216" s="3336"/>
      <c r="P3216" s="3337"/>
    </row>
    <row r="3217" spans="7:16" s="1634" customFormat="1">
      <c r="G3217" s="3336"/>
      <c r="P3217" s="3337"/>
    </row>
    <row r="3218" spans="7:16" s="1634" customFormat="1">
      <c r="G3218" s="3336"/>
      <c r="P3218" s="3337"/>
    </row>
    <row r="3219" spans="7:16" s="1634" customFormat="1">
      <c r="G3219" s="3336"/>
      <c r="P3219" s="3337"/>
    </row>
    <row r="3220" spans="7:16" s="1634" customFormat="1">
      <c r="G3220" s="3336"/>
      <c r="P3220" s="3337"/>
    </row>
    <row r="3221" spans="7:16" s="1634" customFormat="1">
      <c r="G3221" s="3336"/>
      <c r="P3221" s="3337"/>
    </row>
    <row r="3222" spans="7:16" s="1634" customFormat="1">
      <c r="G3222" s="3336"/>
      <c r="P3222" s="3337"/>
    </row>
    <row r="3223" spans="7:16" s="1634" customFormat="1">
      <c r="G3223" s="3336"/>
      <c r="P3223" s="3337"/>
    </row>
    <row r="3224" spans="7:16" s="1634" customFormat="1">
      <c r="G3224" s="3336"/>
      <c r="P3224" s="3337"/>
    </row>
    <row r="3225" spans="7:16" s="1634" customFormat="1">
      <c r="G3225" s="3336"/>
      <c r="P3225" s="3337"/>
    </row>
    <row r="3226" spans="7:16" s="1634" customFormat="1">
      <c r="G3226" s="3336"/>
      <c r="P3226" s="3337"/>
    </row>
    <row r="3227" spans="7:16" s="1634" customFormat="1">
      <c r="G3227" s="3336"/>
      <c r="P3227" s="3337"/>
    </row>
    <row r="3228" spans="7:16" s="1634" customFormat="1">
      <c r="G3228" s="3336"/>
      <c r="P3228" s="3337"/>
    </row>
    <row r="3229" spans="7:16" s="1634" customFormat="1">
      <c r="G3229" s="3336"/>
      <c r="P3229" s="3337"/>
    </row>
    <row r="3230" spans="7:16" s="1634" customFormat="1">
      <c r="G3230" s="3336"/>
      <c r="P3230" s="3337"/>
    </row>
    <row r="3231" spans="7:16" s="1634" customFormat="1">
      <c r="G3231" s="3336"/>
      <c r="P3231" s="3337"/>
    </row>
    <row r="3232" spans="7:16" s="1634" customFormat="1">
      <c r="G3232" s="3336"/>
      <c r="P3232" s="3337"/>
    </row>
    <row r="3233" spans="7:16" s="1634" customFormat="1">
      <c r="G3233" s="3336"/>
      <c r="P3233" s="3337"/>
    </row>
    <row r="3234" spans="7:16" s="1634" customFormat="1">
      <c r="G3234" s="3336"/>
      <c r="P3234" s="3337"/>
    </row>
    <row r="3235" spans="7:16" s="1634" customFormat="1">
      <c r="G3235" s="3336"/>
      <c r="P3235" s="3337"/>
    </row>
    <row r="3236" spans="7:16" s="1634" customFormat="1">
      <c r="G3236" s="3336"/>
      <c r="P3236" s="3337"/>
    </row>
    <row r="3237" spans="7:16" s="1634" customFormat="1">
      <c r="G3237" s="3336"/>
      <c r="P3237" s="3337"/>
    </row>
    <row r="3238" spans="7:16" s="1634" customFormat="1">
      <c r="G3238" s="3336"/>
      <c r="P3238" s="3337"/>
    </row>
    <row r="3239" spans="7:16" s="1634" customFormat="1">
      <c r="G3239" s="3336"/>
      <c r="P3239" s="3337"/>
    </row>
    <row r="3240" spans="7:16" s="1634" customFormat="1">
      <c r="G3240" s="3336"/>
      <c r="P3240" s="3337"/>
    </row>
    <row r="3241" spans="7:16" s="1634" customFormat="1">
      <c r="G3241" s="3336"/>
      <c r="P3241" s="3337"/>
    </row>
    <row r="3242" spans="7:16" s="1634" customFormat="1">
      <c r="G3242" s="3336"/>
      <c r="P3242" s="3337"/>
    </row>
    <row r="3243" spans="7:16" s="1634" customFormat="1">
      <c r="G3243" s="3336"/>
      <c r="P3243" s="3337"/>
    </row>
    <row r="3244" spans="7:16" s="1634" customFormat="1">
      <c r="G3244" s="3336"/>
      <c r="P3244" s="3337"/>
    </row>
    <row r="3245" spans="7:16" s="1634" customFormat="1">
      <c r="G3245" s="3336"/>
      <c r="P3245" s="3337"/>
    </row>
    <row r="3246" spans="7:16" s="1634" customFormat="1">
      <c r="G3246" s="3336"/>
      <c r="P3246" s="3337"/>
    </row>
    <row r="3247" spans="7:16" s="1634" customFormat="1">
      <c r="G3247" s="3336"/>
      <c r="P3247" s="3337"/>
    </row>
    <row r="3248" spans="7:16" s="1634" customFormat="1">
      <c r="G3248" s="3336"/>
      <c r="P3248" s="3337"/>
    </row>
    <row r="3249" spans="7:16" s="1634" customFormat="1">
      <c r="G3249" s="3336"/>
      <c r="P3249" s="3337"/>
    </row>
    <row r="3250" spans="7:16" s="1634" customFormat="1">
      <c r="G3250" s="3336"/>
      <c r="P3250" s="3337"/>
    </row>
    <row r="3251" spans="7:16" s="1634" customFormat="1">
      <c r="G3251" s="3336"/>
      <c r="P3251" s="3337"/>
    </row>
    <row r="3252" spans="7:16" s="1634" customFormat="1">
      <c r="G3252" s="3336"/>
      <c r="P3252" s="3337"/>
    </row>
    <row r="3253" spans="7:16" s="1634" customFormat="1">
      <c r="G3253" s="3336"/>
      <c r="P3253" s="3337"/>
    </row>
    <row r="3254" spans="7:16" s="1634" customFormat="1">
      <c r="G3254" s="3336"/>
      <c r="P3254" s="3337"/>
    </row>
    <row r="3255" spans="7:16" s="1634" customFormat="1">
      <c r="G3255" s="3336"/>
      <c r="P3255" s="3337"/>
    </row>
    <row r="3256" spans="7:16" s="1634" customFormat="1">
      <c r="G3256" s="3336"/>
      <c r="P3256" s="3337"/>
    </row>
    <row r="3257" spans="7:16" s="1634" customFormat="1">
      <c r="G3257" s="3336"/>
      <c r="P3257" s="3337"/>
    </row>
    <row r="3258" spans="7:16" s="1634" customFormat="1">
      <c r="G3258" s="3336"/>
      <c r="P3258" s="3337"/>
    </row>
    <row r="3259" spans="7:16" s="1634" customFormat="1">
      <c r="G3259" s="3336"/>
      <c r="P3259" s="3337"/>
    </row>
    <row r="3260" spans="7:16" s="1634" customFormat="1">
      <c r="G3260" s="3336"/>
      <c r="P3260" s="3337"/>
    </row>
    <row r="3261" spans="7:16" s="1634" customFormat="1">
      <c r="G3261" s="3336"/>
      <c r="P3261" s="3337"/>
    </row>
    <row r="3262" spans="7:16" s="1634" customFormat="1">
      <c r="G3262" s="3336"/>
      <c r="P3262" s="3337"/>
    </row>
    <row r="3263" spans="7:16" s="1634" customFormat="1">
      <c r="G3263" s="3336"/>
      <c r="P3263" s="3337"/>
    </row>
    <row r="3264" spans="7:16" s="1634" customFormat="1">
      <c r="G3264" s="3336"/>
      <c r="P3264" s="3337"/>
    </row>
    <row r="3265" spans="7:16" s="1634" customFormat="1">
      <c r="G3265" s="3336"/>
      <c r="P3265" s="3337"/>
    </row>
    <row r="3266" spans="7:16" s="1634" customFormat="1">
      <c r="G3266" s="3336"/>
      <c r="P3266" s="3337"/>
    </row>
    <row r="3267" spans="7:16" s="1634" customFormat="1">
      <c r="G3267" s="3336"/>
      <c r="P3267" s="3337"/>
    </row>
    <row r="3268" spans="7:16" s="1634" customFormat="1">
      <c r="G3268" s="3336"/>
      <c r="P3268" s="3337"/>
    </row>
    <row r="3269" spans="7:16" s="1634" customFormat="1">
      <c r="G3269" s="3336"/>
      <c r="P3269" s="3337"/>
    </row>
    <row r="3270" spans="7:16" s="1634" customFormat="1">
      <c r="G3270" s="3336"/>
      <c r="P3270" s="3337"/>
    </row>
    <row r="3271" spans="7:16" s="1634" customFormat="1">
      <c r="G3271" s="3336"/>
      <c r="P3271" s="3337"/>
    </row>
    <row r="3272" spans="7:16" s="1634" customFormat="1">
      <c r="G3272" s="3336"/>
      <c r="P3272" s="3337"/>
    </row>
    <row r="3273" spans="7:16" s="1634" customFormat="1">
      <c r="G3273" s="3336"/>
      <c r="P3273" s="3337"/>
    </row>
    <row r="3274" spans="7:16" s="1634" customFormat="1">
      <c r="G3274" s="3336"/>
      <c r="P3274" s="3337"/>
    </row>
    <row r="3275" spans="7:16" s="1634" customFormat="1">
      <c r="G3275" s="3336"/>
      <c r="P3275" s="3337"/>
    </row>
    <row r="3276" spans="7:16" s="1634" customFormat="1">
      <c r="G3276" s="3336"/>
      <c r="P3276" s="3337"/>
    </row>
    <row r="3277" spans="7:16" s="1634" customFormat="1">
      <c r="G3277" s="3336"/>
      <c r="P3277" s="3337"/>
    </row>
    <row r="3278" spans="7:16" s="1634" customFormat="1">
      <c r="G3278" s="3336"/>
      <c r="P3278" s="3337"/>
    </row>
    <row r="3279" spans="7:16" s="1634" customFormat="1">
      <c r="G3279" s="3336"/>
      <c r="P3279" s="3337"/>
    </row>
    <row r="3280" spans="7:16" s="1634" customFormat="1">
      <c r="G3280" s="3336"/>
      <c r="P3280" s="3337"/>
    </row>
    <row r="3281" spans="7:16" s="1634" customFormat="1">
      <c r="G3281" s="3336"/>
      <c r="P3281" s="3337"/>
    </row>
    <row r="3282" spans="7:16" s="1634" customFormat="1">
      <c r="G3282" s="3336"/>
      <c r="P3282" s="3337"/>
    </row>
    <row r="3283" spans="7:16" s="1634" customFormat="1">
      <c r="G3283" s="3336"/>
      <c r="P3283" s="3337"/>
    </row>
    <row r="3284" spans="7:16" s="1634" customFormat="1">
      <c r="G3284" s="3336"/>
      <c r="P3284" s="3337"/>
    </row>
    <row r="3285" spans="7:16" s="1634" customFormat="1">
      <c r="G3285" s="3336"/>
      <c r="P3285" s="3337"/>
    </row>
    <row r="3286" spans="7:16" s="1634" customFormat="1">
      <c r="G3286" s="3336"/>
      <c r="P3286" s="3337"/>
    </row>
    <row r="3287" spans="7:16" s="1634" customFormat="1">
      <c r="G3287" s="3336"/>
      <c r="P3287" s="3337"/>
    </row>
    <row r="3288" spans="7:16" s="1634" customFormat="1">
      <c r="G3288" s="3336"/>
      <c r="P3288" s="3337"/>
    </row>
    <row r="3289" spans="7:16" s="1634" customFormat="1">
      <c r="G3289" s="3336"/>
      <c r="P3289" s="3337"/>
    </row>
    <row r="3290" spans="7:16" s="1634" customFormat="1">
      <c r="G3290" s="3336"/>
      <c r="P3290" s="3337"/>
    </row>
    <row r="3291" spans="7:16" s="1634" customFormat="1">
      <c r="G3291" s="3336"/>
      <c r="P3291" s="3337"/>
    </row>
    <row r="3292" spans="7:16" s="1634" customFormat="1">
      <c r="G3292" s="3336"/>
      <c r="P3292" s="3337"/>
    </row>
    <row r="3293" spans="7:16" s="1634" customFormat="1">
      <c r="G3293" s="3336"/>
      <c r="P3293" s="3337"/>
    </row>
    <row r="3294" spans="7:16" s="1634" customFormat="1">
      <c r="G3294" s="3336"/>
      <c r="P3294" s="3337"/>
    </row>
    <row r="3295" spans="7:16" s="1634" customFormat="1">
      <c r="G3295" s="3336"/>
      <c r="P3295" s="3337"/>
    </row>
    <row r="3296" spans="7:16" s="1634" customFormat="1">
      <c r="G3296" s="3336"/>
      <c r="P3296" s="3337"/>
    </row>
    <row r="3297" spans="7:16" s="1634" customFormat="1">
      <c r="G3297" s="3336"/>
      <c r="P3297" s="3337"/>
    </row>
    <row r="3298" spans="7:16" s="1634" customFormat="1">
      <c r="G3298" s="3336"/>
      <c r="P3298" s="3337"/>
    </row>
    <row r="3299" spans="7:16" s="1634" customFormat="1">
      <c r="G3299" s="3336"/>
      <c r="P3299" s="3337"/>
    </row>
    <row r="3300" spans="7:16" s="1634" customFormat="1">
      <c r="G3300" s="3336"/>
      <c r="P3300" s="3337"/>
    </row>
    <row r="3301" spans="7:16" s="1634" customFormat="1">
      <c r="G3301" s="3336"/>
      <c r="P3301" s="3337"/>
    </row>
    <row r="3302" spans="7:16" s="1634" customFormat="1">
      <c r="G3302" s="3336"/>
      <c r="P3302" s="3337"/>
    </row>
    <row r="3303" spans="7:16" s="1634" customFormat="1">
      <c r="G3303" s="3336"/>
      <c r="P3303" s="3337"/>
    </row>
    <row r="3304" spans="7:16" s="1634" customFormat="1">
      <c r="G3304" s="3336"/>
      <c r="P3304" s="3337"/>
    </row>
    <row r="3305" spans="7:16" s="1634" customFormat="1">
      <c r="G3305" s="3336"/>
      <c r="P3305" s="3337"/>
    </row>
    <row r="3306" spans="7:16" s="1634" customFormat="1">
      <c r="G3306" s="3336"/>
      <c r="P3306" s="3337"/>
    </row>
    <row r="3307" spans="7:16" s="1634" customFormat="1">
      <c r="G3307" s="3336"/>
      <c r="P3307" s="3337"/>
    </row>
    <row r="3308" spans="7:16" s="1634" customFormat="1">
      <c r="G3308" s="3336"/>
      <c r="P3308" s="3337"/>
    </row>
    <row r="3309" spans="7:16" s="1634" customFormat="1">
      <c r="G3309" s="3336"/>
      <c r="P3309" s="3337"/>
    </row>
    <row r="3310" spans="7:16" s="1634" customFormat="1">
      <c r="G3310" s="3336"/>
      <c r="P3310" s="3337"/>
    </row>
    <row r="3311" spans="7:16" s="1634" customFormat="1">
      <c r="G3311" s="3336"/>
      <c r="P3311" s="3337"/>
    </row>
    <row r="3312" spans="7:16" s="1634" customFormat="1">
      <c r="G3312" s="3336"/>
      <c r="P3312" s="3337"/>
    </row>
    <row r="3313" spans="7:16" s="1634" customFormat="1">
      <c r="G3313" s="3336"/>
      <c r="P3313" s="3337"/>
    </row>
    <row r="3314" spans="7:16" s="1634" customFormat="1">
      <c r="G3314" s="3336"/>
      <c r="P3314" s="3337"/>
    </row>
    <row r="3315" spans="7:16" s="1634" customFormat="1">
      <c r="G3315" s="3336"/>
      <c r="P3315" s="3337"/>
    </row>
    <row r="3316" spans="7:16" s="1634" customFormat="1">
      <c r="G3316" s="3336"/>
      <c r="P3316" s="3337"/>
    </row>
    <row r="3317" spans="7:16" s="1634" customFormat="1">
      <c r="G3317" s="3336"/>
      <c r="P3317" s="3337"/>
    </row>
    <row r="3318" spans="7:16" s="1634" customFormat="1">
      <c r="G3318" s="3336"/>
      <c r="P3318" s="3337"/>
    </row>
    <row r="3319" spans="7:16" s="1634" customFormat="1">
      <c r="G3319" s="3336"/>
      <c r="P3319" s="3337"/>
    </row>
    <row r="3320" spans="7:16" s="1634" customFormat="1">
      <c r="G3320" s="3336"/>
      <c r="P3320" s="3337"/>
    </row>
    <row r="3321" spans="7:16" s="1634" customFormat="1">
      <c r="G3321" s="3336"/>
      <c r="P3321" s="3337"/>
    </row>
    <row r="3322" spans="7:16" s="1634" customFormat="1">
      <c r="G3322" s="3336"/>
      <c r="P3322" s="3337"/>
    </row>
    <row r="3323" spans="7:16" s="1634" customFormat="1">
      <c r="G3323" s="3336"/>
      <c r="P3323" s="3337"/>
    </row>
    <row r="3324" spans="7:16" s="1634" customFormat="1">
      <c r="G3324" s="3336"/>
      <c r="P3324" s="3337"/>
    </row>
    <row r="3325" spans="7:16" s="1634" customFormat="1">
      <c r="G3325" s="3336"/>
      <c r="P3325" s="3337"/>
    </row>
    <row r="3326" spans="7:16" s="1634" customFormat="1">
      <c r="G3326" s="3336"/>
      <c r="P3326" s="3337"/>
    </row>
    <row r="3327" spans="7:16" s="1634" customFormat="1">
      <c r="G3327" s="3336"/>
      <c r="P3327" s="3337"/>
    </row>
    <row r="3328" spans="7:16" s="1634" customFormat="1">
      <c r="G3328" s="3336"/>
      <c r="P3328" s="3337"/>
    </row>
    <row r="3329" spans="7:16" s="1634" customFormat="1">
      <c r="G3329" s="3336"/>
      <c r="P3329" s="3337"/>
    </row>
    <row r="3330" spans="7:16" s="1634" customFormat="1">
      <c r="G3330" s="3336"/>
      <c r="P3330" s="3337"/>
    </row>
    <row r="3331" spans="7:16" s="1634" customFormat="1">
      <c r="G3331" s="3336"/>
      <c r="P3331" s="3337"/>
    </row>
    <row r="3332" spans="7:16" s="1634" customFormat="1">
      <c r="G3332" s="3336"/>
      <c r="P3332" s="3337"/>
    </row>
    <row r="3333" spans="7:16" s="1634" customFormat="1">
      <c r="G3333" s="3336"/>
      <c r="P3333" s="3337"/>
    </row>
    <row r="3334" spans="7:16" s="1634" customFormat="1">
      <c r="G3334" s="3336"/>
      <c r="P3334" s="3337"/>
    </row>
    <row r="3335" spans="7:16" s="1634" customFormat="1">
      <c r="G3335" s="3336"/>
      <c r="P3335" s="3337"/>
    </row>
    <row r="3336" spans="7:16" s="1634" customFormat="1">
      <c r="G3336" s="3336"/>
      <c r="P3336" s="3337"/>
    </row>
    <row r="3337" spans="7:16" s="1634" customFormat="1">
      <c r="G3337" s="3336"/>
      <c r="P3337" s="3337"/>
    </row>
    <row r="3338" spans="7:16" s="1634" customFormat="1">
      <c r="G3338" s="3336"/>
      <c r="P3338" s="3337"/>
    </row>
    <row r="3339" spans="7:16" s="1634" customFormat="1">
      <c r="G3339" s="3336"/>
      <c r="P3339" s="3337"/>
    </row>
    <row r="3340" spans="7:16" s="1634" customFormat="1">
      <c r="G3340" s="3336"/>
      <c r="P3340" s="3337"/>
    </row>
    <row r="3341" spans="7:16" s="1634" customFormat="1">
      <c r="G3341" s="3336"/>
      <c r="P3341" s="3337"/>
    </row>
    <row r="3342" spans="7:16" s="1634" customFormat="1">
      <c r="G3342" s="3336"/>
      <c r="P3342" s="3337"/>
    </row>
    <row r="3343" spans="7:16" s="1634" customFormat="1">
      <c r="G3343" s="3336"/>
      <c r="P3343" s="3337"/>
    </row>
    <row r="3344" spans="7:16" s="1634" customFormat="1">
      <c r="G3344" s="3336"/>
      <c r="P3344" s="3337"/>
    </row>
    <row r="3345" spans="7:16" s="1634" customFormat="1">
      <c r="G3345" s="3336"/>
      <c r="P3345" s="3337"/>
    </row>
    <row r="3346" spans="7:16" s="1634" customFormat="1">
      <c r="G3346" s="3336"/>
      <c r="P3346" s="3337"/>
    </row>
    <row r="3347" spans="7:16" s="1634" customFormat="1">
      <c r="G3347" s="3336"/>
      <c r="P3347" s="3337"/>
    </row>
    <row r="3348" spans="7:16" s="1634" customFormat="1">
      <c r="G3348" s="3336"/>
      <c r="P3348" s="3337"/>
    </row>
    <row r="3349" spans="7:16" s="1634" customFormat="1">
      <c r="G3349" s="3336"/>
      <c r="P3349" s="3337"/>
    </row>
    <row r="3350" spans="7:16" s="1634" customFormat="1">
      <c r="G3350" s="3336"/>
      <c r="P3350" s="3337"/>
    </row>
    <row r="3351" spans="7:16" s="1634" customFormat="1">
      <c r="G3351" s="3336"/>
      <c r="P3351" s="3337"/>
    </row>
    <row r="3352" spans="7:16" s="1634" customFormat="1">
      <c r="G3352" s="3336"/>
      <c r="P3352" s="3337"/>
    </row>
    <row r="3353" spans="7:16" s="1634" customFormat="1">
      <c r="G3353" s="3336"/>
      <c r="P3353" s="3337"/>
    </row>
    <row r="3354" spans="7:16" s="1634" customFormat="1">
      <c r="G3354" s="3336"/>
      <c r="P3354" s="3337"/>
    </row>
    <row r="3355" spans="7:16" s="1634" customFormat="1">
      <c r="G3355" s="3336"/>
      <c r="P3355" s="3337"/>
    </row>
    <row r="3356" spans="7:16" s="1634" customFormat="1">
      <c r="G3356" s="3336"/>
      <c r="P3356" s="3337"/>
    </row>
    <row r="3357" spans="7:16" s="1634" customFormat="1">
      <c r="G3357" s="3336"/>
      <c r="P3357" s="3337"/>
    </row>
    <row r="3358" spans="7:16" s="1634" customFormat="1">
      <c r="G3358" s="3336"/>
      <c r="P3358" s="3337"/>
    </row>
    <row r="3359" spans="7:16" s="1634" customFormat="1">
      <c r="G3359" s="3336"/>
      <c r="P3359" s="3337"/>
    </row>
    <row r="3360" spans="7:16" s="1634" customFormat="1">
      <c r="G3360" s="3336"/>
      <c r="P3360" s="3337"/>
    </row>
    <row r="3361" spans="7:16" s="1634" customFormat="1">
      <c r="G3361" s="3336"/>
      <c r="P3361" s="3337"/>
    </row>
    <row r="3362" spans="7:16" s="1634" customFormat="1">
      <c r="G3362" s="3336"/>
      <c r="P3362" s="3337"/>
    </row>
    <row r="3363" spans="7:16" s="1634" customFormat="1">
      <c r="G3363" s="3336"/>
      <c r="P3363" s="3337"/>
    </row>
    <row r="3364" spans="7:16" s="1634" customFormat="1">
      <c r="G3364" s="3336"/>
      <c r="P3364" s="3337"/>
    </row>
    <row r="3365" spans="7:16" s="1634" customFormat="1">
      <c r="G3365" s="3336"/>
      <c r="P3365" s="3337"/>
    </row>
    <row r="3366" spans="7:16" s="1634" customFormat="1">
      <c r="G3366" s="3336"/>
      <c r="P3366" s="3337"/>
    </row>
    <row r="3367" spans="7:16" s="1634" customFormat="1">
      <c r="G3367" s="3336"/>
      <c r="P3367" s="3337"/>
    </row>
    <row r="3368" spans="7:16" s="1634" customFormat="1">
      <c r="G3368" s="3336"/>
      <c r="P3368" s="3337"/>
    </row>
    <row r="3369" spans="7:16" s="1634" customFormat="1">
      <c r="G3369" s="3336"/>
      <c r="P3369" s="3337"/>
    </row>
    <row r="3370" spans="7:16" s="1634" customFormat="1">
      <c r="G3370" s="3336"/>
      <c r="P3370" s="3337"/>
    </row>
    <row r="3371" spans="7:16" s="1634" customFormat="1">
      <c r="G3371" s="3336"/>
      <c r="P3371" s="3337"/>
    </row>
    <row r="3372" spans="7:16" s="1634" customFormat="1">
      <c r="G3372" s="3336"/>
      <c r="P3372" s="3337"/>
    </row>
    <row r="3373" spans="7:16" s="1634" customFormat="1">
      <c r="G3373" s="3336"/>
      <c r="P3373" s="3337"/>
    </row>
    <row r="3374" spans="7:16" s="1634" customFormat="1">
      <c r="G3374" s="3336"/>
      <c r="P3374" s="3337"/>
    </row>
    <row r="3375" spans="7:16" s="1634" customFormat="1">
      <c r="G3375" s="3336"/>
      <c r="P3375" s="3337"/>
    </row>
    <row r="3376" spans="7:16" s="1634" customFormat="1">
      <c r="G3376" s="3336"/>
      <c r="P3376" s="3337"/>
    </row>
    <row r="3377" spans="7:16" s="1634" customFormat="1">
      <c r="G3377" s="3336"/>
      <c r="P3377" s="3337"/>
    </row>
    <row r="3378" spans="7:16" s="1634" customFormat="1">
      <c r="G3378" s="3336"/>
      <c r="P3378" s="3337"/>
    </row>
    <row r="3379" spans="7:16" s="1634" customFormat="1">
      <c r="G3379" s="3336"/>
      <c r="P3379" s="3337"/>
    </row>
    <row r="3380" spans="7:16" s="1634" customFormat="1">
      <c r="G3380" s="3336"/>
      <c r="P3380" s="3337"/>
    </row>
    <row r="3381" spans="7:16" s="1634" customFormat="1">
      <c r="G3381" s="3336"/>
      <c r="P3381" s="3337"/>
    </row>
    <row r="3382" spans="7:16" s="1634" customFormat="1">
      <c r="G3382" s="3336"/>
      <c r="P3382" s="3337"/>
    </row>
    <row r="3383" spans="7:16" s="1634" customFormat="1">
      <c r="G3383" s="3336"/>
      <c r="P3383" s="3337"/>
    </row>
    <row r="3384" spans="7:16" s="1634" customFormat="1">
      <c r="G3384" s="3336"/>
      <c r="P3384" s="3337"/>
    </row>
    <row r="3385" spans="7:16" s="1634" customFormat="1">
      <c r="G3385" s="3336"/>
      <c r="P3385" s="3337"/>
    </row>
    <row r="3386" spans="7:16" s="1634" customFormat="1">
      <c r="G3386" s="3336"/>
      <c r="P3386" s="3337"/>
    </row>
    <row r="3387" spans="7:16" s="1634" customFormat="1">
      <c r="G3387" s="3336"/>
      <c r="P3387" s="3337"/>
    </row>
    <row r="3388" spans="7:16" s="1634" customFormat="1">
      <c r="G3388" s="3336"/>
      <c r="P3388" s="3337"/>
    </row>
    <row r="3389" spans="7:16" s="1634" customFormat="1">
      <c r="G3389" s="3336"/>
      <c r="P3389" s="3337"/>
    </row>
    <row r="3390" spans="7:16" s="1634" customFormat="1">
      <c r="G3390" s="3336"/>
      <c r="P3390" s="3337"/>
    </row>
    <row r="3391" spans="7:16" s="1634" customFormat="1">
      <c r="G3391" s="3336"/>
      <c r="P3391" s="3337"/>
    </row>
    <row r="3392" spans="7:16" s="1634" customFormat="1">
      <c r="G3392" s="3336"/>
      <c r="P3392" s="3337"/>
    </row>
    <row r="3393" spans="7:16" s="1634" customFormat="1">
      <c r="G3393" s="3336"/>
      <c r="P3393" s="3337"/>
    </row>
    <row r="3394" spans="7:16" s="1634" customFormat="1">
      <c r="G3394" s="3336"/>
      <c r="P3394" s="3337"/>
    </row>
    <row r="3395" spans="7:16" s="1634" customFormat="1">
      <c r="G3395" s="3336"/>
      <c r="P3395" s="3337"/>
    </row>
    <row r="3396" spans="7:16" s="1634" customFormat="1">
      <c r="G3396" s="3336"/>
      <c r="P3396" s="3337"/>
    </row>
    <row r="3397" spans="7:16" s="1634" customFormat="1">
      <c r="G3397" s="3336"/>
      <c r="P3397" s="3337"/>
    </row>
    <row r="3398" spans="7:16" s="1634" customFormat="1">
      <c r="G3398" s="3336"/>
      <c r="P3398" s="3337"/>
    </row>
    <row r="3399" spans="7:16" s="1634" customFormat="1">
      <c r="G3399" s="3336"/>
      <c r="P3399" s="3337"/>
    </row>
    <row r="3400" spans="7:16" s="1634" customFormat="1">
      <c r="G3400" s="3336"/>
      <c r="P3400" s="3337"/>
    </row>
    <row r="3401" spans="7:16" s="1634" customFormat="1">
      <c r="G3401" s="3336"/>
      <c r="P3401" s="3337"/>
    </row>
    <row r="3402" spans="7:16" s="1634" customFormat="1">
      <c r="G3402" s="3336"/>
      <c r="P3402" s="3337"/>
    </row>
    <row r="3403" spans="7:16" s="1634" customFormat="1">
      <c r="G3403" s="3336"/>
      <c r="P3403" s="3337"/>
    </row>
    <row r="3404" spans="7:16" s="1634" customFormat="1">
      <c r="G3404" s="3336"/>
      <c r="P3404" s="3337"/>
    </row>
    <row r="3405" spans="7:16" s="1634" customFormat="1">
      <c r="G3405" s="3336"/>
      <c r="P3405" s="3337"/>
    </row>
    <row r="3406" spans="7:16" s="1634" customFormat="1">
      <c r="G3406" s="3336"/>
      <c r="P3406" s="3337"/>
    </row>
    <row r="3407" spans="7:16" s="1634" customFormat="1">
      <c r="G3407" s="3336"/>
      <c r="P3407" s="3337"/>
    </row>
    <row r="3408" spans="7:16" s="1634" customFormat="1">
      <c r="G3408" s="3336"/>
      <c r="P3408" s="3337"/>
    </row>
    <row r="3409" spans="7:16" s="1634" customFormat="1">
      <c r="G3409" s="3336"/>
      <c r="P3409" s="3337"/>
    </row>
    <row r="3410" spans="7:16" s="1634" customFormat="1">
      <c r="G3410" s="3336"/>
      <c r="P3410" s="3337"/>
    </row>
    <row r="3411" spans="7:16" s="1634" customFormat="1">
      <c r="G3411" s="3336"/>
      <c r="P3411" s="3337"/>
    </row>
    <row r="3412" spans="7:16" s="1634" customFormat="1">
      <c r="G3412" s="3336"/>
      <c r="P3412" s="3337"/>
    </row>
    <row r="3413" spans="7:16" s="1634" customFormat="1">
      <c r="G3413" s="3336"/>
      <c r="P3413" s="3337"/>
    </row>
    <row r="3414" spans="7:16" s="1634" customFormat="1">
      <c r="G3414" s="3336"/>
      <c r="P3414" s="3337"/>
    </row>
    <row r="3415" spans="7:16" s="1634" customFormat="1">
      <c r="G3415" s="3336"/>
      <c r="P3415" s="3337"/>
    </row>
    <row r="3416" spans="7:16" s="1634" customFormat="1">
      <c r="G3416" s="3336"/>
      <c r="P3416" s="3337"/>
    </row>
    <row r="3417" spans="7:16" s="1634" customFormat="1">
      <c r="G3417" s="3336"/>
      <c r="P3417" s="3337"/>
    </row>
    <row r="3418" spans="7:16" s="1634" customFormat="1">
      <c r="G3418" s="3336"/>
      <c r="P3418" s="3337"/>
    </row>
    <row r="3419" spans="7:16" s="1634" customFormat="1">
      <c r="G3419" s="3336"/>
      <c r="P3419" s="3337"/>
    </row>
    <row r="3420" spans="7:16" s="1634" customFormat="1">
      <c r="G3420" s="3336"/>
      <c r="P3420" s="3337"/>
    </row>
    <row r="3421" spans="7:16" s="1634" customFormat="1">
      <c r="G3421" s="3336"/>
      <c r="P3421" s="3337"/>
    </row>
    <row r="3422" spans="7:16" s="1634" customFormat="1">
      <c r="G3422" s="3336"/>
      <c r="P3422" s="3337"/>
    </row>
    <row r="3423" spans="7:16" s="1634" customFormat="1">
      <c r="G3423" s="3336"/>
      <c r="P3423" s="3337"/>
    </row>
    <row r="3424" spans="7:16" s="1634" customFormat="1">
      <c r="G3424" s="3336"/>
      <c r="P3424" s="3337"/>
    </row>
    <row r="3425" spans="7:16" s="1634" customFormat="1">
      <c r="G3425" s="3336"/>
      <c r="P3425" s="3337"/>
    </row>
    <row r="3426" spans="7:16" s="1634" customFormat="1">
      <c r="G3426" s="3336"/>
      <c r="P3426" s="3337"/>
    </row>
    <row r="3427" spans="7:16" s="1634" customFormat="1">
      <c r="G3427" s="3336"/>
      <c r="P3427" s="3337"/>
    </row>
    <row r="3428" spans="7:16" s="1634" customFormat="1">
      <c r="G3428" s="3336"/>
      <c r="P3428" s="3337"/>
    </row>
    <row r="3429" spans="7:16" s="1634" customFormat="1">
      <c r="G3429" s="3336"/>
      <c r="P3429" s="3337"/>
    </row>
    <row r="3430" spans="7:16" s="1634" customFormat="1">
      <c r="G3430" s="3336"/>
      <c r="P3430" s="3337"/>
    </row>
    <row r="3431" spans="7:16" s="1634" customFormat="1">
      <c r="G3431" s="3336"/>
      <c r="P3431" s="3337"/>
    </row>
    <row r="3432" spans="7:16" s="1634" customFormat="1">
      <c r="G3432" s="3336"/>
      <c r="P3432" s="3337"/>
    </row>
    <row r="3433" spans="7:16" s="1634" customFormat="1">
      <c r="G3433" s="3336"/>
      <c r="P3433" s="3337"/>
    </row>
    <row r="3434" spans="7:16" s="1634" customFormat="1">
      <c r="G3434" s="3336"/>
      <c r="P3434" s="3337"/>
    </row>
    <row r="3435" spans="7:16" s="1634" customFormat="1">
      <c r="G3435" s="3336"/>
      <c r="P3435" s="3337"/>
    </row>
    <row r="3436" spans="7:16" s="1634" customFormat="1">
      <c r="G3436" s="3336"/>
      <c r="P3436" s="3337"/>
    </row>
    <row r="3437" spans="7:16" s="1634" customFormat="1">
      <c r="G3437" s="3336"/>
      <c r="P3437" s="3337"/>
    </row>
    <row r="3438" spans="7:16" s="1634" customFormat="1">
      <c r="G3438" s="3336"/>
      <c r="P3438" s="3337"/>
    </row>
    <row r="3439" spans="7:16" s="1634" customFormat="1">
      <c r="G3439" s="3336"/>
      <c r="P3439" s="3337"/>
    </row>
    <row r="3440" spans="7:16" s="1634" customFormat="1">
      <c r="G3440" s="3336"/>
      <c r="P3440" s="3337"/>
    </row>
    <row r="3441" spans="7:16" s="1634" customFormat="1">
      <c r="G3441" s="3336"/>
      <c r="P3441" s="3337"/>
    </row>
    <row r="3442" spans="7:16" s="1634" customFormat="1">
      <c r="G3442" s="3336"/>
      <c r="P3442" s="3337"/>
    </row>
    <row r="3443" spans="7:16" s="1634" customFormat="1">
      <c r="G3443" s="3336"/>
      <c r="P3443" s="3337"/>
    </row>
    <row r="3444" spans="7:16" s="1634" customFormat="1">
      <c r="G3444" s="3336"/>
      <c r="P3444" s="3337"/>
    </row>
    <row r="3445" spans="7:16" s="1634" customFormat="1">
      <c r="G3445" s="3336"/>
      <c r="P3445" s="3337"/>
    </row>
    <row r="3446" spans="7:16" s="1634" customFormat="1">
      <c r="G3446" s="3336"/>
      <c r="P3446" s="3337"/>
    </row>
    <row r="3447" spans="7:16" s="1634" customFormat="1">
      <c r="G3447" s="3336"/>
      <c r="P3447" s="3337"/>
    </row>
    <row r="3448" spans="7:16" s="1634" customFormat="1">
      <c r="G3448" s="3336"/>
      <c r="P3448" s="3337"/>
    </row>
    <row r="3449" spans="7:16" s="1634" customFormat="1">
      <c r="G3449" s="3336"/>
      <c r="P3449" s="3337"/>
    </row>
    <row r="3450" spans="7:16" s="1634" customFormat="1">
      <c r="G3450" s="3336"/>
      <c r="P3450" s="3337"/>
    </row>
    <row r="3451" spans="7:16" s="1634" customFormat="1">
      <c r="G3451" s="3336"/>
      <c r="P3451" s="3337"/>
    </row>
    <row r="3452" spans="7:16" s="1634" customFormat="1">
      <c r="G3452" s="3336"/>
      <c r="P3452" s="3337"/>
    </row>
    <row r="3453" spans="7:16" s="1634" customFormat="1">
      <c r="G3453" s="3336"/>
      <c r="P3453" s="3337"/>
    </row>
    <row r="3454" spans="7:16" s="1634" customFormat="1">
      <c r="G3454" s="3336"/>
      <c r="P3454" s="3337"/>
    </row>
    <row r="3455" spans="7:16" s="1634" customFormat="1">
      <c r="G3455" s="3336"/>
      <c r="P3455" s="3337"/>
    </row>
    <row r="3456" spans="7:16" s="1634" customFormat="1">
      <c r="G3456" s="3336"/>
      <c r="P3456" s="3337"/>
    </row>
    <row r="3457" spans="7:16" s="1634" customFormat="1">
      <c r="G3457" s="3336"/>
      <c r="P3457" s="3337"/>
    </row>
    <row r="3458" spans="7:16" s="1634" customFormat="1">
      <c r="G3458" s="3336"/>
      <c r="P3458" s="3337"/>
    </row>
    <row r="3459" spans="7:16" s="1634" customFormat="1">
      <c r="G3459" s="3336"/>
      <c r="P3459" s="3337"/>
    </row>
    <row r="3460" spans="7:16" s="1634" customFormat="1">
      <c r="G3460" s="3336"/>
      <c r="P3460" s="3337"/>
    </row>
    <row r="3461" spans="7:16" s="1634" customFormat="1">
      <c r="G3461" s="3336"/>
      <c r="P3461" s="3337"/>
    </row>
    <row r="3462" spans="7:16" s="1634" customFormat="1">
      <c r="G3462" s="3336"/>
      <c r="P3462" s="3337"/>
    </row>
    <row r="3463" spans="7:16" s="1634" customFormat="1">
      <c r="G3463" s="3336"/>
      <c r="P3463" s="3337"/>
    </row>
    <row r="3464" spans="7:16" s="1634" customFormat="1">
      <c r="G3464" s="3336"/>
      <c r="P3464" s="3337"/>
    </row>
    <row r="3465" spans="7:16" s="1634" customFormat="1">
      <c r="G3465" s="3336"/>
      <c r="P3465" s="3337"/>
    </row>
    <row r="3466" spans="7:16" s="1634" customFormat="1">
      <c r="G3466" s="3336"/>
      <c r="P3466" s="3337"/>
    </row>
    <row r="3467" spans="7:16" s="1634" customFormat="1">
      <c r="G3467" s="3336"/>
      <c r="P3467" s="3337"/>
    </row>
    <row r="3468" spans="7:16" s="1634" customFormat="1">
      <c r="G3468" s="3336"/>
      <c r="P3468" s="3337"/>
    </row>
    <row r="3469" spans="7:16" s="1634" customFormat="1">
      <c r="G3469" s="3336"/>
      <c r="P3469" s="3337"/>
    </row>
    <row r="3470" spans="7:16" s="1634" customFormat="1">
      <c r="G3470" s="3336"/>
      <c r="P3470" s="3337"/>
    </row>
    <row r="3471" spans="7:16" s="1634" customFormat="1">
      <c r="G3471" s="3336"/>
      <c r="P3471" s="3337"/>
    </row>
    <row r="3472" spans="7:16" s="1634" customFormat="1">
      <c r="G3472" s="3336"/>
      <c r="P3472" s="3337"/>
    </row>
    <row r="3473" spans="7:16" s="1634" customFormat="1">
      <c r="G3473" s="3336"/>
      <c r="P3473" s="3337"/>
    </row>
    <row r="3474" spans="7:16" s="1634" customFormat="1">
      <c r="G3474" s="3336"/>
      <c r="P3474" s="3337"/>
    </row>
    <row r="3475" spans="7:16" s="1634" customFormat="1">
      <c r="G3475" s="3336"/>
      <c r="P3475" s="3337"/>
    </row>
    <row r="3476" spans="7:16" s="1634" customFormat="1">
      <c r="G3476" s="3336"/>
      <c r="P3476" s="3337"/>
    </row>
    <row r="3477" spans="7:16" s="1634" customFormat="1">
      <c r="G3477" s="3336"/>
      <c r="P3477" s="3337"/>
    </row>
    <row r="3478" spans="7:16" s="1634" customFormat="1">
      <c r="G3478" s="3336"/>
      <c r="P3478" s="3337"/>
    </row>
    <row r="3479" spans="7:16" s="1634" customFormat="1">
      <c r="G3479" s="3336"/>
      <c r="P3479" s="3337"/>
    </row>
    <row r="3480" spans="7:16" s="1634" customFormat="1">
      <c r="G3480" s="3336"/>
      <c r="P3480" s="3337"/>
    </row>
    <row r="3481" spans="7:16" s="1634" customFormat="1">
      <c r="G3481" s="3336"/>
      <c r="P3481" s="3337"/>
    </row>
    <row r="3482" spans="7:16" s="1634" customFormat="1">
      <c r="G3482" s="3336"/>
      <c r="P3482" s="3337"/>
    </row>
    <row r="3483" spans="7:16" s="1634" customFormat="1">
      <c r="G3483" s="3336"/>
      <c r="P3483" s="3337"/>
    </row>
    <row r="3484" spans="7:16" s="1634" customFormat="1">
      <c r="G3484" s="3336"/>
      <c r="P3484" s="3337"/>
    </row>
    <row r="3485" spans="7:16" s="1634" customFormat="1">
      <c r="G3485" s="3336"/>
      <c r="P3485" s="3337"/>
    </row>
    <row r="3486" spans="7:16" s="1634" customFormat="1">
      <c r="G3486" s="3336"/>
      <c r="P3486" s="3337"/>
    </row>
    <row r="3487" spans="7:16" s="1634" customFormat="1">
      <c r="G3487" s="3336"/>
      <c r="P3487" s="3337"/>
    </row>
    <row r="3488" spans="7:16" s="1634" customFormat="1">
      <c r="G3488" s="3336"/>
      <c r="P3488" s="3337"/>
    </row>
    <row r="3489" spans="7:16" s="1634" customFormat="1">
      <c r="G3489" s="3336"/>
      <c r="P3489" s="3337"/>
    </row>
    <row r="3490" spans="7:16" s="1634" customFormat="1">
      <c r="G3490" s="3336"/>
      <c r="P3490" s="3337"/>
    </row>
    <row r="3491" spans="7:16" s="1634" customFormat="1">
      <c r="G3491" s="3336"/>
      <c r="P3491" s="3337"/>
    </row>
    <row r="3492" spans="7:16" s="1634" customFormat="1">
      <c r="G3492" s="3336"/>
      <c r="P3492" s="3337"/>
    </row>
    <row r="3493" spans="7:16" s="1634" customFormat="1">
      <c r="G3493" s="3336"/>
      <c r="P3493" s="3337"/>
    </row>
    <row r="3494" spans="7:16" s="1634" customFormat="1">
      <c r="G3494" s="3336"/>
      <c r="P3494" s="3337"/>
    </row>
    <row r="3495" spans="7:16" s="1634" customFormat="1">
      <c r="G3495" s="3336"/>
      <c r="P3495" s="3337"/>
    </row>
    <row r="3496" spans="7:16" s="1634" customFormat="1">
      <c r="G3496" s="3336"/>
      <c r="P3496" s="3337"/>
    </row>
    <row r="3497" spans="7:16" s="1634" customFormat="1">
      <c r="G3497" s="3336"/>
      <c r="P3497" s="3337"/>
    </row>
    <row r="3498" spans="7:16" s="1634" customFormat="1">
      <c r="G3498" s="3336"/>
      <c r="P3498" s="3337"/>
    </row>
    <row r="3499" spans="7:16" s="1634" customFormat="1">
      <c r="G3499" s="3336"/>
      <c r="P3499" s="3337"/>
    </row>
    <row r="3500" spans="7:16" s="1634" customFormat="1">
      <c r="G3500" s="3336"/>
      <c r="P3500" s="3337"/>
    </row>
    <row r="3501" spans="7:16" s="1634" customFormat="1">
      <c r="G3501" s="3336"/>
      <c r="P3501" s="3337"/>
    </row>
    <row r="3502" spans="7:16" s="1634" customFormat="1">
      <c r="G3502" s="3336"/>
      <c r="P3502" s="3337"/>
    </row>
    <row r="3503" spans="7:16" s="1634" customFormat="1">
      <c r="G3503" s="3336"/>
      <c r="P3503" s="3337"/>
    </row>
    <row r="3504" spans="7:16" s="1634" customFormat="1">
      <c r="G3504" s="3336"/>
      <c r="P3504" s="3337"/>
    </row>
    <row r="3505" spans="7:16" s="1634" customFormat="1">
      <c r="G3505" s="3336"/>
      <c r="P3505" s="3337"/>
    </row>
    <row r="3506" spans="7:16" s="1634" customFormat="1">
      <c r="G3506" s="3336"/>
      <c r="P3506" s="3337"/>
    </row>
    <row r="3507" spans="7:16" s="1634" customFormat="1">
      <c r="G3507" s="3336"/>
      <c r="P3507" s="3337"/>
    </row>
    <row r="3508" spans="7:16" s="1634" customFormat="1">
      <c r="G3508" s="3336"/>
      <c r="P3508" s="3337"/>
    </row>
    <row r="3509" spans="7:16" s="1634" customFormat="1">
      <c r="G3509" s="3336"/>
      <c r="P3509" s="3337"/>
    </row>
    <row r="3510" spans="7:16" s="1634" customFormat="1">
      <c r="G3510" s="3336"/>
      <c r="P3510" s="3337"/>
    </row>
    <row r="3511" spans="7:16" s="1634" customFormat="1">
      <c r="G3511" s="3336"/>
      <c r="P3511" s="3337"/>
    </row>
    <row r="3512" spans="7:16" s="1634" customFormat="1">
      <c r="G3512" s="3336"/>
      <c r="P3512" s="3337"/>
    </row>
    <row r="3513" spans="7:16" s="1634" customFormat="1">
      <c r="G3513" s="3336"/>
      <c r="P3513" s="3337"/>
    </row>
    <row r="3514" spans="7:16" s="1634" customFormat="1">
      <c r="G3514" s="3336"/>
      <c r="P3514" s="3337"/>
    </row>
    <row r="3515" spans="7:16" s="1634" customFormat="1">
      <c r="G3515" s="3336"/>
      <c r="P3515" s="3337"/>
    </row>
    <row r="3516" spans="7:16" s="1634" customFormat="1">
      <c r="G3516" s="3336"/>
      <c r="P3516" s="3337"/>
    </row>
    <row r="3517" spans="7:16" s="1634" customFormat="1">
      <c r="G3517" s="3336"/>
      <c r="P3517" s="3337"/>
    </row>
    <row r="3518" spans="7:16" s="1634" customFormat="1">
      <c r="G3518" s="3336"/>
      <c r="P3518" s="3337"/>
    </row>
    <row r="3519" spans="7:16" s="1634" customFormat="1">
      <c r="G3519" s="3336"/>
      <c r="P3519" s="3337"/>
    </row>
    <row r="3520" spans="7:16" s="1634" customFormat="1">
      <c r="G3520" s="3336"/>
      <c r="P3520" s="3337"/>
    </row>
    <row r="3521" spans="7:16" s="1634" customFormat="1">
      <c r="G3521" s="3336"/>
      <c r="P3521" s="3337"/>
    </row>
    <row r="3522" spans="7:16" s="1634" customFormat="1">
      <c r="G3522" s="3336"/>
      <c r="P3522" s="3337"/>
    </row>
    <row r="3523" spans="7:16" s="1634" customFormat="1">
      <c r="G3523" s="3336"/>
      <c r="P3523" s="3337"/>
    </row>
    <row r="3524" spans="7:16" s="1634" customFormat="1">
      <c r="G3524" s="3336"/>
      <c r="P3524" s="3337"/>
    </row>
    <row r="3525" spans="7:16" s="1634" customFormat="1">
      <c r="G3525" s="3336"/>
      <c r="P3525" s="3337"/>
    </row>
    <row r="3526" spans="7:16" s="1634" customFormat="1">
      <c r="G3526" s="3336"/>
      <c r="P3526" s="3337"/>
    </row>
    <row r="3527" spans="7:16" s="1634" customFormat="1">
      <c r="G3527" s="3336"/>
      <c r="P3527" s="3337"/>
    </row>
    <row r="3528" spans="7:16" s="1634" customFormat="1">
      <c r="G3528" s="3336"/>
      <c r="P3528" s="3337"/>
    </row>
    <row r="3529" spans="7:16" s="1634" customFormat="1">
      <c r="G3529" s="3336"/>
      <c r="P3529" s="3337"/>
    </row>
    <row r="3530" spans="7:16" s="1634" customFormat="1">
      <c r="G3530" s="3336"/>
      <c r="P3530" s="3337"/>
    </row>
    <row r="3531" spans="7:16" s="1634" customFormat="1">
      <c r="G3531" s="3336"/>
      <c r="P3531" s="3337"/>
    </row>
    <row r="3532" spans="7:16" s="1634" customFormat="1">
      <c r="G3532" s="3336"/>
      <c r="P3532" s="3337"/>
    </row>
    <row r="3533" spans="7:16" s="1634" customFormat="1">
      <c r="G3533" s="3336"/>
      <c r="P3533" s="3337"/>
    </row>
    <row r="3534" spans="7:16" s="1634" customFormat="1">
      <c r="G3534" s="3336"/>
      <c r="P3534" s="3337"/>
    </row>
    <row r="3535" spans="7:16" s="1634" customFormat="1">
      <c r="G3535" s="3336"/>
      <c r="P3535" s="3337"/>
    </row>
    <row r="3536" spans="7:16" s="1634" customFormat="1">
      <c r="G3536" s="3336"/>
      <c r="P3536" s="3337"/>
    </row>
    <row r="3537" spans="7:16" s="1634" customFormat="1">
      <c r="G3537" s="3336"/>
      <c r="P3537" s="3337"/>
    </row>
    <row r="3538" spans="7:16" s="1634" customFormat="1">
      <c r="G3538" s="3336"/>
      <c r="P3538" s="3337"/>
    </row>
    <row r="3539" spans="7:16" s="1634" customFormat="1">
      <c r="G3539" s="3336"/>
      <c r="P3539" s="3337"/>
    </row>
    <row r="3540" spans="7:16" s="1634" customFormat="1">
      <c r="G3540" s="3336"/>
      <c r="P3540" s="3337"/>
    </row>
    <row r="3541" spans="7:16" s="1634" customFormat="1">
      <c r="G3541" s="3336"/>
      <c r="P3541" s="3337"/>
    </row>
    <row r="3542" spans="7:16" s="1634" customFormat="1">
      <c r="G3542" s="3336"/>
      <c r="P3542" s="3337"/>
    </row>
    <row r="3543" spans="7:16" s="1634" customFormat="1">
      <c r="G3543" s="3336"/>
      <c r="P3543" s="3337"/>
    </row>
    <row r="3544" spans="7:16" s="1634" customFormat="1">
      <c r="G3544" s="3336"/>
      <c r="P3544" s="3337"/>
    </row>
    <row r="3545" spans="7:16" s="1634" customFormat="1">
      <c r="G3545" s="3336"/>
      <c r="P3545" s="3337"/>
    </row>
    <row r="3546" spans="7:16" s="1634" customFormat="1">
      <c r="G3546" s="3336"/>
      <c r="P3546" s="3337"/>
    </row>
    <row r="3547" spans="7:16" s="1634" customFormat="1">
      <c r="G3547" s="3336"/>
      <c r="P3547" s="3337"/>
    </row>
    <row r="3548" spans="7:16" s="1634" customFormat="1">
      <c r="G3548" s="3336"/>
      <c r="P3548" s="3337"/>
    </row>
    <row r="3549" spans="7:16" s="1634" customFormat="1">
      <c r="G3549" s="3336"/>
      <c r="P3549" s="3337"/>
    </row>
    <row r="3550" spans="7:16" s="1634" customFormat="1">
      <c r="G3550" s="3336"/>
      <c r="P3550" s="3337"/>
    </row>
    <row r="3551" spans="7:16" s="1634" customFormat="1">
      <c r="G3551" s="3336"/>
      <c r="P3551" s="3337"/>
    </row>
    <row r="3552" spans="7:16" s="1634" customFormat="1">
      <c r="G3552" s="3336"/>
      <c r="P3552" s="3337"/>
    </row>
    <row r="3553" spans="7:16" s="1634" customFormat="1">
      <c r="G3553" s="3336"/>
      <c r="P3553" s="3337"/>
    </row>
    <row r="3554" spans="7:16" s="1634" customFormat="1">
      <c r="G3554" s="3336"/>
      <c r="P3554" s="3337"/>
    </row>
    <row r="3555" spans="7:16" s="1634" customFormat="1">
      <c r="G3555" s="3336"/>
      <c r="P3555" s="3337"/>
    </row>
    <row r="3556" spans="7:16" s="1634" customFormat="1">
      <c r="G3556" s="3336"/>
      <c r="P3556" s="3337"/>
    </row>
    <row r="3557" spans="7:16" s="1634" customFormat="1">
      <c r="G3557" s="3336"/>
      <c r="P3557" s="3337"/>
    </row>
    <row r="3558" spans="7:16" s="1634" customFormat="1">
      <c r="G3558" s="3336"/>
      <c r="P3558" s="3337"/>
    </row>
    <row r="3559" spans="7:16" s="1634" customFormat="1">
      <c r="G3559" s="3336"/>
      <c r="P3559" s="3337"/>
    </row>
    <row r="3560" spans="7:16" s="1634" customFormat="1">
      <c r="G3560" s="3336"/>
      <c r="P3560" s="3337"/>
    </row>
    <row r="3561" spans="7:16" s="1634" customFormat="1">
      <c r="G3561" s="3336"/>
      <c r="P3561" s="3337"/>
    </row>
    <row r="3562" spans="7:16" s="1634" customFormat="1">
      <c r="G3562" s="3336"/>
      <c r="P3562" s="3337"/>
    </row>
    <row r="3563" spans="7:16" s="1634" customFormat="1">
      <c r="G3563" s="3336"/>
      <c r="P3563" s="3337"/>
    </row>
    <row r="3564" spans="7:16" s="1634" customFormat="1">
      <c r="G3564" s="3336"/>
      <c r="P3564" s="3337"/>
    </row>
    <row r="3565" spans="7:16" s="1634" customFormat="1">
      <c r="G3565" s="3336"/>
      <c r="P3565" s="3337"/>
    </row>
    <row r="3566" spans="7:16" s="1634" customFormat="1">
      <c r="G3566" s="3336"/>
      <c r="P3566" s="3337"/>
    </row>
    <row r="3567" spans="7:16" s="1634" customFormat="1">
      <c r="G3567" s="3336"/>
      <c r="P3567" s="3337"/>
    </row>
    <row r="3568" spans="7:16" s="1634" customFormat="1">
      <c r="G3568" s="3336"/>
      <c r="P3568" s="3337"/>
    </row>
    <row r="3569" spans="7:16" s="1634" customFormat="1">
      <c r="G3569" s="3336"/>
      <c r="P3569" s="3337"/>
    </row>
    <row r="3570" spans="7:16" s="1634" customFormat="1">
      <c r="G3570" s="3336"/>
      <c r="P3570" s="3337"/>
    </row>
    <row r="3571" spans="7:16" s="1634" customFormat="1">
      <c r="G3571" s="3336"/>
      <c r="P3571" s="3337"/>
    </row>
    <row r="3572" spans="7:16" s="1634" customFormat="1">
      <c r="G3572" s="3336"/>
      <c r="P3572" s="3337"/>
    </row>
    <row r="3573" spans="7:16" s="1634" customFormat="1">
      <c r="G3573" s="3336"/>
      <c r="P3573" s="3337"/>
    </row>
    <row r="3574" spans="7:16" s="1634" customFormat="1">
      <c r="G3574" s="3336"/>
      <c r="P3574" s="3337"/>
    </row>
    <row r="3575" spans="7:16" s="1634" customFormat="1">
      <c r="G3575" s="3336"/>
      <c r="P3575" s="3337"/>
    </row>
    <row r="3576" spans="7:16" s="1634" customFormat="1">
      <c r="G3576" s="3336"/>
      <c r="P3576" s="3337"/>
    </row>
    <row r="3577" spans="7:16" s="1634" customFormat="1">
      <c r="G3577" s="3336"/>
      <c r="P3577" s="3337"/>
    </row>
    <row r="3578" spans="7:16" s="1634" customFormat="1">
      <c r="G3578" s="3336"/>
      <c r="P3578" s="3337"/>
    </row>
    <row r="3579" spans="7:16" s="1634" customFormat="1">
      <c r="G3579" s="3336"/>
      <c r="P3579" s="3337"/>
    </row>
    <row r="3580" spans="7:16" s="1634" customFormat="1">
      <c r="G3580" s="3336"/>
      <c r="P3580" s="3337"/>
    </row>
    <row r="3581" spans="7:16" s="1634" customFormat="1">
      <c r="G3581" s="3336"/>
      <c r="P3581" s="3337"/>
    </row>
    <row r="3582" spans="7:16" s="1634" customFormat="1">
      <c r="G3582" s="3336"/>
      <c r="P3582" s="3337"/>
    </row>
    <row r="3583" spans="7:16" s="1634" customFormat="1">
      <c r="G3583" s="3336"/>
      <c r="P3583" s="3337"/>
    </row>
    <row r="3584" spans="7:16" s="1634" customFormat="1">
      <c r="G3584" s="3336"/>
      <c r="P3584" s="3337"/>
    </row>
    <row r="3585" spans="7:16" s="1634" customFormat="1">
      <c r="G3585" s="3336"/>
      <c r="P3585" s="3337"/>
    </row>
    <row r="3586" spans="7:16" s="1634" customFormat="1">
      <c r="G3586" s="3336"/>
      <c r="P3586" s="3337"/>
    </row>
    <row r="3587" spans="7:16" s="1634" customFormat="1">
      <c r="G3587" s="3336"/>
      <c r="P3587" s="3337"/>
    </row>
    <row r="3588" spans="7:16" s="1634" customFormat="1">
      <c r="G3588" s="3336"/>
      <c r="P3588" s="3337"/>
    </row>
    <row r="3589" spans="7:16" s="1634" customFormat="1">
      <c r="G3589" s="3336"/>
      <c r="P3589" s="3337"/>
    </row>
    <row r="3590" spans="7:16" s="1634" customFormat="1">
      <c r="G3590" s="3336"/>
      <c r="P3590" s="3337"/>
    </row>
    <row r="3591" spans="7:16" s="1634" customFormat="1">
      <c r="G3591" s="3336"/>
      <c r="P3591" s="3337"/>
    </row>
    <row r="3592" spans="7:16" s="1634" customFormat="1">
      <c r="G3592" s="3336"/>
      <c r="P3592" s="3337"/>
    </row>
    <row r="3593" spans="7:16" s="1634" customFormat="1">
      <c r="G3593" s="3336"/>
      <c r="P3593" s="3337"/>
    </row>
    <row r="3594" spans="7:16" s="1634" customFormat="1">
      <c r="G3594" s="3336"/>
      <c r="P3594" s="3337"/>
    </row>
    <row r="3595" spans="7:16" s="1634" customFormat="1">
      <c r="G3595" s="3336"/>
      <c r="P3595" s="3337"/>
    </row>
    <row r="3596" spans="7:16" s="1634" customFormat="1">
      <c r="G3596" s="3336"/>
      <c r="P3596" s="3337"/>
    </row>
    <row r="3597" spans="7:16" s="1634" customFormat="1">
      <c r="G3597" s="3336"/>
      <c r="P3597" s="3337"/>
    </row>
    <row r="3598" spans="7:16" s="1634" customFormat="1">
      <c r="G3598" s="3336"/>
      <c r="P3598" s="3337"/>
    </row>
    <row r="3599" spans="7:16" s="1634" customFormat="1">
      <c r="G3599" s="3336"/>
      <c r="P3599" s="3337"/>
    </row>
    <row r="3600" spans="7:16" s="1634" customFormat="1">
      <c r="G3600" s="3336"/>
      <c r="P3600" s="3337"/>
    </row>
    <row r="3601" spans="7:16" s="1634" customFormat="1">
      <c r="G3601" s="3336"/>
      <c r="P3601" s="3337"/>
    </row>
    <row r="3602" spans="7:16" s="1634" customFormat="1">
      <c r="G3602" s="3336"/>
      <c r="P3602" s="3337"/>
    </row>
    <row r="3603" spans="7:16" s="1634" customFormat="1">
      <c r="G3603" s="3336"/>
      <c r="P3603" s="3337"/>
    </row>
    <row r="3604" spans="7:16" s="1634" customFormat="1">
      <c r="G3604" s="3336"/>
      <c r="P3604" s="3337"/>
    </row>
    <row r="3605" spans="7:16" s="1634" customFormat="1">
      <c r="G3605" s="3336"/>
      <c r="P3605" s="3337"/>
    </row>
    <row r="3606" spans="7:16" s="1634" customFormat="1">
      <c r="G3606" s="3336"/>
      <c r="P3606" s="3337"/>
    </row>
    <row r="3607" spans="7:16" s="1634" customFormat="1">
      <c r="G3607" s="3336"/>
      <c r="P3607" s="3337"/>
    </row>
    <row r="3608" spans="7:16" s="1634" customFormat="1">
      <c r="G3608" s="3336"/>
      <c r="P3608" s="3337"/>
    </row>
    <row r="3609" spans="7:16" s="1634" customFormat="1">
      <c r="G3609" s="3336"/>
      <c r="P3609" s="3337"/>
    </row>
    <row r="3610" spans="7:16" s="1634" customFormat="1">
      <c r="G3610" s="3336"/>
      <c r="P3610" s="3337"/>
    </row>
    <row r="3611" spans="7:16" s="1634" customFormat="1">
      <c r="G3611" s="3336"/>
      <c r="P3611" s="3337"/>
    </row>
    <row r="3612" spans="7:16" s="1634" customFormat="1">
      <c r="G3612" s="3336"/>
      <c r="P3612" s="3337"/>
    </row>
    <row r="3613" spans="7:16" s="1634" customFormat="1">
      <c r="G3613" s="3336"/>
      <c r="P3613" s="3337"/>
    </row>
    <row r="3614" spans="7:16" s="1634" customFormat="1">
      <c r="G3614" s="3336"/>
      <c r="P3614" s="3337"/>
    </row>
    <row r="3615" spans="7:16" s="1634" customFormat="1">
      <c r="G3615" s="3336"/>
      <c r="P3615" s="3337"/>
    </row>
    <row r="3616" spans="7:16" s="1634" customFormat="1">
      <c r="G3616" s="3336"/>
      <c r="P3616" s="3337"/>
    </row>
    <row r="3617" spans="7:16" s="1634" customFormat="1">
      <c r="G3617" s="3336"/>
      <c r="P3617" s="3337"/>
    </row>
    <row r="3618" spans="7:16" s="1634" customFormat="1">
      <c r="G3618" s="3336"/>
      <c r="P3618" s="3337"/>
    </row>
    <row r="3619" spans="7:16" s="1634" customFormat="1">
      <c r="G3619" s="3336"/>
      <c r="P3619" s="3337"/>
    </row>
    <row r="3620" spans="7:16" s="1634" customFormat="1">
      <c r="G3620" s="3336"/>
      <c r="P3620" s="3337"/>
    </row>
    <row r="3621" spans="7:16" s="1634" customFormat="1">
      <c r="G3621" s="3336"/>
      <c r="P3621" s="3337"/>
    </row>
    <row r="3622" spans="7:16" s="1634" customFormat="1">
      <c r="G3622" s="3336"/>
      <c r="P3622" s="3337"/>
    </row>
    <row r="3623" spans="7:16" s="1634" customFormat="1">
      <c r="G3623" s="3336"/>
      <c r="P3623" s="3337"/>
    </row>
    <row r="3624" spans="7:16" s="1634" customFormat="1">
      <c r="G3624" s="3336"/>
      <c r="P3624" s="3337"/>
    </row>
    <row r="3625" spans="7:16" s="1634" customFormat="1">
      <c r="G3625" s="3336"/>
      <c r="P3625" s="3337"/>
    </row>
    <row r="3626" spans="7:16" s="1634" customFormat="1">
      <c r="G3626" s="3336"/>
      <c r="P3626" s="3337"/>
    </row>
    <row r="3627" spans="7:16" s="1634" customFormat="1">
      <c r="G3627" s="3336"/>
      <c r="P3627" s="3337"/>
    </row>
    <row r="3628" spans="7:16" s="1634" customFormat="1">
      <c r="G3628" s="3336"/>
      <c r="P3628" s="3337"/>
    </row>
    <row r="3629" spans="7:16" s="1634" customFormat="1">
      <c r="G3629" s="3336"/>
      <c r="P3629" s="3337"/>
    </row>
    <row r="3630" spans="7:16" s="1634" customFormat="1">
      <c r="G3630" s="3336"/>
      <c r="P3630" s="3337"/>
    </row>
    <row r="3631" spans="7:16" s="1634" customFormat="1">
      <c r="G3631" s="3336"/>
      <c r="P3631" s="3337"/>
    </row>
    <row r="3632" spans="7:16" s="1634" customFormat="1">
      <c r="G3632" s="3336"/>
      <c r="P3632" s="3337"/>
    </row>
    <row r="3633" spans="7:16" s="1634" customFormat="1">
      <c r="G3633" s="3336"/>
      <c r="P3633" s="3337"/>
    </row>
    <row r="3634" spans="7:16" s="1634" customFormat="1">
      <c r="G3634" s="3336"/>
      <c r="P3634" s="3337"/>
    </row>
    <row r="3635" spans="7:16" s="1634" customFormat="1">
      <c r="G3635" s="3336"/>
      <c r="P3635" s="3337"/>
    </row>
    <row r="3636" spans="7:16" s="1634" customFormat="1">
      <c r="G3636" s="3336"/>
      <c r="P3636" s="3337"/>
    </row>
    <row r="3637" spans="7:16" s="1634" customFormat="1">
      <c r="G3637" s="3336"/>
      <c r="P3637" s="3337"/>
    </row>
    <row r="3638" spans="7:16" s="1634" customFormat="1">
      <c r="G3638" s="3336"/>
      <c r="P3638" s="3337"/>
    </row>
    <row r="3639" spans="7:16" s="1634" customFormat="1">
      <c r="G3639" s="3336"/>
      <c r="P3639" s="3337"/>
    </row>
    <row r="3640" spans="7:16" s="1634" customFormat="1">
      <c r="G3640" s="3336"/>
      <c r="P3640" s="3337"/>
    </row>
    <row r="3641" spans="7:16" s="1634" customFormat="1">
      <c r="G3641" s="3336"/>
      <c r="P3641" s="3337"/>
    </row>
    <row r="3642" spans="7:16" s="1634" customFormat="1">
      <c r="G3642" s="3336"/>
      <c r="P3642" s="3337"/>
    </row>
    <row r="3643" spans="7:16" s="1634" customFormat="1">
      <c r="G3643" s="3336"/>
      <c r="P3643" s="3337"/>
    </row>
    <row r="3644" spans="7:16" s="1634" customFormat="1">
      <c r="G3644" s="3336"/>
      <c r="P3644" s="3337"/>
    </row>
    <row r="3645" spans="7:16" s="1634" customFormat="1">
      <c r="G3645" s="3336"/>
      <c r="P3645" s="3337"/>
    </row>
    <row r="3646" spans="7:16" s="1634" customFormat="1">
      <c r="G3646" s="3336"/>
      <c r="P3646" s="3337"/>
    </row>
    <row r="3647" spans="7:16" s="1634" customFormat="1">
      <c r="G3647" s="3336"/>
      <c r="P3647" s="3337"/>
    </row>
    <row r="3648" spans="7:16" s="1634" customFormat="1">
      <c r="G3648" s="3336"/>
      <c r="P3648" s="3337"/>
    </row>
    <row r="3649" spans="7:16" s="1634" customFormat="1">
      <c r="G3649" s="3336"/>
      <c r="P3649" s="3337"/>
    </row>
    <row r="3650" spans="7:16" s="1634" customFormat="1">
      <c r="G3650" s="3336"/>
      <c r="P3650" s="3337"/>
    </row>
    <row r="3651" spans="7:16" s="1634" customFormat="1">
      <c r="G3651" s="3336"/>
      <c r="P3651" s="3337"/>
    </row>
    <row r="3652" spans="7:16" s="1634" customFormat="1">
      <c r="G3652" s="3336"/>
      <c r="P3652" s="3337"/>
    </row>
    <row r="3653" spans="7:16" s="1634" customFormat="1">
      <c r="G3653" s="3336"/>
      <c r="P3653" s="3337"/>
    </row>
    <row r="3654" spans="7:16" s="1634" customFormat="1">
      <c r="G3654" s="3336"/>
      <c r="P3654" s="3337"/>
    </row>
    <row r="3655" spans="7:16" s="1634" customFormat="1">
      <c r="G3655" s="3336"/>
      <c r="P3655" s="3337"/>
    </row>
    <row r="3656" spans="7:16" s="1634" customFormat="1">
      <c r="G3656" s="3336"/>
      <c r="P3656" s="3337"/>
    </row>
    <row r="3657" spans="7:16" s="1634" customFormat="1">
      <c r="G3657" s="3336"/>
      <c r="P3657" s="3337"/>
    </row>
    <row r="3658" spans="7:16" s="1634" customFormat="1">
      <c r="G3658" s="3336"/>
      <c r="P3658" s="3337"/>
    </row>
    <row r="3659" spans="7:16" s="1634" customFormat="1">
      <c r="G3659" s="3336"/>
      <c r="P3659" s="3337"/>
    </row>
    <row r="3660" spans="7:16" s="1634" customFormat="1">
      <c r="G3660" s="3336"/>
      <c r="P3660" s="3337"/>
    </row>
    <row r="3661" spans="7:16" s="1634" customFormat="1">
      <c r="G3661" s="3336"/>
      <c r="P3661" s="3337"/>
    </row>
    <row r="3662" spans="7:16" s="1634" customFormat="1">
      <c r="G3662" s="3336"/>
      <c r="P3662" s="3337"/>
    </row>
    <row r="3663" spans="7:16" s="1634" customFormat="1">
      <c r="G3663" s="3336"/>
      <c r="P3663" s="3337"/>
    </row>
    <row r="3664" spans="7:16" s="1634" customFormat="1">
      <c r="G3664" s="3336"/>
      <c r="P3664" s="3337"/>
    </row>
    <row r="3665" spans="7:16" s="1634" customFormat="1">
      <c r="G3665" s="3336"/>
      <c r="P3665" s="3337"/>
    </row>
    <row r="3666" spans="7:16" s="1634" customFormat="1">
      <c r="G3666" s="3336"/>
      <c r="P3666" s="3337"/>
    </row>
    <row r="3667" spans="7:16" s="1634" customFormat="1">
      <c r="G3667" s="3336"/>
      <c r="P3667" s="3337"/>
    </row>
    <row r="3668" spans="7:16" s="1634" customFormat="1">
      <c r="G3668" s="3336"/>
      <c r="P3668" s="3337"/>
    </row>
    <row r="3669" spans="7:16" s="1634" customFormat="1">
      <c r="G3669" s="3336"/>
      <c r="P3669" s="3337"/>
    </row>
    <row r="3670" spans="7:16" s="1634" customFormat="1">
      <c r="G3670" s="3336"/>
      <c r="P3670" s="3337"/>
    </row>
    <row r="3671" spans="7:16" s="1634" customFormat="1">
      <c r="G3671" s="3336"/>
      <c r="P3671" s="3337"/>
    </row>
    <row r="3672" spans="7:16" s="1634" customFormat="1">
      <c r="G3672" s="3336"/>
      <c r="P3672" s="3337"/>
    </row>
    <row r="3673" spans="7:16" s="1634" customFormat="1">
      <c r="G3673" s="3336"/>
      <c r="P3673" s="3337"/>
    </row>
    <row r="3674" spans="7:16" s="1634" customFormat="1">
      <c r="G3674" s="3336"/>
      <c r="P3674" s="3337"/>
    </row>
    <row r="3675" spans="7:16" s="1634" customFormat="1">
      <c r="G3675" s="3336"/>
      <c r="P3675" s="3337"/>
    </row>
    <row r="3676" spans="7:16" s="1634" customFormat="1">
      <c r="G3676" s="3336"/>
      <c r="P3676" s="3337"/>
    </row>
    <row r="3677" spans="7:16" s="1634" customFormat="1">
      <c r="G3677" s="3336"/>
      <c r="P3677" s="3337"/>
    </row>
    <row r="3678" spans="7:16" s="1634" customFormat="1">
      <c r="G3678" s="3336"/>
      <c r="P3678" s="3337"/>
    </row>
    <row r="3679" spans="7:16" s="1634" customFormat="1">
      <c r="G3679" s="3336"/>
      <c r="P3679" s="3337"/>
    </row>
    <row r="3680" spans="7:16" s="1634" customFormat="1">
      <c r="G3680" s="3336"/>
      <c r="P3680" s="3337"/>
    </row>
    <row r="3681" spans="7:16" s="1634" customFormat="1">
      <c r="G3681" s="3336"/>
      <c r="P3681" s="3337"/>
    </row>
    <row r="3682" spans="7:16" s="1634" customFormat="1">
      <c r="G3682" s="3336"/>
      <c r="P3682" s="3337"/>
    </row>
    <row r="3683" spans="7:16" s="1634" customFormat="1">
      <c r="G3683" s="3336"/>
      <c r="P3683" s="3337"/>
    </row>
    <row r="3684" spans="7:16" s="1634" customFormat="1">
      <c r="G3684" s="3336"/>
      <c r="P3684" s="3337"/>
    </row>
    <row r="3685" spans="7:16" s="1634" customFormat="1">
      <c r="G3685" s="3336"/>
      <c r="P3685" s="3337"/>
    </row>
    <row r="3686" spans="7:16" s="1634" customFormat="1">
      <c r="G3686" s="3336"/>
      <c r="P3686" s="3337"/>
    </row>
    <row r="3687" spans="7:16" s="1634" customFormat="1">
      <c r="G3687" s="3336"/>
      <c r="P3687" s="3337"/>
    </row>
    <row r="3688" spans="7:16" s="1634" customFormat="1">
      <c r="G3688" s="3336"/>
      <c r="P3688" s="3337"/>
    </row>
    <row r="3689" spans="7:16" s="1634" customFormat="1">
      <c r="G3689" s="3336"/>
      <c r="P3689" s="3337"/>
    </row>
    <row r="3690" spans="7:16" s="1634" customFormat="1">
      <c r="G3690" s="3336"/>
      <c r="P3690" s="3337"/>
    </row>
    <row r="3691" spans="7:16" s="1634" customFormat="1">
      <c r="G3691" s="3336"/>
      <c r="P3691" s="3337"/>
    </row>
    <row r="3692" spans="7:16" s="1634" customFormat="1">
      <c r="G3692" s="3336"/>
      <c r="P3692" s="3337"/>
    </row>
    <row r="3693" spans="7:16" s="1634" customFormat="1">
      <c r="G3693" s="3336"/>
      <c r="P3693" s="3337"/>
    </row>
    <row r="3694" spans="7:16" s="1634" customFormat="1">
      <c r="G3694" s="3336"/>
      <c r="P3694" s="3337"/>
    </row>
    <row r="3695" spans="7:16" s="1634" customFormat="1">
      <c r="G3695" s="3336"/>
      <c r="P3695" s="3337"/>
    </row>
    <row r="3696" spans="7:16" s="1634" customFormat="1">
      <c r="G3696" s="3336"/>
      <c r="P3696" s="3337"/>
    </row>
    <row r="3697" spans="7:16" s="1634" customFormat="1">
      <c r="G3697" s="3336"/>
      <c r="P3697" s="3337"/>
    </row>
    <row r="3698" spans="7:16" s="1634" customFormat="1">
      <c r="G3698" s="3336"/>
      <c r="P3698" s="3337"/>
    </row>
    <row r="3699" spans="7:16" s="1634" customFormat="1">
      <c r="G3699" s="3336"/>
      <c r="P3699" s="3337"/>
    </row>
    <row r="3700" spans="7:16" s="1634" customFormat="1">
      <c r="G3700" s="3336"/>
      <c r="P3700" s="3337"/>
    </row>
    <row r="3701" spans="7:16" s="1634" customFormat="1">
      <c r="G3701" s="3336"/>
      <c r="P3701" s="3337"/>
    </row>
    <row r="3702" spans="7:16" s="1634" customFormat="1">
      <c r="G3702" s="3336"/>
      <c r="P3702" s="3337"/>
    </row>
    <row r="3703" spans="7:16" s="1634" customFormat="1">
      <c r="G3703" s="3336"/>
      <c r="P3703" s="3337"/>
    </row>
    <row r="3704" spans="7:16" s="1634" customFormat="1">
      <c r="G3704" s="3336"/>
      <c r="P3704" s="3337"/>
    </row>
    <row r="3705" spans="7:16" s="1634" customFormat="1">
      <c r="G3705" s="3336"/>
      <c r="P3705" s="3337"/>
    </row>
    <row r="3706" spans="7:16" s="1634" customFormat="1">
      <c r="G3706" s="3336"/>
      <c r="P3706" s="3337"/>
    </row>
    <row r="3707" spans="7:16" s="1634" customFormat="1">
      <c r="G3707" s="3336"/>
      <c r="P3707" s="3337"/>
    </row>
    <row r="3708" spans="7:16" s="1634" customFormat="1">
      <c r="G3708" s="3336"/>
      <c r="P3708" s="3337"/>
    </row>
    <row r="3709" spans="7:16" s="1634" customFormat="1">
      <c r="G3709" s="3336"/>
      <c r="P3709" s="3337"/>
    </row>
    <row r="3710" spans="7:16" s="1634" customFormat="1">
      <c r="G3710" s="3336"/>
      <c r="P3710" s="3337"/>
    </row>
    <row r="3711" spans="7:16" s="1634" customFormat="1">
      <c r="G3711" s="3336"/>
      <c r="P3711" s="3337"/>
    </row>
    <row r="3712" spans="7:16" s="1634" customFormat="1">
      <c r="G3712" s="3336"/>
      <c r="P3712" s="3337"/>
    </row>
    <row r="3713" spans="7:16" s="1634" customFormat="1">
      <c r="G3713" s="3336"/>
      <c r="P3713" s="3337"/>
    </row>
    <row r="3714" spans="7:16" s="1634" customFormat="1">
      <c r="G3714" s="3336"/>
      <c r="P3714" s="3337"/>
    </row>
    <row r="3715" spans="7:16" s="1634" customFormat="1">
      <c r="G3715" s="3336"/>
      <c r="P3715" s="3337"/>
    </row>
    <row r="3716" spans="7:16" s="1634" customFormat="1">
      <c r="G3716" s="3336"/>
      <c r="P3716" s="3337"/>
    </row>
    <row r="3717" spans="7:16" s="1634" customFormat="1">
      <c r="G3717" s="3336"/>
      <c r="P3717" s="3337"/>
    </row>
    <row r="3718" spans="7:16" s="1634" customFormat="1">
      <c r="G3718" s="3336"/>
      <c r="P3718" s="3337"/>
    </row>
    <row r="3719" spans="7:16" s="1634" customFormat="1">
      <c r="G3719" s="3336"/>
      <c r="P3719" s="3337"/>
    </row>
    <row r="3720" spans="7:16" s="1634" customFormat="1">
      <c r="G3720" s="3336"/>
      <c r="P3720" s="3337"/>
    </row>
    <row r="3721" spans="7:16" s="1634" customFormat="1">
      <c r="G3721" s="3336"/>
      <c r="P3721" s="3337"/>
    </row>
    <row r="3722" spans="7:16" s="1634" customFormat="1">
      <c r="G3722" s="3336"/>
      <c r="P3722" s="3337"/>
    </row>
    <row r="3723" spans="7:16" s="1634" customFormat="1">
      <c r="G3723" s="3336"/>
      <c r="P3723" s="3337"/>
    </row>
    <row r="3724" spans="7:16" s="1634" customFormat="1">
      <c r="G3724" s="3336"/>
      <c r="P3724" s="3337"/>
    </row>
    <row r="3725" spans="7:16" s="1634" customFormat="1">
      <c r="G3725" s="3336"/>
      <c r="P3725" s="3337"/>
    </row>
    <row r="3726" spans="7:16" s="1634" customFormat="1">
      <c r="G3726" s="3336"/>
      <c r="P3726" s="3337"/>
    </row>
    <row r="3727" spans="7:16" s="1634" customFormat="1">
      <c r="G3727" s="3336"/>
      <c r="P3727" s="3337"/>
    </row>
    <row r="3728" spans="7:16" s="1634" customFormat="1">
      <c r="G3728" s="3336"/>
      <c r="P3728" s="3337"/>
    </row>
    <row r="3729" spans="7:16" s="1634" customFormat="1">
      <c r="G3729" s="3336"/>
      <c r="P3729" s="3337"/>
    </row>
    <row r="3730" spans="7:16" s="1634" customFormat="1">
      <c r="G3730" s="3336"/>
      <c r="P3730" s="3337"/>
    </row>
    <row r="3731" spans="7:16" s="1634" customFormat="1">
      <c r="G3731" s="3336"/>
      <c r="P3731" s="3337"/>
    </row>
    <row r="3732" spans="7:16" s="1634" customFormat="1">
      <c r="G3732" s="3336"/>
      <c r="P3732" s="3337"/>
    </row>
    <row r="3733" spans="7:16" s="1634" customFormat="1">
      <c r="G3733" s="3336"/>
      <c r="P3733" s="3337"/>
    </row>
    <row r="3734" spans="7:16" s="1634" customFormat="1">
      <c r="G3734" s="3336"/>
      <c r="P3734" s="3337"/>
    </row>
    <row r="3735" spans="7:16" s="1634" customFormat="1">
      <c r="G3735" s="3336"/>
      <c r="P3735" s="3337"/>
    </row>
    <row r="3736" spans="7:16" s="1634" customFormat="1">
      <c r="G3736" s="3336"/>
      <c r="P3736" s="3337"/>
    </row>
    <row r="3737" spans="7:16" s="1634" customFormat="1">
      <c r="G3737" s="3336"/>
      <c r="P3737" s="3337"/>
    </row>
    <row r="3738" spans="7:16" s="1634" customFormat="1">
      <c r="G3738" s="3336"/>
      <c r="P3738" s="3337"/>
    </row>
    <row r="3739" spans="7:16" s="1634" customFormat="1">
      <c r="G3739" s="3336"/>
      <c r="P3739" s="3337"/>
    </row>
    <row r="3740" spans="7:16" s="1634" customFormat="1">
      <c r="G3740" s="3336"/>
      <c r="P3740" s="3337"/>
    </row>
    <row r="3741" spans="7:16" s="1634" customFormat="1">
      <c r="G3741" s="3336"/>
      <c r="P3741" s="3337"/>
    </row>
    <row r="3742" spans="7:16" s="1634" customFormat="1">
      <c r="G3742" s="3336"/>
      <c r="P3742" s="3337"/>
    </row>
    <row r="3743" spans="7:16" s="1634" customFormat="1">
      <c r="G3743" s="3336"/>
      <c r="P3743" s="3337"/>
    </row>
    <row r="3744" spans="7:16" s="1634" customFormat="1">
      <c r="G3744" s="3336"/>
      <c r="P3744" s="3337"/>
    </row>
    <row r="3745" spans="7:16" s="1634" customFormat="1">
      <c r="G3745" s="3336"/>
      <c r="P3745" s="3337"/>
    </row>
    <row r="3746" spans="7:16" s="1634" customFormat="1">
      <c r="G3746" s="3336"/>
      <c r="P3746" s="3337"/>
    </row>
    <row r="3747" spans="7:16" s="1634" customFormat="1">
      <c r="G3747" s="3336"/>
      <c r="P3747" s="3337"/>
    </row>
    <row r="3748" spans="7:16" s="1634" customFormat="1">
      <c r="G3748" s="3336"/>
      <c r="P3748" s="3337"/>
    </row>
    <row r="3749" spans="7:16" s="1634" customFormat="1">
      <c r="G3749" s="3336"/>
      <c r="P3749" s="3337"/>
    </row>
    <row r="3750" spans="7:16" s="1634" customFormat="1">
      <c r="G3750" s="3336"/>
      <c r="P3750" s="3337"/>
    </row>
    <row r="3751" spans="7:16" s="1634" customFormat="1">
      <c r="G3751" s="3336"/>
      <c r="P3751" s="3337"/>
    </row>
    <row r="3752" spans="7:16" s="1634" customFormat="1">
      <c r="G3752" s="3336"/>
      <c r="P3752" s="3337"/>
    </row>
    <row r="3753" spans="7:16" s="1634" customFormat="1">
      <c r="G3753" s="3336"/>
      <c r="P3753" s="3337"/>
    </row>
    <row r="3754" spans="7:16" s="1634" customFormat="1">
      <c r="G3754" s="3336"/>
      <c r="P3754" s="3337"/>
    </row>
    <row r="3755" spans="7:16" s="1634" customFormat="1">
      <c r="G3755" s="3336"/>
      <c r="P3755" s="3337"/>
    </row>
    <row r="3756" spans="7:16" s="1634" customFormat="1">
      <c r="G3756" s="3336"/>
      <c r="P3756" s="3337"/>
    </row>
    <row r="3757" spans="7:16" s="1634" customFormat="1">
      <c r="G3757" s="3336"/>
      <c r="P3757" s="3337"/>
    </row>
    <row r="3758" spans="7:16" s="1634" customFormat="1">
      <c r="G3758" s="3336"/>
      <c r="P3758" s="3337"/>
    </row>
    <row r="3759" spans="7:16" s="1634" customFormat="1">
      <c r="G3759" s="3336"/>
      <c r="P3759" s="3337"/>
    </row>
    <row r="3760" spans="7:16" s="1634" customFormat="1">
      <c r="G3760" s="3336"/>
      <c r="P3760" s="3337"/>
    </row>
    <row r="3761" spans="7:16" s="1634" customFormat="1">
      <c r="G3761" s="3336"/>
      <c r="P3761" s="3337"/>
    </row>
    <row r="3762" spans="7:16" s="1634" customFormat="1">
      <c r="G3762" s="3336"/>
      <c r="P3762" s="3337"/>
    </row>
    <row r="3763" spans="7:16" s="1634" customFormat="1">
      <c r="G3763" s="3336"/>
      <c r="P3763" s="3337"/>
    </row>
    <row r="3764" spans="7:16" s="1634" customFormat="1">
      <c r="G3764" s="3336"/>
      <c r="P3764" s="3337"/>
    </row>
    <row r="3765" spans="7:16" s="1634" customFormat="1">
      <c r="G3765" s="3336"/>
      <c r="P3765" s="3337"/>
    </row>
    <row r="3766" spans="7:16" s="1634" customFormat="1">
      <c r="G3766" s="3336"/>
      <c r="P3766" s="3337"/>
    </row>
    <row r="3767" spans="7:16" s="1634" customFormat="1">
      <c r="G3767" s="3336"/>
      <c r="P3767" s="3337"/>
    </row>
    <row r="3768" spans="7:16" s="1634" customFormat="1">
      <c r="G3768" s="3336"/>
      <c r="P3768" s="3337"/>
    </row>
    <row r="3769" spans="7:16" s="1634" customFormat="1">
      <c r="G3769" s="3336"/>
      <c r="P3769" s="3337"/>
    </row>
    <row r="3770" spans="7:16" s="1634" customFormat="1">
      <c r="G3770" s="3336"/>
      <c r="P3770" s="3337"/>
    </row>
    <row r="3771" spans="7:16" s="1634" customFormat="1">
      <c r="G3771" s="3336"/>
      <c r="P3771" s="3337"/>
    </row>
    <row r="3772" spans="7:16" s="1634" customFormat="1">
      <c r="G3772" s="3336"/>
      <c r="P3772" s="3337"/>
    </row>
    <row r="3773" spans="7:16" s="1634" customFormat="1">
      <c r="G3773" s="3336"/>
      <c r="P3773" s="3337"/>
    </row>
    <row r="3774" spans="7:16" s="1634" customFormat="1">
      <c r="G3774" s="3336"/>
      <c r="P3774" s="3337"/>
    </row>
    <row r="3775" spans="7:16" s="1634" customFormat="1">
      <c r="G3775" s="3336"/>
      <c r="P3775" s="3337"/>
    </row>
    <row r="3776" spans="7:16" s="1634" customFormat="1">
      <c r="G3776" s="3336"/>
      <c r="P3776" s="3337"/>
    </row>
    <row r="3777" spans="7:16" s="1634" customFormat="1">
      <c r="G3777" s="3336"/>
      <c r="P3777" s="3337"/>
    </row>
    <row r="3778" spans="7:16" s="1634" customFormat="1">
      <c r="G3778" s="3336"/>
      <c r="P3778" s="3337"/>
    </row>
    <row r="3779" spans="7:16" s="1634" customFormat="1">
      <c r="G3779" s="3336"/>
      <c r="P3779" s="3337"/>
    </row>
    <row r="3780" spans="7:16" s="1634" customFormat="1">
      <c r="G3780" s="3336"/>
      <c r="P3780" s="3337"/>
    </row>
    <row r="3781" spans="7:16" s="1634" customFormat="1">
      <c r="G3781" s="3336"/>
      <c r="P3781" s="3337"/>
    </row>
    <row r="3782" spans="7:16" s="1634" customFormat="1">
      <c r="G3782" s="3336"/>
      <c r="P3782" s="3337"/>
    </row>
    <row r="3783" spans="7:16" s="1634" customFormat="1">
      <c r="G3783" s="3336"/>
      <c r="P3783" s="3337"/>
    </row>
    <row r="3784" spans="7:16" s="1634" customFormat="1">
      <c r="G3784" s="3336"/>
      <c r="P3784" s="3337"/>
    </row>
    <row r="3785" spans="7:16" s="1634" customFormat="1">
      <c r="G3785" s="3336"/>
      <c r="P3785" s="3337"/>
    </row>
    <row r="3786" spans="7:16" s="1634" customFormat="1">
      <c r="G3786" s="3336"/>
      <c r="P3786" s="3337"/>
    </row>
    <row r="3787" spans="7:16" s="1634" customFormat="1">
      <c r="G3787" s="3336"/>
      <c r="P3787" s="3337"/>
    </row>
    <row r="3788" spans="7:16" s="1634" customFormat="1">
      <c r="G3788" s="3336"/>
      <c r="P3788" s="3337"/>
    </row>
    <row r="3789" spans="7:16" s="1634" customFormat="1">
      <c r="G3789" s="3336"/>
      <c r="P3789" s="3337"/>
    </row>
    <row r="3790" spans="7:16" s="1634" customFormat="1">
      <c r="G3790" s="3336"/>
      <c r="P3790" s="3337"/>
    </row>
    <row r="3791" spans="7:16" s="1634" customFormat="1">
      <c r="G3791" s="3336"/>
      <c r="P3791" s="3337"/>
    </row>
    <row r="3792" spans="7:16" s="1634" customFormat="1">
      <c r="G3792" s="3336"/>
      <c r="P3792" s="3337"/>
    </row>
    <row r="3793" spans="7:16" s="1634" customFormat="1">
      <c r="G3793" s="3336"/>
      <c r="P3793" s="3337"/>
    </row>
    <row r="3794" spans="7:16" s="1634" customFormat="1">
      <c r="G3794" s="3336"/>
      <c r="P3794" s="3337"/>
    </row>
    <row r="3795" spans="7:16" s="1634" customFormat="1">
      <c r="G3795" s="3336"/>
      <c r="P3795" s="3337"/>
    </row>
    <row r="3796" spans="7:16" s="1634" customFormat="1">
      <c r="G3796" s="3336"/>
      <c r="P3796" s="3337"/>
    </row>
    <row r="3797" spans="7:16" s="1634" customFormat="1">
      <c r="G3797" s="3336"/>
      <c r="P3797" s="3337"/>
    </row>
    <row r="3798" spans="7:16" s="1634" customFormat="1">
      <c r="G3798" s="3336"/>
      <c r="P3798" s="3337"/>
    </row>
    <row r="3799" spans="7:16" s="1634" customFormat="1">
      <c r="G3799" s="3336"/>
      <c r="P3799" s="3337"/>
    </row>
    <row r="3800" spans="7:16" s="1634" customFormat="1">
      <c r="G3800" s="3336"/>
      <c r="P3800" s="3337"/>
    </row>
    <row r="3801" spans="7:16" s="1634" customFormat="1">
      <c r="G3801" s="3336"/>
      <c r="P3801" s="3337"/>
    </row>
    <row r="3802" spans="7:16" s="1634" customFormat="1">
      <c r="G3802" s="3336"/>
      <c r="P3802" s="3337"/>
    </row>
    <row r="3803" spans="7:16" s="1634" customFormat="1">
      <c r="G3803" s="3336"/>
      <c r="P3803" s="3337"/>
    </row>
    <row r="3804" spans="7:16" s="1634" customFormat="1">
      <c r="G3804" s="3336"/>
      <c r="P3804" s="3337"/>
    </row>
    <row r="3805" spans="7:16" s="1634" customFormat="1">
      <c r="G3805" s="3336"/>
      <c r="P3805" s="3337"/>
    </row>
    <row r="3806" spans="7:16" s="1634" customFormat="1">
      <c r="G3806" s="3336"/>
      <c r="P3806" s="3337"/>
    </row>
    <row r="3807" spans="7:16" s="1634" customFormat="1">
      <c r="G3807" s="3336"/>
      <c r="P3807" s="3337"/>
    </row>
    <row r="3808" spans="7:16" s="1634" customFormat="1">
      <c r="G3808" s="3336"/>
      <c r="P3808" s="3337"/>
    </row>
    <row r="3809" spans="7:16" s="1634" customFormat="1">
      <c r="G3809" s="3336"/>
      <c r="P3809" s="3337"/>
    </row>
    <row r="3810" spans="7:16" s="1634" customFormat="1">
      <c r="G3810" s="3336"/>
      <c r="P3810" s="3337"/>
    </row>
    <row r="3811" spans="7:16" s="1634" customFormat="1">
      <c r="G3811" s="3336"/>
      <c r="P3811" s="3337"/>
    </row>
    <row r="3812" spans="7:16" s="1634" customFormat="1">
      <c r="G3812" s="3336"/>
      <c r="P3812" s="3337"/>
    </row>
    <row r="3813" spans="7:16" s="1634" customFormat="1">
      <c r="G3813" s="3336"/>
      <c r="P3813" s="3337"/>
    </row>
    <row r="3814" spans="7:16" s="1634" customFormat="1">
      <c r="G3814" s="3336"/>
      <c r="P3814" s="3337"/>
    </row>
    <row r="3815" spans="7:16" s="1634" customFormat="1">
      <c r="G3815" s="3336"/>
      <c r="P3815" s="3337"/>
    </row>
    <row r="3816" spans="7:16" s="1634" customFormat="1">
      <c r="G3816" s="3336"/>
      <c r="P3816" s="3337"/>
    </row>
    <row r="3817" spans="7:16" s="1634" customFormat="1">
      <c r="G3817" s="3336"/>
      <c r="P3817" s="3337"/>
    </row>
    <row r="3818" spans="7:16" s="1634" customFormat="1">
      <c r="G3818" s="3336"/>
      <c r="P3818" s="3337"/>
    </row>
    <row r="3819" spans="7:16" s="1634" customFormat="1">
      <c r="G3819" s="3336"/>
      <c r="P3819" s="3337"/>
    </row>
    <row r="3820" spans="7:16" s="1634" customFormat="1">
      <c r="G3820" s="3336"/>
      <c r="P3820" s="3337"/>
    </row>
    <row r="3821" spans="7:16" s="1634" customFormat="1">
      <c r="G3821" s="3336"/>
      <c r="P3821" s="3337"/>
    </row>
    <row r="3822" spans="7:16" s="1634" customFormat="1">
      <c r="G3822" s="3336"/>
      <c r="P3822" s="3337"/>
    </row>
    <row r="3823" spans="7:16" s="1634" customFormat="1">
      <c r="G3823" s="3336"/>
      <c r="P3823" s="3337"/>
    </row>
    <row r="3824" spans="7:16" s="1634" customFormat="1">
      <c r="G3824" s="3336"/>
      <c r="P3824" s="3337"/>
    </row>
    <row r="3825" spans="7:16" s="1634" customFormat="1">
      <c r="G3825" s="3336"/>
      <c r="P3825" s="3337"/>
    </row>
    <row r="3826" spans="7:16" s="1634" customFormat="1">
      <c r="G3826" s="3336"/>
      <c r="P3826" s="3337"/>
    </row>
    <row r="3827" spans="7:16" s="1634" customFormat="1">
      <c r="G3827" s="3336"/>
      <c r="P3827" s="3337"/>
    </row>
    <row r="3828" spans="7:16" s="1634" customFormat="1">
      <c r="G3828" s="3336"/>
      <c r="P3828" s="3337"/>
    </row>
    <row r="3829" spans="7:16" s="1634" customFormat="1">
      <c r="G3829" s="3336"/>
      <c r="P3829" s="3337"/>
    </row>
    <row r="3830" spans="7:16" s="1634" customFormat="1">
      <c r="G3830" s="3336"/>
      <c r="P3830" s="3337"/>
    </row>
    <row r="3831" spans="7:16" s="1634" customFormat="1">
      <c r="G3831" s="3336"/>
      <c r="P3831" s="3337"/>
    </row>
    <row r="3832" spans="7:16" s="1634" customFormat="1">
      <c r="G3832" s="3336"/>
      <c r="P3832" s="3337"/>
    </row>
    <row r="3833" spans="7:16" s="1634" customFormat="1">
      <c r="G3833" s="3336"/>
      <c r="P3833" s="3337"/>
    </row>
    <row r="3834" spans="7:16" s="1634" customFormat="1">
      <c r="G3834" s="3336"/>
      <c r="P3834" s="3337"/>
    </row>
    <row r="3835" spans="7:16" s="1634" customFormat="1">
      <c r="G3835" s="3336"/>
      <c r="P3835" s="3337"/>
    </row>
    <row r="3836" spans="7:16" s="1634" customFormat="1">
      <c r="G3836" s="3336"/>
      <c r="P3836" s="3337"/>
    </row>
    <row r="3837" spans="7:16" s="1634" customFormat="1">
      <c r="G3837" s="3336"/>
      <c r="P3837" s="3337"/>
    </row>
    <row r="3838" spans="7:16" s="1634" customFormat="1">
      <c r="G3838" s="3336"/>
      <c r="P3838" s="3337"/>
    </row>
    <row r="3839" spans="7:16" s="1634" customFormat="1">
      <c r="G3839" s="3336"/>
      <c r="P3839" s="3337"/>
    </row>
    <row r="3840" spans="7:16" s="1634" customFormat="1">
      <c r="G3840" s="3336"/>
      <c r="P3840" s="3337"/>
    </row>
    <row r="3841" spans="7:16" s="1634" customFormat="1">
      <c r="G3841" s="3336"/>
      <c r="P3841" s="3337"/>
    </row>
    <row r="3842" spans="7:16" s="1634" customFormat="1">
      <c r="G3842" s="3336"/>
      <c r="P3842" s="3337"/>
    </row>
    <row r="3843" spans="7:16" s="1634" customFormat="1">
      <c r="G3843" s="3336"/>
      <c r="P3843" s="3337"/>
    </row>
    <row r="3844" spans="7:16" s="1634" customFormat="1">
      <c r="G3844" s="3336"/>
      <c r="P3844" s="3337"/>
    </row>
    <row r="3845" spans="7:16" s="1634" customFormat="1">
      <c r="G3845" s="3336"/>
      <c r="P3845" s="3337"/>
    </row>
    <row r="3846" spans="7:16" s="1634" customFormat="1">
      <c r="G3846" s="3336"/>
      <c r="P3846" s="3337"/>
    </row>
    <row r="3847" spans="7:16" s="1634" customFormat="1">
      <c r="G3847" s="3336"/>
      <c r="P3847" s="3337"/>
    </row>
    <row r="3848" spans="7:16" s="1634" customFormat="1">
      <c r="G3848" s="3336"/>
      <c r="P3848" s="3337"/>
    </row>
    <row r="3849" spans="7:16" s="1634" customFormat="1">
      <c r="G3849" s="3336"/>
      <c r="P3849" s="3337"/>
    </row>
    <row r="3850" spans="7:16" s="1634" customFormat="1">
      <c r="G3850" s="3336"/>
      <c r="P3850" s="3337"/>
    </row>
    <row r="3851" spans="7:16" s="1634" customFormat="1">
      <c r="G3851" s="3336"/>
      <c r="P3851" s="3337"/>
    </row>
    <row r="3852" spans="7:16" s="1634" customFormat="1">
      <c r="G3852" s="3336"/>
      <c r="P3852" s="3337"/>
    </row>
    <row r="3853" spans="7:16" s="1634" customFormat="1">
      <c r="G3853" s="3336"/>
      <c r="P3853" s="3337"/>
    </row>
    <row r="3854" spans="7:16" s="1634" customFormat="1">
      <c r="G3854" s="3336"/>
      <c r="P3854" s="3337"/>
    </row>
    <row r="3855" spans="7:16" s="1634" customFormat="1">
      <c r="G3855" s="3336"/>
      <c r="P3855" s="3337"/>
    </row>
    <row r="3856" spans="7:16" s="1634" customFormat="1">
      <c r="G3856" s="3336"/>
      <c r="P3856" s="3337"/>
    </row>
    <row r="3857" spans="7:16" s="1634" customFormat="1">
      <c r="G3857" s="3336"/>
      <c r="P3857" s="3337"/>
    </row>
    <row r="3858" spans="7:16" s="1634" customFormat="1">
      <c r="G3858" s="3336"/>
      <c r="P3858" s="3337"/>
    </row>
    <row r="3859" spans="7:16" s="1634" customFormat="1">
      <c r="G3859" s="3336"/>
      <c r="P3859" s="3337"/>
    </row>
    <row r="3860" spans="7:16" s="1634" customFormat="1">
      <c r="G3860" s="3336"/>
      <c r="P3860" s="3337"/>
    </row>
    <row r="3861" spans="7:16" s="1634" customFormat="1">
      <c r="G3861" s="3336"/>
      <c r="P3861" s="3337"/>
    </row>
    <row r="3862" spans="7:16" s="1634" customFormat="1">
      <c r="G3862" s="3336"/>
      <c r="P3862" s="3337"/>
    </row>
    <row r="3863" spans="7:16" s="1634" customFormat="1">
      <c r="G3863" s="3336"/>
      <c r="P3863" s="3337"/>
    </row>
    <row r="3864" spans="7:16" s="1634" customFormat="1">
      <c r="G3864" s="3336"/>
      <c r="P3864" s="3337"/>
    </row>
    <row r="3865" spans="7:16" s="1634" customFormat="1">
      <c r="G3865" s="3336"/>
      <c r="P3865" s="3337"/>
    </row>
    <row r="3866" spans="7:16" s="1634" customFormat="1">
      <c r="G3866" s="3336"/>
      <c r="P3866" s="3337"/>
    </row>
    <row r="3867" spans="7:16" s="1634" customFormat="1">
      <c r="G3867" s="3336"/>
      <c r="P3867" s="3337"/>
    </row>
    <row r="3868" spans="7:16" s="1634" customFormat="1">
      <c r="G3868" s="3336"/>
      <c r="P3868" s="3337"/>
    </row>
    <row r="3869" spans="7:16" s="1634" customFormat="1">
      <c r="G3869" s="3336"/>
      <c r="P3869" s="3337"/>
    </row>
    <row r="3870" spans="7:16" s="1634" customFormat="1">
      <c r="G3870" s="3336"/>
      <c r="P3870" s="3337"/>
    </row>
    <row r="3871" spans="7:16" s="1634" customFormat="1">
      <c r="G3871" s="3336"/>
      <c r="P3871" s="3337"/>
    </row>
    <row r="3872" spans="7:16" s="1634" customFormat="1">
      <c r="G3872" s="3336"/>
      <c r="P3872" s="3337"/>
    </row>
    <row r="3873" spans="7:16" s="1634" customFormat="1">
      <c r="G3873" s="3336"/>
      <c r="P3873" s="3337"/>
    </row>
    <row r="3874" spans="7:16" s="1634" customFormat="1">
      <c r="G3874" s="3336"/>
      <c r="P3874" s="3337"/>
    </row>
    <row r="3875" spans="7:16" s="1634" customFormat="1">
      <c r="G3875" s="3336"/>
      <c r="P3875" s="3337"/>
    </row>
    <row r="3876" spans="7:16" s="1634" customFormat="1">
      <c r="G3876" s="3336"/>
      <c r="P3876" s="3337"/>
    </row>
    <row r="3877" spans="7:16" s="1634" customFormat="1">
      <c r="G3877" s="3336"/>
      <c r="P3877" s="3337"/>
    </row>
    <row r="3878" spans="7:16" s="1634" customFormat="1">
      <c r="G3878" s="3336"/>
      <c r="P3878" s="3337"/>
    </row>
    <row r="3879" spans="7:16" s="1634" customFormat="1">
      <c r="G3879" s="3336"/>
      <c r="P3879" s="3337"/>
    </row>
    <row r="3880" spans="7:16" s="1634" customFormat="1">
      <c r="G3880" s="3336"/>
      <c r="P3880" s="3337"/>
    </row>
    <row r="3881" spans="7:16" s="1634" customFormat="1">
      <c r="G3881" s="3336"/>
      <c r="P3881" s="3337"/>
    </row>
    <row r="3882" spans="7:16" s="1634" customFormat="1">
      <c r="G3882" s="3336"/>
      <c r="P3882" s="3337"/>
    </row>
    <row r="3883" spans="7:16" s="1634" customFormat="1">
      <c r="G3883" s="3336"/>
      <c r="P3883" s="3337"/>
    </row>
    <row r="3884" spans="7:16" s="1634" customFormat="1">
      <c r="G3884" s="3336"/>
      <c r="P3884" s="3337"/>
    </row>
    <row r="3885" spans="7:16" s="1634" customFormat="1">
      <c r="G3885" s="3336"/>
      <c r="P3885" s="3337"/>
    </row>
    <row r="3886" spans="7:16" s="1634" customFormat="1">
      <c r="G3886" s="3336"/>
      <c r="P3886" s="3337"/>
    </row>
    <row r="3887" spans="7:16" s="1634" customFormat="1">
      <c r="G3887" s="3336"/>
      <c r="P3887" s="3337"/>
    </row>
    <row r="3888" spans="7:16" s="1634" customFormat="1">
      <c r="G3888" s="3336"/>
      <c r="P3888" s="3337"/>
    </row>
    <row r="3889" spans="7:16" s="1634" customFormat="1">
      <c r="G3889" s="3336"/>
      <c r="P3889" s="3337"/>
    </row>
    <row r="3890" spans="7:16" s="1634" customFormat="1">
      <c r="G3890" s="3336"/>
      <c r="P3890" s="3337"/>
    </row>
    <row r="3891" spans="7:16" s="1634" customFormat="1">
      <c r="G3891" s="3336"/>
      <c r="P3891" s="3337"/>
    </row>
    <row r="3892" spans="7:16" s="1634" customFormat="1">
      <c r="G3892" s="3336"/>
      <c r="P3892" s="3337"/>
    </row>
    <row r="3893" spans="7:16" s="1634" customFormat="1">
      <c r="G3893" s="3336"/>
      <c r="P3893" s="3337"/>
    </row>
    <row r="3894" spans="7:16" s="1634" customFormat="1">
      <c r="G3894" s="3336"/>
      <c r="P3894" s="3337"/>
    </row>
    <row r="3895" spans="7:16" s="1634" customFormat="1">
      <c r="G3895" s="3336"/>
      <c r="P3895" s="3337"/>
    </row>
    <row r="3896" spans="7:16" s="1634" customFormat="1">
      <c r="G3896" s="3336"/>
      <c r="P3896" s="3337"/>
    </row>
    <row r="3897" spans="7:16" s="1634" customFormat="1">
      <c r="G3897" s="3336"/>
      <c r="P3897" s="3337"/>
    </row>
    <row r="3898" spans="7:16" s="1634" customFormat="1">
      <c r="G3898" s="3336"/>
      <c r="P3898" s="3337"/>
    </row>
    <row r="3899" spans="7:16" s="1634" customFormat="1">
      <c r="G3899" s="3336"/>
      <c r="P3899" s="3337"/>
    </row>
    <row r="3900" spans="7:16" s="1634" customFormat="1">
      <c r="G3900" s="3336"/>
      <c r="P3900" s="3337"/>
    </row>
    <row r="3901" spans="7:16" s="1634" customFormat="1">
      <c r="G3901" s="3336"/>
      <c r="P3901" s="3337"/>
    </row>
    <row r="3902" spans="7:16" s="1634" customFormat="1">
      <c r="G3902" s="3336"/>
      <c r="P3902" s="3337"/>
    </row>
    <row r="3903" spans="7:16" s="1634" customFormat="1">
      <c r="G3903" s="3336"/>
      <c r="P3903" s="3337"/>
    </row>
    <row r="3904" spans="7:16" s="1634" customFormat="1">
      <c r="G3904" s="3336"/>
      <c r="P3904" s="3337"/>
    </row>
    <row r="3905" spans="7:16" s="1634" customFormat="1">
      <c r="G3905" s="3336"/>
      <c r="P3905" s="3337"/>
    </row>
    <row r="3906" spans="7:16" s="1634" customFormat="1">
      <c r="G3906" s="3336"/>
      <c r="P3906" s="3337"/>
    </row>
    <row r="3907" spans="7:16" s="1634" customFormat="1">
      <c r="G3907" s="3336"/>
      <c r="P3907" s="3337"/>
    </row>
    <row r="3908" spans="7:16" s="1634" customFormat="1">
      <c r="G3908" s="3336"/>
      <c r="P3908" s="3337"/>
    </row>
    <row r="3909" spans="7:16" s="1634" customFormat="1">
      <c r="G3909" s="3336"/>
      <c r="P3909" s="3337"/>
    </row>
    <row r="3910" spans="7:16" s="1634" customFormat="1">
      <c r="G3910" s="3336"/>
      <c r="P3910" s="3337"/>
    </row>
    <row r="3911" spans="7:16" s="1634" customFormat="1">
      <c r="G3911" s="3336"/>
      <c r="P3911" s="3337"/>
    </row>
    <row r="3912" spans="7:16" s="1634" customFormat="1">
      <c r="G3912" s="3336"/>
      <c r="P3912" s="3337"/>
    </row>
    <row r="3913" spans="7:16" s="1634" customFormat="1">
      <c r="G3913" s="3336"/>
      <c r="P3913" s="3337"/>
    </row>
    <row r="3914" spans="7:16" s="1634" customFormat="1">
      <c r="G3914" s="3336"/>
      <c r="P3914" s="3337"/>
    </row>
    <row r="3915" spans="7:16" s="1634" customFormat="1">
      <c r="G3915" s="3336"/>
      <c r="P3915" s="3337"/>
    </row>
    <row r="3916" spans="7:16" s="1634" customFormat="1">
      <c r="G3916" s="3336"/>
      <c r="P3916" s="3337"/>
    </row>
    <row r="3917" spans="7:16" s="1634" customFormat="1">
      <c r="G3917" s="3336"/>
      <c r="P3917" s="3337"/>
    </row>
    <row r="3918" spans="7:16" s="1634" customFormat="1">
      <c r="G3918" s="3336"/>
      <c r="P3918" s="3337"/>
    </row>
    <row r="3919" spans="7:16" s="1634" customFormat="1">
      <c r="G3919" s="3336"/>
      <c r="P3919" s="3337"/>
    </row>
    <row r="3920" spans="7:16" s="1634" customFormat="1">
      <c r="G3920" s="3336"/>
      <c r="P3920" s="3337"/>
    </row>
    <row r="3921" spans="7:16" s="1634" customFormat="1">
      <c r="G3921" s="3336"/>
      <c r="P3921" s="3337"/>
    </row>
    <row r="3922" spans="7:16" s="1634" customFormat="1">
      <c r="G3922" s="3336"/>
      <c r="P3922" s="3337"/>
    </row>
    <row r="3923" spans="7:16" s="1634" customFormat="1">
      <c r="G3923" s="3336"/>
      <c r="P3923" s="3337"/>
    </row>
    <row r="3924" spans="7:16" s="1634" customFormat="1">
      <c r="G3924" s="3336"/>
      <c r="P3924" s="3337"/>
    </row>
    <row r="3925" spans="7:16" s="1634" customFormat="1">
      <c r="G3925" s="3336"/>
      <c r="P3925" s="3337"/>
    </row>
    <row r="3926" spans="7:16" s="1634" customFormat="1">
      <c r="G3926" s="3336"/>
      <c r="P3926" s="3337"/>
    </row>
    <row r="3927" spans="7:16" s="1634" customFormat="1">
      <c r="G3927" s="3336"/>
      <c r="P3927" s="3337"/>
    </row>
    <row r="3928" spans="7:16" s="1634" customFormat="1">
      <c r="G3928" s="3336"/>
      <c r="P3928" s="3337"/>
    </row>
    <row r="3929" spans="7:16" s="1634" customFormat="1">
      <c r="G3929" s="3336"/>
      <c r="P3929" s="3337"/>
    </row>
    <row r="3930" spans="7:16" s="1634" customFormat="1">
      <c r="G3930" s="3336"/>
      <c r="P3930" s="3337"/>
    </row>
    <row r="3931" spans="7:16" s="1634" customFormat="1">
      <c r="G3931" s="3336"/>
      <c r="P3931" s="3337"/>
    </row>
    <row r="3932" spans="7:16" s="1634" customFormat="1">
      <c r="G3932" s="3336"/>
      <c r="P3932" s="3337"/>
    </row>
    <row r="3933" spans="7:16" s="1634" customFormat="1">
      <c r="G3933" s="3336"/>
      <c r="P3933" s="3337"/>
    </row>
    <row r="3934" spans="7:16" s="1634" customFormat="1">
      <c r="G3934" s="3336"/>
      <c r="P3934" s="3337"/>
    </row>
    <row r="3935" spans="7:16" s="1634" customFormat="1">
      <c r="G3935" s="3336"/>
      <c r="P3935" s="3337"/>
    </row>
    <row r="3936" spans="7:16" s="1634" customFormat="1">
      <c r="G3936" s="3336"/>
      <c r="P3936" s="3337"/>
    </row>
    <row r="3937" spans="7:16" s="1634" customFormat="1">
      <c r="G3937" s="3336"/>
      <c r="P3937" s="3337"/>
    </row>
    <row r="3938" spans="7:16" s="1634" customFormat="1">
      <c r="G3938" s="3336"/>
      <c r="P3938" s="3337"/>
    </row>
    <row r="3939" spans="7:16" s="1634" customFormat="1">
      <c r="G3939" s="3336"/>
      <c r="P3939" s="3337"/>
    </row>
    <row r="3940" spans="7:16" s="1634" customFormat="1">
      <c r="G3940" s="3336"/>
      <c r="P3940" s="3337"/>
    </row>
    <row r="3941" spans="7:16" s="1634" customFormat="1">
      <c r="G3941" s="3336"/>
      <c r="P3941" s="3337"/>
    </row>
    <row r="3942" spans="7:16" s="1634" customFormat="1">
      <c r="G3942" s="3336"/>
      <c r="P3942" s="3337"/>
    </row>
    <row r="3943" spans="7:16" s="1634" customFormat="1">
      <c r="G3943" s="3336"/>
      <c r="P3943" s="3337"/>
    </row>
    <row r="3944" spans="7:16" s="1634" customFormat="1">
      <c r="G3944" s="3336"/>
      <c r="P3944" s="3337"/>
    </row>
    <row r="3945" spans="7:16" s="1634" customFormat="1">
      <c r="G3945" s="3336"/>
      <c r="P3945" s="3337"/>
    </row>
    <row r="3946" spans="7:16" s="1634" customFormat="1">
      <c r="G3946" s="3336"/>
      <c r="P3946" s="3337"/>
    </row>
    <row r="3947" spans="7:16" s="1634" customFormat="1">
      <c r="G3947" s="3336"/>
      <c r="P3947" s="3337"/>
    </row>
    <row r="3948" spans="7:16" s="1634" customFormat="1">
      <c r="G3948" s="3336"/>
      <c r="P3948" s="3337"/>
    </row>
    <row r="3949" spans="7:16" s="1634" customFormat="1">
      <c r="G3949" s="3336"/>
      <c r="P3949" s="3337"/>
    </row>
    <row r="3950" spans="7:16" s="1634" customFormat="1">
      <c r="G3950" s="3336"/>
      <c r="P3950" s="3337"/>
    </row>
    <row r="3951" spans="7:16" s="1634" customFormat="1">
      <c r="G3951" s="3336"/>
      <c r="P3951" s="3337"/>
    </row>
    <row r="3952" spans="7:16" s="1634" customFormat="1">
      <c r="G3952" s="3336"/>
      <c r="P3952" s="3337"/>
    </row>
    <row r="3953" spans="7:16" s="1634" customFormat="1">
      <c r="G3953" s="3336"/>
      <c r="P3953" s="3337"/>
    </row>
    <row r="3954" spans="7:16" s="1634" customFormat="1">
      <c r="G3954" s="3336"/>
      <c r="P3954" s="3337"/>
    </row>
    <row r="3955" spans="7:16" s="1634" customFormat="1">
      <c r="G3955" s="3336"/>
      <c r="P3955" s="3337"/>
    </row>
    <row r="3956" spans="7:16" s="1634" customFormat="1">
      <c r="G3956" s="3336"/>
      <c r="P3956" s="3337"/>
    </row>
    <row r="3957" spans="7:16" s="1634" customFormat="1">
      <c r="G3957" s="3336"/>
      <c r="P3957" s="3337"/>
    </row>
    <row r="3958" spans="7:16" s="1634" customFormat="1">
      <c r="G3958" s="3336"/>
      <c r="P3958" s="3337"/>
    </row>
    <row r="3959" spans="7:16" s="1634" customFormat="1">
      <c r="G3959" s="3336"/>
      <c r="P3959" s="3337"/>
    </row>
    <row r="3960" spans="7:16" s="1634" customFormat="1">
      <c r="G3960" s="3336"/>
      <c r="P3960" s="3337"/>
    </row>
    <row r="3961" spans="7:16" s="1634" customFormat="1">
      <c r="G3961" s="3336"/>
      <c r="P3961" s="3337"/>
    </row>
    <row r="3962" spans="7:16" s="1634" customFormat="1">
      <c r="G3962" s="3336"/>
      <c r="P3962" s="3337"/>
    </row>
    <row r="3963" spans="7:16" s="1634" customFormat="1">
      <c r="G3963" s="3336"/>
      <c r="P3963" s="3337"/>
    </row>
    <row r="3964" spans="7:16" s="1634" customFormat="1">
      <c r="G3964" s="3336"/>
      <c r="P3964" s="3337"/>
    </row>
    <row r="3965" spans="7:16" s="1634" customFormat="1">
      <c r="G3965" s="3336"/>
      <c r="P3965" s="3337"/>
    </row>
    <row r="3966" spans="7:16" s="1634" customFormat="1">
      <c r="G3966" s="3336"/>
      <c r="P3966" s="3337"/>
    </row>
    <row r="3967" spans="7:16" s="1634" customFormat="1">
      <c r="G3967" s="3336"/>
      <c r="P3967" s="3337"/>
    </row>
    <row r="3968" spans="7:16" s="1634" customFormat="1">
      <c r="G3968" s="3336"/>
      <c r="P3968" s="3337"/>
    </row>
    <row r="3969" spans="7:16" s="1634" customFormat="1">
      <c r="G3969" s="3336"/>
      <c r="P3969" s="3337"/>
    </row>
    <row r="3970" spans="7:16" s="1634" customFormat="1">
      <c r="G3970" s="3336"/>
      <c r="P3970" s="3337"/>
    </row>
    <row r="3971" spans="7:16" s="1634" customFormat="1">
      <c r="G3971" s="3336"/>
      <c r="P3971" s="3337"/>
    </row>
    <row r="3972" spans="7:16" s="1634" customFormat="1">
      <c r="G3972" s="3336"/>
      <c r="P3972" s="3337"/>
    </row>
    <row r="3973" spans="7:16" s="1634" customFormat="1">
      <c r="G3973" s="3336"/>
      <c r="P3973" s="3337"/>
    </row>
    <row r="3974" spans="7:16" s="1634" customFormat="1">
      <c r="G3974" s="3336"/>
      <c r="P3974" s="3337"/>
    </row>
    <row r="3975" spans="7:16" s="1634" customFormat="1">
      <c r="G3975" s="3336"/>
      <c r="P3975" s="3337"/>
    </row>
    <row r="3976" spans="7:16" s="1634" customFormat="1">
      <c r="G3976" s="3336"/>
      <c r="P3976" s="3337"/>
    </row>
    <row r="3977" spans="7:16" s="1634" customFormat="1">
      <c r="G3977" s="3336"/>
      <c r="P3977" s="3337"/>
    </row>
    <row r="3978" spans="7:16" s="1634" customFormat="1">
      <c r="G3978" s="3336"/>
      <c r="P3978" s="3337"/>
    </row>
    <row r="3979" spans="7:16" s="1634" customFormat="1">
      <c r="G3979" s="3336"/>
      <c r="P3979" s="3337"/>
    </row>
    <row r="3980" spans="7:16" s="1634" customFormat="1">
      <c r="G3980" s="3336"/>
      <c r="P3980" s="3337"/>
    </row>
    <row r="3981" spans="7:16" s="1634" customFormat="1">
      <c r="G3981" s="3336"/>
      <c r="P3981" s="3337"/>
    </row>
    <row r="3982" spans="7:16" s="1634" customFormat="1">
      <c r="G3982" s="3336"/>
      <c r="P3982" s="3337"/>
    </row>
    <row r="3983" spans="7:16" s="1634" customFormat="1">
      <c r="G3983" s="3336"/>
      <c r="P3983" s="3337"/>
    </row>
    <row r="3984" spans="7:16" s="1634" customFormat="1">
      <c r="G3984" s="3336"/>
      <c r="P3984" s="3337"/>
    </row>
    <row r="3985" spans="7:16" s="1634" customFormat="1">
      <c r="G3985" s="3336"/>
      <c r="P3985" s="3337"/>
    </row>
    <row r="3986" spans="7:16" s="1634" customFormat="1">
      <c r="G3986" s="3336"/>
      <c r="P3986" s="3337"/>
    </row>
    <row r="3987" spans="7:16" s="1634" customFormat="1">
      <c r="G3987" s="3336"/>
      <c r="P3987" s="3337"/>
    </row>
    <row r="3988" spans="7:16" s="1634" customFormat="1">
      <c r="G3988" s="3336"/>
      <c r="P3988" s="3337"/>
    </row>
    <row r="3989" spans="7:16" s="1634" customFormat="1">
      <c r="G3989" s="3336"/>
      <c r="P3989" s="3337"/>
    </row>
    <row r="3990" spans="7:16" s="1634" customFormat="1">
      <c r="G3990" s="3336"/>
      <c r="P3990" s="3337"/>
    </row>
    <row r="3991" spans="7:16" s="1634" customFormat="1">
      <c r="G3991" s="3336"/>
      <c r="P3991" s="3337"/>
    </row>
    <row r="3992" spans="7:16" s="1634" customFormat="1">
      <c r="G3992" s="3336"/>
      <c r="P3992" s="3337"/>
    </row>
    <row r="3993" spans="7:16" s="1634" customFormat="1">
      <c r="G3993" s="3336"/>
      <c r="P3993" s="3337"/>
    </row>
    <row r="3994" spans="7:16" s="1634" customFormat="1">
      <c r="G3994" s="3336"/>
      <c r="P3994" s="3337"/>
    </row>
    <row r="3995" spans="7:16" s="1634" customFormat="1">
      <c r="G3995" s="3336"/>
      <c r="P3995" s="3337"/>
    </row>
    <row r="3996" spans="7:16" s="1634" customFormat="1">
      <c r="G3996" s="3336"/>
      <c r="P3996" s="3337"/>
    </row>
    <row r="3997" spans="7:16" s="1634" customFormat="1">
      <c r="G3997" s="3336"/>
      <c r="P3997" s="3337"/>
    </row>
    <row r="3998" spans="7:16" s="1634" customFormat="1">
      <c r="G3998" s="3336"/>
      <c r="P3998" s="3337"/>
    </row>
    <row r="3999" spans="7:16" s="1634" customFormat="1">
      <c r="G3999" s="3336"/>
      <c r="P3999" s="3337"/>
    </row>
    <row r="4000" spans="7:16" s="1634" customFormat="1">
      <c r="G4000" s="3336"/>
      <c r="P4000" s="3337"/>
    </row>
    <row r="4001" spans="7:16" s="1634" customFormat="1">
      <c r="G4001" s="3336"/>
      <c r="P4001" s="3337"/>
    </row>
    <row r="4002" spans="7:16" s="1634" customFormat="1">
      <c r="G4002" s="3336"/>
      <c r="P4002" s="3337"/>
    </row>
    <row r="4003" spans="7:16" s="1634" customFormat="1">
      <c r="G4003" s="3336"/>
      <c r="P4003" s="3337"/>
    </row>
    <row r="4004" spans="7:16" s="1634" customFormat="1">
      <c r="G4004" s="3336"/>
      <c r="P4004" s="3337"/>
    </row>
    <row r="4005" spans="7:16" s="1634" customFormat="1">
      <c r="G4005" s="3336"/>
      <c r="P4005" s="3337"/>
    </row>
    <row r="4006" spans="7:16" s="1634" customFormat="1">
      <c r="G4006" s="3336"/>
      <c r="P4006" s="3337"/>
    </row>
    <row r="4007" spans="7:16" s="1634" customFormat="1">
      <c r="G4007" s="3336"/>
      <c r="P4007" s="3337"/>
    </row>
    <row r="4008" spans="7:16" s="1634" customFormat="1">
      <c r="G4008" s="3336"/>
      <c r="P4008" s="3337"/>
    </row>
    <row r="4009" spans="7:16" s="1634" customFormat="1">
      <c r="G4009" s="3336"/>
      <c r="P4009" s="3337"/>
    </row>
    <row r="4010" spans="7:16" s="1634" customFormat="1">
      <c r="G4010" s="3336"/>
      <c r="P4010" s="3337"/>
    </row>
    <row r="4011" spans="7:16" s="1634" customFormat="1">
      <c r="G4011" s="3336"/>
      <c r="P4011" s="3337"/>
    </row>
    <row r="4012" spans="7:16" s="1634" customFormat="1">
      <c r="G4012" s="3336"/>
      <c r="P4012" s="3337"/>
    </row>
    <row r="4013" spans="7:16" s="1634" customFormat="1">
      <c r="G4013" s="3336"/>
      <c r="P4013" s="3337"/>
    </row>
    <row r="4014" spans="7:16" s="1634" customFormat="1">
      <c r="G4014" s="3336"/>
      <c r="P4014" s="3337"/>
    </row>
    <row r="4015" spans="7:16" s="1634" customFormat="1">
      <c r="G4015" s="3336"/>
      <c r="P4015" s="3337"/>
    </row>
    <row r="4016" spans="7:16" s="1634" customFormat="1">
      <c r="G4016" s="3336"/>
      <c r="P4016" s="3337"/>
    </row>
    <row r="4017" spans="7:16" s="1634" customFormat="1">
      <c r="G4017" s="3336"/>
      <c r="P4017" s="3337"/>
    </row>
    <row r="4018" spans="7:16" s="1634" customFormat="1">
      <c r="G4018" s="3336"/>
      <c r="P4018" s="3337"/>
    </row>
    <row r="4019" spans="7:16" s="1634" customFormat="1">
      <c r="G4019" s="3336"/>
      <c r="P4019" s="3337"/>
    </row>
    <row r="4020" spans="7:16" s="1634" customFormat="1">
      <c r="G4020" s="3336"/>
      <c r="P4020" s="3337"/>
    </row>
    <row r="4021" spans="7:16" s="1634" customFormat="1">
      <c r="G4021" s="3336"/>
      <c r="P4021" s="3337"/>
    </row>
    <row r="4022" spans="7:16" s="1634" customFormat="1">
      <c r="G4022" s="3336"/>
      <c r="P4022" s="3337"/>
    </row>
    <row r="4023" spans="7:16" s="1634" customFormat="1">
      <c r="G4023" s="3336"/>
      <c r="P4023" s="3337"/>
    </row>
    <row r="4024" spans="7:16" s="1634" customFormat="1">
      <c r="G4024" s="3336"/>
      <c r="P4024" s="3337"/>
    </row>
    <row r="4025" spans="7:16" s="1634" customFormat="1">
      <c r="G4025" s="3336"/>
      <c r="P4025" s="3337"/>
    </row>
    <row r="4026" spans="7:16" s="1634" customFormat="1">
      <c r="G4026" s="3336"/>
      <c r="P4026" s="3337"/>
    </row>
    <row r="4027" spans="7:16" s="1634" customFormat="1">
      <c r="G4027" s="3336"/>
      <c r="P4027" s="3337"/>
    </row>
    <row r="4028" spans="7:16" s="1634" customFormat="1">
      <c r="G4028" s="3336"/>
      <c r="P4028" s="3337"/>
    </row>
    <row r="4029" spans="7:16" s="1634" customFormat="1">
      <c r="G4029" s="3336"/>
      <c r="P4029" s="3337"/>
    </row>
    <row r="4030" spans="7:16" s="1634" customFormat="1">
      <c r="G4030" s="3336"/>
      <c r="P4030" s="3337"/>
    </row>
    <row r="4031" spans="7:16" s="1634" customFormat="1">
      <c r="G4031" s="3336"/>
      <c r="P4031" s="3337"/>
    </row>
    <row r="4032" spans="7:16" s="1634" customFormat="1">
      <c r="G4032" s="3336"/>
      <c r="P4032" s="3337"/>
    </row>
    <row r="4033" spans="7:16" s="1634" customFormat="1">
      <c r="G4033" s="3336"/>
      <c r="P4033" s="3337"/>
    </row>
    <row r="4034" spans="7:16" s="1634" customFormat="1">
      <c r="G4034" s="3336"/>
      <c r="P4034" s="3337"/>
    </row>
    <row r="4035" spans="7:16" s="1634" customFormat="1">
      <c r="G4035" s="3336"/>
      <c r="P4035" s="3337"/>
    </row>
    <row r="4036" spans="7:16" s="1634" customFormat="1">
      <c r="G4036" s="3336"/>
      <c r="P4036" s="3337"/>
    </row>
    <row r="4037" spans="7:16" s="1634" customFormat="1">
      <c r="G4037" s="3336"/>
      <c r="P4037" s="3337"/>
    </row>
    <row r="4038" spans="7:16" s="1634" customFormat="1">
      <c r="G4038" s="3336"/>
      <c r="P4038" s="3337"/>
    </row>
    <row r="4039" spans="7:16" s="1634" customFormat="1">
      <c r="G4039" s="3336"/>
      <c r="P4039" s="3337"/>
    </row>
    <row r="4040" spans="7:16" s="1634" customFormat="1">
      <c r="G4040" s="3336"/>
      <c r="P4040" s="3337"/>
    </row>
    <row r="4041" spans="7:16" s="1634" customFormat="1">
      <c r="G4041" s="3336"/>
      <c r="P4041" s="3337"/>
    </row>
    <row r="4042" spans="7:16" s="1634" customFormat="1">
      <c r="G4042" s="3336"/>
      <c r="P4042" s="3337"/>
    </row>
    <row r="4043" spans="7:16" s="1634" customFormat="1">
      <c r="G4043" s="3336"/>
      <c r="P4043" s="3337"/>
    </row>
    <row r="4044" spans="7:16" s="1634" customFormat="1">
      <c r="G4044" s="3336"/>
      <c r="P4044" s="3337"/>
    </row>
    <row r="4045" spans="7:16" s="1634" customFormat="1">
      <c r="G4045" s="3336"/>
      <c r="P4045" s="3337"/>
    </row>
    <row r="4046" spans="7:16" s="1634" customFormat="1">
      <c r="G4046" s="3336"/>
      <c r="P4046" s="3337"/>
    </row>
    <row r="4047" spans="7:16" s="1634" customFormat="1">
      <c r="G4047" s="3336"/>
      <c r="P4047" s="3337"/>
    </row>
    <row r="4048" spans="7:16" s="1634" customFormat="1">
      <c r="G4048" s="3336"/>
      <c r="P4048" s="3337"/>
    </row>
    <row r="4049" spans="7:16" s="1634" customFormat="1">
      <c r="G4049" s="3336"/>
      <c r="P4049" s="3337"/>
    </row>
    <row r="4050" spans="7:16" s="1634" customFormat="1">
      <c r="G4050" s="3336"/>
      <c r="P4050" s="3337"/>
    </row>
    <row r="4051" spans="7:16" s="1634" customFormat="1">
      <c r="G4051" s="3336"/>
      <c r="P4051" s="3337"/>
    </row>
    <row r="4052" spans="7:16" s="1634" customFormat="1">
      <c r="G4052" s="3336"/>
      <c r="P4052" s="3337"/>
    </row>
    <row r="4053" spans="7:16" s="1634" customFormat="1">
      <c r="G4053" s="3336"/>
      <c r="P4053" s="3337"/>
    </row>
    <row r="4054" spans="7:16" s="1634" customFormat="1">
      <c r="G4054" s="3336"/>
      <c r="P4054" s="3337"/>
    </row>
    <row r="4055" spans="7:16" s="1634" customFormat="1">
      <c r="G4055" s="3336"/>
      <c r="P4055" s="3337"/>
    </row>
    <row r="4056" spans="7:16" s="1634" customFormat="1">
      <c r="G4056" s="3336"/>
      <c r="P4056" s="3337"/>
    </row>
    <row r="4057" spans="7:16" s="1634" customFormat="1">
      <c r="G4057" s="3336"/>
      <c r="P4057" s="3337"/>
    </row>
    <row r="4058" spans="7:16" s="1634" customFormat="1">
      <c r="G4058" s="3336"/>
      <c r="P4058" s="3337"/>
    </row>
    <row r="4059" spans="7:16" s="1634" customFormat="1">
      <c r="G4059" s="3336"/>
      <c r="P4059" s="3337"/>
    </row>
    <row r="4060" spans="7:16" s="1634" customFormat="1">
      <c r="G4060" s="3336"/>
      <c r="P4060" s="3337"/>
    </row>
    <row r="4061" spans="7:16" s="1634" customFormat="1">
      <c r="G4061" s="3336"/>
      <c r="P4061" s="3337"/>
    </row>
    <row r="4062" spans="7:16" s="1634" customFormat="1">
      <c r="G4062" s="3336"/>
      <c r="P4062" s="3337"/>
    </row>
    <row r="4063" spans="7:16" s="1634" customFormat="1">
      <c r="G4063" s="3336"/>
      <c r="P4063" s="3337"/>
    </row>
    <row r="4064" spans="7:16" s="1634" customFormat="1">
      <c r="G4064" s="3336"/>
      <c r="P4064" s="3337"/>
    </row>
    <row r="4065" spans="7:16" s="1634" customFormat="1">
      <c r="G4065" s="3336"/>
      <c r="P4065" s="3337"/>
    </row>
    <row r="4066" spans="7:16" s="1634" customFormat="1">
      <c r="G4066" s="3336"/>
      <c r="P4066" s="3337"/>
    </row>
    <row r="4067" spans="7:16" s="1634" customFormat="1">
      <c r="G4067" s="3336"/>
      <c r="P4067" s="3337"/>
    </row>
    <row r="4068" spans="7:16" s="1634" customFormat="1">
      <c r="G4068" s="3336"/>
      <c r="P4068" s="3337"/>
    </row>
    <row r="4069" spans="7:16" s="1634" customFormat="1">
      <c r="G4069" s="3336"/>
      <c r="P4069" s="3337"/>
    </row>
    <row r="4070" spans="7:16" s="1634" customFormat="1">
      <c r="G4070" s="3336"/>
      <c r="P4070" s="3337"/>
    </row>
    <row r="4071" spans="7:16" s="1634" customFormat="1">
      <c r="G4071" s="3336"/>
      <c r="P4071" s="3337"/>
    </row>
    <row r="4072" spans="7:16" s="1634" customFormat="1">
      <c r="G4072" s="3336"/>
      <c r="P4072" s="3337"/>
    </row>
    <row r="4073" spans="7:16" s="1634" customFormat="1">
      <c r="G4073" s="3336"/>
      <c r="P4073" s="3337"/>
    </row>
    <row r="4074" spans="7:16" s="1634" customFormat="1">
      <c r="G4074" s="3336"/>
      <c r="P4074" s="3337"/>
    </row>
    <row r="4075" spans="7:16" s="1634" customFormat="1">
      <c r="G4075" s="3336"/>
      <c r="P4075" s="3337"/>
    </row>
    <row r="4076" spans="7:16" s="1634" customFormat="1">
      <c r="G4076" s="3336"/>
      <c r="P4076" s="3337"/>
    </row>
    <row r="4077" spans="7:16" s="1634" customFormat="1">
      <c r="G4077" s="3336"/>
      <c r="P4077" s="3337"/>
    </row>
    <row r="4078" spans="7:16" s="1634" customFormat="1">
      <c r="G4078" s="3336"/>
      <c r="P4078" s="3337"/>
    </row>
    <row r="4079" spans="7:16" s="1634" customFormat="1">
      <c r="G4079" s="3336"/>
      <c r="P4079" s="3337"/>
    </row>
    <row r="4080" spans="7:16" s="1634" customFormat="1">
      <c r="G4080" s="3336"/>
      <c r="P4080" s="3337"/>
    </row>
    <row r="4081" spans="7:16" s="1634" customFormat="1">
      <c r="G4081" s="3336"/>
      <c r="P4081" s="3337"/>
    </row>
    <row r="4082" spans="7:16" s="1634" customFormat="1">
      <c r="G4082" s="3336"/>
      <c r="P4082" s="3337"/>
    </row>
    <row r="4083" spans="7:16" s="1634" customFormat="1">
      <c r="G4083" s="3336"/>
      <c r="P4083" s="3337"/>
    </row>
    <row r="4084" spans="7:16" s="1634" customFormat="1">
      <c r="G4084" s="3336"/>
      <c r="P4084" s="3337"/>
    </row>
    <row r="4085" spans="7:16" s="1634" customFormat="1">
      <c r="G4085" s="3336"/>
      <c r="P4085" s="3337"/>
    </row>
    <row r="4086" spans="7:16" s="1634" customFormat="1">
      <c r="G4086" s="3336"/>
      <c r="P4086" s="3337"/>
    </row>
    <row r="4087" spans="7:16" s="1634" customFormat="1">
      <c r="G4087" s="3336"/>
      <c r="P4087" s="3337"/>
    </row>
    <row r="4088" spans="7:16" s="1634" customFormat="1">
      <c r="G4088" s="3336"/>
      <c r="P4088" s="3337"/>
    </row>
    <row r="4089" spans="7:16" s="1634" customFormat="1">
      <c r="G4089" s="3336"/>
      <c r="P4089" s="3337"/>
    </row>
    <row r="4090" spans="7:16" s="1634" customFormat="1">
      <c r="G4090" s="3336"/>
      <c r="P4090" s="3337"/>
    </row>
    <row r="4091" spans="7:16" s="1634" customFormat="1">
      <c r="G4091" s="3336"/>
      <c r="P4091" s="3337"/>
    </row>
    <row r="4092" spans="7:16" s="1634" customFormat="1">
      <c r="G4092" s="3336"/>
      <c r="P4092" s="3337"/>
    </row>
    <row r="4093" spans="7:16" s="1634" customFormat="1">
      <c r="G4093" s="3336"/>
      <c r="P4093" s="3337"/>
    </row>
    <row r="4094" spans="7:16" s="1634" customFormat="1">
      <c r="G4094" s="3336"/>
      <c r="P4094" s="3337"/>
    </row>
    <row r="4095" spans="7:16" s="1634" customFormat="1">
      <c r="G4095" s="3336"/>
      <c r="P4095" s="3337"/>
    </row>
    <row r="4096" spans="7:16" s="1634" customFormat="1">
      <c r="G4096" s="3336"/>
      <c r="P4096" s="3337"/>
    </row>
    <row r="4097" spans="7:16" s="1634" customFormat="1">
      <c r="G4097" s="3336"/>
      <c r="P4097" s="3337"/>
    </row>
    <row r="4098" spans="7:16" s="1634" customFormat="1">
      <c r="G4098" s="3336"/>
      <c r="P4098" s="3337"/>
    </row>
    <row r="4099" spans="7:16" s="1634" customFormat="1">
      <c r="G4099" s="3336"/>
      <c r="P4099" s="3337"/>
    </row>
    <row r="4100" spans="7:16" s="1634" customFormat="1">
      <c r="G4100" s="3336"/>
      <c r="P4100" s="3337"/>
    </row>
    <row r="4101" spans="7:16" s="1634" customFormat="1">
      <c r="G4101" s="3336"/>
      <c r="P4101" s="3337"/>
    </row>
    <row r="4102" spans="7:16" s="1634" customFormat="1">
      <c r="G4102" s="3336"/>
      <c r="P4102" s="3337"/>
    </row>
    <row r="4103" spans="7:16" s="1634" customFormat="1">
      <c r="G4103" s="3336"/>
      <c r="P4103" s="3337"/>
    </row>
    <row r="4104" spans="7:16" s="1634" customFormat="1">
      <c r="G4104" s="3336"/>
      <c r="P4104" s="3337"/>
    </row>
    <row r="4105" spans="7:16" s="1634" customFormat="1">
      <c r="G4105" s="3336"/>
      <c r="P4105" s="3337"/>
    </row>
    <row r="4106" spans="7:16" s="1634" customFormat="1">
      <c r="G4106" s="3336"/>
      <c r="P4106" s="3337"/>
    </row>
    <row r="4107" spans="7:16" s="1634" customFormat="1">
      <c r="G4107" s="3336"/>
      <c r="P4107" s="3337"/>
    </row>
    <row r="4108" spans="7:16" s="1634" customFormat="1">
      <c r="G4108" s="3336"/>
      <c r="P4108" s="3337"/>
    </row>
    <row r="4109" spans="7:16" s="1634" customFormat="1">
      <c r="G4109" s="3336"/>
      <c r="P4109" s="3337"/>
    </row>
    <row r="4110" spans="7:16" s="1634" customFormat="1">
      <c r="G4110" s="3336"/>
      <c r="P4110" s="3337"/>
    </row>
    <row r="4111" spans="7:16" s="1634" customFormat="1">
      <c r="G4111" s="3336"/>
      <c r="P4111" s="3337"/>
    </row>
    <row r="4112" spans="7:16" s="1634" customFormat="1">
      <c r="G4112" s="3336"/>
      <c r="P4112" s="3337"/>
    </row>
    <row r="4113" spans="7:16" s="1634" customFormat="1">
      <c r="G4113" s="3336"/>
      <c r="P4113" s="3337"/>
    </row>
    <row r="4114" spans="7:16" s="1634" customFormat="1">
      <c r="G4114" s="3336"/>
      <c r="P4114" s="3337"/>
    </row>
    <row r="4115" spans="7:16" s="1634" customFormat="1">
      <c r="G4115" s="3336"/>
      <c r="P4115" s="3337"/>
    </row>
    <row r="4116" spans="7:16" s="1634" customFormat="1">
      <c r="G4116" s="3336"/>
      <c r="P4116" s="3337"/>
    </row>
    <row r="4117" spans="7:16" s="1634" customFormat="1">
      <c r="G4117" s="3336"/>
      <c r="P4117" s="3337"/>
    </row>
    <row r="4118" spans="7:16" s="1634" customFormat="1">
      <c r="G4118" s="3336"/>
      <c r="P4118" s="3337"/>
    </row>
    <row r="4119" spans="7:16" s="1634" customFormat="1">
      <c r="G4119" s="3336"/>
      <c r="P4119" s="3337"/>
    </row>
    <row r="4120" spans="7:16" s="1634" customFormat="1">
      <c r="G4120" s="3336"/>
      <c r="P4120" s="3337"/>
    </row>
    <row r="4121" spans="7:16" s="1634" customFormat="1">
      <c r="G4121" s="3336"/>
      <c r="P4121" s="3337"/>
    </row>
    <row r="4122" spans="7:16" s="1634" customFormat="1">
      <c r="G4122" s="3336"/>
      <c r="P4122" s="3337"/>
    </row>
    <row r="4123" spans="7:16" s="1634" customFormat="1">
      <c r="G4123" s="3336"/>
      <c r="P4123" s="3337"/>
    </row>
    <row r="4124" spans="7:16" s="1634" customFormat="1">
      <c r="G4124" s="3336"/>
      <c r="P4124" s="3337"/>
    </row>
    <row r="4125" spans="7:16" s="1634" customFormat="1">
      <c r="G4125" s="3336"/>
      <c r="P4125" s="3337"/>
    </row>
    <row r="4126" spans="7:16" s="1634" customFormat="1">
      <c r="G4126" s="3336"/>
      <c r="P4126" s="3337"/>
    </row>
    <row r="4127" spans="7:16" s="1634" customFormat="1">
      <c r="G4127" s="3336"/>
      <c r="P4127" s="3337"/>
    </row>
    <row r="4128" spans="7:16" s="1634" customFormat="1">
      <c r="G4128" s="3336"/>
      <c r="P4128" s="3337"/>
    </row>
    <row r="4129" spans="7:16" s="1634" customFormat="1">
      <c r="G4129" s="3336"/>
      <c r="P4129" s="3337"/>
    </row>
    <row r="4130" spans="7:16" s="1634" customFormat="1">
      <c r="G4130" s="3336"/>
      <c r="P4130" s="3337"/>
    </row>
    <row r="4131" spans="7:16" s="1634" customFormat="1">
      <c r="G4131" s="3336"/>
      <c r="P4131" s="3337"/>
    </row>
    <row r="4132" spans="7:16" s="1634" customFormat="1">
      <c r="G4132" s="3336"/>
      <c r="P4132" s="3337"/>
    </row>
    <row r="4133" spans="7:16" s="1634" customFormat="1">
      <c r="G4133" s="3336"/>
      <c r="P4133" s="3337"/>
    </row>
    <row r="4134" spans="7:16" s="1634" customFormat="1">
      <c r="G4134" s="3336"/>
      <c r="P4134" s="3337"/>
    </row>
    <row r="4135" spans="7:16" s="1634" customFormat="1">
      <c r="G4135" s="3336"/>
      <c r="P4135" s="3337"/>
    </row>
    <row r="4136" spans="7:16" s="1634" customFormat="1">
      <c r="G4136" s="3336"/>
      <c r="P4136" s="3337"/>
    </row>
    <row r="4137" spans="7:16" s="1634" customFormat="1">
      <c r="G4137" s="3336"/>
      <c r="P4137" s="3337"/>
    </row>
    <row r="4138" spans="7:16" s="1634" customFormat="1">
      <c r="G4138" s="3336"/>
      <c r="P4138" s="3337"/>
    </row>
    <row r="4139" spans="7:16" s="1634" customFormat="1">
      <c r="G4139" s="3336"/>
      <c r="P4139" s="3337"/>
    </row>
    <row r="4140" spans="7:16" s="1634" customFormat="1">
      <c r="G4140" s="3336"/>
      <c r="P4140" s="3337"/>
    </row>
    <row r="4141" spans="7:16" s="1634" customFormat="1">
      <c r="G4141" s="3336"/>
      <c r="P4141" s="3337"/>
    </row>
    <row r="4142" spans="7:16" s="1634" customFormat="1">
      <c r="G4142" s="3336"/>
      <c r="P4142" s="3337"/>
    </row>
    <row r="4143" spans="7:16" s="1634" customFormat="1">
      <c r="G4143" s="3336"/>
      <c r="P4143" s="3337"/>
    </row>
    <row r="4144" spans="7:16" s="1634" customFormat="1">
      <c r="G4144" s="3336"/>
      <c r="P4144" s="3337"/>
    </row>
    <row r="4145" spans="7:16" s="1634" customFormat="1">
      <c r="G4145" s="3336"/>
      <c r="P4145" s="3337"/>
    </row>
    <row r="4146" spans="7:16" s="1634" customFormat="1">
      <c r="G4146" s="3336"/>
      <c r="P4146" s="3337"/>
    </row>
    <row r="4147" spans="7:16" s="1634" customFormat="1">
      <c r="G4147" s="3336"/>
      <c r="P4147" s="3337"/>
    </row>
    <row r="4148" spans="7:16" s="1634" customFormat="1">
      <c r="G4148" s="3336"/>
      <c r="P4148" s="3337"/>
    </row>
    <row r="4149" spans="7:16" s="1634" customFormat="1">
      <c r="G4149" s="3336"/>
      <c r="P4149" s="3337"/>
    </row>
    <row r="4150" spans="7:16" s="1634" customFormat="1">
      <c r="G4150" s="3336"/>
      <c r="P4150" s="3337"/>
    </row>
    <row r="4151" spans="7:16" s="1634" customFormat="1">
      <c r="G4151" s="3336"/>
      <c r="P4151" s="3337"/>
    </row>
    <row r="4152" spans="7:16" s="1634" customFormat="1">
      <c r="G4152" s="3336"/>
      <c r="P4152" s="3337"/>
    </row>
    <row r="4153" spans="7:16" s="1634" customFormat="1">
      <c r="G4153" s="3336"/>
      <c r="P4153" s="3337"/>
    </row>
    <row r="4154" spans="7:16" s="1634" customFormat="1">
      <c r="G4154" s="3336"/>
      <c r="P4154" s="3337"/>
    </row>
    <row r="4155" spans="7:16" s="1634" customFormat="1">
      <c r="G4155" s="3336"/>
      <c r="P4155" s="3337"/>
    </row>
    <row r="4156" spans="7:16" s="1634" customFormat="1">
      <c r="G4156" s="3336"/>
      <c r="P4156" s="3337"/>
    </row>
    <row r="4157" spans="7:16" s="1634" customFormat="1">
      <c r="G4157" s="3336"/>
      <c r="P4157" s="3337"/>
    </row>
    <row r="4158" spans="7:16" s="1634" customFormat="1">
      <c r="G4158" s="3336"/>
      <c r="P4158" s="3337"/>
    </row>
    <row r="4159" spans="7:16" s="1634" customFormat="1">
      <c r="G4159" s="3336"/>
      <c r="P4159" s="3337"/>
    </row>
    <row r="4160" spans="7:16" s="1634" customFormat="1">
      <c r="G4160" s="3336"/>
      <c r="P4160" s="3337"/>
    </row>
    <row r="4161" spans="7:16" s="1634" customFormat="1">
      <c r="G4161" s="3336"/>
      <c r="P4161" s="3337"/>
    </row>
    <row r="4162" spans="7:16" s="1634" customFormat="1">
      <c r="G4162" s="3336"/>
      <c r="P4162" s="3337"/>
    </row>
    <row r="4163" spans="7:16" s="1634" customFormat="1">
      <c r="G4163" s="3336"/>
      <c r="P4163" s="3337"/>
    </row>
    <row r="4164" spans="7:16" s="1634" customFormat="1">
      <c r="G4164" s="3336"/>
      <c r="P4164" s="3337"/>
    </row>
    <row r="4165" spans="7:16" s="1634" customFormat="1">
      <c r="G4165" s="3336"/>
      <c r="P4165" s="3337"/>
    </row>
    <row r="4166" spans="7:16" s="1634" customFormat="1">
      <c r="G4166" s="3336"/>
      <c r="P4166" s="3337"/>
    </row>
    <row r="4167" spans="7:16" s="1634" customFormat="1">
      <c r="G4167" s="3336"/>
      <c r="P4167" s="3337"/>
    </row>
    <row r="4168" spans="7:16" s="1634" customFormat="1">
      <c r="G4168" s="3336"/>
      <c r="P4168" s="3337"/>
    </row>
    <row r="4169" spans="7:16" s="1634" customFormat="1">
      <c r="G4169" s="3336"/>
      <c r="P4169" s="3337"/>
    </row>
    <row r="4170" spans="7:16" s="1634" customFormat="1">
      <c r="G4170" s="3336"/>
      <c r="P4170" s="3337"/>
    </row>
    <row r="4171" spans="7:16" s="1634" customFormat="1">
      <c r="G4171" s="3336"/>
      <c r="P4171" s="3337"/>
    </row>
    <row r="4172" spans="7:16" s="1634" customFormat="1">
      <c r="G4172" s="3336"/>
      <c r="P4172" s="3337"/>
    </row>
    <row r="4173" spans="7:16" s="1634" customFormat="1">
      <c r="G4173" s="3336"/>
      <c r="P4173" s="3337"/>
    </row>
    <row r="4174" spans="7:16" s="1634" customFormat="1">
      <c r="G4174" s="3336"/>
      <c r="P4174" s="3337"/>
    </row>
    <row r="4175" spans="7:16" s="1634" customFormat="1">
      <c r="G4175" s="3336"/>
      <c r="P4175" s="3337"/>
    </row>
    <row r="4176" spans="7:16" s="1634" customFormat="1">
      <c r="G4176" s="3336"/>
      <c r="P4176" s="3337"/>
    </row>
    <row r="4177" spans="7:16" s="1634" customFormat="1">
      <c r="G4177" s="3336"/>
      <c r="P4177" s="3337"/>
    </row>
    <row r="4178" spans="7:16" s="1634" customFormat="1">
      <c r="G4178" s="3336"/>
      <c r="P4178" s="3337"/>
    </row>
    <row r="4179" spans="7:16" s="1634" customFormat="1">
      <c r="G4179" s="3336"/>
      <c r="P4179" s="3337"/>
    </row>
    <row r="4180" spans="7:16" s="1634" customFormat="1">
      <c r="G4180" s="3336"/>
      <c r="P4180" s="3337"/>
    </row>
    <row r="4181" spans="7:16" s="1634" customFormat="1">
      <c r="G4181" s="3336"/>
      <c r="P4181" s="3337"/>
    </row>
    <row r="4182" spans="7:16" s="1634" customFormat="1">
      <c r="G4182" s="3336"/>
      <c r="P4182" s="3337"/>
    </row>
    <row r="4183" spans="7:16" s="1634" customFormat="1">
      <c r="G4183" s="3336"/>
      <c r="P4183" s="3337"/>
    </row>
    <row r="4184" spans="7:16" s="1634" customFormat="1">
      <c r="G4184" s="3336"/>
      <c r="P4184" s="3337"/>
    </row>
    <row r="4185" spans="7:16" s="1634" customFormat="1">
      <c r="G4185" s="3336"/>
      <c r="P4185" s="3337"/>
    </row>
    <row r="4186" spans="7:16" s="1634" customFormat="1">
      <c r="G4186" s="3336"/>
      <c r="P4186" s="3337"/>
    </row>
    <row r="4187" spans="7:16" s="1634" customFormat="1">
      <c r="G4187" s="3336"/>
      <c r="P4187" s="3337"/>
    </row>
    <row r="4188" spans="7:16" s="1634" customFormat="1">
      <c r="G4188" s="3336"/>
      <c r="P4188" s="3337"/>
    </row>
    <row r="4189" spans="7:16" s="1634" customFormat="1">
      <c r="G4189" s="3336"/>
      <c r="P4189" s="3337"/>
    </row>
    <row r="4190" spans="7:16" s="1634" customFormat="1">
      <c r="G4190" s="3336"/>
      <c r="P4190" s="3337"/>
    </row>
    <row r="4191" spans="7:16" s="1634" customFormat="1">
      <c r="G4191" s="3336"/>
      <c r="P4191" s="3337"/>
    </row>
    <row r="4192" spans="7:16" s="1634" customFormat="1">
      <c r="G4192" s="3336"/>
      <c r="P4192" s="3337"/>
    </row>
    <row r="4193" spans="7:16" s="1634" customFormat="1">
      <c r="G4193" s="3336"/>
      <c r="P4193" s="3337"/>
    </row>
    <row r="4194" spans="7:16" s="1634" customFormat="1">
      <c r="G4194" s="3336"/>
      <c r="P4194" s="3337"/>
    </row>
    <row r="4195" spans="7:16" s="1634" customFormat="1">
      <c r="G4195" s="3336"/>
      <c r="P4195" s="3337"/>
    </row>
    <row r="4196" spans="7:16" s="1634" customFormat="1">
      <c r="G4196" s="3336"/>
      <c r="P4196" s="3337"/>
    </row>
    <row r="4197" spans="7:16" s="1634" customFormat="1">
      <c r="G4197" s="3336"/>
      <c r="P4197" s="3337"/>
    </row>
    <row r="4198" spans="7:16" s="1634" customFormat="1">
      <c r="G4198" s="3336"/>
      <c r="P4198" s="3337"/>
    </row>
    <row r="4199" spans="7:16" s="1634" customFormat="1">
      <c r="G4199" s="3336"/>
      <c r="P4199" s="3337"/>
    </row>
    <row r="4200" spans="7:16" s="1634" customFormat="1">
      <c r="G4200" s="3336"/>
      <c r="P4200" s="3337"/>
    </row>
    <row r="4201" spans="7:16" s="1634" customFormat="1">
      <c r="G4201" s="3336"/>
      <c r="P4201" s="3337"/>
    </row>
    <row r="4202" spans="7:16" s="1634" customFormat="1">
      <c r="G4202" s="3336"/>
      <c r="P4202" s="3337"/>
    </row>
    <row r="4203" spans="7:16" s="1634" customFormat="1">
      <c r="G4203" s="3336"/>
      <c r="P4203" s="3337"/>
    </row>
    <row r="4204" spans="7:16" s="1634" customFormat="1">
      <c r="G4204" s="3336"/>
      <c r="P4204" s="3337"/>
    </row>
    <row r="4205" spans="7:16" s="1634" customFormat="1">
      <c r="G4205" s="3336"/>
      <c r="P4205" s="3337"/>
    </row>
    <row r="4206" spans="7:16" s="1634" customFormat="1">
      <c r="G4206" s="3336"/>
      <c r="P4206" s="3337"/>
    </row>
    <row r="4207" spans="7:16" s="1634" customFormat="1">
      <c r="G4207" s="3336"/>
      <c r="P4207" s="3337"/>
    </row>
    <row r="4208" spans="7:16" s="1634" customFormat="1">
      <c r="G4208" s="3336"/>
      <c r="P4208" s="3337"/>
    </row>
    <row r="4209" spans="7:16" s="1634" customFormat="1">
      <c r="G4209" s="3336"/>
      <c r="P4209" s="3337"/>
    </row>
    <row r="4210" spans="7:16" s="1634" customFormat="1">
      <c r="G4210" s="3336"/>
      <c r="P4210" s="3337"/>
    </row>
    <row r="4211" spans="7:16" s="1634" customFormat="1">
      <c r="G4211" s="3336"/>
      <c r="P4211" s="3337"/>
    </row>
    <row r="4212" spans="7:16" s="1634" customFormat="1">
      <c r="G4212" s="3336"/>
      <c r="P4212" s="3337"/>
    </row>
    <row r="4213" spans="7:16" s="1634" customFormat="1">
      <c r="G4213" s="3336"/>
      <c r="P4213" s="3337"/>
    </row>
    <row r="4214" spans="7:16" s="1634" customFormat="1">
      <c r="G4214" s="3336"/>
      <c r="P4214" s="3337"/>
    </row>
    <row r="4215" spans="7:16" s="1634" customFormat="1">
      <c r="G4215" s="3336"/>
      <c r="P4215" s="3337"/>
    </row>
    <row r="4216" spans="7:16" s="1634" customFormat="1">
      <c r="G4216" s="3336"/>
      <c r="P4216" s="3337"/>
    </row>
    <row r="4217" spans="7:16" s="1634" customFormat="1">
      <c r="G4217" s="3336"/>
      <c r="P4217" s="3337"/>
    </row>
    <row r="4218" spans="7:16" s="1634" customFormat="1">
      <c r="G4218" s="3336"/>
      <c r="P4218" s="3337"/>
    </row>
    <row r="4219" spans="7:16" s="1634" customFormat="1">
      <c r="G4219" s="3336"/>
      <c r="P4219" s="3337"/>
    </row>
    <row r="4220" spans="7:16" s="1634" customFormat="1">
      <c r="G4220" s="3336"/>
      <c r="P4220" s="3337"/>
    </row>
    <row r="4221" spans="7:16" s="1634" customFormat="1">
      <c r="G4221" s="3336"/>
      <c r="P4221" s="3337"/>
    </row>
    <row r="4222" spans="7:16" s="1634" customFormat="1">
      <c r="G4222" s="3336"/>
      <c r="P4222" s="3337"/>
    </row>
    <row r="4223" spans="7:16" s="1634" customFormat="1">
      <c r="G4223" s="3336"/>
      <c r="P4223" s="3337"/>
    </row>
    <row r="4224" spans="7:16" s="1634" customFormat="1">
      <c r="G4224" s="3336"/>
      <c r="P4224" s="3337"/>
    </row>
    <row r="4225" spans="7:16" s="1634" customFormat="1">
      <c r="G4225" s="3336"/>
      <c r="P4225" s="3337"/>
    </row>
    <row r="4226" spans="7:16" s="1634" customFormat="1">
      <c r="G4226" s="3336"/>
      <c r="P4226" s="3337"/>
    </row>
    <row r="4227" spans="7:16" s="1634" customFormat="1">
      <c r="G4227" s="3336"/>
      <c r="P4227" s="3337"/>
    </row>
    <row r="4228" spans="7:16" s="1634" customFormat="1">
      <c r="G4228" s="3336"/>
      <c r="P4228" s="3337"/>
    </row>
    <row r="4229" spans="7:16" s="1634" customFormat="1">
      <c r="G4229" s="3336"/>
      <c r="P4229" s="3337"/>
    </row>
    <row r="4230" spans="7:16" s="1634" customFormat="1">
      <c r="G4230" s="3336"/>
      <c r="P4230" s="3337"/>
    </row>
    <row r="4231" spans="7:16" s="1634" customFormat="1">
      <c r="G4231" s="3336"/>
      <c r="P4231" s="3337"/>
    </row>
    <row r="4232" spans="7:16" s="1634" customFormat="1">
      <c r="G4232" s="3336"/>
      <c r="P4232" s="3337"/>
    </row>
    <row r="4233" spans="7:16" s="1634" customFormat="1">
      <c r="G4233" s="3336"/>
      <c r="P4233" s="3337"/>
    </row>
    <row r="4234" spans="7:16" s="1634" customFormat="1">
      <c r="G4234" s="3336"/>
      <c r="P4234" s="3337"/>
    </row>
    <row r="4235" spans="7:16" s="1634" customFormat="1">
      <c r="G4235" s="3336"/>
      <c r="P4235" s="3337"/>
    </row>
    <row r="4236" spans="7:16" s="1634" customFormat="1">
      <c r="G4236" s="3336"/>
      <c r="P4236" s="3337"/>
    </row>
    <row r="4237" spans="7:16" s="1634" customFormat="1">
      <c r="G4237" s="3336"/>
      <c r="P4237" s="3337"/>
    </row>
    <row r="4238" spans="7:16" s="1634" customFormat="1">
      <c r="G4238" s="3336"/>
      <c r="P4238" s="3337"/>
    </row>
    <row r="4239" spans="7:16" s="1634" customFormat="1">
      <c r="G4239" s="3336"/>
      <c r="P4239" s="3337"/>
    </row>
    <row r="4240" spans="7:16" s="1634" customFormat="1">
      <c r="G4240" s="3336"/>
      <c r="P4240" s="3337"/>
    </row>
    <row r="4241" spans="7:16" s="1634" customFormat="1">
      <c r="G4241" s="3336"/>
      <c r="P4241" s="3337"/>
    </row>
    <row r="4242" spans="7:16" s="1634" customFormat="1">
      <c r="G4242" s="3336"/>
      <c r="P4242" s="3337"/>
    </row>
    <row r="4243" spans="7:16" s="1634" customFormat="1">
      <c r="G4243" s="3336"/>
      <c r="P4243" s="3337"/>
    </row>
    <row r="4244" spans="7:16" s="1634" customFormat="1">
      <c r="G4244" s="3336"/>
      <c r="P4244" s="3337"/>
    </row>
    <row r="4245" spans="7:16" s="1634" customFormat="1">
      <c r="G4245" s="3336"/>
      <c r="P4245" s="3337"/>
    </row>
    <row r="4246" spans="7:16" s="1634" customFormat="1">
      <c r="G4246" s="3336"/>
      <c r="P4246" s="3337"/>
    </row>
    <row r="4247" spans="7:16" s="1634" customFormat="1">
      <c r="G4247" s="3336"/>
      <c r="P4247" s="3337"/>
    </row>
    <row r="4248" spans="7:16" s="1634" customFormat="1">
      <c r="G4248" s="3336"/>
      <c r="P4248" s="3337"/>
    </row>
    <row r="4249" spans="7:16" s="1634" customFormat="1">
      <c r="G4249" s="3336"/>
      <c r="P4249" s="3337"/>
    </row>
    <row r="4250" spans="7:16" s="1634" customFormat="1">
      <c r="G4250" s="3336"/>
      <c r="P4250" s="3337"/>
    </row>
    <row r="4251" spans="7:16" s="1634" customFormat="1">
      <c r="G4251" s="3336"/>
      <c r="P4251" s="3337"/>
    </row>
    <row r="4252" spans="7:16" s="1634" customFormat="1">
      <c r="G4252" s="3336"/>
      <c r="P4252" s="3337"/>
    </row>
    <row r="4253" spans="7:16" s="1634" customFormat="1">
      <c r="G4253" s="3336"/>
      <c r="P4253" s="3337"/>
    </row>
    <row r="4254" spans="7:16" s="1634" customFormat="1">
      <c r="G4254" s="3336"/>
      <c r="P4254" s="3337"/>
    </row>
    <row r="4255" spans="7:16" s="1634" customFormat="1">
      <c r="G4255" s="3336"/>
      <c r="P4255" s="3337"/>
    </row>
    <row r="4256" spans="7:16" s="1634" customFormat="1">
      <c r="G4256" s="3336"/>
      <c r="P4256" s="3337"/>
    </row>
    <row r="4257" spans="7:16" s="1634" customFormat="1">
      <c r="G4257" s="3336"/>
      <c r="P4257" s="3337"/>
    </row>
    <row r="4258" spans="7:16" s="1634" customFormat="1">
      <c r="G4258" s="3336"/>
      <c r="P4258" s="3337"/>
    </row>
    <row r="4259" spans="7:16" s="1634" customFormat="1">
      <c r="G4259" s="3336"/>
      <c r="P4259" s="3337"/>
    </row>
    <row r="4260" spans="7:16" s="1634" customFormat="1">
      <c r="G4260" s="3336"/>
      <c r="P4260" s="3337"/>
    </row>
    <row r="4261" spans="7:16" s="1634" customFormat="1">
      <c r="G4261" s="3336"/>
      <c r="P4261" s="3337"/>
    </row>
    <row r="4262" spans="7:16" s="1634" customFormat="1">
      <c r="G4262" s="3336"/>
      <c r="P4262" s="3337"/>
    </row>
    <row r="4263" spans="7:16" s="1634" customFormat="1">
      <c r="G4263" s="3336"/>
      <c r="P4263" s="3337"/>
    </row>
    <row r="4264" spans="7:16" s="1634" customFormat="1">
      <c r="G4264" s="3336"/>
      <c r="P4264" s="3337"/>
    </row>
    <row r="4265" spans="7:16" s="1634" customFormat="1">
      <c r="G4265" s="3336"/>
      <c r="P4265" s="3337"/>
    </row>
    <row r="4266" spans="7:16" s="1634" customFormat="1">
      <c r="G4266" s="3336"/>
      <c r="P4266" s="3337"/>
    </row>
    <row r="4267" spans="7:16" s="1634" customFormat="1">
      <c r="G4267" s="3336"/>
      <c r="P4267" s="3337"/>
    </row>
    <row r="4268" spans="7:16" s="1634" customFormat="1">
      <c r="G4268" s="3336"/>
      <c r="P4268" s="3337"/>
    </row>
    <row r="4269" spans="7:16" s="1634" customFormat="1">
      <c r="G4269" s="3336"/>
      <c r="P4269" s="3337"/>
    </row>
    <row r="4270" spans="7:16" s="1634" customFormat="1">
      <c r="G4270" s="3336"/>
      <c r="P4270" s="3337"/>
    </row>
    <row r="4271" spans="7:16" s="1634" customFormat="1">
      <c r="G4271" s="3336"/>
      <c r="P4271" s="3337"/>
    </row>
    <row r="4272" spans="7:16" s="1634" customFormat="1">
      <c r="G4272" s="3336"/>
      <c r="P4272" s="3337"/>
    </row>
    <row r="4273" spans="7:16" s="1634" customFormat="1">
      <c r="G4273" s="3336"/>
      <c r="P4273" s="3337"/>
    </row>
    <row r="4274" spans="7:16" s="1634" customFormat="1">
      <c r="G4274" s="3336"/>
      <c r="P4274" s="3337"/>
    </row>
    <row r="4275" spans="7:16" s="1634" customFormat="1">
      <c r="G4275" s="3336"/>
      <c r="P4275" s="3337"/>
    </row>
    <row r="4276" spans="7:16" s="1634" customFormat="1">
      <c r="G4276" s="3336"/>
      <c r="P4276" s="3337"/>
    </row>
    <row r="4277" spans="7:16" s="1634" customFormat="1">
      <c r="G4277" s="3336"/>
      <c r="P4277" s="3337"/>
    </row>
    <row r="4278" spans="7:16" s="1634" customFormat="1">
      <c r="G4278" s="3336"/>
      <c r="P4278" s="3337"/>
    </row>
    <row r="4279" spans="7:16" s="1634" customFormat="1">
      <c r="G4279" s="3336"/>
      <c r="P4279" s="3337"/>
    </row>
    <row r="4280" spans="7:16" s="1634" customFormat="1">
      <c r="G4280" s="3336"/>
      <c r="P4280" s="3337"/>
    </row>
    <row r="4281" spans="7:16" s="1634" customFormat="1">
      <c r="G4281" s="3336"/>
      <c r="P4281" s="3337"/>
    </row>
    <row r="4282" spans="7:16" s="1634" customFormat="1">
      <c r="G4282" s="3336"/>
      <c r="P4282" s="3337"/>
    </row>
    <row r="4283" spans="7:16" s="1634" customFormat="1">
      <c r="G4283" s="3336"/>
      <c r="P4283" s="3337"/>
    </row>
    <row r="4284" spans="7:16" s="1634" customFormat="1">
      <c r="G4284" s="3336"/>
      <c r="P4284" s="3337"/>
    </row>
    <row r="4285" spans="7:16" s="1634" customFormat="1">
      <c r="G4285" s="3336"/>
      <c r="P4285" s="3337"/>
    </row>
    <row r="4286" spans="7:16" s="1634" customFormat="1">
      <c r="G4286" s="3336"/>
      <c r="P4286" s="3337"/>
    </row>
    <row r="4287" spans="7:16" s="1634" customFormat="1">
      <c r="G4287" s="3336"/>
      <c r="P4287" s="3337"/>
    </row>
    <row r="4288" spans="7:16" s="1634" customFormat="1">
      <c r="G4288" s="3336"/>
      <c r="P4288" s="3337"/>
    </row>
    <row r="4289" spans="7:16" s="1634" customFormat="1">
      <c r="G4289" s="3336"/>
      <c r="P4289" s="3337"/>
    </row>
    <row r="4290" spans="7:16" s="1634" customFormat="1">
      <c r="G4290" s="3336"/>
      <c r="P4290" s="3337"/>
    </row>
    <row r="4291" spans="7:16" s="1634" customFormat="1">
      <c r="G4291" s="3336"/>
      <c r="P4291" s="3337"/>
    </row>
    <row r="4292" spans="7:16" s="1634" customFormat="1">
      <c r="G4292" s="3336"/>
      <c r="P4292" s="3337"/>
    </row>
    <row r="4293" spans="7:16" s="1634" customFormat="1">
      <c r="G4293" s="3336"/>
      <c r="P4293" s="3337"/>
    </row>
    <row r="4294" spans="7:16" s="1634" customFormat="1">
      <c r="G4294" s="3336"/>
      <c r="P4294" s="3337"/>
    </row>
    <row r="4295" spans="7:16" s="1634" customFormat="1">
      <c r="G4295" s="3336"/>
      <c r="P4295" s="3337"/>
    </row>
    <row r="4296" spans="7:16" s="1634" customFormat="1">
      <c r="G4296" s="3336"/>
      <c r="P4296" s="3337"/>
    </row>
    <row r="4297" spans="7:16" s="1634" customFormat="1">
      <c r="G4297" s="3336"/>
      <c r="P4297" s="3337"/>
    </row>
    <row r="4298" spans="7:16" s="1634" customFormat="1">
      <c r="G4298" s="3336"/>
      <c r="P4298" s="3337"/>
    </row>
    <row r="4299" spans="7:16" s="1634" customFormat="1">
      <c r="G4299" s="3336"/>
      <c r="P4299" s="3337"/>
    </row>
    <row r="4300" spans="7:16" s="1634" customFormat="1">
      <c r="G4300" s="3336"/>
      <c r="P4300" s="3337"/>
    </row>
    <row r="4301" spans="7:16" s="1634" customFormat="1">
      <c r="G4301" s="3336"/>
      <c r="P4301" s="3337"/>
    </row>
    <row r="4302" spans="7:16" s="1634" customFormat="1">
      <c r="G4302" s="3336"/>
      <c r="P4302" s="3337"/>
    </row>
    <row r="4303" spans="7:16" s="1634" customFormat="1">
      <c r="G4303" s="3336"/>
      <c r="P4303" s="3337"/>
    </row>
    <row r="4304" spans="7:16" s="1634" customFormat="1">
      <c r="G4304" s="3336"/>
      <c r="P4304" s="3337"/>
    </row>
    <row r="4305" spans="7:16" s="1634" customFormat="1">
      <c r="G4305" s="3336"/>
      <c r="P4305" s="3337"/>
    </row>
    <row r="4306" spans="7:16" s="1634" customFormat="1">
      <c r="G4306" s="3336"/>
      <c r="P4306" s="3337"/>
    </row>
    <row r="4307" spans="7:16" s="1634" customFormat="1">
      <c r="G4307" s="3336"/>
      <c r="P4307" s="3337"/>
    </row>
    <row r="4308" spans="7:16" s="1634" customFormat="1">
      <c r="G4308" s="3336"/>
      <c r="P4308" s="3337"/>
    </row>
    <row r="4309" spans="7:16" s="1634" customFormat="1">
      <c r="G4309" s="3336"/>
      <c r="P4309" s="3337"/>
    </row>
    <row r="4310" spans="7:16" s="1634" customFormat="1">
      <c r="G4310" s="3336"/>
      <c r="P4310" s="3337"/>
    </row>
    <row r="4311" spans="7:16" s="1634" customFormat="1">
      <c r="G4311" s="3336"/>
      <c r="P4311" s="3337"/>
    </row>
    <row r="4312" spans="7:16" s="1634" customFormat="1">
      <c r="G4312" s="3336"/>
      <c r="P4312" s="3337"/>
    </row>
    <row r="4313" spans="7:16" s="1634" customFormat="1">
      <c r="G4313" s="3336"/>
      <c r="P4313" s="3337"/>
    </row>
    <row r="4314" spans="7:16" s="1634" customFormat="1">
      <c r="G4314" s="3336"/>
      <c r="P4314" s="3337"/>
    </row>
    <row r="4315" spans="7:16" s="1634" customFormat="1">
      <c r="G4315" s="3336"/>
      <c r="P4315" s="3337"/>
    </row>
    <row r="4316" spans="7:16" s="1634" customFormat="1">
      <c r="G4316" s="3336"/>
      <c r="P4316" s="3337"/>
    </row>
    <row r="4317" spans="7:16" s="1634" customFormat="1">
      <c r="G4317" s="3336"/>
      <c r="P4317" s="3337"/>
    </row>
    <row r="4318" spans="7:16" s="1634" customFormat="1">
      <c r="G4318" s="3336"/>
      <c r="P4318" s="3337"/>
    </row>
    <row r="4319" spans="7:16" s="1634" customFormat="1">
      <c r="G4319" s="3336"/>
      <c r="P4319" s="3337"/>
    </row>
    <row r="4320" spans="7:16" s="1634" customFormat="1">
      <c r="G4320" s="3336"/>
      <c r="P4320" s="3337"/>
    </row>
    <row r="4321" spans="7:16" s="1634" customFormat="1">
      <c r="G4321" s="3336"/>
      <c r="P4321" s="3337"/>
    </row>
    <row r="4322" spans="7:16" s="1634" customFormat="1">
      <c r="G4322" s="3336"/>
      <c r="P4322" s="3337"/>
    </row>
    <row r="4323" spans="7:16" s="1634" customFormat="1">
      <c r="G4323" s="3336"/>
      <c r="P4323" s="3337"/>
    </row>
    <row r="4324" spans="7:16" s="1634" customFormat="1">
      <c r="G4324" s="3336"/>
      <c r="P4324" s="3337"/>
    </row>
    <row r="4325" spans="7:16" s="1634" customFormat="1">
      <c r="G4325" s="3336"/>
      <c r="P4325" s="3337"/>
    </row>
    <row r="4326" spans="7:16" s="1634" customFormat="1">
      <c r="G4326" s="3336"/>
      <c r="P4326" s="3337"/>
    </row>
    <row r="4327" spans="7:16" s="1634" customFormat="1">
      <c r="G4327" s="3336"/>
      <c r="P4327" s="3337"/>
    </row>
    <row r="4328" spans="7:16" s="1634" customFormat="1">
      <c r="G4328" s="3336"/>
      <c r="P4328" s="3337"/>
    </row>
    <row r="4329" spans="7:16" s="1634" customFormat="1">
      <c r="G4329" s="3336"/>
      <c r="P4329" s="3337"/>
    </row>
    <row r="4330" spans="7:16" s="1634" customFormat="1">
      <c r="G4330" s="3336"/>
      <c r="P4330" s="3337"/>
    </row>
    <row r="4331" spans="7:16" s="1634" customFormat="1">
      <c r="G4331" s="3336"/>
      <c r="P4331" s="3337"/>
    </row>
    <row r="4332" spans="7:16" s="1634" customFormat="1">
      <c r="G4332" s="3336"/>
      <c r="P4332" s="3337"/>
    </row>
    <row r="4333" spans="7:16" s="1634" customFormat="1">
      <c r="G4333" s="3336"/>
      <c r="P4333" s="3337"/>
    </row>
    <row r="4334" spans="7:16" s="1634" customFormat="1">
      <c r="G4334" s="3336"/>
      <c r="P4334" s="3337"/>
    </row>
    <row r="4335" spans="7:16" s="1634" customFormat="1">
      <c r="G4335" s="3336"/>
      <c r="P4335" s="3337"/>
    </row>
    <row r="4336" spans="7:16" s="1634" customFormat="1">
      <c r="G4336" s="3336"/>
      <c r="P4336" s="3337"/>
    </row>
    <row r="4337" spans="7:16" s="1634" customFormat="1">
      <c r="G4337" s="3336"/>
      <c r="P4337" s="3337"/>
    </row>
    <row r="4338" spans="7:16" s="1634" customFormat="1">
      <c r="G4338" s="3336"/>
      <c r="P4338" s="3337"/>
    </row>
    <row r="4339" spans="7:16" s="1634" customFormat="1">
      <c r="G4339" s="3336"/>
      <c r="P4339" s="3337"/>
    </row>
    <row r="4340" spans="7:16" s="1634" customFormat="1">
      <c r="G4340" s="3336"/>
      <c r="P4340" s="3337"/>
    </row>
    <row r="4341" spans="7:16" s="1634" customFormat="1">
      <c r="G4341" s="3336"/>
      <c r="P4341" s="3337"/>
    </row>
    <row r="4342" spans="7:16" s="1634" customFormat="1">
      <c r="G4342" s="3336"/>
      <c r="P4342" s="3337"/>
    </row>
    <row r="4343" spans="7:16" s="1634" customFormat="1">
      <c r="G4343" s="3336"/>
      <c r="P4343" s="3337"/>
    </row>
    <row r="4344" spans="7:16" s="1634" customFormat="1">
      <c r="G4344" s="3336"/>
      <c r="P4344" s="3337"/>
    </row>
    <row r="4345" spans="7:16" s="1634" customFormat="1">
      <c r="G4345" s="3336"/>
      <c r="P4345" s="3337"/>
    </row>
    <row r="4346" spans="7:16" s="1634" customFormat="1">
      <c r="G4346" s="3336"/>
      <c r="P4346" s="3337"/>
    </row>
    <row r="4347" spans="7:16" s="1634" customFormat="1">
      <c r="G4347" s="3336"/>
      <c r="P4347" s="3337"/>
    </row>
    <row r="4348" spans="7:16" s="1634" customFormat="1">
      <c r="G4348" s="3336"/>
      <c r="P4348" s="3337"/>
    </row>
    <row r="4349" spans="7:16" s="1634" customFormat="1">
      <c r="G4349" s="3336"/>
      <c r="P4349" s="3337"/>
    </row>
    <row r="4350" spans="7:16" s="1634" customFormat="1">
      <c r="G4350" s="3336"/>
      <c r="P4350" s="3337"/>
    </row>
    <row r="4351" spans="7:16" s="1634" customFormat="1">
      <c r="G4351" s="3336"/>
      <c r="P4351" s="3337"/>
    </row>
    <row r="4352" spans="7:16" s="1634" customFormat="1">
      <c r="G4352" s="3336"/>
      <c r="P4352" s="3337"/>
    </row>
    <row r="4353" spans="7:16" s="1634" customFormat="1">
      <c r="G4353" s="3336"/>
      <c r="P4353" s="3337"/>
    </row>
    <row r="4354" spans="7:16" s="1634" customFormat="1">
      <c r="G4354" s="3336"/>
      <c r="P4354" s="3337"/>
    </row>
    <row r="4355" spans="7:16" s="1634" customFormat="1">
      <c r="G4355" s="3336"/>
      <c r="P4355" s="3337"/>
    </row>
    <row r="4356" spans="7:16" s="1634" customFormat="1">
      <c r="G4356" s="3336"/>
      <c r="P4356" s="3337"/>
    </row>
    <row r="4357" spans="7:16" s="1634" customFormat="1">
      <c r="G4357" s="3336"/>
      <c r="P4357" s="3337"/>
    </row>
    <row r="4358" spans="7:16" s="1634" customFormat="1">
      <c r="G4358" s="3336"/>
      <c r="P4358" s="3337"/>
    </row>
    <row r="4359" spans="7:16" s="1634" customFormat="1">
      <c r="G4359" s="3336"/>
      <c r="P4359" s="3337"/>
    </row>
    <row r="4360" spans="7:16" s="1634" customFormat="1">
      <c r="G4360" s="3336"/>
      <c r="P4360" s="3337"/>
    </row>
    <row r="4361" spans="7:16" s="1634" customFormat="1">
      <c r="G4361" s="3336"/>
      <c r="P4361" s="3337"/>
    </row>
    <row r="4362" spans="7:16" s="1634" customFormat="1">
      <c r="G4362" s="3336"/>
      <c r="P4362" s="3337"/>
    </row>
    <row r="4363" spans="7:16" s="1634" customFormat="1">
      <c r="G4363" s="3336"/>
      <c r="P4363" s="3337"/>
    </row>
    <row r="4364" spans="7:16" s="1634" customFormat="1">
      <c r="G4364" s="3336"/>
      <c r="P4364" s="3337"/>
    </row>
    <row r="4365" spans="7:16" s="1634" customFormat="1">
      <c r="G4365" s="3336"/>
      <c r="P4365" s="3337"/>
    </row>
    <row r="4366" spans="7:16" s="1634" customFormat="1">
      <c r="G4366" s="3336"/>
      <c r="P4366" s="3337"/>
    </row>
    <row r="4367" spans="7:16" s="1634" customFormat="1">
      <c r="G4367" s="3336"/>
      <c r="P4367" s="3337"/>
    </row>
    <row r="4368" spans="7:16" s="1634" customFormat="1">
      <c r="G4368" s="3336"/>
      <c r="P4368" s="3337"/>
    </row>
    <row r="4369" spans="7:16" s="1634" customFormat="1">
      <c r="G4369" s="3336"/>
      <c r="P4369" s="3337"/>
    </row>
    <row r="4370" spans="7:16" s="1634" customFormat="1">
      <c r="G4370" s="3336"/>
      <c r="P4370" s="3337"/>
    </row>
    <row r="4371" spans="7:16" s="1634" customFormat="1">
      <c r="G4371" s="3336"/>
      <c r="P4371" s="3337"/>
    </row>
    <row r="4372" spans="7:16" s="1634" customFormat="1">
      <c r="G4372" s="3336"/>
      <c r="P4372" s="3337"/>
    </row>
    <row r="4373" spans="7:16" s="1634" customFormat="1">
      <c r="G4373" s="3336"/>
      <c r="P4373" s="3337"/>
    </row>
    <row r="4374" spans="7:16" s="1634" customFormat="1">
      <c r="G4374" s="3336"/>
      <c r="P4374" s="3337"/>
    </row>
    <row r="4375" spans="7:16" s="1634" customFormat="1">
      <c r="G4375" s="3336"/>
      <c r="P4375" s="3337"/>
    </row>
    <row r="4376" spans="7:16" s="1634" customFormat="1">
      <c r="G4376" s="3336"/>
      <c r="P4376" s="3337"/>
    </row>
    <row r="4377" spans="7:16" s="1634" customFormat="1">
      <c r="G4377" s="3336"/>
      <c r="P4377" s="3337"/>
    </row>
    <row r="4378" spans="7:16" s="1634" customFormat="1">
      <c r="G4378" s="3336"/>
      <c r="P4378" s="3337"/>
    </row>
    <row r="4379" spans="7:16" s="1634" customFormat="1">
      <c r="G4379" s="3336"/>
      <c r="P4379" s="3337"/>
    </row>
    <row r="4380" spans="7:16" s="1634" customFormat="1">
      <c r="G4380" s="3336"/>
      <c r="P4380" s="3337"/>
    </row>
    <row r="4381" spans="7:16" s="1634" customFormat="1">
      <c r="G4381" s="3336"/>
      <c r="P4381" s="3337"/>
    </row>
    <row r="4382" spans="7:16" s="1634" customFormat="1">
      <c r="G4382" s="3336"/>
      <c r="P4382" s="3337"/>
    </row>
    <row r="4383" spans="7:16" s="1634" customFormat="1">
      <c r="G4383" s="3336"/>
      <c r="P4383" s="3337"/>
    </row>
    <row r="4384" spans="7:16" s="1634" customFormat="1">
      <c r="G4384" s="3336"/>
      <c r="P4384" s="3337"/>
    </row>
    <row r="4385" spans="7:16" s="1634" customFormat="1">
      <c r="G4385" s="3336"/>
      <c r="P4385" s="3337"/>
    </row>
    <row r="4386" spans="7:16" s="1634" customFormat="1">
      <c r="G4386" s="3336"/>
      <c r="P4386" s="3337"/>
    </row>
    <row r="4387" spans="7:16" s="1634" customFormat="1">
      <c r="G4387" s="3336"/>
      <c r="P4387" s="3337"/>
    </row>
    <row r="4388" spans="7:16" s="1634" customFormat="1">
      <c r="G4388" s="3336"/>
      <c r="P4388" s="3337"/>
    </row>
    <row r="4389" spans="7:16" s="1634" customFormat="1">
      <c r="G4389" s="3336"/>
      <c r="P4389" s="3337"/>
    </row>
    <row r="4390" spans="7:16" s="1634" customFormat="1">
      <c r="G4390" s="3336"/>
      <c r="P4390" s="3337"/>
    </row>
    <row r="4391" spans="7:16" s="1634" customFormat="1">
      <c r="G4391" s="3336"/>
      <c r="P4391" s="3337"/>
    </row>
    <row r="4392" spans="7:16" s="1634" customFormat="1">
      <c r="G4392" s="3336"/>
      <c r="P4392" s="3337"/>
    </row>
    <row r="4393" spans="7:16" s="1634" customFormat="1">
      <c r="G4393" s="3336"/>
      <c r="P4393" s="3337"/>
    </row>
    <row r="4394" spans="7:16" s="1634" customFormat="1">
      <c r="G4394" s="3336"/>
      <c r="P4394" s="3337"/>
    </row>
    <row r="4395" spans="7:16" s="1634" customFormat="1">
      <c r="G4395" s="3336"/>
      <c r="P4395" s="3337"/>
    </row>
    <row r="4396" spans="7:16" s="1634" customFormat="1">
      <c r="G4396" s="3336"/>
      <c r="P4396" s="3337"/>
    </row>
    <row r="4397" spans="7:16" s="1634" customFormat="1">
      <c r="G4397" s="3336"/>
      <c r="P4397" s="3337"/>
    </row>
    <row r="4398" spans="7:16" s="1634" customFormat="1">
      <c r="G4398" s="3336"/>
      <c r="P4398" s="3337"/>
    </row>
    <row r="4399" spans="7:16" s="1634" customFormat="1">
      <c r="G4399" s="3336"/>
      <c r="P4399" s="3337"/>
    </row>
    <row r="4400" spans="7:16" s="1634" customFormat="1">
      <c r="G4400" s="3336"/>
      <c r="P4400" s="3337"/>
    </row>
    <row r="4401" spans="7:16" s="1634" customFormat="1">
      <c r="G4401" s="3336"/>
      <c r="P4401" s="3337"/>
    </row>
    <row r="4402" spans="7:16" s="1634" customFormat="1">
      <c r="G4402" s="3336"/>
      <c r="P4402" s="3337"/>
    </row>
    <row r="4403" spans="7:16" s="1634" customFormat="1">
      <c r="G4403" s="3336"/>
      <c r="P4403" s="3337"/>
    </row>
    <row r="4404" spans="7:16" s="1634" customFormat="1">
      <c r="G4404" s="3336"/>
      <c r="P4404" s="3337"/>
    </row>
    <row r="4405" spans="7:16" s="1634" customFormat="1">
      <c r="G4405" s="3336"/>
      <c r="P4405" s="3337"/>
    </row>
    <row r="4406" spans="7:16" s="1634" customFormat="1">
      <c r="G4406" s="3336"/>
      <c r="P4406" s="3337"/>
    </row>
    <row r="4407" spans="7:16" s="1634" customFormat="1">
      <c r="G4407" s="3336"/>
      <c r="P4407" s="3337"/>
    </row>
    <row r="4408" spans="7:16" s="1634" customFormat="1">
      <c r="G4408" s="3336"/>
      <c r="P4408" s="3337"/>
    </row>
    <row r="4409" spans="7:16" s="1634" customFormat="1">
      <c r="G4409" s="3336"/>
      <c r="P4409" s="3337"/>
    </row>
    <row r="4410" spans="7:16" s="1634" customFormat="1">
      <c r="G4410" s="3336"/>
      <c r="P4410" s="3337"/>
    </row>
    <row r="4411" spans="7:16" s="1634" customFormat="1">
      <c r="G4411" s="3336"/>
      <c r="P4411" s="3337"/>
    </row>
    <row r="4412" spans="7:16" s="1634" customFormat="1">
      <c r="G4412" s="3336"/>
      <c r="P4412" s="3337"/>
    </row>
    <row r="4413" spans="7:16" s="1634" customFormat="1">
      <c r="G4413" s="3336"/>
      <c r="P4413" s="3337"/>
    </row>
    <row r="4414" spans="7:16" s="1634" customFormat="1">
      <c r="G4414" s="3336"/>
      <c r="P4414" s="3337"/>
    </row>
    <row r="4415" spans="7:16" s="1634" customFormat="1">
      <c r="G4415" s="3336"/>
      <c r="P4415" s="3337"/>
    </row>
    <row r="4416" spans="7:16" s="1634" customFormat="1">
      <c r="G4416" s="3336"/>
      <c r="P4416" s="3337"/>
    </row>
    <row r="4417" spans="7:16" s="1634" customFormat="1">
      <c r="G4417" s="3336"/>
      <c r="P4417" s="3337"/>
    </row>
    <row r="4418" spans="7:16" s="1634" customFormat="1">
      <c r="G4418" s="3336"/>
      <c r="P4418" s="3337"/>
    </row>
    <row r="4419" spans="7:16" s="1634" customFormat="1">
      <c r="G4419" s="3336"/>
      <c r="P4419" s="3337"/>
    </row>
    <row r="4420" spans="7:16" s="1634" customFormat="1">
      <c r="G4420" s="3336"/>
      <c r="P4420" s="3337"/>
    </row>
    <row r="4421" spans="7:16" s="1634" customFormat="1">
      <c r="G4421" s="3336"/>
      <c r="P4421" s="3337"/>
    </row>
    <row r="4422" spans="7:16" s="1634" customFormat="1">
      <c r="G4422" s="3336"/>
      <c r="P4422" s="3337"/>
    </row>
    <row r="4423" spans="7:16" s="1634" customFormat="1">
      <c r="G4423" s="3336"/>
      <c r="P4423" s="3337"/>
    </row>
    <row r="4424" spans="7:16" s="1634" customFormat="1">
      <c r="G4424" s="3336"/>
      <c r="P4424" s="3337"/>
    </row>
    <row r="4425" spans="7:16" s="1634" customFormat="1">
      <c r="G4425" s="3336"/>
      <c r="P4425" s="3337"/>
    </row>
    <row r="4426" spans="7:16" s="1634" customFormat="1">
      <c r="G4426" s="3336"/>
      <c r="P4426" s="3337"/>
    </row>
    <row r="4427" spans="7:16" s="1634" customFormat="1">
      <c r="G4427" s="3336"/>
      <c r="P4427" s="3337"/>
    </row>
    <row r="4428" spans="7:16" s="1634" customFormat="1">
      <c r="G4428" s="3336"/>
      <c r="P4428" s="3337"/>
    </row>
    <row r="4429" spans="7:16" s="1634" customFormat="1">
      <c r="G4429" s="3336"/>
      <c r="P4429" s="3337"/>
    </row>
    <row r="4430" spans="7:16" s="1634" customFormat="1">
      <c r="G4430" s="3336"/>
      <c r="P4430" s="3337"/>
    </row>
    <row r="4431" spans="7:16" s="1634" customFormat="1">
      <c r="G4431" s="3336"/>
      <c r="P4431" s="3337"/>
    </row>
    <row r="4432" spans="7:16" s="1634" customFormat="1">
      <c r="G4432" s="3336"/>
      <c r="P4432" s="3337"/>
    </row>
    <row r="4433" spans="7:16" s="1634" customFormat="1">
      <c r="G4433" s="3336"/>
      <c r="P4433" s="3337"/>
    </row>
    <row r="4434" spans="7:16" s="1634" customFormat="1">
      <c r="G4434" s="3336"/>
      <c r="P4434" s="3337"/>
    </row>
    <row r="4435" spans="7:16" s="1634" customFormat="1">
      <c r="G4435" s="3336"/>
      <c r="P4435" s="3337"/>
    </row>
    <row r="4436" spans="7:16" s="1634" customFormat="1">
      <c r="G4436" s="3336"/>
      <c r="P4436" s="3337"/>
    </row>
    <row r="4437" spans="7:16" s="1634" customFormat="1">
      <c r="G4437" s="3336"/>
      <c r="P4437" s="3337"/>
    </row>
    <row r="4438" spans="7:16" s="1634" customFormat="1">
      <c r="G4438" s="3336"/>
      <c r="P4438" s="3337"/>
    </row>
    <row r="4439" spans="7:16" s="1634" customFormat="1">
      <c r="G4439" s="3336"/>
      <c r="P4439" s="3337"/>
    </row>
    <row r="4440" spans="7:16" s="1634" customFormat="1">
      <c r="G4440" s="3336"/>
      <c r="P4440" s="3337"/>
    </row>
    <row r="4441" spans="7:16" s="1634" customFormat="1">
      <c r="G4441" s="3336"/>
      <c r="P4441" s="3337"/>
    </row>
    <row r="4442" spans="7:16" s="1634" customFormat="1">
      <c r="G4442" s="3336"/>
      <c r="P4442" s="3337"/>
    </row>
    <row r="4443" spans="7:16" s="1634" customFormat="1">
      <c r="G4443" s="3336"/>
      <c r="P4443" s="3337"/>
    </row>
    <row r="4444" spans="7:16" s="1634" customFormat="1">
      <c r="G4444" s="3336"/>
      <c r="P4444" s="3337"/>
    </row>
    <row r="4445" spans="7:16" s="1634" customFormat="1">
      <c r="G4445" s="3336"/>
      <c r="P4445" s="3337"/>
    </row>
    <row r="4446" spans="7:16" s="1634" customFormat="1">
      <c r="G4446" s="3336"/>
      <c r="P4446" s="3337"/>
    </row>
    <row r="4447" spans="7:16" s="1634" customFormat="1">
      <c r="G4447" s="3336"/>
      <c r="P4447" s="3337"/>
    </row>
    <row r="4448" spans="7:16" s="1634" customFormat="1">
      <c r="G4448" s="3336"/>
      <c r="P4448" s="3337"/>
    </row>
    <row r="4449" spans="7:16" s="1634" customFormat="1">
      <c r="G4449" s="3336"/>
      <c r="P4449" s="3337"/>
    </row>
    <row r="4450" spans="7:16" s="1634" customFormat="1">
      <c r="G4450" s="3336"/>
      <c r="P4450" s="3337"/>
    </row>
    <row r="4451" spans="7:16" s="1634" customFormat="1">
      <c r="G4451" s="3336"/>
      <c r="P4451" s="3337"/>
    </row>
    <row r="4452" spans="7:16" s="1634" customFormat="1">
      <c r="G4452" s="3336"/>
      <c r="P4452" s="3337"/>
    </row>
    <row r="4453" spans="7:16" s="1634" customFormat="1">
      <c r="G4453" s="3336"/>
      <c r="P4453" s="3337"/>
    </row>
    <row r="4454" spans="7:16" s="1634" customFormat="1">
      <c r="G4454" s="3336"/>
      <c r="P4454" s="3337"/>
    </row>
    <row r="4455" spans="7:16" s="1634" customFormat="1">
      <c r="G4455" s="3336"/>
      <c r="P4455" s="3337"/>
    </row>
    <row r="4456" spans="7:16" s="1634" customFormat="1">
      <c r="G4456" s="3336"/>
      <c r="P4456" s="3337"/>
    </row>
    <row r="4457" spans="7:16" s="1634" customFormat="1">
      <c r="G4457" s="3336"/>
      <c r="P4457" s="3337"/>
    </row>
    <row r="4458" spans="7:16" s="1634" customFormat="1">
      <c r="G4458" s="3336"/>
      <c r="P4458" s="3337"/>
    </row>
    <row r="4459" spans="7:16" s="1634" customFormat="1">
      <c r="G4459" s="3336"/>
      <c r="P4459" s="3337"/>
    </row>
    <row r="4460" spans="7:16" s="1634" customFormat="1">
      <c r="G4460" s="3336"/>
      <c r="P4460" s="3337"/>
    </row>
    <row r="4461" spans="7:16" s="1634" customFormat="1">
      <c r="G4461" s="3336"/>
      <c r="P4461" s="3337"/>
    </row>
    <row r="4462" spans="7:16" s="1634" customFormat="1">
      <c r="G4462" s="3336"/>
      <c r="P4462" s="3337"/>
    </row>
    <row r="4463" spans="7:16" s="1634" customFormat="1">
      <c r="G4463" s="3336"/>
      <c r="P4463" s="3337"/>
    </row>
    <row r="4464" spans="7:16" s="1634" customFormat="1">
      <c r="G4464" s="3336"/>
      <c r="P4464" s="3337"/>
    </row>
    <row r="4465" spans="7:16" s="1634" customFormat="1">
      <c r="G4465" s="3336"/>
      <c r="P4465" s="3337"/>
    </row>
    <row r="4466" spans="7:16" s="1634" customFormat="1">
      <c r="G4466" s="3336"/>
      <c r="P4466" s="3337"/>
    </row>
    <row r="4467" spans="7:16" s="1634" customFormat="1">
      <c r="G4467" s="3336"/>
      <c r="P4467" s="3337"/>
    </row>
    <row r="4468" spans="7:16" s="1634" customFormat="1">
      <c r="G4468" s="3336"/>
      <c r="P4468" s="3337"/>
    </row>
    <row r="4469" spans="7:16" s="1634" customFormat="1">
      <c r="G4469" s="3336"/>
      <c r="P4469" s="3337"/>
    </row>
    <row r="4470" spans="7:16" s="1634" customFormat="1">
      <c r="G4470" s="3336"/>
      <c r="P4470" s="3337"/>
    </row>
    <row r="4471" spans="7:16" s="1634" customFormat="1">
      <c r="G4471" s="3336"/>
      <c r="P4471" s="3337"/>
    </row>
    <row r="4472" spans="7:16" s="1634" customFormat="1">
      <c r="G4472" s="3336"/>
      <c r="P4472" s="3337"/>
    </row>
    <row r="4473" spans="7:16" s="1634" customFormat="1">
      <c r="G4473" s="3336"/>
      <c r="P4473" s="3337"/>
    </row>
    <row r="4474" spans="7:16" s="1634" customFormat="1">
      <c r="G4474" s="3336"/>
      <c r="P4474" s="3337"/>
    </row>
    <row r="4475" spans="7:16" s="1634" customFormat="1">
      <c r="G4475" s="3336"/>
      <c r="P4475" s="3337"/>
    </row>
    <row r="4476" spans="7:16" s="1634" customFormat="1">
      <c r="G4476" s="3336"/>
      <c r="P4476" s="3337"/>
    </row>
    <row r="4477" spans="7:16" s="1634" customFormat="1">
      <c r="G4477" s="3336"/>
      <c r="P4477" s="3337"/>
    </row>
    <row r="4478" spans="7:16" s="1634" customFormat="1">
      <c r="G4478" s="3336"/>
      <c r="P4478" s="3337"/>
    </row>
    <row r="4479" spans="7:16" s="1634" customFormat="1">
      <c r="G4479" s="3336"/>
      <c r="P4479" s="3337"/>
    </row>
    <row r="4480" spans="7:16" s="1634" customFormat="1">
      <c r="G4480" s="3336"/>
      <c r="P4480" s="3337"/>
    </row>
    <row r="4481" spans="7:16" s="1634" customFormat="1">
      <c r="G4481" s="3336"/>
      <c r="P4481" s="3337"/>
    </row>
    <row r="4482" spans="7:16" s="1634" customFormat="1">
      <c r="G4482" s="3336"/>
      <c r="P4482" s="3337"/>
    </row>
    <row r="4483" spans="7:16" s="1634" customFormat="1">
      <c r="G4483" s="3336"/>
      <c r="P4483" s="3337"/>
    </row>
    <row r="4484" spans="7:16" s="1634" customFormat="1">
      <c r="G4484" s="3336"/>
      <c r="P4484" s="3337"/>
    </row>
    <row r="4485" spans="7:16" s="1634" customFormat="1">
      <c r="G4485" s="3336"/>
      <c r="P4485" s="3337"/>
    </row>
    <row r="4486" spans="7:16" s="1634" customFormat="1">
      <c r="G4486" s="3336"/>
      <c r="P4486" s="3337"/>
    </row>
    <row r="4487" spans="7:16" s="1634" customFormat="1">
      <c r="G4487" s="3336"/>
      <c r="P4487" s="3337"/>
    </row>
    <row r="4488" spans="7:16" s="1634" customFormat="1">
      <c r="G4488" s="3336"/>
      <c r="P4488" s="3337"/>
    </row>
    <row r="4489" spans="7:16" s="1634" customFormat="1">
      <c r="G4489" s="3336"/>
      <c r="P4489" s="3337"/>
    </row>
    <row r="4490" spans="7:16" s="1634" customFormat="1">
      <c r="G4490" s="3336"/>
      <c r="P4490" s="3337"/>
    </row>
    <row r="4491" spans="7:16" s="1634" customFormat="1">
      <c r="G4491" s="3336"/>
      <c r="P4491" s="3337"/>
    </row>
    <row r="4492" spans="7:16" s="1634" customFormat="1">
      <c r="G4492" s="3336"/>
      <c r="P4492" s="3337"/>
    </row>
    <row r="4493" spans="7:16" s="1634" customFormat="1">
      <c r="G4493" s="3336"/>
      <c r="P4493" s="3337"/>
    </row>
    <row r="4494" spans="7:16" s="1634" customFormat="1">
      <c r="G4494" s="3336"/>
      <c r="P4494" s="3337"/>
    </row>
    <row r="4495" spans="7:16" s="1634" customFormat="1">
      <c r="G4495" s="3336"/>
      <c r="P4495" s="3337"/>
    </row>
    <row r="4496" spans="7:16" s="1634" customFormat="1">
      <c r="G4496" s="3336"/>
      <c r="P4496" s="3337"/>
    </row>
    <row r="4497" spans="7:16" s="1634" customFormat="1">
      <c r="G4497" s="3336"/>
      <c r="P4497" s="3337"/>
    </row>
    <row r="4498" spans="7:16" s="1634" customFormat="1">
      <c r="G4498" s="3336"/>
      <c r="P4498" s="3337"/>
    </row>
    <row r="4499" spans="7:16" s="1634" customFormat="1">
      <c r="G4499" s="3336"/>
      <c r="P4499" s="3337"/>
    </row>
    <row r="4500" spans="7:16" s="1634" customFormat="1">
      <c r="G4500" s="3336"/>
      <c r="P4500" s="3337"/>
    </row>
    <row r="4501" spans="7:16" s="1634" customFormat="1">
      <c r="G4501" s="3336"/>
      <c r="P4501" s="3337"/>
    </row>
    <row r="4502" spans="7:16" s="1634" customFormat="1">
      <c r="G4502" s="3336"/>
      <c r="P4502" s="3337"/>
    </row>
    <row r="4503" spans="7:16" s="1634" customFormat="1">
      <c r="G4503" s="3336"/>
      <c r="P4503" s="3337"/>
    </row>
    <row r="4504" spans="7:16" s="1634" customFormat="1">
      <c r="G4504" s="3336"/>
      <c r="P4504" s="3337"/>
    </row>
    <row r="4505" spans="7:16" s="1634" customFormat="1">
      <c r="G4505" s="3336"/>
      <c r="P4505" s="3337"/>
    </row>
    <row r="4506" spans="7:16" s="1634" customFormat="1">
      <c r="G4506" s="3336"/>
      <c r="P4506" s="3337"/>
    </row>
    <row r="4507" spans="7:16" s="1634" customFormat="1">
      <c r="G4507" s="3336"/>
      <c r="P4507" s="3337"/>
    </row>
    <row r="4508" spans="7:16" s="1634" customFormat="1">
      <c r="G4508" s="3336"/>
      <c r="P4508" s="3337"/>
    </row>
    <row r="4509" spans="7:16" s="1634" customFormat="1">
      <c r="G4509" s="3336"/>
      <c r="P4509" s="3337"/>
    </row>
    <row r="4510" spans="7:16" s="1634" customFormat="1">
      <c r="G4510" s="3336"/>
      <c r="P4510" s="3337"/>
    </row>
    <row r="4511" spans="7:16" s="1634" customFormat="1">
      <c r="G4511" s="3336"/>
      <c r="P4511" s="3337"/>
    </row>
    <row r="4512" spans="7:16" s="1634" customFormat="1">
      <c r="G4512" s="3336"/>
      <c r="P4512" s="3337"/>
    </row>
    <row r="4513" spans="7:16" s="1634" customFormat="1">
      <c r="G4513" s="3336"/>
      <c r="P4513" s="3337"/>
    </row>
    <row r="4514" spans="7:16" s="1634" customFormat="1">
      <c r="G4514" s="3336"/>
      <c r="P4514" s="3337"/>
    </row>
    <row r="4515" spans="7:16" s="1634" customFormat="1">
      <c r="G4515" s="3336"/>
      <c r="P4515" s="3337"/>
    </row>
    <row r="4516" spans="7:16" s="1634" customFormat="1">
      <c r="G4516" s="3336"/>
      <c r="P4516" s="3337"/>
    </row>
    <row r="4517" spans="7:16" s="1634" customFormat="1">
      <c r="G4517" s="3336"/>
      <c r="P4517" s="3337"/>
    </row>
    <row r="4518" spans="7:16" s="1634" customFormat="1">
      <c r="G4518" s="3336"/>
      <c r="P4518" s="3337"/>
    </row>
    <row r="4519" spans="7:16" s="1634" customFormat="1">
      <c r="G4519" s="3336"/>
      <c r="P4519" s="3337"/>
    </row>
    <row r="4520" spans="7:16" s="1634" customFormat="1">
      <c r="G4520" s="3336"/>
      <c r="P4520" s="3337"/>
    </row>
    <row r="4521" spans="7:16" s="1634" customFormat="1">
      <c r="G4521" s="3336"/>
      <c r="P4521" s="3337"/>
    </row>
    <row r="4522" spans="7:16" s="1634" customFormat="1">
      <c r="G4522" s="3336"/>
      <c r="P4522" s="3337"/>
    </row>
    <row r="4523" spans="7:16" s="1634" customFormat="1">
      <c r="G4523" s="3336"/>
      <c r="P4523" s="3337"/>
    </row>
    <row r="4524" spans="7:16" s="1634" customFormat="1">
      <c r="G4524" s="3336"/>
      <c r="P4524" s="3337"/>
    </row>
    <row r="4525" spans="7:16" s="1634" customFormat="1">
      <c r="G4525" s="3336"/>
      <c r="P4525" s="3337"/>
    </row>
    <row r="4526" spans="7:16" s="1634" customFormat="1">
      <c r="G4526" s="3336"/>
      <c r="P4526" s="3337"/>
    </row>
    <row r="4527" spans="7:16" s="1634" customFormat="1">
      <c r="G4527" s="3336"/>
      <c r="P4527" s="3337"/>
    </row>
    <row r="4528" spans="7:16" s="1634" customFormat="1">
      <c r="G4528" s="3336"/>
      <c r="P4528" s="3337"/>
    </row>
    <row r="4529" spans="7:16" s="1634" customFormat="1">
      <c r="G4529" s="3336"/>
      <c r="P4529" s="3337"/>
    </row>
    <row r="4530" spans="7:16" s="1634" customFormat="1">
      <c r="G4530" s="3336"/>
      <c r="P4530" s="3337"/>
    </row>
    <row r="4531" spans="7:16" s="1634" customFormat="1">
      <c r="G4531" s="3336"/>
      <c r="P4531" s="3337"/>
    </row>
    <row r="4532" spans="7:16" s="1634" customFormat="1">
      <c r="G4532" s="3336"/>
      <c r="P4532" s="3337"/>
    </row>
    <row r="4533" spans="7:16" s="1634" customFormat="1">
      <c r="G4533" s="3336"/>
      <c r="P4533" s="3337"/>
    </row>
    <row r="4534" spans="7:16" s="1634" customFormat="1">
      <c r="G4534" s="3336"/>
      <c r="P4534" s="3337"/>
    </row>
    <row r="4535" spans="7:16" s="1634" customFormat="1">
      <c r="G4535" s="3336"/>
      <c r="P4535" s="3337"/>
    </row>
    <row r="4536" spans="7:16" s="1634" customFormat="1">
      <c r="G4536" s="3336"/>
      <c r="P4536" s="3337"/>
    </row>
    <row r="4537" spans="7:16" s="1634" customFormat="1">
      <c r="G4537" s="3336"/>
      <c r="P4537" s="3337"/>
    </row>
    <row r="4538" spans="7:16" s="1634" customFormat="1">
      <c r="G4538" s="3336"/>
      <c r="P4538" s="3337"/>
    </row>
    <row r="4539" spans="7:16" s="1634" customFormat="1">
      <c r="G4539" s="3336"/>
      <c r="P4539" s="3337"/>
    </row>
    <row r="4540" spans="7:16" s="1634" customFormat="1">
      <c r="G4540" s="3336"/>
      <c r="P4540" s="3337"/>
    </row>
    <row r="4541" spans="7:16" s="1634" customFormat="1">
      <c r="G4541" s="3336"/>
      <c r="P4541" s="3337"/>
    </row>
    <row r="4542" spans="7:16" s="1634" customFormat="1">
      <c r="G4542" s="3336"/>
      <c r="P4542" s="3337"/>
    </row>
    <row r="4543" spans="7:16" s="1634" customFormat="1">
      <c r="G4543" s="3336"/>
      <c r="P4543" s="3337"/>
    </row>
    <row r="4544" spans="7:16" s="1634" customFormat="1">
      <c r="G4544" s="3336"/>
      <c r="P4544" s="3337"/>
    </row>
    <row r="4545" spans="7:16" s="1634" customFormat="1">
      <c r="G4545" s="3336"/>
      <c r="P4545" s="3337"/>
    </row>
    <row r="4546" spans="7:16" s="1634" customFormat="1">
      <c r="G4546" s="3336"/>
      <c r="P4546" s="3337"/>
    </row>
    <row r="4547" spans="7:16" s="1634" customFormat="1">
      <c r="G4547" s="3336"/>
      <c r="P4547" s="3337"/>
    </row>
    <row r="4548" spans="7:16" s="1634" customFormat="1">
      <c r="G4548" s="3336"/>
      <c r="P4548" s="3337"/>
    </row>
    <row r="4549" spans="7:16" s="1634" customFormat="1">
      <c r="G4549" s="3336"/>
      <c r="P4549" s="3337"/>
    </row>
    <row r="4550" spans="7:16" s="1634" customFormat="1">
      <c r="G4550" s="3336"/>
      <c r="P4550" s="3337"/>
    </row>
    <row r="4551" spans="7:16" s="1634" customFormat="1">
      <c r="G4551" s="3336"/>
      <c r="P4551" s="3337"/>
    </row>
    <row r="4552" spans="7:16" s="1634" customFormat="1">
      <c r="G4552" s="3336"/>
      <c r="P4552" s="3337"/>
    </row>
    <row r="4553" spans="7:16" s="1634" customFormat="1">
      <c r="G4553" s="3336"/>
      <c r="P4553" s="3337"/>
    </row>
    <row r="4554" spans="7:16" s="1634" customFormat="1">
      <c r="G4554" s="3336"/>
      <c r="P4554" s="3337"/>
    </row>
    <row r="4555" spans="7:16" s="1634" customFormat="1">
      <c r="G4555" s="3336"/>
      <c r="P4555" s="3337"/>
    </row>
    <row r="4556" spans="7:16" s="1634" customFormat="1">
      <c r="G4556" s="3336"/>
      <c r="P4556" s="3337"/>
    </row>
    <row r="4557" spans="7:16" s="1634" customFormat="1">
      <c r="G4557" s="3336"/>
      <c r="P4557" s="3337"/>
    </row>
    <row r="4558" spans="7:16" s="1634" customFormat="1">
      <c r="G4558" s="3336"/>
      <c r="P4558" s="3337"/>
    </row>
    <row r="4559" spans="7:16" s="1634" customFormat="1">
      <c r="G4559" s="3336"/>
      <c r="P4559" s="3337"/>
    </row>
    <row r="4560" spans="7:16" s="1634" customFormat="1">
      <c r="G4560" s="3336"/>
      <c r="P4560" s="3337"/>
    </row>
    <row r="4561" spans="7:16" s="1634" customFormat="1">
      <c r="G4561" s="3336"/>
      <c r="P4561" s="3337"/>
    </row>
    <row r="4562" spans="7:16" s="1634" customFormat="1">
      <c r="G4562" s="3336"/>
      <c r="P4562" s="3337"/>
    </row>
    <row r="4563" spans="7:16" s="1634" customFormat="1">
      <c r="G4563" s="3336"/>
      <c r="P4563" s="3337"/>
    </row>
    <row r="4564" spans="7:16" s="1634" customFormat="1">
      <c r="G4564" s="3336"/>
      <c r="P4564" s="3337"/>
    </row>
    <row r="4565" spans="7:16" s="1634" customFormat="1">
      <c r="G4565" s="3336"/>
      <c r="P4565" s="3337"/>
    </row>
    <row r="4566" spans="7:16" s="1634" customFormat="1">
      <c r="G4566" s="3336"/>
      <c r="P4566" s="3337"/>
    </row>
    <row r="4567" spans="7:16" s="1634" customFormat="1">
      <c r="G4567" s="3336"/>
      <c r="P4567" s="3337"/>
    </row>
    <row r="4568" spans="7:16" s="1634" customFormat="1">
      <c r="G4568" s="3336"/>
      <c r="P4568" s="3337"/>
    </row>
    <row r="4569" spans="7:16" s="1634" customFormat="1">
      <c r="G4569" s="3336"/>
      <c r="P4569" s="3337"/>
    </row>
    <row r="4570" spans="7:16" s="1634" customFormat="1">
      <c r="G4570" s="3336"/>
      <c r="P4570" s="3337"/>
    </row>
    <row r="4571" spans="7:16" s="1634" customFormat="1">
      <c r="G4571" s="3336"/>
      <c r="P4571" s="3337"/>
    </row>
    <row r="4572" spans="7:16" s="1634" customFormat="1">
      <c r="G4572" s="3336"/>
      <c r="P4572" s="3337"/>
    </row>
    <row r="4573" spans="7:16" s="1634" customFormat="1">
      <c r="G4573" s="3336"/>
      <c r="P4573" s="3337"/>
    </row>
    <row r="4574" spans="7:16" s="1634" customFormat="1">
      <c r="G4574" s="3336"/>
      <c r="P4574" s="3337"/>
    </row>
    <row r="4575" spans="7:16" s="1634" customFormat="1">
      <c r="G4575" s="3336"/>
      <c r="P4575" s="3337"/>
    </row>
    <row r="4576" spans="7:16" s="1634" customFormat="1">
      <c r="G4576" s="3336"/>
      <c r="P4576" s="3337"/>
    </row>
    <row r="4577" spans="7:16" s="1634" customFormat="1">
      <c r="G4577" s="3336"/>
      <c r="P4577" s="3337"/>
    </row>
    <row r="4578" spans="7:16" s="1634" customFormat="1">
      <c r="G4578" s="3336"/>
      <c r="P4578" s="3337"/>
    </row>
    <row r="4579" spans="7:16" s="1634" customFormat="1">
      <c r="G4579" s="3336"/>
      <c r="P4579" s="3337"/>
    </row>
    <row r="4580" spans="7:16" s="1634" customFormat="1">
      <c r="G4580" s="3336"/>
      <c r="P4580" s="3337"/>
    </row>
    <row r="4581" spans="7:16" s="1634" customFormat="1">
      <c r="G4581" s="3336"/>
      <c r="P4581" s="3337"/>
    </row>
    <row r="4582" spans="7:16" s="1634" customFormat="1">
      <c r="G4582" s="3336"/>
      <c r="P4582" s="3337"/>
    </row>
    <row r="4583" spans="7:16" s="1634" customFormat="1">
      <c r="G4583" s="3336"/>
      <c r="P4583" s="3337"/>
    </row>
    <row r="4584" spans="7:16" s="1634" customFormat="1">
      <c r="G4584" s="3336"/>
      <c r="P4584" s="3337"/>
    </row>
    <row r="4585" spans="7:16" s="1634" customFormat="1">
      <c r="G4585" s="3336"/>
      <c r="P4585" s="3337"/>
    </row>
    <row r="4586" spans="7:16" s="1634" customFormat="1">
      <c r="G4586" s="3336"/>
      <c r="P4586" s="3337"/>
    </row>
    <row r="4587" spans="7:16" s="1634" customFormat="1">
      <c r="G4587" s="3336"/>
      <c r="P4587" s="3337"/>
    </row>
    <row r="4588" spans="7:16" s="1634" customFormat="1">
      <c r="G4588" s="3336"/>
      <c r="P4588" s="3337"/>
    </row>
    <row r="4589" spans="7:16" s="1634" customFormat="1">
      <c r="G4589" s="3336"/>
      <c r="P4589" s="3337"/>
    </row>
    <row r="4590" spans="7:16" s="1634" customFormat="1">
      <c r="G4590" s="3336"/>
      <c r="P4590" s="3337"/>
    </row>
    <row r="4591" spans="7:16" s="1634" customFormat="1">
      <c r="G4591" s="3336"/>
      <c r="P4591" s="3337"/>
    </row>
    <row r="4592" spans="7:16" s="1634" customFormat="1">
      <c r="G4592" s="3336"/>
      <c r="P4592" s="3337"/>
    </row>
    <row r="4593" spans="7:16" s="1634" customFormat="1">
      <c r="G4593" s="3336"/>
      <c r="P4593" s="3337"/>
    </row>
    <row r="4594" spans="7:16" s="1634" customFormat="1">
      <c r="G4594" s="3336"/>
      <c r="P4594" s="3337"/>
    </row>
    <row r="4595" spans="7:16" s="1634" customFormat="1">
      <c r="G4595" s="3336"/>
      <c r="P4595" s="3337"/>
    </row>
    <row r="4596" spans="7:16" s="1634" customFormat="1">
      <c r="G4596" s="3336"/>
      <c r="P4596" s="3337"/>
    </row>
    <row r="4597" spans="7:16" s="1634" customFormat="1">
      <c r="G4597" s="3336"/>
      <c r="P4597" s="3337"/>
    </row>
    <row r="4598" spans="7:16" s="1634" customFormat="1">
      <c r="G4598" s="3336"/>
      <c r="P4598" s="3337"/>
    </row>
    <row r="4599" spans="7:16" s="1634" customFormat="1">
      <c r="G4599" s="3336"/>
      <c r="P4599" s="3337"/>
    </row>
    <row r="4600" spans="7:16" s="1634" customFormat="1">
      <c r="G4600" s="3336"/>
      <c r="P4600" s="3337"/>
    </row>
    <row r="4601" spans="7:16" s="1634" customFormat="1">
      <c r="G4601" s="3336"/>
      <c r="P4601" s="3337"/>
    </row>
    <row r="4602" spans="7:16" s="1634" customFormat="1">
      <c r="G4602" s="3336"/>
      <c r="P4602" s="3337"/>
    </row>
    <row r="4603" spans="7:16" s="1634" customFormat="1">
      <c r="G4603" s="3336"/>
      <c r="P4603" s="3337"/>
    </row>
    <row r="4604" spans="7:16" s="1634" customFormat="1">
      <c r="G4604" s="3336"/>
      <c r="P4604" s="3337"/>
    </row>
    <row r="4605" spans="7:16" s="1634" customFormat="1">
      <c r="G4605" s="3336"/>
      <c r="P4605" s="3337"/>
    </row>
    <row r="4606" spans="7:16" s="1634" customFormat="1">
      <c r="G4606" s="3336"/>
      <c r="P4606" s="3337"/>
    </row>
    <row r="4607" spans="7:16" s="1634" customFormat="1">
      <c r="G4607" s="3336"/>
      <c r="P4607" s="3337"/>
    </row>
    <row r="4608" spans="7:16" s="1634" customFormat="1">
      <c r="G4608" s="3336"/>
      <c r="P4608" s="3337"/>
    </row>
    <row r="4609" spans="7:16" s="1634" customFormat="1">
      <c r="G4609" s="3336"/>
      <c r="P4609" s="3337"/>
    </row>
    <row r="4610" spans="7:16" s="1634" customFormat="1">
      <c r="G4610" s="3336"/>
      <c r="P4610" s="3337"/>
    </row>
    <row r="4611" spans="7:16" s="1634" customFormat="1">
      <c r="G4611" s="3336"/>
      <c r="P4611" s="3337"/>
    </row>
    <row r="4612" spans="7:16" s="1634" customFormat="1">
      <c r="G4612" s="3336"/>
      <c r="P4612" s="3337"/>
    </row>
    <row r="4613" spans="7:16" s="1634" customFormat="1">
      <c r="G4613" s="3336"/>
      <c r="P4613" s="3337"/>
    </row>
    <row r="4614" spans="7:16" s="1634" customFormat="1">
      <c r="G4614" s="3336"/>
      <c r="P4614" s="3337"/>
    </row>
    <row r="4615" spans="7:16" s="1634" customFormat="1">
      <c r="G4615" s="3336"/>
      <c r="P4615" s="3337"/>
    </row>
    <row r="4616" spans="7:16" s="1634" customFormat="1">
      <c r="G4616" s="3336"/>
      <c r="P4616" s="3337"/>
    </row>
    <row r="4617" spans="7:16" s="1634" customFormat="1">
      <c r="G4617" s="3336"/>
      <c r="P4617" s="3337"/>
    </row>
    <row r="4618" spans="7:16" s="1634" customFormat="1">
      <c r="G4618" s="3336"/>
      <c r="P4618" s="3337"/>
    </row>
    <row r="4619" spans="7:16" s="1634" customFormat="1">
      <c r="G4619" s="3336"/>
      <c r="P4619" s="3337"/>
    </row>
    <row r="4620" spans="7:16" s="1634" customFormat="1">
      <c r="G4620" s="3336"/>
      <c r="P4620" s="3337"/>
    </row>
    <row r="4621" spans="7:16" s="1634" customFormat="1">
      <c r="G4621" s="3336"/>
      <c r="P4621" s="3337"/>
    </row>
    <row r="4622" spans="7:16" s="1634" customFormat="1">
      <c r="G4622" s="3336"/>
      <c r="P4622" s="3337"/>
    </row>
    <row r="4623" spans="7:16" s="1634" customFormat="1">
      <c r="G4623" s="3336"/>
      <c r="P4623" s="3337"/>
    </row>
    <row r="4624" spans="7:16" s="1634" customFormat="1">
      <c r="G4624" s="3336"/>
      <c r="P4624" s="3337"/>
    </row>
    <row r="4625" spans="7:16" s="1634" customFormat="1">
      <c r="G4625" s="3336"/>
      <c r="P4625" s="3337"/>
    </row>
    <row r="4626" spans="7:16" s="1634" customFormat="1">
      <c r="G4626" s="3336"/>
      <c r="P4626" s="3337"/>
    </row>
    <row r="4627" spans="7:16" s="1634" customFormat="1">
      <c r="G4627" s="3336"/>
      <c r="P4627" s="3337"/>
    </row>
    <row r="4628" spans="7:16" s="1634" customFormat="1">
      <c r="G4628" s="3336"/>
      <c r="P4628" s="3337"/>
    </row>
    <row r="4629" spans="7:16" s="1634" customFormat="1">
      <c r="G4629" s="3336"/>
      <c r="P4629" s="3337"/>
    </row>
    <row r="4630" spans="7:16" s="1634" customFormat="1">
      <c r="G4630" s="3336"/>
      <c r="P4630" s="3337"/>
    </row>
    <row r="4631" spans="7:16" s="1634" customFormat="1">
      <c r="G4631" s="3336"/>
      <c r="P4631" s="3337"/>
    </row>
    <row r="4632" spans="7:16" s="1634" customFormat="1">
      <c r="G4632" s="3336"/>
      <c r="P4632" s="3337"/>
    </row>
    <row r="4633" spans="7:16" s="1634" customFormat="1">
      <c r="G4633" s="3336"/>
      <c r="P4633" s="3337"/>
    </row>
    <row r="4634" spans="7:16" s="1634" customFormat="1">
      <c r="G4634" s="3336"/>
      <c r="P4634" s="3337"/>
    </row>
    <row r="4635" spans="7:16" s="1634" customFormat="1">
      <c r="G4635" s="3336"/>
      <c r="P4635" s="3337"/>
    </row>
    <row r="4636" spans="7:16" s="1634" customFormat="1">
      <c r="G4636" s="3336"/>
      <c r="P4636" s="3337"/>
    </row>
    <row r="4637" spans="7:16" s="1634" customFormat="1">
      <c r="G4637" s="3336"/>
      <c r="P4637" s="3337"/>
    </row>
    <row r="4638" spans="7:16" s="1634" customFormat="1">
      <c r="G4638" s="3336"/>
      <c r="P4638" s="3337"/>
    </row>
    <row r="4639" spans="7:16" s="1634" customFormat="1">
      <c r="G4639" s="3336"/>
      <c r="P4639" s="3337"/>
    </row>
    <row r="4640" spans="7:16" s="1634" customFormat="1">
      <c r="G4640" s="3336"/>
      <c r="P4640" s="3337"/>
    </row>
    <row r="4641" spans="7:16" s="1634" customFormat="1">
      <c r="G4641" s="3336"/>
      <c r="P4641" s="3337"/>
    </row>
    <row r="4642" spans="7:16" s="1634" customFormat="1">
      <c r="G4642" s="3336"/>
      <c r="P4642" s="3337"/>
    </row>
    <row r="4643" spans="7:16" s="1634" customFormat="1">
      <c r="G4643" s="3336"/>
      <c r="P4643" s="3337"/>
    </row>
    <row r="4644" spans="7:16" s="1634" customFormat="1">
      <c r="G4644" s="3336"/>
      <c r="P4644" s="3337"/>
    </row>
    <row r="4645" spans="7:16" s="1634" customFormat="1">
      <c r="G4645" s="3336"/>
      <c r="P4645" s="3337"/>
    </row>
    <row r="4646" spans="7:16" s="1634" customFormat="1">
      <c r="G4646" s="3336"/>
      <c r="P4646" s="3337"/>
    </row>
    <row r="4647" spans="7:16" s="1634" customFormat="1">
      <c r="G4647" s="3336"/>
      <c r="P4647" s="3337"/>
    </row>
    <row r="4648" spans="7:16" s="1634" customFormat="1">
      <c r="G4648" s="3336"/>
      <c r="P4648" s="3337"/>
    </row>
    <row r="4649" spans="7:16" s="1634" customFormat="1">
      <c r="G4649" s="3336"/>
      <c r="P4649" s="3337"/>
    </row>
    <row r="4650" spans="7:16" s="1634" customFormat="1">
      <c r="G4650" s="3336"/>
      <c r="P4650" s="3337"/>
    </row>
    <row r="4651" spans="7:16" s="1634" customFormat="1">
      <c r="G4651" s="3336"/>
      <c r="P4651" s="3337"/>
    </row>
    <row r="4652" spans="7:16" s="1634" customFormat="1">
      <c r="G4652" s="3336"/>
      <c r="P4652" s="3337"/>
    </row>
    <row r="4653" spans="7:16" s="1634" customFormat="1">
      <c r="G4653" s="3336"/>
      <c r="P4653" s="3337"/>
    </row>
    <row r="4654" spans="7:16" s="1634" customFormat="1">
      <c r="G4654" s="3336"/>
      <c r="P4654" s="3337"/>
    </row>
    <row r="4655" spans="7:16" s="1634" customFormat="1">
      <c r="G4655" s="3336"/>
      <c r="P4655" s="3337"/>
    </row>
    <row r="4656" spans="7:16" s="1634" customFormat="1">
      <c r="G4656" s="3336"/>
      <c r="P4656" s="3337"/>
    </row>
    <row r="4657" spans="7:16" s="1634" customFormat="1">
      <c r="G4657" s="3336"/>
      <c r="P4657" s="3337"/>
    </row>
    <row r="4658" spans="7:16" s="1634" customFormat="1">
      <c r="G4658" s="3336"/>
      <c r="P4658" s="3337"/>
    </row>
    <row r="4659" spans="7:16" s="1634" customFormat="1">
      <c r="G4659" s="3336"/>
      <c r="P4659" s="3337"/>
    </row>
    <row r="4660" spans="7:16" s="1634" customFormat="1">
      <c r="G4660" s="3336"/>
      <c r="P4660" s="3337"/>
    </row>
    <row r="4661" spans="7:16" s="1634" customFormat="1">
      <c r="G4661" s="3336"/>
      <c r="P4661" s="3337"/>
    </row>
    <row r="4662" spans="7:16" s="1634" customFormat="1">
      <c r="G4662" s="3336"/>
      <c r="P4662" s="3337"/>
    </row>
    <row r="4663" spans="7:16" s="1634" customFormat="1">
      <c r="G4663" s="3336"/>
      <c r="P4663" s="3337"/>
    </row>
    <row r="4664" spans="7:16" s="1634" customFormat="1">
      <c r="G4664" s="3336"/>
      <c r="P4664" s="3337"/>
    </row>
    <row r="4665" spans="7:16" s="1634" customFormat="1">
      <c r="G4665" s="3336"/>
      <c r="P4665" s="3337"/>
    </row>
    <row r="4666" spans="7:16" s="1634" customFormat="1">
      <c r="G4666" s="3336"/>
      <c r="P4666" s="3337"/>
    </row>
    <row r="4667" spans="7:16" s="1634" customFormat="1">
      <c r="G4667" s="3336"/>
      <c r="P4667" s="3337"/>
    </row>
    <row r="4668" spans="7:16" s="1634" customFormat="1">
      <c r="G4668" s="3336"/>
      <c r="P4668" s="3337"/>
    </row>
    <row r="4669" spans="7:16" s="1634" customFormat="1">
      <c r="G4669" s="3336"/>
      <c r="P4669" s="3337"/>
    </row>
    <row r="4670" spans="7:16" s="1634" customFormat="1">
      <c r="G4670" s="3336"/>
      <c r="P4670" s="3337"/>
    </row>
    <row r="4671" spans="7:16" s="1634" customFormat="1">
      <c r="G4671" s="3336"/>
      <c r="P4671" s="3337"/>
    </row>
    <row r="4672" spans="7:16" s="1634" customFormat="1">
      <c r="G4672" s="3336"/>
      <c r="P4672" s="3337"/>
    </row>
    <row r="4673" spans="7:16" s="1634" customFormat="1">
      <c r="G4673" s="3336"/>
      <c r="P4673" s="3337"/>
    </row>
    <row r="4674" spans="7:16" s="1634" customFormat="1">
      <c r="G4674" s="3336"/>
      <c r="P4674" s="3337"/>
    </row>
    <row r="4675" spans="7:16" s="1634" customFormat="1">
      <c r="G4675" s="3336"/>
      <c r="P4675" s="3337"/>
    </row>
    <row r="4676" spans="7:16" s="1634" customFormat="1">
      <c r="G4676" s="3336"/>
      <c r="P4676" s="3337"/>
    </row>
    <row r="4677" spans="7:16" s="1634" customFormat="1">
      <c r="G4677" s="3336"/>
      <c r="P4677" s="3337"/>
    </row>
    <row r="4678" spans="7:16" s="1634" customFormat="1">
      <c r="G4678" s="3336"/>
      <c r="P4678" s="3337"/>
    </row>
    <row r="4679" spans="7:16" s="1634" customFormat="1">
      <c r="G4679" s="3336"/>
      <c r="P4679" s="3337"/>
    </row>
    <row r="4680" spans="7:16" s="1634" customFormat="1">
      <c r="G4680" s="3336"/>
      <c r="P4680" s="3337"/>
    </row>
    <row r="4681" spans="7:16" s="1634" customFormat="1">
      <c r="G4681" s="3336"/>
      <c r="P4681" s="3337"/>
    </row>
    <row r="4682" spans="7:16" s="1634" customFormat="1">
      <c r="G4682" s="3336"/>
      <c r="P4682" s="3337"/>
    </row>
    <row r="4683" spans="7:16" s="1634" customFormat="1">
      <c r="G4683" s="3336"/>
      <c r="P4683" s="3337"/>
    </row>
    <row r="4684" spans="7:16" s="1634" customFormat="1">
      <c r="G4684" s="3336"/>
      <c r="P4684" s="3337"/>
    </row>
    <row r="4685" spans="7:16" s="1634" customFormat="1">
      <c r="G4685" s="3336"/>
      <c r="P4685" s="3337"/>
    </row>
    <row r="4686" spans="7:16" s="1634" customFormat="1">
      <c r="G4686" s="3336"/>
      <c r="P4686" s="3337"/>
    </row>
    <row r="4687" spans="7:16" s="1634" customFormat="1">
      <c r="G4687" s="3336"/>
      <c r="P4687" s="3337"/>
    </row>
    <row r="4688" spans="7:16" s="1634" customFormat="1">
      <c r="G4688" s="3336"/>
      <c r="P4688" s="3337"/>
    </row>
    <row r="4689" spans="7:16" s="1634" customFormat="1">
      <c r="G4689" s="3336"/>
      <c r="P4689" s="3337"/>
    </row>
    <row r="4690" spans="7:16" s="1634" customFormat="1">
      <c r="G4690" s="3336"/>
      <c r="P4690" s="3337"/>
    </row>
    <row r="4691" spans="7:16" s="1634" customFormat="1">
      <c r="G4691" s="3336"/>
      <c r="P4691" s="3337"/>
    </row>
    <row r="4692" spans="7:16" s="1634" customFormat="1">
      <c r="G4692" s="3336"/>
      <c r="P4692" s="3337"/>
    </row>
    <row r="4693" spans="7:16" s="1634" customFormat="1">
      <c r="G4693" s="3336"/>
      <c r="P4693" s="3337"/>
    </row>
    <row r="4694" spans="7:16" s="1634" customFormat="1">
      <c r="G4694" s="3336"/>
      <c r="P4694" s="3337"/>
    </row>
    <row r="4695" spans="7:16" s="1634" customFormat="1">
      <c r="G4695" s="3336"/>
      <c r="P4695" s="3337"/>
    </row>
    <row r="4696" spans="7:16" s="1634" customFormat="1">
      <c r="G4696" s="3336"/>
      <c r="P4696" s="3337"/>
    </row>
    <row r="4697" spans="7:16" s="1634" customFormat="1">
      <c r="G4697" s="3336"/>
      <c r="P4697" s="3337"/>
    </row>
    <row r="4698" spans="7:16" s="1634" customFormat="1">
      <c r="G4698" s="3336"/>
      <c r="P4698" s="3337"/>
    </row>
    <row r="4699" spans="7:16" s="1634" customFormat="1">
      <c r="G4699" s="3336"/>
      <c r="P4699" s="3337"/>
    </row>
    <row r="4700" spans="7:16" s="1634" customFormat="1">
      <c r="G4700" s="3336"/>
      <c r="P4700" s="3337"/>
    </row>
    <row r="4701" spans="7:16" s="1634" customFormat="1">
      <c r="G4701" s="3336"/>
      <c r="P4701" s="3337"/>
    </row>
    <row r="4702" spans="7:16" s="1634" customFormat="1">
      <c r="G4702" s="3336"/>
      <c r="P4702" s="3337"/>
    </row>
    <row r="4703" spans="7:16" s="1634" customFormat="1">
      <c r="G4703" s="3336"/>
      <c r="P4703" s="3337"/>
    </row>
    <row r="4704" spans="7:16" s="1634" customFormat="1">
      <c r="G4704" s="3336"/>
      <c r="P4704" s="3337"/>
    </row>
    <row r="4705" spans="7:16" s="1634" customFormat="1">
      <c r="G4705" s="3336"/>
      <c r="P4705" s="3337"/>
    </row>
    <row r="4706" spans="7:16" s="1634" customFormat="1">
      <c r="G4706" s="3336"/>
      <c r="P4706" s="3337"/>
    </row>
    <row r="4707" spans="7:16" s="1634" customFormat="1">
      <c r="G4707" s="3336"/>
      <c r="P4707" s="3337"/>
    </row>
    <row r="4708" spans="7:16" s="1634" customFormat="1">
      <c r="G4708" s="3336"/>
      <c r="P4708" s="3337"/>
    </row>
    <row r="4709" spans="7:16" s="1634" customFormat="1">
      <c r="G4709" s="3336"/>
      <c r="P4709" s="3337"/>
    </row>
    <row r="4710" spans="7:16" s="1634" customFormat="1">
      <c r="G4710" s="3336"/>
      <c r="P4710" s="3337"/>
    </row>
    <row r="4711" spans="7:16" s="1634" customFormat="1">
      <c r="G4711" s="3336"/>
      <c r="P4711" s="3337"/>
    </row>
    <row r="4712" spans="7:16" s="1634" customFormat="1">
      <c r="G4712" s="3336"/>
      <c r="P4712" s="3337"/>
    </row>
    <row r="4713" spans="7:16" s="1634" customFormat="1">
      <c r="G4713" s="3336"/>
      <c r="P4713" s="3337"/>
    </row>
    <row r="4714" spans="7:16" s="1634" customFormat="1">
      <c r="G4714" s="3336"/>
      <c r="P4714" s="3337"/>
    </row>
    <row r="4715" spans="7:16" s="1634" customFormat="1">
      <c r="G4715" s="3336"/>
      <c r="P4715" s="3337"/>
    </row>
    <row r="4716" spans="7:16" s="1634" customFormat="1">
      <c r="G4716" s="3336"/>
      <c r="P4716" s="3337"/>
    </row>
    <row r="4717" spans="7:16" s="1634" customFormat="1">
      <c r="G4717" s="3336"/>
      <c r="P4717" s="3337"/>
    </row>
    <row r="4718" spans="7:16" s="1634" customFormat="1">
      <c r="G4718" s="3336"/>
      <c r="P4718" s="3337"/>
    </row>
    <row r="4719" spans="7:16" s="1634" customFormat="1">
      <c r="G4719" s="3336"/>
      <c r="P4719" s="3337"/>
    </row>
    <row r="4720" spans="7:16" s="1634" customFormat="1">
      <c r="G4720" s="3336"/>
      <c r="P4720" s="3337"/>
    </row>
    <row r="4721" spans="7:16" s="1634" customFormat="1">
      <c r="G4721" s="3336"/>
      <c r="P4721" s="3337"/>
    </row>
    <row r="4722" spans="7:16" s="1634" customFormat="1">
      <c r="G4722" s="3336"/>
      <c r="P4722" s="3337"/>
    </row>
    <row r="4723" spans="7:16" s="1634" customFormat="1">
      <c r="G4723" s="3336"/>
      <c r="P4723" s="3337"/>
    </row>
    <row r="4724" spans="7:16" s="1634" customFormat="1">
      <c r="G4724" s="3336"/>
      <c r="P4724" s="3337"/>
    </row>
    <row r="4725" spans="7:16" s="1634" customFormat="1">
      <c r="G4725" s="3336"/>
      <c r="P4725" s="3337"/>
    </row>
    <row r="4726" spans="7:16" s="1634" customFormat="1">
      <c r="G4726" s="3336"/>
      <c r="P4726" s="3337"/>
    </row>
    <row r="4727" spans="7:16" s="1634" customFormat="1">
      <c r="G4727" s="3336"/>
      <c r="P4727" s="3337"/>
    </row>
    <row r="4728" spans="7:16" s="1634" customFormat="1">
      <c r="G4728" s="3336"/>
      <c r="P4728" s="3337"/>
    </row>
    <row r="4729" spans="7:16" s="1634" customFormat="1">
      <c r="G4729" s="3336"/>
      <c r="P4729" s="3337"/>
    </row>
    <row r="4730" spans="7:16" s="1634" customFormat="1">
      <c r="G4730" s="3336"/>
      <c r="P4730" s="3337"/>
    </row>
    <row r="4731" spans="7:16" s="1634" customFormat="1">
      <c r="G4731" s="3336"/>
      <c r="P4731" s="3337"/>
    </row>
    <row r="4732" spans="7:16" s="1634" customFormat="1">
      <c r="G4732" s="3336"/>
      <c r="P4732" s="3337"/>
    </row>
    <row r="4733" spans="7:16" s="1634" customFormat="1">
      <c r="G4733" s="3336"/>
      <c r="P4733" s="3337"/>
    </row>
    <row r="4734" spans="7:16" s="1634" customFormat="1">
      <c r="G4734" s="3336"/>
      <c r="P4734" s="3337"/>
    </row>
    <row r="4735" spans="7:16" s="1634" customFormat="1">
      <c r="G4735" s="3336"/>
      <c r="P4735" s="3337"/>
    </row>
    <row r="4736" spans="7:16" s="1634" customFormat="1">
      <c r="G4736" s="3336"/>
      <c r="P4736" s="3337"/>
    </row>
    <row r="4737" spans="7:16" s="1634" customFormat="1">
      <c r="G4737" s="3336"/>
      <c r="P4737" s="3337"/>
    </row>
    <row r="4738" spans="7:16" s="1634" customFormat="1">
      <c r="G4738" s="3336"/>
      <c r="P4738" s="3337"/>
    </row>
    <row r="4739" spans="7:16" s="1634" customFormat="1">
      <c r="G4739" s="3336"/>
      <c r="P4739" s="3337"/>
    </row>
    <row r="4740" spans="7:16" s="1634" customFormat="1">
      <c r="G4740" s="3336"/>
      <c r="P4740" s="3337"/>
    </row>
    <row r="4741" spans="7:16" s="1634" customFormat="1">
      <c r="G4741" s="3336"/>
      <c r="P4741" s="3337"/>
    </row>
    <row r="4742" spans="7:16" s="1634" customFormat="1">
      <c r="G4742" s="3336"/>
      <c r="P4742" s="3337"/>
    </row>
    <row r="4743" spans="7:16" s="1634" customFormat="1">
      <c r="G4743" s="3336"/>
      <c r="P4743" s="3337"/>
    </row>
    <row r="4744" spans="7:16" s="1634" customFormat="1">
      <c r="G4744" s="3336"/>
      <c r="P4744" s="3337"/>
    </row>
    <row r="4745" spans="7:16" s="1634" customFormat="1">
      <c r="G4745" s="3336"/>
      <c r="P4745" s="3337"/>
    </row>
    <row r="4746" spans="7:16" s="1634" customFormat="1">
      <c r="G4746" s="3336"/>
      <c r="P4746" s="3337"/>
    </row>
    <row r="4747" spans="7:16" s="1634" customFormat="1">
      <c r="G4747" s="3336"/>
      <c r="P4747" s="3337"/>
    </row>
    <row r="4748" spans="7:16" s="1634" customFormat="1">
      <c r="G4748" s="3336"/>
      <c r="P4748" s="3337"/>
    </row>
    <row r="4749" spans="7:16" s="1634" customFormat="1">
      <c r="G4749" s="3336"/>
      <c r="P4749" s="3337"/>
    </row>
    <row r="4750" spans="7:16" s="1634" customFormat="1">
      <c r="G4750" s="3336"/>
      <c r="P4750" s="3337"/>
    </row>
    <row r="4751" spans="7:16" s="1634" customFormat="1">
      <c r="G4751" s="3336"/>
      <c r="P4751" s="3337"/>
    </row>
    <row r="4752" spans="7:16" s="1634" customFormat="1">
      <c r="G4752" s="3336"/>
      <c r="P4752" s="3337"/>
    </row>
    <row r="4753" spans="7:16" s="1634" customFormat="1">
      <c r="G4753" s="3336"/>
      <c r="P4753" s="3337"/>
    </row>
    <row r="4754" spans="7:16" s="1634" customFormat="1">
      <c r="G4754" s="3336"/>
      <c r="P4754" s="3337"/>
    </row>
    <row r="4755" spans="7:16" s="1634" customFormat="1">
      <c r="G4755" s="3336"/>
      <c r="P4755" s="3337"/>
    </row>
    <row r="4756" spans="7:16" s="1634" customFormat="1">
      <c r="G4756" s="3336"/>
      <c r="P4756" s="3337"/>
    </row>
    <row r="4757" spans="7:16" s="1634" customFormat="1">
      <c r="G4757" s="3336"/>
      <c r="P4757" s="3337"/>
    </row>
    <row r="4758" spans="7:16" s="1634" customFormat="1">
      <c r="G4758" s="3336"/>
      <c r="P4758" s="3337"/>
    </row>
    <row r="4759" spans="7:16" s="1634" customFormat="1">
      <c r="G4759" s="3336"/>
      <c r="P4759" s="3337"/>
    </row>
    <row r="4760" spans="7:16" s="1634" customFormat="1">
      <c r="G4760" s="3336"/>
      <c r="P4760" s="3337"/>
    </row>
    <row r="4761" spans="7:16" s="1634" customFormat="1">
      <c r="G4761" s="3336"/>
      <c r="P4761" s="3337"/>
    </row>
    <row r="4762" spans="7:16" s="1634" customFormat="1">
      <c r="G4762" s="3336"/>
      <c r="P4762" s="3337"/>
    </row>
    <row r="4763" spans="7:16" s="1634" customFormat="1">
      <c r="G4763" s="3336"/>
      <c r="P4763" s="3337"/>
    </row>
    <row r="4764" spans="7:16" s="1634" customFormat="1">
      <c r="G4764" s="3336"/>
      <c r="P4764" s="3337"/>
    </row>
    <row r="4765" spans="7:16" s="1634" customFormat="1">
      <c r="G4765" s="3336"/>
      <c r="P4765" s="3337"/>
    </row>
    <row r="4766" spans="7:16" s="1634" customFormat="1">
      <c r="G4766" s="3336"/>
      <c r="P4766" s="3337"/>
    </row>
    <row r="4767" spans="7:16" s="1634" customFormat="1">
      <c r="G4767" s="3336"/>
      <c r="P4767" s="3337"/>
    </row>
    <row r="4768" spans="7:16" s="1634" customFormat="1">
      <c r="G4768" s="3336"/>
      <c r="P4768" s="3337"/>
    </row>
    <row r="4769" spans="7:16" s="1634" customFormat="1">
      <c r="G4769" s="3336"/>
      <c r="P4769" s="3337"/>
    </row>
    <row r="4770" spans="7:16" s="1634" customFormat="1">
      <c r="G4770" s="3336"/>
      <c r="P4770" s="3337"/>
    </row>
    <row r="4771" spans="7:16" s="1634" customFormat="1">
      <c r="G4771" s="3336"/>
      <c r="P4771" s="3337"/>
    </row>
    <row r="4772" spans="7:16" s="1634" customFormat="1">
      <c r="G4772" s="3336"/>
      <c r="P4772" s="3337"/>
    </row>
    <row r="4773" spans="7:16" s="1634" customFormat="1">
      <c r="G4773" s="3336"/>
      <c r="P4773" s="3337"/>
    </row>
    <row r="4774" spans="7:16" s="1634" customFormat="1">
      <c r="G4774" s="3336"/>
      <c r="P4774" s="3337"/>
    </row>
    <row r="4775" spans="7:16" s="1634" customFormat="1">
      <c r="G4775" s="3336"/>
      <c r="P4775" s="3337"/>
    </row>
    <row r="4776" spans="7:16" s="1634" customFormat="1">
      <c r="G4776" s="3336"/>
      <c r="P4776" s="3337"/>
    </row>
    <row r="4777" spans="7:16" s="1634" customFormat="1">
      <c r="G4777" s="3336"/>
      <c r="P4777" s="3337"/>
    </row>
    <row r="4778" spans="7:16" s="1634" customFormat="1">
      <c r="G4778" s="3336"/>
      <c r="P4778" s="3337"/>
    </row>
    <row r="4779" spans="7:16" s="1634" customFormat="1">
      <c r="G4779" s="3336"/>
      <c r="P4779" s="3337"/>
    </row>
    <row r="4780" spans="7:16" s="1634" customFormat="1">
      <c r="G4780" s="3336"/>
      <c r="P4780" s="3337"/>
    </row>
    <row r="4781" spans="7:16" s="1634" customFormat="1">
      <c r="G4781" s="3336"/>
      <c r="P4781" s="3337"/>
    </row>
    <row r="4782" spans="7:16" s="1634" customFormat="1">
      <c r="G4782" s="3336"/>
      <c r="P4782" s="3337"/>
    </row>
    <row r="4783" spans="7:16" s="1634" customFormat="1">
      <c r="G4783" s="3336"/>
      <c r="P4783" s="3337"/>
    </row>
    <row r="4784" spans="7:16" s="1634" customFormat="1">
      <c r="G4784" s="3336"/>
      <c r="P4784" s="3337"/>
    </row>
    <row r="4785" spans="7:16" s="1634" customFormat="1">
      <c r="G4785" s="3336"/>
      <c r="P4785" s="3337"/>
    </row>
    <row r="4786" spans="7:16" s="1634" customFormat="1">
      <c r="G4786" s="3336"/>
      <c r="P4786" s="3337"/>
    </row>
    <row r="4787" spans="7:16" s="1634" customFormat="1">
      <c r="G4787" s="3336"/>
      <c r="P4787" s="3337"/>
    </row>
    <row r="4788" spans="7:16" s="1634" customFormat="1">
      <c r="G4788" s="3336"/>
      <c r="P4788" s="3337"/>
    </row>
    <row r="4789" spans="7:16" s="1634" customFormat="1">
      <c r="G4789" s="3336"/>
      <c r="P4789" s="3337"/>
    </row>
    <row r="4790" spans="7:16" s="1634" customFormat="1">
      <c r="G4790" s="3336"/>
      <c r="P4790" s="3337"/>
    </row>
    <row r="4791" spans="7:16" s="1634" customFormat="1">
      <c r="G4791" s="3336"/>
      <c r="P4791" s="3337"/>
    </row>
    <row r="4792" spans="7:16" s="1634" customFormat="1">
      <c r="G4792" s="3336"/>
      <c r="P4792" s="3337"/>
    </row>
    <row r="4793" spans="7:16" s="1634" customFormat="1">
      <c r="G4793" s="3336"/>
      <c r="P4793" s="3337"/>
    </row>
    <row r="4794" spans="7:16" s="1634" customFormat="1">
      <c r="G4794" s="3336"/>
      <c r="P4794" s="3337"/>
    </row>
    <row r="4795" spans="7:16" s="1634" customFormat="1">
      <c r="G4795" s="3336"/>
      <c r="P4795" s="3337"/>
    </row>
    <row r="4796" spans="7:16" s="1634" customFormat="1">
      <c r="G4796" s="3336"/>
      <c r="P4796" s="3337"/>
    </row>
    <row r="4797" spans="7:16" s="1634" customFormat="1">
      <c r="G4797" s="3336"/>
      <c r="P4797" s="3337"/>
    </row>
    <row r="4798" spans="7:16" s="1634" customFormat="1">
      <c r="G4798" s="3336"/>
      <c r="P4798" s="3337"/>
    </row>
    <row r="4799" spans="7:16" s="1634" customFormat="1">
      <c r="G4799" s="3336"/>
      <c r="P4799" s="3337"/>
    </row>
    <row r="4800" spans="7:16" s="1634" customFormat="1">
      <c r="G4800" s="3336"/>
      <c r="P4800" s="3337"/>
    </row>
    <row r="4801" spans="7:16" s="1634" customFormat="1">
      <c r="G4801" s="3336"/>
      <c r="P4801" s="3337"/>
    </row>
    <row r="4802" spans="7:16" s="1634" customFormat="1">
      <c r="G4802" s="3336"/>
      <c r="P4802" s="3337"/>
    </row>
    <row r="4803" spans="7:16" s="1634" customFormat="1">
      <c r="G4803" s="3336"/>
      <c r="P4803" s="3337"/>
    </row>
    <row r="4804" spans="7:16" s="1634" customFormat="1">
      <c r="G4804" s="3336"/>
      <c r="P4804" s="3337"/>
    </row>
    <row r="4805" spans="7:16" s="1634" customFormat="1">
      <c r="G4805" s="3336"/>
      <c r="P4805" s="3337"/>
    </row>
    <row r="4806" spans="7:16" s="1634" customFormat="1">
      <c r="G4806" s="3336"/>
      <c r="P4806" s="3337"/>
    </row>
    <row r="4807" spans="7:16" s="1634" customFormat="1">
      <c r="G4807" s="3336"/>
      <c r="P4807" s="3337"/>
    </row>
    <row r="4808" spans="7:16" s="1634" customFormat="1">
      <c r="G4808" s="3336"/>
      <c r="P4808" s="3337"/>
    </row>
    <row r="4809" spans="7:16" s="1634" customFormat="1">
      <c r="G4809" s="3336"/>
      <c r="P4809" s="3337"/>
    </row>
    <row r="4810" spans="7:16" s="1634" customFormat="1">
      <c r="G4810" s="3336"/>
      <c r="P4810" s="3337"/>
    </row>
    <row r="4811" spans="7:16" s="1634" customFormat="1">
      <c r="G4811" s="3336"/>
      <c r="P4811" s="3337"/>
    </row>
    <row r="4812" spans="7:16" s="1634" customFormat="1">
      <c r="G4812" s="3336"/>
      <c r="P4812" s="3337"/>
    </row>
    <row r="4813" spans="7:16" s="1634" customFormat="1">
      <c r="G4813" s="3336"/>
      <c r="P4813" s="3337"/>
    </row>
    <row r="4814" spans="7:16" s="1634" customFormat="1">
      <c r="G4814" s="3336"/>
      <c r="P4814" s="3337"/>
    </row>
    <row r="4815" spans="7:16" s="1634" customFormat="1">
      <c r="G4815" s="3336"/>
      <c r="P4815" s="3337"/>
    </row>
    <row r="4816" spans="7:16" s="1634" customFormat="1">
      <c r="G4816" s="3336"/>
      <c r="P4816" s="3337"/>
    </row>
    <row r="4817" spans="7:16" s="1634" customFormat="1">
      <c r="G4817" s="3336"/>
      <c r="P4817" s="3337"/>
    </row>
    <row r="4818" spans="7:16" s="1634" customFormat="1">
      <c r="G4818" s="3336"/>
      <c r="P4818" s="3337"/>
    </row>
    <row r="4819" spans="7:16" s="1634" customFormat="1">
      <c r="G4819" s="3336"/>
      <c r="P4819" s="3337"/>
    </row>
    <row r="4820" spans="7:16" s="1634" customFormat="1">
      <c r="G4820" s="3336"/>
      <c r="P4820" s="3337"/>
    </row>
    <row r="4821" spans="7:16" s="1634" customFormat="1">
      <c r="G4821" s="3336"/>
      <c r="P4821" s="3337"/>
    </row>
    <row r="4822" spans="7:16" s="1634" customFormat="1">
      <c r="G4822" s="3336"/>
      <c r="P4822" s="3337"/>
    </row>
    <row r="4823" spans="7:16" s="1634" customFormat="1">
      <c r="G4823" s="3336"/>
      <c r="P4823" s="3337"/>
    </row>
    <row r="4824" spans="7:16" s="1634" customFormat="1">
      <c r="G4824" s="3336"/>
      <c r="P4824" s="3337"/>
    </row>
    <row r="4825" spans="7:16" s="1634" customFormat="1">
      <c r="G4825" s="3336"/>
      <c r="P4825" s="3337"/>
    </row>
    <row r="4826" spans="7:16" s="1634" customFormat="1">
      <c r="G4826" s="3336"/>
      <c r="P4826" s="3337"/>
    </row>
    <row r="4827" spans="7:16" s="1634" customFormat="1">
      <c r="G4827" s="3336"/>
      <c r="P4827" s="3337"/>
    </row>
    <row r="4828" spans="7:16" s="1634" customFormat="1">
      <c r="G4828" s="3336"/>
      <c r="P4828" s="3337"/>
    </row>
    <row r="4829" spans="7:16" s="1634" customFormat="1">
      <c r="G4829" s="3336"/>
      <c r="P4829" s="3337"/>
    </row>
    <row r="4830" spans="7:16" s="1634" customFormat="1">
      <c r="G4830" s="3336"/>
      <c r="P4830" s="3337"/>
    </row>
    <row r="4831" spans="7:16" s="1634" customFormat="1">
      <c r="G4831" s="3336"/>
      <c r="P4831" s="3337"/>
    </row>
    <row r="4832" spans="7:16" s="1634" customFormat="1">
      <c r="G4832" s="3336"/>
      <c r="P4832" s="3337"/>
    </row>
    <row r="4833" spans="7:16" s="1634" customFormat="1">
      <c r="G4833" s="3336"/>
      <c r="P4833" s="3337"/>
    </row>
    <row r="4834" spans="7:16" s="1634" customFormat="1">
      <c r="G4834" s="3336"/>
      <c r="P4834" s="3337"/>
    </row>
    <row r="4835" spans="7:16" s="1634" customFormat="1">
      <c r="G4835" s="3336"/>
      <c r="P4835" s="3337"/>
    </row>
    <row r="4836" spans="7:16" s="1634" customFormat="1">
      <c r="G4836" s="3336"/>
      <c r="P4836" s="3337"/>
    </row>
    <row r="4837" spans="7:16" s="1634" customFormat="1">
      <c r="G4837" s="3336"/>
      <c r="P4837" s="3337"/>
    </row>
    <row r="4838" spans="7:16" s="1634" customFormat="1">
      <c r="G4838" s="3336"/>
      <c r="P4838" s="3337"/>
    </row>
    <row r="4839" spans="7:16" s="1634" customFormat="1">
      <c r="G4839" s="3336"/>
      <c r="P4839" s="3337"/>
    </row>
    <row r="4840" spans="7:16" s="1634" customFormat="1">
      <c r="G4840" s="3336"/>
      <c r="P4840" s="3337"/>
    </row>
    <row r="4841" spans="7:16" s="1634" customFormat="1">
      <c r="G4841" s="3336"/>
      <c r="P4841" s="3337"/>
    </row>
    <row r="4842" spans="7:16" s="1634" customFormat="1">
      <c r="G4842" s="3336"/>
      <c r="P4842" s="3337"/>
    </row>
    <row r="4843" spans="7:16" s="1634" customFormat="1">
      <c r="G4843" s="3336"/>
      <c r="P4843" s="3337"/>
    </row>
    <row r="4844" spans="7:16" s="1634" customFormat="1">
      <c r="G4844" s="3336"/>
      <c r="P4844" s="3337"/>
    </row>
    <row r="4845" spans="7:16" s="1634" customFormat="1">
      <c r="G4845" s="3336"/>
      <c r="P4845" s="3337"/>
    </row>
    <row r="4846" spans="7:16" s="1634" customFormat="1">
      <c r="G4846" s="3336"/>
      <c r="P4846" s="3337"/>
    </row>
    <row r="4847" spans="7:16" s="1634" customFormat="1">
      <c r="G4847" s="3336"/>
      <c r="P4847" s="3337"/>
    </row>
    <row r="4848" spans="7:16" s="1634" customFormat="1">
      <c r="G4848" s="3336"/>
      <c r="P4848" s="3337"/>
    </row>
    <row r="4849" spans="7:16" s="1634" customFormat="1">
      <c r="G4849" s="3336"/>
      <c r="P4849" s="3337"/>
    </row>
    <row r="4850" spans="7:16" s="1634" customFormat="1">
      <c r="G4850" s="3336"/>
      <c r="P4850" s="3337"/>
    </row>
    <row r="4851" spans="7:16" s="1634" customFormat="1">
      <c r="G4851" s="3336"/>
      <c r="P4851" s="3337"/>
    </row>
    <row r="4852" spans="7:16" s="1634" customFormat="1">
      <c r="G4852" s="3336"/>
      <c r="P4852" s="3337"/>
    </row>
    <row r="4853" spans="7:16" s="1634" customFormat="1">
      <c r="G4853" s="3336"/>
      <c r="P4853" s="3337"/>
    </row>
    <row r="4854" spans="7:16" s="1634" customFormat="1">
      <c r="G4854" s="3336"/>
      <c r="P4854" s="3337"/>
    </row>
    <row r="4855" spans="7:16" s="1634" customFormat="1">
      <c r="G4855" s="3336"/>
      <c r="P4855" s="3337"/>
    </row>
    <row r="4856" spans="7:16" s="1634" customFormat="1">
      <c r="G4856" s="3336"/>
      <c r="P4856" s="3337"/>
    </row>
    <row r="4857" spans="7:16" s="1634" customFormat="1">
      <c r="G4857" s="3336"/>
      <c r="P4857" s="3337"/>
    </row>
    <row r="4858" spans="7:16" s="1634" customFormat="1">
      <c r="G4858" s="3336"/>
      <c r="P4858" s="3337"/>
    </row>
    <row r="4859" spans="7:16" s="1634" customFormat="1">
      <c r="G4859" s="3336"/>
      <c r="P4859" s="3337"/>
    </row>
    <row r="4860" spans="7:16" s="1634" customFormat="1">
      <c r="G4860" s="3336"/>
      <c r="P4860" s="3337"/>
    </row>
    <row r="4861" spans="7:16" s="1634" customFormat="1">
      <c r="G4861" s="3336"/>
      <c r="P4861" s="3337"/>
    </row>
    <row r="4862" spans="7:16" s="1634" customFormat="1">
      <c r="G4862" s="3336"/>
      <c r="P4862" s="3337"/>
    </row>
    <row r="4863" spans="7:16" s="1634" customFormat="1">
      <c r="G4863" s="3336"/>
      <c r="P4863" s="3337"/>
    </row>
    <row r="4864" spans="7:16" s="1634" customFormat="1">
      <c r="G4864" s="3336"/>
      <c r="P4864" s="3337"/>
    </row>
    <row r="4865" spans="7:16" s="1634" customFormat="1">
      <c r="G4865" s="3336"/>
      <c r="P4865" s="3337"/>
    </row>
    <row r="4866" spans="7:16" s="1634" customFormat="1">
      <c r="G4866" s="3336"/>
      <c r="P4866" s="3337"/>
    </row>
    <row r="4867" spans="7:16" s="1634" customFormat="1">
      <c r="G4867" s="3336"/>
      <c r="P4867" s="3337"/>
    </row>
    <row r="4868" spans="7:16" s="1634" customFormat="1">
      <c r="G4868" s="3336"/>
      <c r="P4868" s="3337"/>
    </row>
    <row r="4869" spans="7:16" s="1634" customFormat="1">
      <c r="G4869" s="3336"/>
      <c r="P4869" s="3337"/>
    </row>
    <row r="4870" spans="7:16" s="1634" customFormat="1">
      <c r="G4870" s="3336"/>
      <c r="P4870" s="3337"/>
    </row>
    <row r="4871" spans="7:16" s="1634" customFormat="1">
      <c r="G4871" s="3336"/>
      <c r="P4871" s="3337"/>
    </row>
    <row r="4872" spans="7:16" s="1634" customFormat="1">
      <c r="G4872" s="3336"/>
      <c r="P4872" s="3337"/>
    </row>
    <row r="4873" spans="7:16" s="1634" customFormat="1">
      <c r="G4873" s="3336"/>
      <c r="P4873" s="3337"/>
    </row>
    <row r="4874" spans="7:16" s="1634" customFormat="1">
      <c r="G4874" s="3336"/>
      <c r="P4874" s="3337"/>
    </row>
    <row r="4875" spans="7:16" s="1634" customFormat="1">
      <c r="G4875" s="3336"/>
      <c r="P4875" s="3337"/>
    </row>
    <row r="4876" spans="7:16" s="1634" customFormat="1">
      <c r="G4876" s="3336"/>
      <c r="P4876" s="3337"/>
    </row>
    <row r="4877" spans="7:16" s="1634" customFormat="1">
      <c r="G4877" s="3336"/>
      <c r="P4877" s="3337"/>
    </row>
    <row r="4878" spans="7:16" s="1634" customFormat="1">
      <c r="G4878" s="3336"/>
      <c r="P4878" s="3337"/>
    </row>
    <row r="4879" spans="7:16" s="1634" customFormat="1">
      <c r="G4879" s="3336"/>
      <c r="P4879" s="3337"/>
    </row>
    <row r="4880" spans="7:16" s="1634" customFormat="1">
      <c r="G4880" s="3336"/>
      <c r="P4880" s="3337"/>
    </row>
    <row r="4881" spans="7:16" s="1634" customFormat="1">
      <c r="G4881" s="3336"/>
      <c r="P4881" s="3337"/>
    </row>
    <row r="4882" spans="7:16" s="1634" customFormat="1">
      <c r="G4882" s="3336"/>
      <c r="P4882" s="3337"/>
    </row>
    <row r="4883" spans="7:16" s="1634" customFormat="1">
      <c r="G4883" s="3336"/>
      <c r="P4883" s="3337"/>
    </row>
    <row r="4884" spans="7:16" s="1634" customFormat="1">
      <c r="G4884" s="3336"/>
      <c r="P4884" s="3337"/>
    </row>
    <row r="4885" spans="7:16" s="1634" customFormat="1">
      <c r="G4885" s="3336"/>
      <c r="P4885" s="3337"/>
    </row>
    <row r="4886" spans="7:16" s="1634" customFormat="1">
      <c r="G4886" s="3336"/>
      <c r="P4886" s="3337"/>
    </row>
    <row r="4887" spans="7:16" s="1634" customFormat="1">
      <c r="G4887" s="3336"/>
      <c r="P4887" s="3337"/>
    </row>
    <row r="4888" spans="7:16" s="1634" customFormat="1">
      <c r="G4888" s="3336"/>
      <c r="P4888" s="3337"/>
    </row>
    <row r="4889" spans="7:16" s="1634" customFormat="1">
      <c r="G4889" s="3336"/>
      <c r="P4889" s="3337"/>
    </row>
    <row r="4890" spans="7:16" s="1634" customFormat="1">
      <c r="G4890" s="3336"/>
      <c r="P4890" s="3337"/>
    </row>
    <row r="4891" spans="7:16" s="1634" customFormat="1">
      <c r="G4891" s="3336"/>
      <c r="P4891" s="3337"/>
    </row>
    <row r="4892" spans="7:16" s="1634" customFormat="1">
      <c r="G4892" s="3336"/>
      <c r="P4892" s="3337"/>
    </row>
    <row r="4893" spans="7:16" s="1634" customFormat="1">
      <c r="G4893" s="3336"/>
      <c r="P4893" s="3337"/>
    </row>
    <row r="4894" spans="7:16" s="1634" customFormat="1">
      <c r="G4894" s="3336"/>
      <c r="P4894" s="3337"/>
    </row>
    <row r="4895" spans="7:16" s="1634" customFormat="1">
      <c r="G4895" s="3336"/>
      <c r="P4895" s="3337"/>
    </row>
    <row r="4896" spans="7:16" s="1634" customFormat="1">
      <c r="G4896" s="3336"/>
      <c r="P4896" s="3337"/>
    </row>
    <row r="4897" spans="7:16" s="1634" customFormat="1">
      <c r="G4897" s="3336"/>
      <c r="P4897" s="3337"/>
    </row>
    <row r="4898" spans="7:16" s="1634" customFormat="1">
      <c r="G4898" s="3336"/>
      <c r="P4898" s="3337"/>
    </row>
    <row r="4899" spans="7:16" s="1634" customFormat="1">
      <c r="G4899" s="3336"/>
      <c r="P4899" s="3337"/>
    </row>
    <row r="4900" spans="7:16" s="1634" customFormat="1">
      <c r="G4900" s="3336"/>
      <c r="P4900" s="3337"/>
    </row>
    <row r="4901" spans="7:16" s="1634" customFormat="1">
      <c r="G4901" s="3336"/>
      <c r="P4901" s="3337"/>
    </row>
    <row r="4902" spans="7:16" s="1634" customFormat="1">
      <c r="G4902" s="3336"/>
      <c r="P4902" s="3337"/>
    </row>
    <row r="4903" spans="7:16" s="1634" customFormat="1">
      <c r="G4903" s="3336"/>
      <c r="P4903" s="3337"/>
    </row>
    <row r="4904" spans="7:16" s="1634" customFormat="1">
      <c r="G4904" s="3336"/>
      <c r="P4904" s="3337"/>
    </row>
    <row r="4905" spans="7:16" s="1634" customFormat="1">
      <c r="G4905" s="3336"/>
      <c r="P4905" s="3337"/>
    </row>
    <row r="4906" spans="7:16" s="1634" customFormat="1">
      <c r="G4906" s="3336"/>
      <c r="P4906" s="3337"/>
    </row>
    <row r="4907" spans="7:16" s="1634" customFormat="1">
      <c r="G4907" s="3336"/>
      <c r="P4907" s="3337"/>
    </row>
    <row r="4908" spans="7:16" s="1634" customFormat="1">
      <c r="G4908" s="3336"/>
      <c r="P4908" s="3337"/>
    </row>
    <row r="4909" spans="7:16" s="1634" customFormat="1">
      <c r="G4909" s="3336"/>
      <c r="P4909" s="3337"/>
    </row>
    <row r="4910" spans="7:16" s="1634" customFormat="1">
      <c r="G4910" s="3336"/>
      <c r="P4910" s="3337"/>
    </row>
    <row r="4911" spans="7:16" s="1634" customFormat="1">
      <c r="G4911" s="3336"/>
      <c r="P4911" s="3337"/>
    </row>
    <row r="4912" spans="7:16" s="1634" customFormat="1">
      <c r="G4912" s="3336"/>
      <c r="P4912" s="3337"/>
    </row>
    <row r="4913" spans="7:16" s="1634" customFormat="1">
      <c r="G4913" s="3336"/>
      <c r="P4913" s="3337"/>
    </row>
    <row r="4914" spans="7:16" s="1634" customFormat="1">
      <c r="G4914" s="3336"/>
      <c r="P4914" s="3337"/>
    </row>
    <row r="4915" spans="7:16" s="1634" customFormat="1">
      <c r="G4915" s="3336"/>
      <c r="P4915" s="3337"/>
    </row>
    <row r="4916" spans="7:16" s="1634" customFormat="1">
      <c r="G4916" s="3336"/>
      <c r="P4916" s="3337"/>
    </row>
    <row r="4917" spans="7:16" s="1634" customFormat="1">
      <c r="G4917" s="3336"/>
      <c r="P4917" s="3337"/>
    </row>
    <row r="4918" spans="7:16" s="1634" customFormat="1">
      <c r="G4918" s="3336"/>
      <c r="P4918" s="3337"/>
    </row>
    <row r="4919" spans="7:16" s="1634" customFormat="1">
      <c r="G4919" s="3336"/>
      <c r="P4919" s="3337"/>
    </row>
    <row r="4920" spans="7:16" s="1634" customFormat="1">
      <c r="G4920" s="3336"/>
      <c r="P4920" s="3337"/>
    </row>
    <row r="4921" spans="7:16" s="1634" customFormat="1">
      <c r="G4921" s="3336"/>
      <c r="P4921" s="3337"/>
    </row>
    <row r="4922" spans="7:16" s="1634" customFormat="1">
      <c r="G4922" s="3336"/>
      <c r="P4922" s="3337"/>
    </row>
    <row r="4923" spans="7:16" s="1634" customFormat="1">
      <c r="G4923" s="3336"/>
      <c r="P4923" s="3337"/>
    </row>
    <row r="4924" spans="7:16" s="1634" customFormat="1">
      <c r="G4924" s="3336"/>
      <c r="P4924" s="3337"/>
    </row>
    <row r="4925" spans="7:16" s="1634" customFormat="1">
      <c r="G4925" s="3336"/>
      <c r="P4925" s="3337"/>
    </row>
    <row r="4926" spans="7:16" s="1634" customFormat="1">
      <c r="G4926" s="3336"/>
      <c r="P4926" s="3337"/>
    </row>
    <row r="4927" spans="7:16" s="1634" customFormat="1">
      <c r="G4927" s="3336"/>
      <c r="P4927" s="3337"/>
    </row>
    <row r="4928" spans="7:16" s="1634" customFormat="1">
      <c r="G4928" s="3336"/>
      <c r="P4928" s="3337"/>
    </row>
    <row r="4929" spans="7:16" s="1634" customFormat="1">
      <c r="G4929" s="3336"/>
      <c r="P4929" s="3337"/>
    </row>
    <row r="4930" spans="7:16" s="1634" customFormat="1">
      <c r="G4930" s="3336"/>
      <c r="P4930" s="3337"/>
    </row>
    <row r="4931" spans="7:16" s="1634" customFormat="1">
      <c r="G4931" s="3336"/>
      <c r="P4931" s="3337"/>
    </row>
    <row r="4932" spans="7:16" s="1634" customFormat="1">
      <c r="G4932" s="3336"/>
      <c r="P4932" s="3337"/>
    </row>
    <row r="4933" spans="7:16" s="1634" customFormat="1">
      <c r="G4933" s="3336"/>
      <c r="P4933" s="3337"/>
    </row>
    <row r="4934" spans="7:16" s="1634" customFormat="1">
      <c r="G4934" s="3336"/>
      <c r="P4934" s="3337"/>
    </row>
    <row r="4935" spans="7:16" s="1634" customFormat="1">
      <c r="G4935" s="3336"/>
      <c r="P4935" s="3337"/>
    </row>
    <row r="4936" spans="7:16" s="1634" customFormat="1">
      <c r="G4936" s="3336"/>
      <c r="P4936" s="3337"/>
    </row>
    <row r="4937" spans="7:16" s="1634" customFormat="1">
      <c r="G4937" s="3336"/>
      <c r="P4937" s="3337"/>
    </row>
    <row r="4938" spans="7:16" s="1634" customFormat="1">
      <c r="G4938" s="3336"/>
      <c r="P4938" s="3337"/>
    </row>
    <row r="4939" spans="7:16" s="1634" customFormat="1">
      <c r="G4939" s="3336"/>
      <c r="P4939" s="3337"/>
    </row>
    <row r="4940" spans="7:16" s="1634" customFormat="1">
      <c r="G4940" s="3336"/>
      <c r="P4940" s="3337"/>
    </row>
    <row r="4941" spans="7:16" s="1634" customFormat="1">
      <c r="G4941" s="3336"/>
      <c r="P4941" s="3337"/>
    </row>
    <row r="4942" spans="7:16" s="1634" customFormat="1">
      <c r="G4942" s="3336"/>
      <c r="P4942" s="3337"/>
    </row>
    <row r="4943" spans="7:16" s="1634" customFormat="1">
      <c r="G4943" s="3336"/>
      <c r="P4943" s="3337"/>
    </row>
    <row r="4944" spans="7:16" s="1634" customFormat="1">
      <c r="G4944" s="3336"/>
      <c r="P4944" s="3337"/>
    </row>
    <row r="4945" spans="7:16" s="1634" customFormat="1">
      <c r="G4945" s="3336"/>
      <c r="P4945" s="3337"/>
    </row>
    <row r="4946" spans="7:16" s="1634" customFormat="1">
      <c r="G4946" s="3336"/>
      <c r="P4946" s="3337"/>
    </row>
    <row r="4947" spans="7:16" s="1634" customFormat="1">
      <c r="G4947" s="3336"/>
      <c r="P4947" s="3337"/>
    </row>
    <row r="4948" spans="7:16" s="1634" customFormat="1">
      <c r="G4948" s="3336"/>
      <c r="P4948" s="3337"/>
    </row>
    <row r="4949" spans="7:16" s="1634" customFormat="1">
      <c r="G4949" s="3336"/>
      <c r="P4949" s="3337"/>
    </row>
    <row r="4950" spans="7:16" s="1634" customFormat="1">
      <c r="G4950" s="3336"/>
      <c r="P4950" s="3337"/>
    </row>
    <row r="4951" spans="7:16" s="1634" customFormat="1">
      <c r="G4951" s="3336"/>
      <c r="P4951" s="3337"/>
    </row>
    <row r="4952" spans="7:16" s="1634" customFormat="1">
      <c r="G4952" s="3336"/>
      <c r="P4952" s="3337"/>
    </row>
    <row r="4953" spans="7:16" s="1634" customFormat="1">
      <c r="G4953" s="3336"/>
      <c r="P4953" s="3337"/>
    </row>
    <row r="4954" spans="7:16" s="1634" customFormat="1">
      <c r="G4954" s="3336"/>
      <c r="P4954" s="3337"/>
    </row>
    <row r="4955" spans="7:16" s="1634" customFormat="1">
      <c r="G4955" s="3336"/>
      <c r="P4955" s="3337"/>
    </row>
    <row r="4956" spans="7:16" s="1634" customFormat="1">
      <c r="G4956" s="3336"/>
      <c r="P4956" s="3337"/>
    </row>
    <row r="4957" spans="7:16" s="1634" customFormat="1">
      <c r="G4957" s="3336"/>
      <c r="P4957" s="3337"/>
    </row>
    <row r="4958" spans="7:16" s="1634" customFormat="1">
      <c r="G4958" s="3336"/>
      <c r="P4958" s="3337"/>
    </row>
    <row r="4959" spans="7:16" s="1634" customFormat="1">
      <c r="G4959" s="3336"/>
      <c r="P4959" s="3337"/>
    </row>
    <row r="4960" spans="7:16" s="1634" customFormat="1">
      <c r="G4960" s="3336"/>
      <c r="P4960" s="3337"/>
    </row>
    <row r="4961" spans="7:16" s="1634" customFormat="1">
      <c r="G4961" s="3336"/>
      <c r="P4961" s="3337"/>
    </row>
    <row r="4962" spans="7:16" s="1634" customFormat="1">
      <c r="G4962" s="3336"/>
      <c r="P4962" s="3337"/>
    </row>
    <row r="4963" spans="7:16" s="1634" customFormat="1">
      <c r="G4963" s="3336"/>
      <c r="P4963" s="3337"/>
    </row>
    <row r="4964" spans="7:16" s="1634" customFormat="1">
      <c r="G4964" s="3336"/>
      <c r="P4964" s="3337"/>
    </row>
    <row r="4965" spans="7:16" s="1634" customFormat="1">
      <c r="G4965" s="3336"/>
      <c r="P4965" s="3337"/>
    </row>
    <row r="4966" spans="7:16" s="1634" customFormat="1">
      <c r="G4966" s="3336"/>
      <c r="P4966" s="3337"/>
    </row>
    <row r="4967" spans="7:16" s="1634" customFormat="1">
      <c r="G4967" s="3336"/>
      <c r="P4967" s="3337"/>
    </row>
    <row r="4968" spans="7:16" s="1634" customFormat="1">
      <c r="G4968" s="3336"/>
      <c r="P4968" s="3337"/>
    </row>
    <row r="4969" spans="7:16" s="1634" customFormat="1">
      <c r="G4969" s="3336"/>
      <c r="P4969" s="3337"/>
    </row>
    <row r="4970" spans="7:16" s="1634" customFormat="1">
      <c r="G4970" s="3336"/>
      <c r="P4970" s="3337"/>
    </row>
    <row r="4971" spans="7:16" s="1634" customFormat="1">
      <c r="G4971" s="3336"/>
      <c r="P4971" s="3337"/>
    </row>
    <row r="4972" spans="7:16" s="1634" customFormat="1">
      <c r="G4972" s="3336"/>
      <c r="P4972" s="3337"/>
    </row>
    <row r="4973" spans="7:16" s="1634" customFormat="1">
      <c r="G4973" s="3336"/>
      <c r="P4973" s="3337"/>
    </row>
    <row r="4974" spans="7:16" s="1634" customFormat="1">
      <c r="G4974" s="3336"/>
      <c r="P4974" s="3337"/>
    </row>
    <row r="4975" spans="7:16" s="1634" customFormat="1">
      <c r="G4975" s="3336"/>
      <c r="P4975" s="3337"/>
    </row>
    <row r="4976" spans="7:16" s="1634" customFormat="1">
      <c r="G4976" s="3336"/>
      <c r="P4976" s="3337"/>
    </row>
    <row r="4977" spans="7:16" s="1634" customFormat="1">
      <c r="G4977" s="3336"/>
      <c r="P4977" s="3337"/>
    </row>
    <row r="4978" spans="7:16" s="1634" customFormat="1">
      <c r="G4978" s="3336"/>
      <c r="P4978" s="3337"/>
    </row>
    <row r="4979" spans="7:16" s="1634" customFormat="1">
      <c r="G4979" s="3336"/>
      <c r="P4979" s="3337"/>
    </row>
    <row r="4980" spans="7:16" s="1634" customFormat="1">
      <c r="G4980" s="3336"/>
      <c r="P4980" s="3337"/>
    </row>
    <row r="4981" spans="7:16" s="1634" customFormat="1">
      <c r="G4981" s="3336"/>
      <c r="P4981" s="3337"/>
    </row>
    <row r="4982" spans="7:16" s="1634" customFormat="1">
      <c r="G4982" s="3336"/>
      <c r="P4982" s="3337"/>
    </row>
    <row r="4983" spans="7:16" s="1634" customFormat="1">
      <c r="G4983" s="3336"/>
      <c r="P4983" s="3337"/>
    </row>
    <row r="4984" spans="7:16" s="1634" customFormat="1">
      <c r="G4984" s="3336"/>
      <c r="P4984" s="3337"/>
    </row>
    <row r="4985" spans="7:16" s="1634" customFormat="1">
      <c r="G4985" s="3336"/>
      <c r="P4985" s="3337"/>
    </row>
    <row r="4986" spans="7:16" s="1634" customFormat="1">
      <c r="G4986" s="3336"/>
      <c r="P4986" s="3337"/>
    </row>
    <row r="4987" spans="7:16" s="1634" customFormat="1">
      <c r="G4987" s="3336"/>
      <c r="P4987" s="3337"/>
    </row>
    <row r="4988" spans="7:16" s="1634" customFormat="1">
      <c r="G4988" s="3336"/>
      <c r="P4988" s="3337"/>
    </row>
    <row r="4989" spans="7:16" s="1634" customFormat="1">
      <c r="G4989" s="3336"/>
      <c r="P4989" s="3337"/>
    </row>
    <row r="4990" spans="7:16" s="1634" customFormat="1">
      <c r="G4990" s="3336"/>
      <c r="P4990" s="3337"/>
    </row>
    <row r="4991" spans="7:16" s="1634" customFormat="1">
      <c r="G4991" s="3336"/>
      <c r="P4991" s="3337"/>
    </row>
    <row r="4992" spans="7:16" s="1634" customFormat="1">
      <c r="G4992" s="3336"/>
      <c r="P4992" s="3337"/>
    </row>
    <row r="4993" spans="7:16" s="1634" customFormat="1">
      <c r="G4993" s="3336"/>
      <c r="P4993" s="3337"/>
    </row>
    <row r="4994" spans="7:16" s="1634" customFormat="1">
      <c r="G4994" s="3336"/>
      <c r="P4994" s="3337"/>
    </row>
    <row r="4995" spans="7:16" s="1634" customFormat="1">
      <c r="G4995" s="3336"/>
      <c r="P4995" s="3337"/>
    </row>
    <row r="4996" spans="7:16" s="1634" customFormat="1">
      <c r="G4996" s="3336"/>
      <c r="P4996" s="3337"/>
    </row>
    <row r="4997" spans="7:16" s="1634" customFormat="1">
      <c r="G4997" s="3336"/>
      <c r="P4997" s="3337"/>
    </row>
    <row r="4998" spans="7:16" s="1634" customFormat="1">
      <c r="G4998" s="3336"/>
      <c r="P4998" s="3337"/>
    </row>
    <row r="4999" spans="7:16" s="1634" customFormat="1">
      <c r="G4999" s="3336"/>
      <c r="P4999" s="3337"/>
    </row>
    <row r="5000" spans="7:16" s="1634" customFormat="1">
      <c r="G5000" s="3336"/>
      <c r="P5000" s="3337"/>
    </row>
    <row r="5001" spans="7:16" s="1634" customFormat="1">
      <c r="G5001" s="3336"/>
      <c r="P5001" s="3337"/>
    </row>
    <row r="5002" spans="7:16" s="1634" customFormat="1">
      <c r="G5002" s="3336"/>
      <c r="P5002" s="3337"/>
    </row>
    <row r="5003" spans="7:16" s="1634" customFormat="1">
      <c r="G5003" s="3336"/>
      <c r="P5003" s="3337"/>
    </row>
    <row r="5004" spans="7:16" s="1634" customFormat="1">
      <c r="G5004" s="3336"/>
      <c r="P5004" s="3337"/>
    </row>
    <row r="5005" spans="7:16" s="1634" customFormat="1">
      <c r="G5005" s="3336"/>
      <c r="P5005" s="3337"/>
    </row>
    <row r="5006" spans="7:16" s="1634" customFormat="1">
      <c r="G5006" s="3336"/>
      <c r="P5006" s="3337"/>
    </row>
    <row r="5007" spans="7:16" s="1634" customFormat="1">
      <c r="G5007" s="3336"/>
      <c r="P5007" s="3337"/>
    </row>
    <row r="5008" spans="7:16" s="1634" customFormat="1">
      <c r="G5008" s="3336"/>
      <c r="P5008" s="3337"/>
    </row>
    <row r="5009" spans="7:16" s="1634" customFormat="1">
      <c r="G5009" s="3336"/>
      <c r="P5009" s="3337"/>
    </row>
    <row r="5010" spans="7:16" s="1634" customFormat="1">
      <c r="G5010" s="3336"/>
      <c r="P5010" s="3337"/>
    </row>
    <row r="5011" spans="7:16" s="1634" customFormat="1">
      <c r="G5011" s="3336"/>
      <c r="P5011" s="3337"/>
    </row>
    <row r="5012" spans="7:16" s="1634" customFormat="1">
      <c r="G5012" s="3336"/>
      <c r="P5012" s="3337"/>
    </row>
    <row r="5013" spans="7:16" s="1634" customFormat="1">
      <c r="G5013" s="3336"/>
      <c r="P5013" s="3337"/>
    </row>
    <row r="5014" spans="7:16" s="1634" customFormat="1">
      <c r="G5014" s="3336"/>
      <c r="P5014" s="3337"/>
    </row>
    <row r="5015" spans="7:16" s="1634" customFormat="1">
      <c r="G5015" s="3336"/>
      <c r="P5015" s="3337"/>
    </row>
    <row r="5016" spans="7:16" s="1634" customFormat="1">
      <c r="G5016" s="3336"/>
      <c r="P5016" s="3337"/>
    </row>
    <row r="5017" spans="7:16" s="1634" customFormat="1">
      <c r="G5017" s="3336"/>
      <c r="P5017" s="3337"/>
    </row>
    <row r="5018" spans="7:16" s="1634" customFormat="1">
      <c r="G5018" s="3336"/>
      <c r="P5018" s="3337"/>
    </row>
    <row r="5019" spans="7:16" s="1634" customFormat="1">
      <c r="G5019" s="3336"/>
      <c r="P5019" s="3337"/>
    </row>
    <row r="5020" spans="7:16" s="1634" customFormat="1">
      <c r="G5020" s="3336"/>
      <c r="P5020" s="3337"/>
    </row>
    <row r="5021" spans="7:16" s="1634" customFormat="1">
      <c r="G5021" s="3336"/>
      <c r="P5021" s="3337"/>
    </row>
    <row r="5022" spans="7:16" s="1634" customFormat="1">
      <c r="G5022" s="3336"/>
      <c r="P5022" s="3337"/>
    </row>
    <row r="5023" spans="7:16" s="1634" customFormat="1">
      <c r="G5023" s="3336"/>
      <c r="P5023" s="3337"/>
    </row>
    <row r="5024" spans="7:16" s="1634" customFormat="1">
      <c r="G5024" s="3336"/>
      <c r="P5024" s="3337"/>
    </row>
    <row r="5025" spans="7:16" s="1634" customFormat="1">
      <c r="G5025" s="3336"/>
      <c r="P5025" s="3337"/>
    </row>
    <row r="5026" spans="7:16" s="1634" customFormat="1">
      <c r="G5026" s="3336"/>
      <c r="P5026" s="3337"/>
    </row>
    <row r="5027" spans="7:16" s="1634" customFormat="1">
      <c r="G5027" s="3336"/>
      <c r="P5027" s="3337"/>
    </row>
    <row r="5028" spans="7:16" s="1634" customFormat="1">
      <c r="G5028" s="3336"/>
      <c r="P5028" s="3337"/>
    </row>
    <row r="5029" spans="7:16" s="1634" customFormat="1">
      <c r="G5029" s="3336"/>
      <c r="P5029" s="3337"/>
    </row>
    <row r="5030" spans="7:16" s="1634" customFormat="1">
      <c r="G5030" s="3336"/>
      <c r="P5030" s="3337"/>
    </row>
    <row r="5031" spans="7:16" s="1634" customFormat="1">
      <c r="G5031" s="3336"/>
      <c r="P5031" s="3337"/>
    </row>
    <row r="5032" spans="7:16" s="1634" customFormat="1">
      <c r="G5032" s="3336"/>
      <c r="P5032" s="3337"/>
    </row>
    <row r="5033" spans="7:16" s="1634" customFormat="1">
      <c r="G5033" s="3336"/>
      <c r="P5033" s="3337"/>
    </row>
    <row r="5034" spans="7:16" s="1634" customFormat="1">
      <c r="G5034" s="3336"/>
      <c r="P5034" s="3337"/>
    </row>
    <row r="5035" spans="7:16" s="1634" customFormat="1">
      <c r="G5035" s="3336"/>
      <c r="P5035" s="3337"/>
    </row>
    <row r="5036" spans="7:16" s="1634" customFormat="1">
      <c r="G5036" s="3336"/>
      <c r="P5036" s="3337"/>
    </row>
    <row r="5037" spans="7:16" s="1634" customFormat="1">
      <c r="G5037" s="3336"/>
      <c r="P5037" s="3337"/>
    </row>
    <row r="5038" spans="7:16" s="1634" customFormat="1">
      <c r="G5038" s="3336"/>
      <c r="P5038" s="3337"/>
    </row>
    <row r="5039" spans="7:16" s="1634" customFormat="1">
      <c r="G5039" s="3336"/>
      <c r="P5039" s="3337"/>
    </row>
    <row r="5040" spans="7:16" s="1634" customFormat="1">
      <c r="G5040" s="3336"/>
      <c r="P5040" s="3337"/>
    </row>
    <row r="5041" spans="7:16" s="1634" customFormat="1">
      <c r="G5041" s="3336"/>
      <c r="P5041" s="3337"/>
    </row>
    <row r="5042" spans="7:16" s="1634" customFormat="1">
      <c r="G5042" s="3336"/>
      <c r="P5042" s="3337"/>
    </row>
    <row r="5043" spans="7:16" s="1634" customFormat="1">
      <c r="G5043" s="3336"/>
      <c r="P5043" s="3337"/>
    </row>
    <row r="5044" spans="7:16" s="1634" customFormat="1">
      <c r="G5044" s="3336"/>
      <c r="P5044" s="3337"/>
    </row>
    <row r="5045" spans="7:16" s="1634" customFormat="1">
      <c r="G5045" s="3336"/>
      <c r="P5045" s="3337"/>
    </row>
    <row r="5046" spans="7:16" s="1634" customFormat="1">
      <c r="G5046" s="3336"/>
      <c r="P5046" s="3337"/>
    </row>
    <row r="5047" spans="7:16" s="1634" customFormat="1">
      <c r="G5047" s="3336"/>
      <c r="P5047" s="3337"/>
    </row>
    <row r="5048" spans="7:16" s="1634" customFormat="1">
      <c r="G5048" s="3336"/>
      <c r="P5048" s="3337"/>
    </row>
    <row r="5049" spans="7:16" s="1634" customFormat="1">
      <c r="G5049" s="3336"/>
      <c r="P5049" s="3337"/>
    </row>
    <row r="5050" spans="7:16" s="1634" customFormat="1">
      <c r="G5050" s="3336"/>
      <c r="P5050" s="3337"/>
    </row>
    <row r="5051" spans="7:16" s="1634" customFormat="1">
      <c r="G5051" s="3336"/>
      <c r="P5051" s="3337"/>
    </row>
    <row r="5052" spans="7:16" s="1634" customFormat="1">
      <c r="G5052" s="3336"/>
      <c r="P5052" s="3337"/>
    </row>
    <row r="5053" spans="7:16" s="1634" customFormat="1">
      <c r="G5053" s="3336"/>
      <c r="P5053" s="3337"/>
    </row>
    <row r="5054" spans="7:16" s="1634" customFormat="1">
      <c r="G5054" s="3336"/>
      <c r="P5054" s="3337"/>
    </row>
    <row r="5055" spans="7:16" s="1634" customFormat="1">
      <c r="G5055" s="3336"/>
      <c r="P5055" s="3337"/>
    </row>
    <row r="5056" spans="7:16" s="1634" customFormat="1">
      <c r="G5056" s="3336"/>
      <c r="P5056" s="3337"/>
    </row>
    <row r="5057" spans="7:16" s="1634" customFormat="1">
      <c r="G5057" s="3336"/>
      <c r="P5057" s="3337"/>
    </row>
    <row r="5058" spans="7:16" s="1634" customFormat="1">
      <c r="G5058" s="3336"/>
      <c r="P5058" s="3337"/>
    </row>
    <row r="5059" spans="7:16" s="1634" customFormat="1">
      <c r="G5059" s="3336"/>
      <c r="P5059" s="3337"/>
    </row>
    <row r="5060" spans="7:16" s="1634" customFormat="1">
      <c r="G5060" s="3336"/>
      <c r="P5060" s="3337"/>
    </row>
    <row r="5061" spans="7:16" s="1634" customFormat="1">
      <c r="G5061" s="3336"/>
      <c r="P5061" s="3337"/>
    </row>
    <row r="5062" spans="7:16" s="1634" customFormat="1">
      <c r="G5062" s="3336"/>
      <c r="P5062" s="3337"/>
    </row>
    <row r="5063" spans="7:16" s="1634" customFormat="1">
      <c r="G5063" s="3336"/>
      <c r="P5063" s="3337"/>
    </row>
    <row r="5064" spans="7:16" s="1634" customFormat="1">
      <c r="G5064" s="3336"/>
      <c r="P5064" s="3337"/>
    </row>
    <row r="5065" spans="7:16" s="1634" customFormat="1">
      <c r="G5065" s="3336"/>
      <c r="P5065" s="3337"/>
    </row>
    <row r="5066" spans="7:16" s="1634" customFormat="1">
      <c r="G5066" s="3336"/>
      <c r="P5066" s="3337"/>
    </row>
    <row r="5067" spans="7:16" s="1634" customFormat="1">
      <c r="G5067" s="3336"/>
      <c r="P5067" s="3337"/>
    </row>
    <row r="5068" spans="7:16" s="1634" customFormat="1">
      <c r="G5068" s="3336"/>
      <c r="P5068" s="3337"/>
    </row>
    <row r="5069" spans="7:16" s="1634" customFormat="1">
      <c r="G5069" s="3336"/>
      <c r="P5069" s="3337"/>
    </row>
    <row r="5070" spans="7:16" s="1634" customFormat="1">
      <c r="G5070" s="3336"/>
      <c r="P5070" s="3337"/>
    </row>
    <row r="5071" spans="7:16" s="1634" customFormat="1">
      <c r="G5071" s="3336"/>
      <c r="P5071" s="3337"/>
    </row>
    <row r="5072" spans="7:16" s="1634" customFormat="1">
      <c r="G5072" s="3336"/>
      <c r="P5072" s="3337"/>
    </row>
    <row r="5073" spans="7:16" s="1634" customFormat="1">
      <c r="G5073" s="3336"/>
      <c r="P5073" s="3337"/>
    </row>
    <row r="5074" spans="7:16" s="1634" customFormat="1">
      <c r="G5074" s="3336"/>
      <c r="P5074" s="3337"/>
    </row>
    <row r="5075" spans="7:16" s="1634" customFormat="1">
      <c r="G5075" s="3336"/>
      <c r="P5075" s="3337"/>
    </row>
    <row r="5076" spans="7:16" s="1634" customFormat="1">
      <c r="G5076" s="3336"/>
      <c r="P5076" s="3337"/>
    </row>
    <row r="5077" spans="7:16" s="1634" customFormat="1">
      <c r="G5077" s="3336"/>
      <c r="P5077" s="3337"/>
    </row>
    <row r="5078" spans="7:16" s="1634" customFormat="1">
      <c r="G5078" s="3336"/>
      <c r="P5078" s="3337"/>
    </row>
    <row r="5079" spans="7:16" s="1634" customFormat="1">
      <c r="G5079" s="3336"/>
      <c r="P5079" s="3337"/>
    </row>
    <row r="5080" spans="7:16" s="1634" customFormat="1">
      <c r="G5080" s="3336"/>
      <c r="P5080" s="3337"/>
    </row>
    <row r="5081" spans="7:16" s="1634" customFormat="1">
      <c r="G5081" s="3336"/>
      <c r="P5081" s="3337"/>
    </row>
    <row r="5082" spans="7:16" s="1634" customFormat="1">
      <c r="G5082" s="3336"/>
      <c r="P5082" s="3337"/>
    </row>
    <row r="5083" spans="7:16" s="1634" customFormat="1">
      <c r="G5083" s="3336"/>
      <c r="P5083" s="3337"/>
    </row>
    <row r="5084" spans="7:16" s="1634" customFormat="1">
      <c r="G5084" s="3336"/>
      <c r="P5084" s="3337"/>
    </row>
    <row r="5085" spans="7:16" s="1634" customFormat="1">
      <c r="G5085" s="3336"/>
      <c r="P5085" s="3337"/>
    </row>
    <row r="5086" spans="7:16" s="1634" customFormat="1">
      <c r="G5086" s="3336"/>
      <c r="P5086" s="3337"/>
    </row>
    <row r="5087" spans="7:16" s="1634" customFormat="1">
      <c r="G5087" s="3336"/>
      <c r="P5087" s="3337"/>
    </row>
    <row r="5088" spans="7:16" s="1634" customFormat="1">
      <c r="G5088" s="3336"/>
      <c r="P5088" s="3337"/>
    </row>
    <row r="5089" spans="7:16" s="1634" customFormat="1">
      <c r="G5089" s="3336"/>
      <c r="P5089" s="3337"/>
    </row>
    <row r="5090" spans="7:16" s="1634" customFormat="1">
      <c r="G5090" s="3336"/>
      <c r="P5090" s="3337"/>
    </row>
    <row r="5091" spans="7:16" s="1634" customFormat="1">
      <c r="G5091" s="3336"/>
      <c r="P5091" s="3337"/>
    </row>
    <row r="5092" spans="7:16" s="1634" customFormat="1">
      <c r="G5092" s="3336"/>
      <c r="P5092" s="3337"/>
    </row>
    <row r="5093" spans="7:16" s="1634" customFormat="1">
      <c r="G5093" s="3336"/>
      <c r="P5093" s="3337"/>
    </row>
    <row r="5094" spans="7:16" s="1634" customFormat="1">
      <c r="G5094" s="3336"/>
      <c r="P5094" s="3337"/>
    </row>
    <row r="5095" spans="7:16" s="1634" customFormat="1">
      <c r="G5095" s="3336"/>
      <c r="P5095" s="3337"/>
    </row>
    <row r="5096" spans="7:16" s="1634" customFormat="1">
      <c r="G5096" s="3336"/>
      <c r="P5096" s="3337"/>
    </row>
    <row r="5097" spans="7:16" s="1634" customFormat="1">
      <c r="G5097" s="3336"/>
      <c r="P5097" s="3337"/>
    </row>
    <row r="5098" spans="7:16" s="1634" customFormat="1">
      <c r="G5098" s="3336"/>
      <c r="P5098" s="3337"/>
    </row>
    <row r="5099" spans="7:16" s="1634" customFormat="1">
      <c r="G5099" s="3336"/>
      <c r="P5099" s="3337"/>
    </row>
    <row r="5100" spans="7:16" s="1634" customFormat="1">
      <c r="G5100" s="3336"/>
      <c r="P5100" s="3337"/>
    </row>
    <row r="5101" spans="7:16" s="1634" customFormat="1">
      <c r="G5101" s="3336"/>
      <c r="P5101" s="3337"/>
    </row>
    <row r="5102" spans="7:16" s="1634" customFormat="1">
      <c r="G5102" s="3336"/>
      <c r="P5102" s="3337"/>
    </row>
    <row r="5103" spans="7:16" s="1634" customFormat="1">
      <c r="G5103" s="3336"/>
      <c r="P5103" s="3337"/>
    </row>
    <row r="5104" spans="7:16" s="1634" customFormat="1">
      <c r="G5104" s="3336"/>
      <c r="P5104" s="3337"/>
    </row>
    <row r="5105" spans="7:16" s="1634" customFormat="1">
      <c r="G5105" s="3336"/>
      <c r="P5105" s="3337"/>
    </row>
    <row r="5106" spans="7:16" s="1634" customFormat="1">
      <c r="G5106" s="3336"/>
      <c r="P5106" s="3337"/>
    </row>
    <row r="5107" spans="7:16" s="1634" customFormat="1">
      <c r="G5107" s="3336"/>
      <c r="P5107" s="3337"/>
    </row>
    <row r="5108" spans="7:16" s="1634" customFormat="1">
      <c r="G5108" s="3336"/>
      <c r="P5108" s="3337"/>
    </row>
    <row r="5109" spans="7:16" s="1634" customFormat="1">
      <c r="G5109" s="3336"/>
      <c r="P5109" s="3337"/>
    </row>
    <row r="5110" spans="7:16" s="1634" customFormat="1">
      <c r="G5110" s="3336"/>
      <c r="P5110" s="3337"/>
    </row>
    <row r="5111" spans="7:16" s="1634" customFormat="1">
      <c r="G5111" s="3336"/>
      <c r="P5111" s="3337"/>
    </row>
    <row r="5112" spans="7:16" s="1634" customFormat="1">
      <c r="G5112" s="3336"/>
      <c r="P5112" s="3337"/>
    </row>
    <row r="5113" spans="7:16" s="1634" customFormat="1">
      <c r="G5113" s="3336"/>
      <c r="P5113" s="3337"/>
    </row>
    <row r="5114" spans="7:16" s="1634" customFormat="1">
      <c r="G5114" s="3336"/>
      <c r="P5114" s="3337"/>
    </row>
    <row r="5115" spans="7:16" s="1634" customFormat="1">
      <c r="G5115" s="3336"/>
      <c r="P5115" s="3337"/>
    </row>
    <row r="5116" spans="7:16" s="1634" customFormat="1">
      <c r="G5116" s="3336"/>
      <c r="P5116" s="3337"/>
    </row>
    <row r="5117" spans="7:16" s="1634" customFormat="1">
      <c r="G5117" s="3336"/>
      <c r="P5117" s="3337"/>
    </row>
    <row r="5118" spans="7:16" s="1634" customFormat="1">
      <c r="G5118" s="3336"/>
      <c r="P5118" s="3337"/>
    </row>
    <row r="5119" spans="7:16" s="1634" customFormat="1">
      <c r="G5119" s="3336"/>
      <c r="P5119" s="3337"/>
    </row>
    <row r="5120" spans="7:16" s="1634" customFormat="1">
      <c r="G5120" s="3336"/>
      <c r="P5120" s="3337"/>
    </row>
    <row r="5121" spans="7:16" s="1634" customFormat="1">
      <c r="G5121" s="3336"/>
      <c r="P5121" s="3337"/>
    </row>
    <row r="5122" spans="7:16" s="1634" customFormat="1">
      <c r="G5122" s="3336"/>
      <c r="P5122" s="3337"/>
    </row>
    <row r="5123" spans="7:16" s="1634" customFormat="1">
      <c r="G5123" s="3336"/>
      <c r="P5123" s="3337"/>
    </row>
    <row r="5124" spans="7:16" s="1634" customFormat="1">
      <c r="G5124" s="3336"/>
      <c r="P5124" s="3337"/>
    </row>
    <row r="5125" spans="7:16" s="1634" customFormat="1">
      <c r="G5125" s="3336"/>
      <c r="P5125" s="3337"/>
    </row>
    <row r="5126" spans="7:16" s="1634" customFormat="1">
      <c r="G5126" s="3336"/>
      <c r="P5126" s="3337"/>
    </row>
    <row r="5127" spans="7:16" s="1634" customFormat="1">
      <c r="G5127" s="3336"/>
      <c r="P5127" s="3337"/>
    </row>
    <row r="5128" spans="7:16" s="1634" customFormat="1">
      <c r="G5128" s="3336"/>
      <c r="P5128" s="3337"/>
    </row>
    <row r="5129" spans="7:16" s="1634" customFormat="1">
      <c r="G5129" s="3336"/>
      <c r="P5129" s="3337"/>
    </row>
    <row r="5130" spans="7:16" s="1634" customFormat="1">
      <c r="G5130" s="3336"/>
      <c r="P5130" s="3337"/>
    </row>
    <row r="5131" spans="7:16" s="1634" customFormat="1">
      <c r="G5131" s="3336"/>
      <c r="P5131" s="3337"/>
    </row>
    <row r="5132" spans="7:16" s="1634" customFormat="1">
      <c r="G5132" s="3336"/>
      <c r="P5132" s="3337"/>
    </row>
    <row r="5133" spans="7:16" s="1634" customFormat="1">
      <c r="G5133" s="3336"/>
      <c r="P5133" s="3337"/>
    </row>
    <row r="5134" spans="7:16" s="1634" customFormat="1">
      <c r="G5134" s="3336"/>
      <c r="P5134" s="3337"/>
    </row>
    <row r="5135" spans="7:16" s="1634" customFormat="1">
      <c r="G5135" s="3336"/>
      <c r="P5135" s="3337"/>
    </row>
    <row r="5136" spans="7:16" s="1634" customFormat="1">
      <c r="G5136" s="3336"/>
      <c r="P5136" s="3337"/>
    </row>
    <row r="5137" spans="7:16" s="1634" customFormat="1">
      <c r="G5137" s="3336"/>
      <c r="P5137" s="3337"/>
    </row>
    <row r="5138" spans="7:16" s="1634" customFormat="1">
      <c r="G5138" s="3336"/>
      <c r="P5138" s="3337"/>
    </row>
    <row r="5139" spans="7:16" s="1634" customFormat="1">
      <c r="G5139" s="3336"/>
      <c r="P5139" s="3337"/>
    </row>
    <row r="5140" spans="7:16" s="1634" customFormat="1">
      <c r="G5140" s="3336"/>
      <c r="P5140" s="3337"/>
    </row>
    <row r="5141" spans="7:16" s="1634" customFormat="1">
      <c r="G5141" s="3336"/>
      <c r="P5141" s="3337"/>
    </row>
    <row r="5142" spans="7:16" s="1634" customFormat="1">
      <c r="G5142" s="3336"/>
      <c r="P5142" s="3337"/>
    </row>
    <row r="5143" spans="7:16" s="1634" customFormat="1">
      <c r="G5143" s="3336"/>
      <c r="P5143" s="3337"/>
    </row>
    <row r="5144" spans="7:16" s="1634" customFormat="1">
      <c r="G5144" s="3336"/>
      <c r="P5144" s="3337"/>
    </row>
    <row r="5145" spans="7:16" s="1634" customFormat="1">
      <c r="G5145" s="3336"/>
      <c r="P5145" s="3337"/>
    </row>
    <row r="5146" spans="7:16" s="1634" customFormat="1">
      <c r="G5146" s="3336"/>
      <c r="P5146" s="3337"/>
    </row>
    <row r="5147" spans="7:16" s="1634" customFormat="1">
      <c r="G5147" s="3336"/>
      <c r="P5147" s="3337"/>
    </row>
    <row r="5148" spans="7:16" s="1634" customFormat="1">
      <c r="G5148" s="3336"/>
      <c r="P5148" s="3337"/>
    </row>
    <row r="5149" spans="7:16" s="1634" customFormat="1">
      <c r="G5149" s="3336"/>
      <c r="P5149" s="3337"/>
    </row>
    <row r="5150" spans="7:16" s="1634" customFormat="1">
      <c r="G5150" s="3336"/>
      <c r="P5150" s="3337"/>
    </row>
    <row r="5151" spans="7:16" s="1634" customFormat="1">
      <c r="G5151" s="3336"/>
      <c r="P5151" s="3337"/>
    </row>
    <row r="5152" spans="7:16" s="1634" customFormat="1">
      <c r="G5152" s="3336"/>
      <c r="P5152" s="3337"/>
    </row>
    <row r="5153" spans="7:16" s="1634" customFormat="1">
      <c r="G5153" s="3336"/>
      <c r="P5153" s="3337"/>
    </row>
    <row r="5154" spans="7:16" s="1634" customFormat="1">
      <c r="G5154" s="3336"/>
      <c r="P5154" s="3337"/>
    </row>
    <row r="5155" spans="7:16" s="1634" customFormat="1">
      <c r="G5155" s="3336"/>
      <c r="P5155" s="3337"/>
    </row>
    <row r="5156" spans="7:16" s="1634" customFormat="1">
      <c r="G5156" s="3336"/>
      <c r="P5156" s="3337"/>
    </row>
    <row r="5157" spans="7:16" s="1634" customFormat="1">
      <c r="G5157" s="3336"/>
      <c r="P5157" s="3337"/>
    </row>
    <row r="5158" spans="7:16" s="1634" customFormat="1">
      <c r="G5158" s="3336"/>
      <c r="P5158" s="3337"/>
    </row>
    <row r="5159" spans="7:16" s="1634" customFormat="1">
      <c r="G5159" s="3336"/>
      <c r="P5159" s="3337"/>
    </row>
    <row r="5160" spans="7:16" s="1634" customFormat="1">
      <c r="G5160" s="3336"/>
      <c r="P5160" s="3337"/>
    </row>
    <row r="5161" spans="7:16" s="1634" customFormat="1">
      <c r="G5161" s="3336"/>
      <c r="P5161" s="3337"/>
    </row>
    <row r="5162" spans="7:16" s="1634" customFormat="1">
      <c r="G5162" s="3336"/>
      <c r="P5162" s="3337"/>
    </row>
    <row r="5163" spans="7:16" s="1634" customFormat="1">
      <c r="G5163" s="3336"/>
      <c r="P5163" s="3337"/>
    </row>
    <row r="5164" spans="7:16" s="1634" customFormat="1">
      <c r="G5164" s="3336"/>
      <c r="P5164" s="3337"/>
    </row>
    <row r="5165" spans="7:16" s="1634" customFormat="1">
      <c r="G5165" s="3336"/>
      <c r="P5165" s="3337"/>
    </row>
    <row r="5166" spans="7:16" s="1634" customFormat="1">
      <c r="G5166" s="3336"/>
      <c r="P5166" s="3337"/>
    </row>
    <row r="5167" spans="7:16" s="1634" customFormat="1">
      <c r="G5167" s="3336"/>
      <c r="P5167" s="3337"/>
    </row>
    <row r="5168" spans="7:16" s="1634" customFormat="1">
      <c r="G5168" s="3336"/>
      <c r="P5168" s="3337"/>
    </row>
    <row r="5169" spans="7:16" s="1634" customFormat="1">
      <c r="G5169" s="3336"/>
      <c r="P5169" s="3337"/>
    </row>
    <row r="5170" spans="7:16" s="1634" customFormat="1">
      <c r="G5170" s="3336"/>
      <c r="P5170" s="3337"/>
    </row>
    <row r="5171" spans="7:16" s="1634" customFormat="1">
      <c r="G5171" s="3336"/>
      <c r="P5171" s="3337"/>
    </row>
    <row r="5172" spans="7:16" s="1634" customFormat="1">
      <c r="G5172" s="3336"/>
      <c r="P5172" s="3337"/>
    </row>
    <row r="5173" spans="7:16" s="1634" customFormat="1">
      <c r="G5173" s="3336"/>
      <c r="P5173" s="3337"/>
    </row>
    <row r="5174" spans="7:16" s="1634" customFormat="1">
      <c r="G5174" s="3336"/>
      <c r="P5174" s="3337"/>
    </row>
    <row r="5175" spans="7:16" s="1634" customFormat="1">
      <c r="G5175" s="3336"/>
      <c r="P5175" s="3337"/>
    </row>
    <row r="5176" spans="7:16" s="1634" customFormat="1">
      <c r="G5176" s="3336"/>
      <c r="P5176" s="3337"/>
    </row>
    <row r="5177" spans="7:16" s="1634" customFormat="1">
      <c r="G5177" s="3336"/>
      <c r="P5177" s="3337"/>
    </row>
    <row r="5178" spans="7:16" s="1634" customFormat="1">
      <c r="G5178" s="3336"/>
      <c r="P5178" s="3337"/>
    </row>
    <row r="5179" spans="7:16" s="1634" customFormat="1">
      <c r="G5179" s="3336"/>
      <c r="P5179" s="3337"/>
    </row>
    <row r="5180" spans="7:16" s="1634" customFormat="1">
      <c r="G5180" s="3336"/>
      <c r="P5180" s="3337"/>
    </row>
    <row r="5181" spans="7:16" s="1634" customFormat="1">
      <c r="G5181" s="3336"/>
      <c r="P5181" s="3337"/>
    </row>
    <row r="5182" spans="7:16" s="1634" customFormat="1">
      <c r="G5182" s="3336"/>
      <c r="P5182" s="3337"/>
    </row>
    <row r="5183" spans="7:16" s="1634" customFormat="1">
      <c r="G5183" s="3336"/>
      <c r="P5183" s="3337"/>
    </row>
    <row r="5184" spans="7:16" s="1634" customFormat="1">
      <c r="G5184" s="3336"/>
      <c r="P5184" s="3337"/>
    </row>
    <row r="5185" spans="7:16" s="1634" customFormat="1">
      <c r="G5185" s="3336"/>
      <c r="P5185" s="3337"/>
    </row>
    <row r="5186" spans="7:16" s="1634" customFormat="1">
      <c r="G5186" s="3336"/>
      <c r="P5186" s="3337"/>
    </row>
    <row r="5187" spans="7:16" s="1634" customFormat="1">
      <c r="G5187" s="3336"/>
      <c r="P5187" s="3337"/>
    </row>
    <row r="5188" spans="7:16" s="1634" customFormat="1">
      <c r="G5188" s="3336"/>
      <c r="P5188" s="3337"/>
    </row>
    <row r="5189" spans="7:16" s="1634" customFormat="1">
      <c r="G5189" s="3336"/>
      <c r="P5189" s="3337"/>
    </row>
    <row r="5190" spans="7:16" s="1634" customFormat="1">
      <c r="G5190" s="3336"/>
      <c r="P5190" s="3337"/>
    </row>
    <row r="5191" spans="7:16" s="1634" customFormat="1">
      <c r="G5191" s="3336"/>
      <c r="P5191" s="3337"/>
    </row>
    <row r="5192" spans="7:16" s="1634" customFormat="1">
      <c r="G5192" s="3336"/>
      <c r="P5192" s="3337"/>
    </row>
    <row r="5193" spans="7:16" s="1634" customFormat="1">
      <c r="G5193" s="3336"/>
      <c r="P5193" s="3337"/>
    </row>
    <row r="5194" spans="7:16" s="1634" customFormat="1">
      <c r="G5194" s="3336"/>
      <c r="P5194" s="3337"/>
    </row>
    <row r="5195" spans="7:16" s="1634" customFormat="1">
      <c r="G5195" s="3336"/>
      <c r="P5195" s="3337"/>
    </row>
    <row r="5196" spans="7:16" s="1634" customFormat="1">
      <c r="G5196" s="3336"/>
      <c r="P5196" s="3337"/>
    </row>
    <row r="5197" spans="7:16" s="1634" customFormat="1">
      <c r="G5197" s="3336"/>
      <c r="P5197" s="3337"/>
    </row>
    <row r="5198" spans="7:16" s="1634" customFormat="1">
      <c r="G5198" s="3336"/>
      <c r="P5198" s="3337"/>
    </row>
    <row r="5199" spans="7:16" s="1634" customFormat="1">
      <c r="G5199" s="3336"/>
      <c r="P5199" s="3337"/>
    </row>
    <row r="5200" spans="7:16" s="1634" customFormat="1">
      <c r="G5200" s="3336"/>
      <c r="P5200" s="3337"/>
    </row>
    <row r="5201" spans="7:16" s="1634" customFormat="1">
      <c r="G5201" s="3336"/>
      <c r="P5201" s="3337"/>
    </row>
    <row r="5202" spans="7:16" s="1634" customFormat="1">
      <c r="G5202" s="3336"/>
      <c r="P5202" s="3337"/>
    </row>
    <row r="5203" spans="7:16" s="1634" customFormat="1">
      <c r="G5203" s="3336"/>
      <c r="P5203" s="3337"/>
    </row>
    <row r="5204" spans="7:16" s="1634" customFormat="1">
      <c r="G5204" s="3336"/>
      <c r="P5204" s="3337"/>
    </row>
    <row r="5205" spans="7:16" s="1634" customFormat="1">
      <c r="G5205" s="3336"/>
      <c r="P5205" s="3337"/>
    </row>
    <row r="5206" spans="7:16" s="1634" customFormat="1">
      <c r="G5206" s="3336"/>
      <c r="P5206" s="3337"/>
    </row>
    <row r="5207" spans="7:16" s="1634" customFormat="1">
      <c r="G5207" s="3336"/>
      <c r="P5207" s="3337"/>
    </row>
    <row r="5208" spans="7:16" s="1634" customFormat="1">
      <c r="G5208" s="3336"/>
      <c r="P5208" s="3337"/>
    </row>
    <row r="5209" spans="7:16" s="1634" customFormat="1">
      <c r="G5209" s="3336"/>
      <c r="P5209" s="3337"/>
    </row>
    <row r="5210" spans="7:16" s="1634" customFormat="1">
      <c r="G5210" s="3336"/>
      <c r="P5210" s="3337"/>
    </row>
    <row r="5211" spans="7:16" s="1634" customFormat="1">
      <c r="G5211" s="3336"/>
      <c r="P5211" s="3337"/>
    </row>
    <row r="5212" spans="7:16" s="1634" customFormat="1">
      <c r="G5212" s="3336"/>
      <c r="P5212" s="3337"/>
    </row>
    <row r="5213" spans="7:16" s="1634" customFormat="1">
      <c r="G5213" s="3336"/>
      <c r="P5213" s="3337"/>
    </row>
    <row r="5214" spans="7:16" s="1634" customFormat="1">
      <c r="G5214" s="3336"/>
      <c r="P5214" s="3337"/>
    </row>
    <row r="5215" spans="7:16" s="1634" customFormat="1">
      <c r="G5215" s="3336"/>
      <c r="P5215" s="3337"/>
    </row>
    <row r="5216" spans="7:16" s="1634" customFormat="1">
      <c r="G5216" s="3336"/>
      <c r="P5216" s="3337"/>
    </row>
    <row r="5217" spans="7:16" s="1634" customFormat="1">
      <c r="G5217" s="3336"/>
      <c r="P5217" s="3337"/>
    </row>
    <row r="5218" spans="7:16" s="1634" customFormat="1">
      <c r="G5218" s="3336"/>
      <c r="P5218" s="3337"/>
    </row>
    <row r="5219" spans="7:16" s="1634" customFormat="1">
      <c r="G5219" s="3336"/>
      <c r="P5219" s="3337"/>
    </row>
    <row r="5220" spans="7:16" s="1634" customFormat="1">
      <c r="G5220" s="3336"/>
      <c r="P5220" s="3337"/>
    </row>
    <row r="5221" spans="7:16" s="1634" customFormat="1">
      <c r="G5221" s="3336"/>
      <c r="P5221" s="3337"/>
    </row>
    <row r="5222" spans="7:16" s="1634" customFormat="1">
      <c r="G5222" s="3336"/>
      <c r="P5222" s="3337"/>
    </row>
    <row r="5223" spans="7:16" s="1634" customFormat="1">
      <c r="G5223" s="3336"/>
      <c r="P5223" s="3337"/>
    </row>
    <row r="5224" spans="7:16" s="1634" customFormat="1">
      <c r="G5224" s="3336"/>
      <c r="P5224" s="3337"/>
    </row>
    <row r="5225" spans="7:16" s="1634" customFormat="1">
      <c r="G5225" s="3336"/>
      <c r="P5225" s="3337"/>
    </row>
    <row r="5226" spans="7:16" s="1634" customFormat="1">
      <c r="G5226" s="3336"/>
      <c r="P5226" s="3337"/>
    </row>
    <row r="5227" spans="7:16" s="1634" customFormat="1">
      <c r="G5227" s="3336"/>
      <c r="P5227" s="3337"/>
    </row>
    <row r="5228" spans="7:16" s="1634" customFormat="1">
      <c r="G5228" s="3336"/>
      <c r="P5228" s="3337"/>
    </row>
    <row r="5229" spans="7:16" s="1634" customFormat="1">
      <c r="G5229" s="3336"/>
      <c r="P5229" s="3337"/>
    </row>
    <row r="5230" spans="7:16" s="1634" customFormat="1">
      <c r="G5230" s="3336"/>
      <c r="P5230" s="3337"/>
    </row>
    <row r="5231" spans="7:16" s="1634" customFormat="1">
      <c r="G5231" s="3336"/>
      <c r="P5231" s="3337"/>
    </row>
    <row r="5232" spans="7:16" s="1634" customFormat="1">
      <c r="G5232" s="3336"/>
      <c r="P5232" s="3337"/>
    </row>
    <row r="5233" spans="7:16" s="1634" customFormat="1">
      <c r="G5233" s="3336"/>
      <c r="P5233" s="3337"/>
    </row>
    <row r="5234" spans="7:16" s="1634" customFormat="1">
      <c r="G5234" s="3336"/>
      <c r="P5234" s="3337"/>
    </row>
    <row r="5235" spans="7:16" s="1634" customFormat="1">
      <c r="G5235" s="3336"/>
      <c r="P5235" s="3337"/>
    </row>
    <row r="5236" spans="7:16" s="1634" customFormat="1">
      <c r="G5236" s="3336"/>
      <c r="P5236" s="3337"/>
    </row>
    <row r="5237" spans="7:16" s="1634" customFormat="1">
      <c r="G5237" s="3336"/>
      <c r="P5237" s="3337"/>
    </row>
    <row r="5238" spans="7:16" s="1634" customFormat="1">
      <c r="G5238" s="3336"/>
      <c r="P5238" s="3337"/>
    </row>
    <row r="5239" spans="7:16" s="1634" customFormat="1">
      <c r="G5239" s="3336"/>
      <c r="P5239" s="3337"/>
    </row>
    <row r="5240" spans="7:16" s="1634" customFormat="1">
      <c r="G5240" s="3336"/>
      <c r="P5240" s="3337"/>
    </row>
    <row r="5241" spans="7:16" s="1634" customFormat="1">
      <c r="G5241" s="3336"/>
      <c r="P5241" s="3337"/>
    </row>
    <row r="5242" spans="7:16" s="1634" customFormat="1">
      <c r="G5242" s="3336"/>
      <c r="P5242" s="3337"/>
    </row>
    <row r="5243" spans="7:16" s="1634" customFormat="1">
      <c r="G5243" s="3336"/>
      <c r="P5243" s="3337"/>
    </row>
    <row r="5244" spans="7:16" s="1634" customFormat="1">
      <c r="G5244" s="3336"/>
      <c r="P5244" s="3337"/>
    </row>
    <row r="5245" spans="7:16" s="1634" customFormat="1">
      <c r="G5245" s="3336"/>
      <c r="P5245" s="3337"/>
    </row>
    <row r="5246" spans="7:16" s="1634" customFormat="1">
      <c r="G5246" s="3336"/>
      <c r="P5246" s="3337"/>
    </row>
    <row r="5247" spans="7:16" s="1634" customFormat="1">
      <c r="G5247" s="3336"/>
      <c r="P5247" s="3337"/>
    </row>
    <row r="5248" spans="7:16" s="1634" customFormat="1">
      <c r="G5248" s="3336"/>
      <c r="P5248" s="3337"/>
    </row>
    <row r="5249" spans="7:16" s="1634" customFormat="1">
      <c r="G5249" s="3336"/>
      <c r="P5249" s="3337"/>
    </row>
    <row r="5250" spans="7:16" s="1634" customFormat="1">
      <c r="G5250" s="3336"/>
      <c r="P5250" s="3337"/>
    </row>
    <row r="5251" spans="7:16" s="1634" customFormat="1">
      <c r="G5251" s="3336"/>
      <c r="P5251" s="3337"/>
    </row>
    <row r="5252" spans="7:16" s="1634" customFormat="1">
      <c r="G5252" s="3336"/>
      <c r="P5252" s="3337"/>
    </row>
    <row r="5253" spans="7:16" s="1634" customFormat="1">
      <c r="G5253" s="3336"/>
      <c r="P5253" s="3337"/>
    </row>
    <row r="5254" spans="7:16" s="1634" customFormat="1">
      <c r="G5254" s="3336"/>
      <c r="P5254" s="3337"/>
    </row>
    <row r="5255" spans="7:16" s="1634" customFormat="1">
      <c r="G5255" s="3336"/>
      <c r="P5255" s="3337"/>
    </row>
    <row r="5256" spans="7:16" s="1634" customFormat="1">
      <c r="G5256" s="3336"/>
      <c r="P5256" s="3337"/>
    </row>
    <row r="5257" spans="7:16" s="1634" customFormat="1">
      <c r="G5257" s="3336"/>
      <c r="P5257" s="3337"/>
    </row>
    <row r="5258" spans="7:16" s="1634" customFormat="1">
      <c r="G5258" s="3336"/>
      <c r="P5258" s="3337"/>
    </row>
    <row r="5259" spans="7:16" s="1634" customFormat="1">
      <c r="G5259" s="3336"/>
      <c r="P5259" s="3337"/>
    </row>
    <row r="5260" spans="7:16" s="1634" customFormat="1">
      <c r="G5260" s="3336"/>
      <c r="P5260" s="3337"/>
    </row>
    <row r="5261" spans="7:16" s="1634" customFormat="1">
      <c r="G5261" s="3336"/>
      <c r="P5261" s="3337"/>
    </row>
    <row r="5262" spans="7:16" s="1634" customFormat="1">
      <c r="G5262" s="3336"/>
      <c r="P5262" s="3337"/>
    </row>
    <row r="5263" spans="7:16" s="1634" customFormat="1">
      <c r="G5263" s="3336"/>
      <c r="P5263" s="3337"/>
    </row>
    <row r="5264" spans="7:16" s="1634" customFormat="1">
      <c r="G5264" s="3336"/>
      <c r="P5264" s="3337"/>
    </row>
    <row r="5265" spans="7:16" s="1634" customFormat="1">
      <c r="G5265" s="3336"/>
      <c r="P5265" s="3337"/>
    </row>
    <row r="5266" spans="7:16" s="1634" customFormat="1">
      <c r="G5266" s="3336"/>
      <c r="P5266" s="3337"/>
    </row>
    <row r="5267" spans="7:16" s="1634" customFormat="1">
      <c r="G5267" s="3336"/>
      <c r="P5267" s="3337"/>
    </row>
    <row r="5268" spans="7:16" s="1634" customFormat="1">
      <c r="G5268" s="3336"/>
      <c r="P5268" s="3337"/>
    </row>
    <row r="5269" spans="7:16" s="1634" customFormat="1">
      <c r="G5269" s="3336"/>
      <c r="P5269" s="3337"/>
    </row>
    <row r="5270" spans="7:16" s="1634" customFormat="1">
      <c r="G5270" s="3336"/>
      <c r="P5270" s="3337"/>
    </row>
    <row r="5271" spans="7:16" s="1634" customFormat="1">
      <c r="G5271" s="3336"/>
      <c r="P5271" s="3337"/>
    </row>
    <row r="5272" spans="7:16" s="1634" customFormat="1">
      <c r="G5272" s="3336"/>
      <c r="P5272" s="3337"/>
    </row>
    <row r="5273" spans="7:16" s="1634" customFormat="1">
      <c r="G5273" s="3336"/>
      <c r="P5273" s="3337"/>
    </row>
    <row r="5274" spans="7:16" s="1634" customFormat="1">
      <c r="G5274" s="3336"/>
      <c r="P5274" s="3337"/>
    </row>
    <row r="5275" spans="7:16" s="1634" customFormat="1">
      <c r="G5275" s="3336"/>
      <c r="P5275" s="3337"/>
    </row>
    <row r="5276" spans="7:16" s="1634" customFormat="1">
      <c r="G5276" s="3336"/>
      <c r="P5276" s="3337"/>
    </row>
    <row r="5277" spans="7:16" s="1634" customFormat="1">
      <c r="G5277" s="3336"/>
      <c r="P5277" s="3337"/>
    </row>
    <row r="5278" spans="7:16" s="1634" customFormat="1">
      <c r="G5278" s="3336"/>
      <c r="P5278" s="3337"/>
    </row>
    <row r="5279" spans="7:16" s="1634" customFormat="1">
      <c r="G5279" s="3336"/>
      <c r="P5279" s="3337"/>
    </row>
    <row r="5280" spans="7:16" s="1634" customFormat="1">
      <c r="G5280" s="3336"/>
      <c r="P5280" s="3337"/>
    </row>
    <row r="5281" spans="7:16" s="1634" customFormat="1">
      <c r="G5281" s="3336"/>
      <c r="P5281" s="3337"/>
    </row>
    <row r="5282" spans="7:16" s="1634" customFormat="1">
      <c r="G5282" s="3336"/>
      <c r="P5282" s="3337"/>
    </row>
    <row r="5283" spans="7:16" s="1634" customFormat="1">
      <c r="G5283" s="3336"/>
      <c r="P5283" s="3337"/>
    </row>
    <row r="5284" spans="7:16" s="1634" customFormat="1">
      <c r="G5284" s="3336"/>
      <c r="P5284" s="3337"/>
    </row>
    <row r="5285" spans="7:16" s="1634" customFormat="1">
      <c r="G5285" s="3336"/>
      <c r="P5285" s="3337"/>
    </row>
    <row r="5286" spans="7:16" s="1634" customFormat="1">
      <c r="G5286" s="3336"/>
      <c r="P5286" s="3337"/>
    </row>
    <row r="5287" spans="7:16" s="1634" customFormat="1">
      <c r="G5287" s="3336"/>
      <c r="P5287" s="3337"/>
    </row>
    <row r="5288" spans="7:16" s="1634" customFormat="1">
      <c r="G5288" s="3336"/>
      <c r="P5288" s="3337"/>
    </row>
    <row r="5289" spans="7:16" s="1634" customFormat="1">
      <c r="G5289" s="3336"/>
      <c r="P5289" s="3337"/>
    </row>
    <row r="5290" spans="7:16" s="1634" customFormat="1">
      <c r="G5290" s="3336"/>
      <c r="P5290" s="3337"/>
    </row>
    <row r="5291" spans="7:16" s="1634" customFormat="1">
      <c r="G5291" s="3336"/>
      <c r="P5291" s="3337"/>
    </row>
    <row r="5292" spans="7:16" s="1634" customFormat="1">
      <c r="G5292" s="3336"/>
      <c r="P5292" s="3337"/>
    </row>
    <row r="5293" spans="7:16" s="1634" customFormat="1">
      <c r="G5293" s="3336"/>
      <c r="P5293" s="3337"/>
    </row>
    <row r="5294" spans="7:16" s="1634" customFormat="1">
      <c r="G5294" s="3336"/>
      <c r="P5294" s="3337"/>
    </row>
    <row r="5295" spans="7:16" s="1634" customFormat="1">
      <c r="G5295" s="3336"/>
      <c r="P5295" s="3337"/>
    </row>
    <row r="5296" spans="7:16" s="1634" customFormat="1">
      <c r="G5296" s="3336"/>
      <c r="P5296" s="3337"/>
    </row>
    <row r="5297" spans="7:16" s="1634" customFormat="1">
      <c r="G5297" s="3336"/>
      <c r="P5297" s="3337"/>
    </row>
    <row r="5298" spans="7:16" s="1634" customFormat="1">
      <c r="G5298" s="3336"/>
      <c r="P5298" s="3337"/>
    </row>
    <row r="5299" spans="7:16" s="1634" customFormat="1">
      <c r="G5299" s="3336"/>
      <c r="P5299" s="3337"/>
    </row>
    <row r="5300" spans="7:16" s="1634" customFormat="1">
      <c r="G5300" s="3336"/>
      <c r="P5300" s="3337"/>
    </row>
    <row r="5301" spans="7:16" s="1634" customFormat="1">
      <c r="G5301" s="3336"/>
      <c r="P5301" s="3337"/>
    </row>
    <row r="5302" spans="7:16" s="1634" customFormat="1">
      <c r="G5302" s="3336"/>
      <c r="P5302" s="3337"/>
    </row>
    <row r="5303" spans="7:16" s="1634" customFormat="1">
      <c r="G5303" s="3336"/>
      <c r="P5303" s="3337"/>
    </row>
    <row r="5304" spans="7:16" s="1634" customFormat="1">
      <c r="G5304" s="3336"/>
      <c r="P5304" s="3337"/>
    </row>
    <row r="5305" spans="7:16" s="1634" customFormat="1">
      <c r="G5305" s="3336"/>
      <c r="P5305" s="3337"/>
    </row>
    <row r="5306" spans="7:16" s="1634" customFormat="1">
      <c r="G5306" s="3336"/>
      <c r="P5306" s="3337"/>
    </row>
    <row r="5307" spans="7:16" s="1634" customFormat="1">
      <c r="G5307" s="3336"/>
      <c r="P5307" s="3337"/>
    </row>
    <row r="5308" spans="7:16" s="1634" customFormat="1">
      <c r="G5308" s="3336"/>
      <c r="P5308" s="3337"/>
    </row>
    <row r="5309" spans="7:16" s="1634" customFormat="1">
      <c r="G5309" s="3336"/>
      <c r="P5309" s="3337"/>
    </row>
    <row r="5310" spans="7:16" s="1634" customFormat="1">
      <c r="G5310" s="3336"/>
      <c r="P5310" s="3337"/>
    </row>
    <row r="5311" spans="7:16" s="1634" customFormat="1">
      <c r="G5311" s="3336"/>
      <c r="P5311" s="3337"/>
    </row>
    <row r="5312" spans="7:16" s="1634" customFormat="1">
      <c r="G5312" s="3336"/>
      <c r="P5312" s="3337"/>
    </row>
    <row r="5313" spans="7:16" s="1634" customFormat="1">
      <c r="G5313" s="3336"/>
      <c r="P5313" s="3337"/>
    </row>
    <row r="5314" spans="7:16" s="1634" customFormat="1">
      <c r="G5314" s="3336"/>
      <c r="P5314" s="3337"/>
    </row>
    <row r="5315" spans="7:16" s="1634" customFormat="1">
      <c r="G5315" s="3336"/>
      <c r="P5315" s="3337"/>
    </row>
    <row r="5316" spans="7:16" s="1634" customFormat="1">
      <c r="G5316" s="3336"/>
      <c r="P5316" s="3337"/>
    </row>
    <row r="5317" spans="7:16" s="1634" customFormat="1">
      <c r="G5317" s="3336"/>
      <c r="P5317" s="3337"/>
    </row>
    <row r="5318" spans="7:16" s="1634" customFormat="1">
      <c r="G5318" s="3336"/>
      <c r="P5318" s="3337"/>
    </row>
    <row r="5319" spans="7:16" s="1634" customFormat="1">
      <c r="G5319" s="3336"/>
      <c r="P5319" s="3337"/>
    </row>
    <row r="5320" spans="7:16" s="1634" customFormat="1">
      <c r="G5320" s="3336"/>
      <c r="P5320" s="3337"/>
    </row>
    <row r="5321" spans="7:16" s="1634" customFormat="1">
      <c r="G5321" s="3336"/>
      <c r="P5321" s="3337"/>
    </row>
    <row r="5322" spans="7:16" s="1634" customFormat="1">
      <c r="G5322" s="3336"/>
      <c r="P5322" s="3337"/>
    </row>
    <row r="5323" spans="7:16" s="1634" customFormat="1">
      <c r="G5323" s="3336"/>
      <c r="P5323" s="3337"/>
    </row>
    <row r="5324" spans="7:16" s="1634" customFormat="1">
      <c r="G5324" s="3336"/>
      <c r="P5324" s="3337"/>
    </row>
    <row r="5325" spans="7:16" s="1634" customFormat="1">
      <c r="G5325" s="3336"/>
      <c r="P5325" s="3337"/>
    </row>
    <row r="5326" spans="7:16" s="1634" customFormat="1">
      <c r="G5326" s="3336"/>
      <c r="P5326" s="3337"/>
    </row>
    <row r="5327" spans="7:16" s="1634" customFormat="1">
      <c r="G5327" s="3336"/>
      <c r="P5327" s="3337"/>
    </row>
    <row r="5328" spans="7:16" s="1634" customFormat="1">
      <c r="G5328" s="3336"/>
      <c r="P5328" s="3337"/>
    </row>
    <row r="5329" spans="7:16" s="1634" customFormat="1">
      <c r="G5329" s="3336"/>
      <c r="P5329" s="3337"/>
    </row>
    <row r="5330" spans="7:16" s="1634" customFormat="1">
      <c r="G5330" s="3336"/>
      <c r="P5330" s="3337"/>
    </row>
    <row r="5331" spans="7:16" s="1634" customFormat="1">
      <c r="G5331" s="3336"/>
      <c r="P5331" s="3337"/>
    </row>
    <row r="5332" spans="7:16" s="1634" customFormat="1">
      <c r="G5332" s="3336"/>
      <c r="P5332" s="3337"/>
    </row>
    <row r="5333" spans="7:16" s="1634" customFormat="1">
      <c r="G5333" s="3336"/>
      <c r="P5333" s="3337"/>
    </row>
    <row r="5334" spans="7:16" s="1634" customFormat="1">
      <c r="G5334" s="3336"/>
      <c r="P5334" s="3337"/>
    </row>
    <row r="5335" spans="7:16" s="1634" customFormat="1">
      <c r="G5335" s="3336"/>
      <c r="P5335" s="3337"/>
    </row>
    <row r="5336" spans="7:16" s="1634" customFormat="1">
      <c r="G5336" s="3336"/>
      <c r="P5336" s="3337"/>
    </row>
    <row r="5337" spans="7:16" s="1634" customFormat="1">
      <c r="G5337" s="3336"/>
      <c r="P5337" s="3337"/>
    </row>
    <row r="5338" spans="7:16" s="1634" customFormat="1">
      <c r="G5338" s="3336"/>
      <c r="P5338" s="3337"/>
    </row>
    <row r="5339" spans="7:16" s="1634" customFormat="1">
      <c r="G5339" s="3336"/>
      <c r="P5339" s="3337"/>
    </row>
    <row r="5340" spans="7:16" s="1634" customFormat="1">
      <c r="G5340" s="3336"/>
      <c r="P5340" s="3337"/>
    </row>
    <row r="5341" spans="7:16" s="1634" customFormat="1">
      <c r="G5341" s="3336"/>
      <c r="P5341" s="3337"/>
    </row>
    <row r="5342" spans="7:16" s="1634" customFormat="1">
      <c r="G5342" s="3336"/>
      <c r="P5342" s="3337"/>
    </row>
    <row r="5343" spans="7:16" s="1634" customFormat="1">
      <c r="G5343" s="3336"/>
      <c r="P5343" s="3337"/>
    </row>
    <row r="5344" spans="7:16" s="1634" customFormat="1">
      <c r="G5344" s="3336"/>
      <c r="P5344" s="3337"/>
    </row>
    <row r="5345" spans="7:16" s="1634" customFormat="1">
      <c r="G5345" s="3336"/>
      <c r="P5345" s="3337"/>
    </row>
    <row r="5346" spans="7:16" s="1634" customFormat="1">
      <c r="G5346" s="3336"/>
      <c r="P5346" s="3337"/>
    </row>
    <row r="5347" spans="7:16" s="1634" customFormat="1">
      <c r="G5347" s="3336"/>
      <c r="P5347" s="3337"/>
    </row>
    <row r="5348" spans="7:16" s="1634" customFormat="1">
      <c r="G5348" s="3336"/>
      <c r="P5348" s="3337"/>
    </row>
    <row r="5349" spans="7:16" s="1634" customFormat="1">
      <c r="G5349" s="3336"/>
      <c r="P5349" s="3337"/>
    </row>
    <row r="5350" spans="7:16" s="1634" customFormat="1">
      <c r="G5350" s="3336"/>
      <c r="P5350" s="3337"/>
    </row>
    <row r="5351" spans="7:16" s="1634" customFormat="1">
      <c r="G5351" s="3336"/>
      <c r="P5351" s="3337"/>
    </row>
    <row r="5352" spans="7:16" s="1634" customFormat="1">
      <c r="G5352" s="3336"/>
      <c r="P5352" s="3337"/>
    </row>
    <row r="5353" spans="7:16" s="1634" customFormat="1">
      <c r="G5353" s="3336"/>
      <c r="P5353" s="3337"/>
    </row>
    <row r="5354" spans="7:16" s="1634" customFormat="1">
      <c r="G5354" s="3336"/>
      <c r="P5354" s="3337"/>
    </row>
    <row r="5355" spans="7:16" s="1634" customFormat="1">
      <c r="G5355" s="3336"/>
      <c r="P5355" s="3337"/>
    </row>
    <row r="5356" spans="7:16" s="1634" customFormat="1">
      <c r="G5356" s="3336"/>
      <c r="P5356" s="3337"/>
    </row>
    <row r="5357" spans="7:16" s="1634" customFormat="1">
      <c r="G5357" s="3336"/>
      <c r="P5357" s="3337"/>
    </row>
    <row r="5358" spans="7:16" s="1634" customFormat="1">
      <c r="G5358" s="3336"/>
      <c r="P5358" s="3337"/>
    </row>
    <row r="5359" spans="7:16" s="1634" customFormat="1">
      <c r="G5359" s="3336"/>
      <c r="P5359" s="3337"/>
    </row>
    <row r="5360" spans="7:16" s="1634" customFormat="1">
      <c r="G5360" s="3336"/>
      <c r="P5360" s="3337"/>
    </row>
    <row r="5361" spans="7:16" s="1634" customFormat="1">
      <c r="G5361" s="3336"/>
      <c r="P5361" s="3337"/>
    </row>
    <row r="5362" spans="7:16" s="1634" customFormat="1">
      <c r="G5362" s="3336"/>
      <c r="P5362" s="3337"/>
    </row>
    <row r="5363" spans="7:16" s="1634" customFormat="1">
      <c r="G5363" s="3336"/>
      <c r="P5363" s="3337"/>
    </row>
    <row r="5364" spans="7:16" s="1634" customFormat="1">
      <c r="G5364" s="3336"/>
      <c r="P5364" s="3337"/>
    </row>
    <row r="5365" spans="7:16" s="1634" customFormat="1">
      <c r="G5365" s="3336"/>
      <c r="P5365" s="3337"/>
    </row>
    <row r="5366" spans="7:16" s="1634" customFormat="1">
      <c r="G5366" s="3336"/>
      <c r="P5366" s="3337"/>
    </row>
    <row r="5367" spans="7:16" s="1634" customFormat="1">
      <c r="G5367" s="3336"/>
      <c r="P5367" s="3337"/>
    </row>
    <row r="5368" spans="7:16" s="1634" customFormat="1">
      <c r="G5368" s="3336"/>
      <c r="P5368" s="3337"/>
    </row>
    <row r="5369" spans="7:16" s="1634" customFormat="1">
      <c r="G5369" s="3336"/>
      <c r="P5369" s="3337"/>
    </row>
    <row r="5370" spans="7:16" s="1634" customFormat="1">
      <c r="G5370" s="3336"/>
      <c r="P5370" s="3337"/>
    </row>
    <row r="5371" spans="7:16" s="1634" customFormat="1">
      <c r="G5371" s="3336"/>
      <c r="P5371" s="3337"/>
    </row>
    <row r="5372" spans="7:16" s="1634" customFormat="1">
      <c r="G5372" s="3336"/>
      <c r="P5372" s="3337"/>
    </row>
    <row r="5373" spans="7:16" s="1634" customFormat="1">
      <c r="G5373" s="3336"/>
      <c r="P5373" s="3337"/>
    </row>
    <row r="5374" spans="7:16" s="1634" customFormat="1">
      <c r="G5374" s="3336"/>
      <c r="P5374" s="3337"/>
    </row>
    <row r="5375" spans="7:16" s="1634" customFormat="1">
      <c r="G5375" s="3336"/>
      <c r="P5375" s="3337"/>
    </row>
    <row r="5376" spans="7:16" s="1634" customFormat="1">
      <c r="G5376" s="3336"/>
      <c r="P5376" s="3337"/>
    </row>
    <row r="5377" spans="7:16" s="1634" customFormat="1">
      <c r="G5377" s="3336"/>
      <c r="P5377" s="3337"/>
    </row>
    <row r="5378" spans="7:16" s="1634" customFormat="1">
      <c r="G5378" s="3336"/>
      <c r="P5378" s="3337"/>
    </row>
    <row r="5379" spans="7:16" s="1634" customFormat="1">
      <c r="G5379" s="3336"/>
      <c r="P5379" s="3337"/>
    </row>
    <row r="5380" spans="7:16" s="1634" customFormat="1">
      <c r="G5380" s="3336"/>
      <c r="P5380" s="3337"/>
    </row>
    <row r="5381" spans="7:16" s="1634" customFormat="1">
      <c r="G5381" s="3336"/>
      <c r="P5381" s="3337"/>
    </row>
    <row r="5382" spans="7:16" s="1634" customFormat="1">
      <c r="G5382" s="3336"/>
      <c r="P5382" s="3337"/>
    </row>
    <row r="5383" spans="7:16" s="1634" customFormat="1">
      <c r="G5383" s="3336"/>
      <c r="P5383" s="3337"/>
    </row>
    <row r="5384" spans="7:16" s="1634" customFormat="1">
      <c r="G5384" s="3336"/>
      <c r="P5384" s="3337"/>
    </row>
    <row r="5385" spans="7:16" s="1634" customFormat="1">
      <c r="G5385" s="3336"/>
      <c r="P5385" s="3337"/>
    </row>
    <row r="5386" spans="7:16" s="1634" customFormat="1">
      <c r="G5386" s="3336"/>
      <c r="P5386" s="3337"/>
    </row>
    <row r="5387" spans="7:16" s="1634" customFormat="1">
      <c r="G5387" s="3336"/>
      <c r="P5387" s="3337"/>
    </row>
    <row r="5388" spans="7:16" s="1634" customFormat="1">
      <c r="G5388" s="3336"/>
      <c r="P5388" s="3337"/>
    </row>
    <row r="5389" spans="7:16" s="1634" customFormat="1">
      <c r="G5389" s="3336"/>
      <c r="P5389" s="3337"/>
    </row>
    <row r="5390" spans="7:16" s="1634" customFormat="1">
      <c r="G5390" s="3336"/>
      <c r="P5390" s="3337"/>
    </row>
    <row r="5391" spans="7:16" s="1634" customFormat="1">
      <c r="G5391" s="3336"/>
      <c r="P5391" s="3337"/>
    </row>
    <row r="5392" spans="7:16" s="1634" customFormat="1">
      <c r="G5392" s="3336"/>
      <c r="P5392" s="3337"/>
    </row>
    <row r="5393" spans="7:16" s="1634" customFormat="1">
      <c r="G5393" s="3336"/>
      <c r="P5393" s="3337"/>
    </row>
    <row r="5394" spans="7:16" s="1634" customFormat="1">
      <c r="G5394" s="3336"/>
      <c r="P5394" s="3337"/>
    </row>
    <row r="5395" spans="7:16" s="1634" customFormat="1">
      <c r="G5395" s="3336"/>
      <c r="P5395" s="3337"/>
    </row>
    <row r="5396" spans="7:16" s="1634" customFormat="1">
      <c r="G5396" s="3336"/>
      <c r="P5396" s="3337"/>
    </row>
    <row r="5397" spans="7:16" s="1634" customFormat="1">
      <c r="G5397" s="3336"/>
      <c r="P5397" s="3337"/>
    </row>
    <row r="5398" spans="7:16" s="1634" customFormat="1">
      <c r="G5398" s="3336"/>
      <c r="P5398" s="3337"/>
    </row>
    <row r="5399" spans="7:16" s="1634" customFormat="1">
      <c r="G5399" s="3336"/>
      <c r="P5399" s="3337"/>
    </row>
    <row r="5400" spans="7:16" s="1634" customFormat="1">
      <c r="G5400" s="3336"/>
      <c r="P5400" s="3337"/>
    </row>
    <row r="5401" spans="7:16" s="1634" customFormat="1">
      <c r="G5401" s="3336"/>
      <c r="P5401" s="3337"/>
    </row>
    <row r="5402" spans="7:16" s="1634" customFormat="1">
      <c r="G5402" s="3336"/>
      <c r="P5402" s="3337"/>
    </row>
    <row r="5403" spans="7:16" s="1634" customFormat="1">
      <c r="G5403" s="3336"/>
      <c r="P5403" s="3337"/>
    </row>
    <row r="5404" spans="7:16" s="1634" customFormat="1">
      <c r="G5404" s="3336"/>
      <c r="P5404" s="3337"/>
    </row>
    <row r="5405" spans="7:16" s="1634" customFormat="1">
      <c r="G5405" s="3336"/>
      <c r="P5405" s="3337"/>
    </row>
    <row r="5406" spans="7:16" s="1634" customFormat="1">
      <c r="G5406" s="3336"/>
      <c r="P5406" s="3337"/>
    </row>
    <row r="5407" spans="7:16" s="1634" customFormat="1">
      <c r="G5407" s="3336"/>
      <c r="P5407" s="3337"/>
    </row>
    <row r="5408" spans="7:16" s="1634" customFormat="1">
      <c r="G5408" s="3336"/>
      <c r="P5408" s="3337"/>
    </row>
    <row r="5409" spans="7:16" s="1634" customFormat="1">
      <c r="G5409" s="3336"/>
      <c r="P5409" s="3337"/>
    </row>
    <row r="5410" spans="7:16" s="1634" customFormat="1">
      <c r="G5410" s="3336"/>
      <c r="P5410" s="3337"/>
    </row>
    <row r="5411" spans="7:16" s="1634" customFormat="1">
      <c r="G5411" s="3336"/>
      <c r="P5411" s="3337"/>
    </row>
    <row r="5412" spans="7:16" s="1634" customFormat="1">
      <c r="G5412" s="3336"/>
      <c r="P5412" s="3337"/>
    </row>
    <row r="5413" spans="7:16" s="1634" customFormat="1">
      <c r="G5413" s="3336"/>
      <c r="P5413" s="3337"/>
    </row>
    <row r="5414" spans="7:16" s="1634" customFormat="1">
      <c r="G5414" s="3336"/>
      <c r="P5414" s="3337"/>
    </row>
    <row r="5415" spans="7:16" s="1634" customFormat="1">
      <c r="G5415" s="3336"/>
      <c r="P5415" s="3337"/>
    </row>
    <row r="5416" spans="7:16" s="1634" customFormat="1">
      <c r="G5416" s="3336"/>
      <c r="P5416" s="3337"/>
    </row>
    <row r="5417" spans="7:16" s="1634" customFormat="1">
      <c r="G5417" s="3336"/>
      <c r="P5417" s="3337"/>
    </row>
    <row r="5418" spans="7:16" s="1634" customFormat="1">
      <c r="G5418" s="3336"/>
      <c r="P5418" s="3337"/>
    </row>
    <row r="5419" spans="7:16" s="1634" customFormat="1">
      <c r="G5419" s="3336"/>
      <c r="P5419" s="3337"/>
    </row>
    <row r="5420" spans="7:16" s="1634" customFormat="1">
      <c r="G5420" s="3336"/>
      <c r="P5420" s="3337"/>
    </row>
    <row r="5421" spans="7:16" s="1634" customFormat="1">
      <c r="G5421" s="3336"/>
      <c r="P5421" s="3337"/>
    </row>
    <row r="5422" spans="7:16" s="1634" customFormat="1">
      <c r="G5422" s="3336"/>
      <c r="P5422" s="3337"/>
    </row>
    <row r="5423" spans="7:16" s="1634" customFormat="1">
      <c r="G5423" s="3336"/>
      <c r="P5423" s="3337"/>
    </row>
    <row r="5424" spans="7:16" s="1634" customFormat="1">
      <c r="G5424" s="3336"/>
      <c r="P5424" s="3337"/>
    </row>
    <row r="5425" spans="7:16" s="1634" customFormat="1">
      <c r="G5425" s="3336"/>
      <c r="P5425" s="3337"/>
    </row>
    <row r="5426" spans="7:16" s="1634" customFormat="1">
      <c r="G5426" s="3336"/>
      <c r="P5426" s="3337"/>
    </row>
    <row r="5427" spans="7:16" s="1634" customFormat="1">
      <c r="G5427" s="3336"/>
      <c r="P5427" s="3337"/>
    </row>
    <row r="5428" spans="7:16" s="1634" customFormat="1">
      <c r="G5428" s="3336"/>
      <c r="P5428" s="3337"/>
    </row>
    <row r="5429" spans="7:16" s="1634" customFormat="1">
      <c r="G5429" s="3336"/>
      <c r="P5429" s="3337"/>
    </row>
    <row r="5430" spans="7:16" s="1634" customFormat="1">
      <c r="G5430" s="3336"/>
      <c r="P5430" s="3337"/>
    </row>
    <row r="5431" spans="7:16" s="1634" customFormat="1">
      <c r="G5431" s="3336"/>
      <c r="P5431" s="3337"/>
    </row>
    <row r="5432" spans="7:16" s="1634" customFormat="1">
      <c r="G5432" s="3336"/>
      <c r="P5432" s="3337"/>
    </row>
    <row r="5433" spans="7:16" s="1634" customFormat="1">
      <c r="G5433" s="3336"/>
      <c r="P5433" s="3337"/>
    </row>
    <row r="5434" spans="7:16" s="1634" customFormat="1">
      <c r="G5434" s="3336"/>
      <c r="P5434" s="3337"/>
    </row>
    <row r="5435" spans="7:16" s="1634" customFormat="1">
      <c r="G5435" s="3336"/>
      <c r="P5435" s="3337"/>
    </row>
    <row r="5436" spans="7:16" s="1634" customFormat="1">
      <c r="G5436" s="3336"/>
      <c r="P5436" s="3337"/>
    </row>
    <row r="5437" spans="7:16" s="1634" customFormat="1">
      <c r="G5437" s="3336"/>
      <c r="P5437" s="3337"/>
    </row>
    <row r="5438" spans="7:16" s="1634" customFormat="1">
      <c r="G5438" s="3336"/>
      <c r="P5438" s="3337"/>
    </row>
    <row r="5439" spans="7:16" s="1634" customFormat="1">
      <c r="G5439" s="3336"/>
      <c r="P5439" s="3337"/>
    </row>
    <row r="5440" spans="7:16" s="1634" customFormat="1">
      <c r="G5440" s="3336"/>
      <c r="P5440" s="3337"/>
    </row>
    <row r="5441" spans="7:16" s="1634" customFormat="1">
      <c r="G5441" s="3336"/>
      <c r="P5441" s="3337"/>
    </row>
    <row r="5442" spans="7:16" s="1634" customFormat="1">
      <c r="G5442" s="3336"/>
      <c r="P5442" s="3337"/>
    </row>
    <row r="5443" spans="7:16" s="1634" customFormat="1">
      <c r="G5443" s="3336"/>
      <c r="P5443" s="3337"/>
    </row>
    <row r="5444" spans="7:16" s="1634" customFormat="1">
      <c r="G5444" s="3336"/>
      <c r="P5444" s="3337"/>
    </row>
    <row r="5445" spans="7:16" s="1634" customFormat="1">
      <c r="G5445" s="3336"/>
      <c r="P5445" s="3337"/>
    </row>
    <row r="5446" spans="7:16" s="1634" customFormat="1">
      <c r="G5446" s="3336"/>
      <c r="P5446" s="3337"/>
    </row>
    <row r="5447" spans="7:16" s="1634" customFormat="1">
      <c r="G5447" s="3336"/>
      <c r="P5447" s="3337"/>
    </row>
    <row r="5448" spans="7:16" s="1634" customFormat="1">
      <c r="G5448" s="3336"/>
      <c r="P5448" s="3337"/>
    </row>
    <row r="5449" spans="7:16" s="1634" customFormat="1">
      <c r="G5449" s="3336"/>
      <c r="P5449" s="3337"/>
    </row>
    <row r="5450" spans="7:16" s="1634" customFormat="1">
      <c r="G5450" s="3336"/>
      <c r="P5450" s="3337"/>
    </row>
    <row r="5451" spans="7:16" s="1634" customFormat="1">
      <c r="G5451" s="3336"/>
      <c r="P5451" s="3337"/>
    </row>
    <row r="5452" spans="7:16" s="1634" customFormat="1">
      <c r="G5452" s="3336"/>
      <c r="P5452" s="3337"/>
    </row>
    <row r="5453" spans="7:16" s="1634" customFormat="1">
      <c r="G5453" s="3336"/>
      <c r="P5453" s="3337"/>
    </row>
    <row r="5454" spans="7:16" s="1634" customFormat="1">
      <c r="G5454" s="3336"/>
      <c r="P5454" s="3337"/>
    </row>
    <row r="5455" spans="7:16" s="1634" customFormat="1">
      <c r="G5455" s="3336"/>
      <c r="P5455" s="3337"/>
    </row>
    <row r="5456" spans="7:16" s="1634" customFormat="1">
      <c r="G5456" s="3336"/>
      <c r="P5456" s="3337"/>
    </row>
    <row r="5457" spans="7:16" s="1634" customFormat="1">
      <c r="G5457" s="3336"/>
      <c r="P5457" s="3337"/>
    </row>
    <row r="5458" spans="7:16" s="1634" customFormat="1">
      <c r="G5458" s="3336"/>
      <c r="P5458" s="3337"/>
    </row>
    <row r="5459" spans="7:16" s="1634" customFormat="1">
      <c r="G5459" s="3336"/>
      <c r="P5459" s="3337"/>
    </row>
    <row r="5460" spans="7:16" s="1634" customFormat="1">
      <c r="G5460" s="3336"/>
      <c r="P5460" s="3337"/>
    </row>
    <row r="5461" spans="7:16" s="1634" customFormat="1">
      <c r="G5461" s="3336"/>
      <c r="P5461" s="3337"/>
    </row>
    <row r="5462" spans="7:16" s="1634" customFormat="1">
      <c r="G5462" s="3336"/>
      <c r="P5462" s="3337"/>
    </row>
    <row r="5463" spans="7:16" s="1634" customFormat="1">
      <c r="G5463" s="3336"/>
      <c r="P5463" s="3337"/>
    </row>
    <row r="5464" spans="7:16" s="1634" customFormat="1">
      <c r="G5464" s="3336"/>
      <c r="P5464" s="3337"/>
    </row>
    <row r="5465" spans="7:16" s="1634" customFormat="1">
      <c r="G5465" s="3336"/>
      <c r="P5465" s="3337"/>
    </row>
    <row r="5466" spans="7:16" s="1634" customFormat="1">
      <c r="G5466" s="3336"/>
      <c r="P5466" s="3337"/>
    </row>
    <row r="5467" spans="7:16" s="1634" customFormat="1">
      <c r="G5467" s="3336"/>
      <c r="P5467" s="3337"/>
    </row>
    <row r="5468" spans="7:16" s="1634" customFormat="1">
      <c r="G5468" s="3336"/>
      <c r="P5468" s="3337"/>
    </row>
    <row r="5469" spans="7:16" s="1634" customFormat="1">
      <c r="G5469" s="3336"/>
      <c r="P5469" s="3337"/>
    </row>
    <row r="5470" spans="7:16" s="1634" customFormat="1">
      <c r="G5470" s="3336"/>
      <c r="P5470" s="3337"/>
    </row>
    <row r="5471" spans="7:16" s="1634" customFormat="1">
      <c r="G5471" s="3336"/>
      <c r="P5471" s="3337"/>
    </row>
    <row r="5472" spans="7:16" s="1634" customFormat="1">
      <c r="G5472" s="3336"/>
      <c r="P5472" s="3337"/>
    </row>
    <row r="5473" spans="7:16" s="1634" customFormat="1">
      <c r="G5473" s="3336"/>
      <c r="P5473" s="3337"/>
    </row>
    <row r="5474" spans="7:16" s="1634" customFormat="1">
      <c r="G5474" s="3336"/>
      <c r="P5474" s="3337"/>
    </row>
    <row r="5475" spans="7:16" s="1634" customFormat="1">
      <c r="G5475" s="3336"/>
      <c r="P5475" s="3337"/>
    </row>
    <row r="5476" spans="7:16" s="1634" customFormat="1">
      <c r="G5476" s="3336"/>
      <c r="P5476" s="3337"/>
    </row>
    <row r="5477" spans="7:16" s="1634" customFormat="1">
      <c r="G5477" s="3336"/>
      <c r="P5477" s="3337"/>
    </row>
    <row r="5478" spans="7:16" s="1634" customFormat="1">
      <c r="G5478" s="3336"/>
      <c r="P5478" s="3337"/>
    </row>
    <row r="5479" spans="7:16" s="1634" customFormat="1">
      <c r="G5479" s="3336"/>
      <c r="P5479" s="3337"/>
    </row>
    <row r="5480" spans="7:16" s="1634" customFormat="1">
      <c r="G5480" s="3336"/>
      <c r="P5480" s="3337"/>
    </row>
    <row r="5481" spans="7:16" s="1634" customFormat="1">
      <c r="G5481" s="3336"/>
      <c r="P5481" s="3337"/>
    </row>
    <row r="5482" spans="7:16" s="1634" customFormat="1">
      <c r="G5482" s="3336"/>
      <c r="P5482" s="3337"/>
    </row>
    <row r="5483" spans="7:16" s="1634" customFormat="1">
      <c r="G5483" s="3336"/>
      <c r="P5483" s="3337"/>
    </row>
    <row r="5484" spans="7:16" s="1634" customFormat="1">
      <c r="G5484" s="3336"/>
      <c r="P5484" s="3337"/>
    </row>
    <row r="5485" spans="7:16" s="1634" customFormat="1">
      <c r="G5485" s="3336"/>
      <c r="P5485" s="3337"/>
    </row>
    <row r="5486" spans="7:16" s="1634" customFormat="1">
      <c r="G5486" s="3336"/>
      <c r="P5486" s="3337"/>
    </row>
    <row r="5487" spans="7:16" s="1634" customFormat="1">
      <c r="G5487" s="3336"/>
      <c r="P5487" s="3337"/>
    </row>
    <row r="5488" spans="7:16" s="1634" customFormat="1">
      <c r="G5488" s="3336"/>
      <c r="P5488" s="3337"/>
    </row>
    <row r="5489" spans="7:16" s="1634" customFormat="1">
      <c r="G5489" s="3336"/>
      <c r="P5489" s="3337"/>
    </row>
    <row r="5490" spans="7:16" s="1634" customFormat="1">
      <c r="G5490" s="3336"/>
      <c r="P5490" s="3337"/>
    </row>
    <row r="5491" spans="7:16" s="1634" customFormat="1">
      <c r="G5491" s="3336"/>
      <c r="P5491" s="3337"/>
    </row>
    <row r="5492" spans="7:16" s="1634" customFormat="1">
      <c r="G5492" s="3336"/>
      <c r="P5492" s="3337"/>
    </row>
    <row r="5493" spans="7:16" s="1634" customFormat="1">
      <c r="G5493" s="3336"/>
      <c r="P5493" s="3337"/>
    </row>
    <row r="5494" spans="7:16" s="1634" customFormat="1">
      <c r="G5494" s="3336"/>
      <c r="P5494" s="3337"/>
    </row>
    <row r="5495" spans="7:16" s="1634" customFormat="1">
      <c r="G5495" s="3336"/>
      <c r="P5495" s="3337"/>
    </row>
    <row r="5496" spans="7:16" s="1634" customFormat="1">
      <c r="G5496" s="3336"/>
      <c r="P5496" s="3337"/>
    </row>
    <row r="5497" spans="7:16" s="1634" customFormat="1">
      <c r="G5497" s="3336"/>
      <c r="P5497" s="3337"/>
    </row>
    <row r="5498" spans="7:16" s="1634" customFormat="1">
      <c r="G5498" s="3336"/>
      <c r="P5498" s="3337"/>
    </row>
    <row r="5499" spans="7:16" s="1634" customFormat="1">
      <c r="G5499" s="3336"/>
      <c r="P5499" s="3337"/>
    </row>
    <row r="5500" spans="7:16" s="1634" customFormat="1">
      <c r="G5500" s="3336"/>
      <c r="P5500" s="3337"/>
    </row>
    <row r="5501" spans="7:16" s="1634" customFormat="1">
      <c r="G5501" s="3336"/>
      <c r="P5501" s="3337"/>
    </row>
    <row r="5502" spans="7:16" s="1634" customFormat="1">
      <c r="G5502" s="3336"/>
      <c r="P5502" s="3337"/>
    </row>
    <row r="5503" spans="7:16" s="1634" customFormat="1">
      <c r="G5503" s="3336"/>
      <c r="P5503" s="3337"/>
    </row>
    <row r="5504" spans="7:16" s="1634" customFormat="1">
      <c r="G5504" s="3336"/>
      <c r="P5504" s="3337"/>
    </row>
    <row r="5505" spans="7:16" s="1634" customFormat="1">
      <c r="G5505" s="3336"/>
      <c r="P5505" s="3337"/>
    </row>
    <row r="5506" spans="7:16" s="1634" customFormat="1">
      <c r="G5506" s="3336"/>
      <c r="P5506" s="3337"/>
    </row>
    <row r="5507" spans="7:16" s="1634" customFormat="1">
      <c r="G5507" s="3336"/>
      <c r="P5507" s="3337"/>
    </row>
    <row r="5508" spans="7:16" s="1634" customFormat="1">
      <c r="G5508" s="3336"/>
      <c r="P5508" s="3337"/>
    </row>
    <row r="5509" spans="7:16" s="1634" customFormat="1">
      <c r="G5509" s="3336"/>
      <c r="P5509" s="3337"/>
    </row>
    <row r="5510" spans="7:16" s="1634" customFormat="1">
      <c r="G5510" s="3336"/>
      <c r="P5510" s="3337"/>
    </row>
    <row r="5511" spans="7:16" s="1634" customFormat="1">
      <c r="G5511" s="3336"/>
      <c r="P5511" s="3337"/>
    </row>
    <row r="5512" spans="7:16" s="1634" customFormat="1">
      <c r="G5512" s="3336"/>
      <c r="P5512" s="3337"/>
    </row>
    <row r="5513" spans="7:16" s="1634" customFormat="1">
      <c r="G5513" s="3336"/>
      <c r="P5513" s="3337"/>
    </row>
    <row r="5514" spans="7:16" s="1634" customFormat="1">
      <c r="G5514" s="3336"/>
      <c r="P5514" s="3337"/>
    </row>
    <row r="5515" spans="7:16" s="1634" customFormat="1">
      <c r="G5515" s="3336"/>
      <c r="P5515" s="3337"/>
    </row>
    <row r="5516" spans="7:16" s="1634" customFormat="1">
      <c r="G5516" s="3336"/>
      <c r="P5516" s="3337"/>
    </row>
    <row r="5517" spans="7:16" s="1634" customFormat="1">
      <c r="G5517" s="3336"/>
      <c r="P5517" s="3337"/>
    </row>
    <row r="5518" spans="7:16" s="1634" customFormat="1">
      <c r="G5518" s="3336"/>
      <c r="P5518" s="3337"/>
    </row>
    <row r="5519" spans="7:16" s="1634" customFormat="1">
      <c r="G5519" s="3336"/>
      <c r="P5519" s="3337"/>
    </row>
    <row r="5520" spans="7:16" s="1634" customFormat="1">
      <c r="G5520" s="3336"/>
      <c r="P5520" s="3337"/>
    </row>
    <row r="5521" spans="7:16" s="1634" customFormat="1">
      <c r="G5521" s="3336"/>
      <c r="P5521" s="3337"/>
    </row>
    <row r="5522" spans="7:16" s="1634" customFormat="1">
      <c r="G5522" s="3336"/>
      <c r="P5522" s="3337"/>
    </row>
    <row r="5523" spans="7:16" s="1634" customFormat="1">
      <c r="G5523" s="3336"/>
      <c r="P5523" s="3337"/>
    </row>
    <row r="5524" spans="7:16" s="1634" customFormat="1">
      <c r="G5524" s="3336"/>
      <c r="P5524" s="3337"/>
    </row>
    <row r="5525" spans="7:16" s="1634" customFormat="1">
      <c r="G5525" s="3336"/>
      <c r="P5525" s="3337"/>
    </row>
    <row r="5526" spans="7:16" s="1634" customFormat="1">
      <c r="G5526" s="3336"/>
      <c r="P5526" s="3337"/>
    </row>
    <row r="5527" spans="7:16" s="1634" customFormat="1">
      <c r="G5527" s="3336"/>
      <c r="P5527" s="3337"/>
    </row>
    <row r="5528" spans="7:16" s="1634" customFormat="1">
      <c r="G5528" s="3336"/>
      <c r="P5528" s="3337"/>
    </row>
    <row r="5529" spans="7:16" s="1634" customFormat="1">
      <c r="G5529" s="3336"/>
      <c r="P5529" s="3337"/>
    </row>
    <row r="5530" spans="7:16" s="1634" customFormat="1">
      <c r="G5530" s="3336"/>
      <c r="P5530" s="3337"/>
    </row>
    <row r="5531" spans="7:16" s="1634" customFormat="1">
      <c r="G5531" s="3336"/>
      <c r="P5531" s="3337"/>
    </row>
    <row r="5532" spans="7:16" s="1634" customFormat="1">
      <c r="G5532" s="3336"/>
      <c r="P5532" s="3337"/>
    </row>
    <row r="5533" spans="7:16" s="1634" customFormat="1">
      <c r="G5533" s="3336"/>
      <c r="P5533" s="3337"/>
    </row>
    <row r="5534" spans="7:16" s="1634" customFormat="1">
      <c r="G5534" s="3336"/>
      <c r="P5534" s="3337"/>
    </row>
    <row r="5535" spans="7:16" s="1634" customFormat="1">
      <c r="G5535" s="3336"/>
      <c r="P5535" s="3337"/>
    </row>
    <row r="5536" spans="7:16" s="1634" customFormat="1">
      <c r="G5536" s="3336"/>
      <c r="P5536" s="3337"/>
    </row>
    <row r="5537" spans="7:16" s="1634" customFormat="1">
      <c r="G5537" s="3336"/>
      <c r="P5537" s="3337"/>
    </row>
    <row r="5538" spans="7:16" s="1634" customFormat="1">
      <c r="G5538" s="3336"/>
      <c r="P5538" s="3337"/>
    </row>
    <row r="5539" spans="7:16" s="1634" customFormat="1">
      <c r="G5539" s="3336"/>
      <c r="P5539" s="3337"/>
    </row>
    <row r="5540" spans="7:16" s="1634" customFormat="1">
      <c r="G5540" s="3336"/>
      <c r="P5540" s="3337"/>
    </row>
    <row r="5541" spans="7:16" s="1634" customFormat="1">
      <c r="G5541" s="3336"/>
      <c r="P5541" s="3337"/>
    </row>
    <row r="5542" spans="7:16" s="1634" customFormat="1">
      <c r="G5542" s="3336"/>
      <c r="P5542" s="3337"/>
    </row>
    <row r="5543" spans="7:16" s="1634" customFormat="1">
      <c r="G5543" s="3336"/>
      <c r="P5543" s="3337"/>
    </row>
    <row r="5544" spans="7:16" s="1634" customFormat="1">
      <c r="G5544" s="3336"/>
      <c r="P5544" s="3337"/>
    </row>
    <row r="5545" spans="7:16" s="1634" customFormat="1">
      <c r="G5545" s="3336"/>
      <c r="P5545" s="3337"/>
    </row>
    <row r="5546" spans="7:16" s="1634" customFormat="1">
      <c r="G5546" s="3336"/>
      <c r="P5546" s="3337"/>
    </row>
    <row r="5547" spans="7:16" s="1634" customFormat="1">
      <c r="G5547" s="3336"/>
      <c r="P5547" s="3337"/>
    </row>
    <row r="5548" spans="7:16" s="1634" customFormat="1">
      <c r="G5548" s="3336"/>
      <c r="P5548" s="3337"/>
    </row>
    <row r="5549" spans="7:16" s="1634" customFormat="1">
      <c r="G5549" s="3336"/>
      <c r="P5549" s="3337"/>
    </row>
    <row r="5550" spans="7:16" s="1634" customFormat="1">
      <c r="G5550" s="3336"/>
      <c r="P5550" s="3337"/>
    </row>
    <row r="5551" spans="7:16" s="1634" customFormat="1">
      <c r="G5551" s="3336"/>
      <c r="P5551" s="3337"/>
    </row>
    <row r="5552" spans="7:16" s="1634" customFormat="1">
      <c r="G5552" s="3336"/>
      <c r="P5552" s="3337"/>
    </row>
    <row r="5553" spans="7:16" s="1634" customFormat="1">
      <c r="G5553" s="3336"/>
      <c r="P5553" s="3337"/>
    </row>
    <row r="5554" spans="7:16" s="1634" customFormat="1">
      <c r="G5554" s="3336"/>
      <c r="P5554" s="3337"/>
    </row>
    <row r="5555" spans="7:16" s="1634" customFormat="1">
      <c r="G5555" s="3336"/>
      <c r="P5555" s="3337"/>
    </row>
    <row r="5556" spans="7:16" s="1634" customFormat="1">
      <c r="G5556" s="3336"/>
      <c r="P5556" s="3337"/>
    </row>
    <row r="5557" spans="7:16" s="1634" customFormat="1">
      <c r="G5557" s="3336"/>
      <c r="P5557" s="3337"/>
    </row>
    <row r="5558" spans="7:16" s="1634" customFormat="1">
      <c r="G5558" s="3336"/>
      <c r="P5558" s="3337"/>
    </row>
    <row r="5559" spans="7:16" s="1634" customFormat="1">
      <c r="G5559" s="3336"/>
      <c r="P5559" s="3337"/>
    </row>
    <row r="5560" spans="7:16" s="1634" customFormat="1">
      <c r="G5560" s="3336"/>
      <c r="P5560" s="3337"/>
    </row>
    <row r="5561" spans="7:16" s="1634" customFormat="1">
      <c r="G5561" s="3336"/>
      <c r="P5561" s="3337"/>
    </row>
    <row r="5562" spans="7:16" s="1634" customFormat="1">
      <c r="G5562" s="3336"/>
      <c r="P5562" s="3337"/>
    </row>
    <row r="5563" spans="7:16" s="1634" customFormat="1">
      <c r="G5563" s="3336"/>
      <c r="P5563" s="3337"/>
    </row>
    <row r="5564" spans="7:16" s="1634" customFormat="1">
      <c r="G5564" s="3336"/>
      <c r="P5564" s="3337"/>
    </row>
    <row r="5565" spans="7:16" s="1634" customFormat="1">
      <c r="G5565" s="3336"/>
      <c r="P5565" s="3337"/>
    </row>
    <row r="5566" spans="7:16" s="1634" customFormat="1">
      <c r="G5566" s="3336"/>
      <c r="P5566" s="3337"/>
    </row>
    <row r="5567" spans="7:16" s="1634" customFormat="1">
      <c r="G5567" s="3336"/>
      <c r="P5567" s="3337"/>
    </row>
    <row r="5568" spans="7:16" s="1634" customFormat="1">
      <c r="G5568" s="3336"/>
      <c r="P5568" s="3337"/>
    </row>
    <row r="5569" spans="7:16" s="1634" customFormat="1">
      <c r="G5569" s="3336"/>
      <c r="P5569" s="3337"/>
    </row>
    <row r="5570" spans="7:16" s="1634" customFormat="1">
      <c r="G5570" s="3336"/>
      <c r="P5570" s="3337"/>
    </row>
    <row r="5571" spans="7:16" s="1634" customFormat="1">
      <c r="G5571" s="3336"/>
      <c r="P5571" s="3337"/>
    </row>
    <row r="5572" spans="7:16" s="1634" customFormat="1">
      <c r="G5572" s="3336"/>
      <c r="P5572" s="3337"/>
    </row>
    <row r="5573" spans="7:16" s="1634" customFormat="1">
      <c r="G5573" s="3336"/>
      <c r="P5573" s="3337"/>
    </row>
    <row r="5574" spans="7:16" s="1634" customFormat="1">
      <c r="G5574" s="3336"/>
      <c r="P5574" s="3337"/>
    </row>
    <row r="5575" spans="7:16" s="1634" customFormat="1">
      <c r="G5575" s="3336"/>
      <c r="P5575" s="3337"/>
    </row>
    <row r="5576" spans="7:16" s="1634" customFormat="1">
      <c r="G5576" s="3336"/>
      <c r="P5576" s="3337"/>
    </row>
    <row r="5577" spans="7:16" s="1634" customFormat="1">
      <c r="G5577" s="3336"/>
      <c r="P5577" s="3337"/>
    </row>
    <row r="5578" spans="7:16" s="1634" customFormat="1">
      <c r="G5578" s="3336"/>
      <c r="P5578" s="3337"/>
    </row>
    <row r="5579" spans="7:16" s="1634" customFormat="1">
      <c r="G5579" s="3336"/>
      <c r="P5579" s="3337"/>
    </row>
    <row r="5580" spans="7:16" s="1634" customFormat="1">
      <c r="G5580" s="3336"/>
      <c r="P5580" s="3337"/>
    </row>
    <row r="5581" spans="7:16" s="1634" customFormat="1">
      <c r="G5581" s="3336"/>
      <c r="P5581" s="3337"/>
    </row>
    <row r="5582" spans="7:16" s="1634" customFormat="1">
      <c r="G5582" s="3336"/>
      <c r="P5582" s="3337"/>
    </row>
    <row r="5583" spans="7:16" s="1634" customFormat="1">
      <c r="G5583" s="3336"/>
      <c r="P5583" s="3337"/>
    </row>
    <row r="5584" spans="7:16" s="1634" customFormat="1">
      <c r="G5584" s="3336"/>
      <c r="P5584" s="3337"/>
    </row>
    <row r="5585" spans="7:16" s="1634" customFormat="1">
      <c r="G5585" s="3336"/>
      <c r="P5585" s="3337"/>
    </row>
    <row r="5586" spans="7:16" s="1634" customFormat="1">
      <c r="G5586" s="3336"/>
      <c r="P5586" s="3337"/>
    </row>
    <row r="5587" spans="7:16" s="1634" customFormat="1">
      <c r="G5587" s="3336"/>
      <c r="P5587" s="3337"/>
    </row>
    <row r="5588" spans="7:16" s="1634" customFormat="1">
      <c r="G5588" s="3336"/>
      <c r="P5588" s="3337"/>
    </row>
    <row r="5589" spans="7:16" s="1634" customFormat="1">
      <c r="G5589" s="3336"/>
      <c r="P5589" s="3337"/>
    </row>
    <row r="5590" spans="7:16" s="1634" customFormat="1">
      <c r="G5590" s="3336"/>
      <c r="P5590" s="3337"/>
    </row>
    <row r="5591" spans="7:16" s="1634" customFormat="1">
      <c r="G5591" s="3336"/>
      <c r="P5591" s="3337"/>
    </row>
    <row r="5592" spans="7:16" s="1634" customFormat="1">
      <c r="G5592" s="3336"/>
      <c r="P5592" s="3337"/>
    </row>
    <row r="5593" spans="7:16" s="1634" customFormat="1">
      <c r="G5593" s="3336"/>
      <c r="P5593" s="3337"/>
    </row>
    <row r="5594" spans="7:16" s="1634" customFormat="1">
      <c r="G5594" s="3336"/>
      <c r="P5594" s="3337"/>
    </row>
    <row r="5595" spans="7:16" s="1634" customFormat="1">
      <c r="G5595" s="3336"/>
      <c r="P5595" s="3337"/>
    </row>
    <row r="5596" spans="7:16" s="1634" customFormat="1">
      <c r="G5596" s="3336"/>
      <c r="P5596" s="3337"/>
    </row>
    <row r="5597" spans="7:16" s="1634" customFormat="1">
      <c r="G5597" s="3336"/>
      <c r="P5597" s="3337"/>
    </row>
    <row r="5598" spans="7:16" s="1634" customFormat="1">
      <c r="G5598" s="3336"/>
      <c r="P5598" s="3337"/>
    </row>
    <row r="5599" spans="7:16" s="1634" customFormat="1">
      <c r="G5599" s="3336"/>
      <c r="P5599" s="3337"/>
    </row>
    <row r="5600" spans="7:16" s="1634" customFormat="1">
      <c r="G5600" s="3336"/>
      <c r="P5600" s="3337"/>
    </row>
    <row r="5601" spans="7:16" s="1634" customFormat="1">
      <c r="G5601" s="3336"/>
      <c r="P5601" s="3337"/>
    </row>
    <row r="5602" spans="7:16" s="1634" customFormat="1">
      <c r="G5602" s="3336"/>
      <c r="P5602" s="3337"/>
    </row>
    <row r="5603" spans="7:16" s="1634" customFormat="1">
      <c r="G5603" s="3336"/>
      <c r="P5603" s="3337"/>
    </row>
    <row r="5604" spans="7:16" s="1634" customFormat="1">
      <c r="G5604" s="3336"/>
      <c r="P5604" s="3337"/>
    </row>
    <row r="5605" spans="7:16" s="1634" customFormat="1">
      <c r="G5605" s="3336"/>
      <c r="P5605" s="3337"/>
    </row>
    <row r="5606" spans="7:16" s="1634" customFormat="1">
      <c r="G5606" s="3336"/>
      <c r="P5606" s="3337"/>
    </row>
    <row r="5607" spans="7:16" s="1634" customFormat="1">
      <c r="G5607" s="3336"/>
      <c r="P5607" s="3337"/>
    </row>
    <row r="5608" spans="7:16" s="1634" customFormat="1">
      <c r="G5608" s="3336"/>
      <c r="P5608" s="3337"/>
    </row>
    <row r="5609" spans="7:16" s="1634" customFormat="1">
      <c r="G5609" s="3336"/>
      <c r="P5609" s="3337"/>
    </row>
    <row r="5610" spans="7:16" s="1634" customFormat="1">
      <c r="G5610" s="3336"/>
      <c r="P5610" s="3337"/>
    </row>
    <row r="5611" spans="7:16" s="1634" customFormat="1">
      <c r="G5611" s="3336"/>
      <c r="P5611" s="3337"/>
    </row>
    <row r="5612" spans="7:16" s="1634" customFormat="1">
      <c r="G5612" s="3336"/>
      <c r="P5612" s="3337"/>
    </row>
    <row r="5613" spans="7:16" s="1634" customFormat="1">
      <c r="G5613" s="3336"/>
      <c r="P5613" s="3337"/>
    </row>
    <row r="5614" spans="7:16" s="1634" customFormat="1">
      <c r="G5614" s="3336"/>
      <c r="P5614" s="3337"/>
    </row>
    <row r="5615" spans="7:16" s="1634" customFormat="1">
      <c r="G5615" s="3336"/>
      <c r="P5615" s="3337"/>
    </row>
    <row r="5616" spans="7:16" s="1634" customFormat="1">
      <c r="G5616" s="3336"/>
      <c r="P5616" s="3337"/>
    </row>
    <row r="5617" spans="7:16" s="1634" customFormat="1">
      <c r="G5617" s="3336"/>
      <c r="P5617" s="3337"/>
    </row>
    <row r="5618" spans="7:16" s="1634" customFormat="1">
      <c r="G5618" s="3336"/>
      <c r="P5618" s="3337"/>
    </row>
    <row r="5619" spans="7:16" s="1634" customFormat="1">
      <c r="G5619" s="3336"/>
      <c r="P5619" s="3337"/>
    </row>
    <row r="5620" spans="7:16" s="1634" customFormat="1">
      <c r="G5620" s="3336"/>
      <c r="P5620" s="3337"/>
    </row>
    <row r="5621" spans="7:16" s="1634" customFormat="1">
      <c r="G5621" s="3336"/>
      <c r="P5621" s="3337"/>
    </row>
    <row r="5622" spans="7:16" s="1634" customFormat="1">
      <c r="G5622" s="3336"/>
      <c r="P5622" s="3337"/>
    </row>
    <row r="5623" spans="7:16" s="1634" customFormat="1">
      <c r="G5623" s="3336"/>
      <c r="P5623" s="3337"/>
    </row>
    <row r="5624" spans="7:16" s="1634" customFormat="1">
      <c r="G5624" s="3336"/>
      <c r="P5624" s="3337"/>
    </row>
    <row r="5625" spans="7:16" s="1634" customFormat="1">
      <c r="G5625" s="3336"/>
      <c r="P5625" s="3337"/>
    </row>
    <row r="5626" spans="7:16" s="1634" customFormat="1">
      <c r="G5626" s="3336"/>
      <c r="P5626" s="3337"/>
    </row>
    <row r="5627" spans="7:16" s="1634" customFormat="1">
      <c r="G5627" s="3336"/>
      <c r="P5627" s="3337"/>
    </row>
    <row r="5628" spans="7:16" s="1634" customFormat="1">
      <c r="G5628" s="3336"/>
      <c r="P5628" s="3337"/>
    </row>
    <row r="5629" spans="7:16" s="1634" customFormat="1">
      <c r="G5629" s="3336"/>
      <c r="P5629" s="3337"/>
    </row>
    <row r="5630" spans="7:16" s="1634" customFormat="1">
      <c r="G5630" s="3336"/>
      <c r="P5630" s="3337"/>
    </row>
    <row r="5631" spans="7:16" s="1634" customFormat="1">
      <c r="G5631" s="3336"/>
      <c r="P5631" s="3337"/>
    </row>
    <row r="5632" spans="7:16" s="1634" customFormat="1">
      <c r="G5632" s="3336"/>
      <c r="P5632" s="3337"/>
    </row>
    <row r="5633" spans="7:16" s="1634" customFormat="1">
      <c r="G5633" s="3336"/>
      <c r="P5633" s="3337"/>
    </row>
    <row r="5634" spans="7:16" s="1634" customFormat="1">
      <c r="G5634" s="3336"/>
      <c r="P5634" s="3337"/>
    </row>
    <row r="5635" spans="7:16" s="1634" customFormat="1">
      <c r="G5635" s="3336"/>
      <c r="P5635" s="3337"/>
    </row>
    <row r="5636" spans="7:16" s="1634" customFormat="1">
      <c r="G5636" s="3336"/>
      <c r="P5636" s="3337"/>
    </row>
    <row r="5637" spans="7:16" s="1634" customFormat="1">
      <c r="G5637" s="3336"/>
      <c r="P5637" s="3337"/>
    </row>
    <row r="5638" spans="7:16" s="1634" customFormat="1">
      <c r="G5638" s="3336"/>
      <c r="P5638" s="3337"/>
    </row>
    <row r="5639" spans="7:16" s="1634" customFormat="1">
      <c r="G5639" s="3336"/>
      <c r="P5639" s="3337"/>
    </row>
    <row r="5640" spans="7:16" s="1634" customFormat="1">
      <c r="G5640" s="3336"/>
      <c r="P5640" s="3337"/>
    </row>
    <row r="5641" spans="7:16" s="1634" customFormat="1">
      <c r="G5641" s="3336"/>
      <c r="P5641" s="3337"/>
    </row>
    <row r="5642" spans="7:16" s="1634" customFormat="1">
      <c r="G5642" s="3336"/>
      <c r="P5642" s="3337"/>
    </row>
    <row r="5643" spans="7:16" s="1634" customFormat="1">
      <c r="G5643" s="3336"/>
      <c r="P5643" s="3337"/>
    </row>
    <row r="5644" spans="7:16" s="1634" customFormat="1">
      <c r="G5644" s="3336"/>
      <c r="P5644" s="3337"/>
    </row>
    <row r="5645" spans="7:16" s="1634" customFormat="1">
      <c r="G5645" s="3336"/>
      <c r="P5645" s="3337"/>
    </row>
    <row r="5646" spans="7:16" s="1634" customFormat="1">
      <c r="G5646" s="3336"/>
      <c r="P5646" s="3337"/>
    </row>
    <row r="5647" spans="7:16" s="1634" customFormat="1">
      <c r="G5647" s="3336"/>
      <c r="P5647" s="3337"/>
    </row>
    <row r="5648" spans="7:16" s="1634" customFormat="1">
      <c r="G5648" s="3336"/>
      <c r="P5648" s="3337"/>
    </row>
    <row r="5649" spans="7:16" s="1634" customFormat="1">
      <c r="G5649" s="3336"/>
      <c r="P5649" s="3337"/>
    </row>
    <row r="5650" spans="7:16" s="1634" customFormat="1">
      <c r="G5650" s="3336"/>
      <c r="P5650" s="3337"/>
    </row>
    <row r="5651" spans="7:16" s="1634" customFormat="1">
      <c r="G5651" s="3336"/>
      <c r="P5651" s="3337"/>
    </row>
    <row r="5652" spans="7:16" s="1634" customFormat="1">
      <c r="G5652" s="3336"/>
      <c r="P5652" s="3337"/>
    </row>
    <row r="5653" spans="7:16" s="1634" customFormat="1">
      <c r="G5653" s="3336"/>
      <c r="P5653" s="3337"/>
    </row>
    <row r="5654" spans="7:16" s="1634" customFormat="1">
      <c r="G5654" s="3336"/>
      <c r="P5654" s="3337"/>
    </row>
    <row r="5655" spans="7:16" s="1634" customFormat="1">
      <c r="G5655" s="3336"/>
      <c r="P5655" s="3337"/>
    </row>
    <row r="5656" spans="7:16" s="1634" customFormat="1">
      <c r="G5656" s="3336"/>
      <c r="P5656" s="3337"/>
    </row>
    <row r="5657" spans="7:16" s="1634" customFormat="1">
      <c r="G5657" s="3336"/>
      <c r="P5657" s="3337"/>
    </row>
    <row r="5658" spans="7:16" s="1634" customFormat="1">
      <c r="G5658" s="3336"/>
      <c r="P5658" s="3337"/>
    </row>
    <row r="5659" spans="7:16" s="1634" customFormat="1">
      <c r="G5659" s="3336"/>
      <c r="P5659" s="3337"/>
    </row>
    <row r="5660" spans="7:16" s="1634" customFormat="1">
      <c r="G5660" s="3336"/>
      <c r="P5660" s="3337"/>
    </row>
    <row r="5661" spans="7:16" s="1634" customFormat="1">
      <c r="G5661" s="3336"/>
      <c r="P5661" s="3337"/>
    </row>
    <row r="5662" spans="7:16" s="1634" customFormat="1">
      <c r="G5662" s="3336"/>
      <c r="P5662" s="3337"/>
    </row>
    <row r="5663" spans="7:16" s="1634" customFormat="1">
      <c r="G5663" s="3336"/>
      <c r="P5663" s="3337"/>
    </row>
    <row r="5664" spans="7:16" s="1634" customFormat="1">
      <c r="G5664" s="3336"/>
      <c r="P5664" s="3337"/>
    </row>
    <row r="5665" spans="7:16" s="1634" customFormat="1">
      <c r="G5665" s="3336"/>
      <c r="P5665" s="3337"/>
    </row>
    <row r="5666" spans="7:16" s="1634" customFormat="1">
      <c r="G5666" s="3336"/>
      <c r="P5666" s="3337"/>
    </row>
    <row r="5667" spans="7:16" s="1634" customFormat="1">
      <c r="G5667" s="3336"/>
      <c r="P5667" s="3337"/>
    </row>
    <row r="5668" spans="7:16" s="1634" customFormat="1">
      <c r="G5668" s="3336"/>
      <c r="P5668" s="3337"/>
    </row>
    <row r="5669" spans="7:16" s="1634" customFormat="1">
      <c r="G5669" s="3336"/>
      <c r="P5669" s="3337"/>
    </row>
    <row r="5670" spans="7:16" s="1634" customFormat="1">
      <c r="G5670" s="3336"/>
      <c r="P5670" s="3337"/>
    </row>
    <row r="5671" spans="7:16" s="1634" customFormat="1">
      <c r="G5671" s="3336"/>
      <c r="P5671" s="3337"/>
    </row>
    <row r="5672" spans="7:16" s="1634" customFormat="1">
      <c r="G5672" s="3336"/>
      <c r="P5672" s="3337"/>
    </row>
    <row r="5673" spans="7:16" s="1634" customFormat="1">
      <c r="G5673" s="3336"/>
      <c r="P5673" s="3337"/>
    </row>
    <row r="5674" spans="7:16" s="1634" customFormat="1">
      <c r="G5674" s="3336"/>
      <c r="P5674" s="3337"/>
    </row>
    <row r="5675" spans="7:16" s="1634" customFormat="1">
      <c r="G5675" s="3336"/>
      <c r="P5675" s="3337"/>
    </row>
    <row r="5676" spans="7:16" s="1634" customFormat="1">
      <c r="G5676" s="3336"/>
      <c r="P5676" s="3337"/>
    </row>
    <row r="5677" spans="7:16" s="1634" customFormat="1">
      <c r="G5677" s="3336"/>
      <c r="P5677" s="3337"/>
    </row>
    <row r="5678" spans="7:16" s="1634" customFormat="1">
      <c r="G5678" s="3336"/>
      <c r="P5678" s="3337"/>
    </row>
    <row r="5679" spans="7:16" s="1634" customFormat="1">
      <c r="G5679" s="3336"/>
      <c r="P5679" s="3337"/>
    </row>
    <row r="5680" spans="7:16" s="1634" customFormat="1">
      <c r="G5680" s="3336"/>
      <c r="P5680" s="3337"/>
    </row>
    <row r="5681" spans="7:16" s="1634" customFormat="1">
      <c r="G5681" s="3336"/>
      <c r="P5681" s="3337"/>
    </row>
    <row r="5682" spans="7:16" s="1634" customFormat="1">
      <c r="G5682" s="3336"/>
      <c r="P5682" s="3337"/>
    </row>
    <row r="5683" spans="7:16" s="1634" customFormat="1">
      <c r="G5683" s="3336"/>
      <c r="P5683" s="3337"/>
    </row>
    <row r="5684" spans="7:16" s="1634" customFormat="1">
      <c r="G5684" s="3336"/>
      <c r="P5684" s="3337"/>
    </row>
    <row r="5685" spans="7:16" s="1634" customFormat="1">
      <c r="G5685" s="3336"/>
      <c r="P5685" s="3337"/>
    </row>
    <row r="5686" spans="7:16" s="1634" customFormat="1">
      <c r="G5686" s="3336"/>
      <c r="P5686" s="3337"/>
    </row>
    <row r="5687" spans="7:16" s="1634" customFormat="1">
      <c r="G5687" s="3336"/>
      <c r="P5687" s="3337"/>
    </row>
    <row r="5688" spans="7:16" s="1634" customFormat="1">
      <c r="G5688" s="3336"/>
      <c r="P5688" s="3337"/>
    </row>
    <row r="5689" spans="7:16" s="1634" customFormat="1">
      <c r="G5689" s="3336"/>
      <c r="P5689" s="3337"/>
    </row>
    <row r="5690" spans="7:16" s="1634" customFormat="1">
      <c r="G5690" s="3336"/>
      <c r="P5690" s="3337"/>
    </row>
    <row r="5691" spans="7:16" s="1634" customFormat="1">
      <c r="G5691" s="3336"/>
      <c r="P5691" s="3337"/>
    </row>
    <row r="5692" spans="7:16" s="1634" customFormat="1">
      <c r="G5692" s="3336"/>
      <c r="P5692" s="3337"/>
    </row>
    <row r="5693" spans="7:16" s="1634" customFormat="1">
      <c r="G5693" s="3336"/>
      <c r="P5693" s="3337"/>
    </row>
    <row r="5694" spans="7:16" s="1634" customFormat="1">
      <c r="G5694" s="3336"/>
      <c r="P5694" s="3337"/>
    </row>
    <row r="5695" spans="7:16" s="1634" customFormat="1">
      <c r="G5695" s="3336"/>
      <c r="P5695" s="3337"/>
    </row>
    <row r="5696" spans="7:16" s="1634" customFormat="1">
      <c r="G5696" s="3336"/>
      <c r="P5696" s="3337"/>
    </row>
    <row r="5697" spans="7:16" s="1634" customFormat="1">
      <c r="G5697" s="3336"/>
      <c r="P5697" s="3337"/>
    </row>
    <row r="5698" spans="7:16" s="1634" customFormat="1">
      <c r="G5698" s="3336"/>
      <c r="P5698" s="3337"/>
    </row>
    <row r="5699" spans="7:16" s="1634" customFormat="1">
      <c r="G5699" s="3336"/>
      <c r="P5699" s="3337"/>
    </row>
    <row r="5700" spans="7:16" s="1634" customFormat="1">
      <c r="G5700" s="3336"/>
      <c r="P5700" s="3337"/>
    </row>
    <row r="5701" spans="7:16" s="1634" customFormat="1">
      <c r="G5701" s="3336"/>
      <c r="P5701" s="3337"/>
    </row>
    <row r="5702" spans="7:16" s="1634" customFormat="1">
      <c r="G5702" s="3336"/>
      <c r="P5702" s="3337"/>
    </row>
    <row r="5703" spans="7:16" s="1634" customFormat="1">
      <c r="G5703" s="3336"/>
      <c r="P5703" s="3337"/>
    </row>
    <row r="5704" spans="7:16" s="1634" customFormat="1">
      <c r="G5704" s="3336"/>
      <c r="P5704" s="3337"/>
    </row>
    <row r="5705" spans="7:16" s="1634" customFormat="1">
      <c r="G5705" s="3336"/>
      <c r="P5705" s="3337"/>
    </row>
    <row r="5706" spans="7:16" s="1634" customFormat="1">
      <c r="G5706" s="3336"/>
      <c r="P5706" s="3337"/>
    </row>
    <row r="5707" spans="7:16" s="1634" customFormat="1">
      <c r="G5707" s="3336"/>
      <c r="P5707" s="3337"/>
    </row>
    <row r="5708" spans="7:16" s="1634" customFormat="1">
      <c r="G5708" s="3336"/>
      <c r="P5708" s="3337"/>
    </row>
    <row r="5709" spans="7:16" s="1634" customFormat="1">
      <c r="G5709" s="3336"/>
      <c r="P5709" s="3337"/>
    </row>
    <row r="5710" spans="7:16" s="1634" customFormat="1">
      <c r="G5710" s="3336"/>
      <c r="P5710" s="3337"/>
    </row>
    <row r="5711" spans="7:16" s="1634" customFormat="1">
      <c r="G5711" s="3336"/>
      <c r="P5711" s="3337"/>
    </row>
    <row r="5712" spans="7:16" s="1634" customFormat="1">
      <c r="G5712" s="3336"/>
      <c r="P5712" s="3337"/>
    </row>
    <row r="5713" spans="7:16" s="1634" customFormat="1">
      <c r="G5713" s="3336"/>
      <c r="P5713" s="3337"/>
    </row>
    <row r="5714" spans="7:16" s="1634" customFormat="1">
      <c r="G5714" s="3336"/>
      <c r="P5714" s="3337"/>
    </row>
    <row r="5715" spans="7:16" s="1634" customFormat="1">
      <c r="G5715" s="3336"/>
      <c r="P5715" s="3337"/>
    </row>
    <row r="5716" spans="7:16" s="1634" customFormat="1">
      <c r="G5716" s="3336"/>
      <c r="P5716" s="3337"/>
    </row>
    <row r="5717" spans="7:16" s="1634" customFormat="1">
      <c r="G5717" s="3336"/>
      <c r="P5717" s="3337"/>
    </row>
    <row r="5718" spans="7:16" s="1634" customFormat="1">
      <c r="G5718" s="3336"/>
      <c r="P5718" s="3337"/>
    </row>
    <row r="5719" spans="7:16" s="1634" customFormat="1">
      <c r="G5719" s="3336"/>
      <c r="P5719" s="3337"/>
    </row>
    <row r="5720" spans="7:16" s="1634" customFormat="1">
      <c r="G5720" s="3336"/>
      <c r="P5720" s="3337"/>
    </row>
    <row r="5721" spans="7:16" s="1634" customFormat="1">
      <c r="G5721" s="3336"/>
      <c r="P5721" s="3337"/>
    </row>
    <row r="5722" spans="7:16" s="1634" customFormat="1">
      <c r="G5722" s="3336"/>
      <c r="P5722" s="3337"/>
    </row>
    <row r="5723" spans="7:16" s="1634" customFormat="1">
      <c r="G5723" s="3336"/>
      <c r="P5723" s="3337"/>
    </row>
    <row r="5724" spans="7:16" s="1634" customFormat="1">
      <c r="G5724" s="3336"/>
      <c r="P5724" s="3337"/>
    </row>
    <row r="5725" spans="7:16" s="1634" customFormat="1">
      <c r="G5725" s="3336"/>
      <c r="P5725" s="3337"/>
    </row>
    <row r="5726" spans="7:16" s="1634" customFormat="1">
      <c r="G5726" s="3336"/>
      <c r="P5726" s="3337"/>
    </row>
    <row r="5727" spans="7:16" s="1634" customFormat="1">
      <c r="G5727" s="3336"/>
      <c r="P5727" s="3337"/>
    </row>
    <row r="5728" spans="7:16" s="1634" customFormat="1">
      <c r="G5728" s="3336"/>
      <c r="P5728" s="3337"/>
    </row>
    <row r="5729" spans="7:16" s="1634" customFormat="1">
      <c r="G5729" s="3336"/>
      <c r="P5729" s="3337"/>
    </row>
    <row r="5730" spans="7:16" s="1634" customFormat="1">
      <c r="G5730" s="3336"/>
      <c r="P5730" s="3337"/>
    </row>
    <row r="5731" spans="7:16" s="1634" customFormat="1">
      <c r="G5731" s="3336"/>
      <c r="P5731" s="3337"/>
    </row>
    <row r="5732" spans="7:16" s="1634" customFormat="1">
      <c r="G5732" s="3336"/>
      <c r="P5732" s="3337"/>
    </row>
    <row r="5733" spans="7:16" s="1634" customFormat="1">
      <c r="G5733" s="3336"/>
      <c r="P5733" s="3337"/>
    </row>
    <row r="5734" spans="7:16" s="1634" customFormat="1">
      <c r="G5734" s="3336"/>
      <c r="P5734" s="3337"/>
    </row>
    <row r="5735" spans="7:16" s="1634" customFormat="1">
      <c r="G5735" s="3336"/>
      <c r="P5735" s="3337"/>
    </row>
    <row r="5736" spans="7:16" s="1634" customFormat="1">
      <c r="G5736" s="3336"/>
      <c r="P5736" s="3337"/>
    </row>
    <row r="5737" spans="7:16" s="1634" customFormat="1">
      <c r="G5737" s="3336"/>
      <c r="P5737" s="3337"/>
    </row>
    <row r="5738" spans="7:16" s="1634" customFormat="1">
      <c r="G5738" s="3336"/>
      <c r="P5738" s="3337"/>
    </row>
    <row r="5739" spans="7:16" s="1634" customFormat="1">
      <c r="G5739" s="3336"/>
      <c r="P5739" s="3337"/>
    </row>
    <row r="5740" spans="7:16" s="1634" customFormat="1">
      <c r="G5740" s="3336"/>
      <c r="P5740" s="3337"/>
    </row>
    <row r="5741" spans="7:16" s="1634" customFormat="1">
      <c r="G5741" s="3336"/>
      <c r="P5741" s="3337"/>
    </row>
    <row r="5742" spans="7:16" s="1634" customFormat="1">
      <c r="G5742" s="3336"/>
      <c r="P5742" s="3337"/>
    </row>
    <row r="5743" spans="7:16" s="1634" customFormat="1">
      <c r="G5743" s="3336"/>
      <c r="P5743" s="3337"/>
    </row>
    <row r="5744" spans="7:16" s="1634" customFormat="1">
      <c r="G5744" s="3336"/>
      <c r="P5744" s="3337"/>
    </row>
    <row r="5745" spans="7:16" s="1634" customFormat="1">
      <c r="G5745" s="3336"/>
      <c r="P5745" s="3337"/>
    </row>
    <row r="5746" spans="7:16" s="1634" customFormat="1">
      <c r="G5746" s="3336"/>
      <c r="P5746" s="3337"/>
    </row>
    <row r="5747" spans="7:16" s="1634" customFormat="1">
      <c r="G5747" s="3336"/>
      <c r="P5747" s="3337"/>
    </row>
    <row r="5748" spans="7:16" s="1634" customFormat="1">
      <c r="G5748" s="3336"/>
      <c r="P5748" s="3337"/>
    </row>
    <row r="5749" spans="7:16" s="1634" customFormat="1">
      <c r="G5749" s="3336"/>
      <c r="P5749" s="3337"/>
    </row>
    <row r="5750" spans="7:16" s="1634" customFormat="1">
      <c r="G5750" s="3336"/>
      <c r="P5750" s="3337"/>
    </row>
    <row r="5751" spans="7:16" s="1634" customFormat="1">
      <c r="G5751" s="3336"/>
      <c r="P5751" s="3337"/>
    </row>
    <row r="5752" spans="7:16" s="1634" customFormat="1">
      <c r="G5752" s="3336"/>
      <c r="P5752" s="3337"/>
    </row>
    <row r="5753" spans="7:16" s="1634" customFormat="1">
      <c r="G5753" s="3336"/>
      <c r="P5753" s="3337"/>
    </row>
    <row r="5754" spans="7:16" s="1634" customFormat="1">
      <c r="G5754" s="3336"/>
      <c r="P5754" s="3337"/>
    </row>
    <row r="5755" spans="7:16" s="1634" customFormat="1">
      <c r="G5755" s="3336"/>
      <c r="P5755" s="3337"/>
    </row>
    <row r="5756" spans="7:16" s="1634" customFormat="1">
      <c r="G5756" s="3336"/>
      <c r="P5756" s="3337"/>
    </row>
    <row r="5757" spans="7:16" s="1634" customFormat="1">
      <c r="G5757" s="3336"/>
      <c r="P5757" s="3337"/>
    </row>
    <row r="5758" spans="7:16" s="1634" customFormat="1">
      <c r="G5758" s="3336"/>
      <c r="P5758" s="3337"/>
    </row>
    <row r="5759" spans="7:16" s="1634" customFormat="1">
      <c r="G5759" s="3336"/>
      <c r="P5759" s="3337"/>
    </row>
    <row r="5760" spans="7:16" s="1634" customFormat="1">
      <c r="G5760" s="3336"/>
      <c r="P5760" s="3337"/>
    </row>
    <row r="5761" spans="7:16" s="1634" customFormat="1">
      <c r="G5761" s="3336"/>
      <c r="P5761" s="3337"/>
    </row>
    <row r="5762" spans="7:16" s="1634" customFormat="1">
      <c r="G5762" s="3336"/>
      <c r="P5762" s="3337"/>
    </row>
    <row r="5763" spans="7:16" s="1634" customFormat="1">
      <c r="G5763" s="3336"/>
      <c r="P5763" s="3337"/>
    </row>
    <row r="5764" spans="7:16" s="1634" customFormat="1">
      <c r="G5764" s="3336"/>
      <c r="P5764" s="3337"/>
    </row>
    <row r="5765" spans="7:16" s="1634" customFormat="1">
      <c r="G5765" s="3336"/>
      <c r="P5765" s="3337"/>
    </row>
    <row r="5766" spans="7:16" s="1634" customFormat="1">
      <c r="G5766" s="3336"/>
      <c r="P5766" s="3337"/>
    </row>
    <row r="5767" spans="7:16" s="1634" customFormat="1">
      <c r="G5767" s="3336"/>
      <c r="P5767" s="3337"/>
    </row>
    <row r="5768" spans="7:16" s="1634" customFormat="1">
      <c r="G5768" s="3336"/>
      <c r="P5768" s="3337"/>
    </row>
    <row r="5769" spans="7:16" s="1634" customFormat="1">
      <c r="G5769" s="3336"/>
      <c r="P5769" s="3337"/>
    </row>
    <row r="5770" spans="7:16" s="1634" customFormat="1">
      <c r="G5770" s="3336"/>
      <c r="P5770" s="3337"/>
    </row>
    <row r="5771" spans="7:16" s="1634" customFormat="1">
      <c r="G5771" s="3336"/>
      <c r="P5771" s="3337"/>
    </row>
    <row r="5772" spans="7:16" s="1634" customFormat="1">
      <c r="G5772" s="3336"/>
      <c r="P5772" s="3337"/>
    </row>
    <row r="5773" spans="7:16" s="1634" customFormat="1">
      <c r="G5773" s="3336"/>
      <c r="P5773" s="3337"/>
    </row>
    <row r="5774" spans="7:16" s="1634" customFormat="1">
      <c r="G5774" s="3336"/>
      <c r="P5774" s="3337"/>
    </row>
    <row r="5775" spans="7:16" s="1634" customFormat="1">
      <c r="G5775" s="3336"/>
      <c r="P5775" s="3337"/>
    </row>
    <row r="5776" spans="7:16" s="1634" customFormat="1">
      <c r="G5776" s="3336"/>
      <c r="P5776" s="3337"/>
    </row>
    <row r="5777" spans="7:16" s="1634" customFormat="1">
      <c r="G5777" s="3336"/>
      <c r="P5777" s="3337"/>
    </row>
    <row r="5778" spans="7:16" s="1634" customFormat="1">
      <c r="G5778" s="3336"/>
      <c r="P5778" s="3337"/>
    </row>
    <row r="5779" spans="7:16" s="1634" customFormat="1">
      <c r="G5779" s="3336"/>
      <c r="P5779" s="3337"/>
    </row>
    <row r="5780" spans="7:16" s="1634" customFormat="1">
      <c r="G5780" s="3336"/>
      <c r="P5780" s="3337"/>
    </row>
    <row r="5781" spans="7:16" s="1634" customFormat="1">
      <c r="G5781" s="3336"/>
      <c r="P5781" s="3337"/>
    </row>
    <row r="5782" spans="7:16" s="1634" customFormat="1">
      <c r="G5782" s="3336"/>
      <c r="P5782" s="3337"/>
    </row>
    <row r="5783" spans="7:16" s="1634" customFormat="1">
      <c r="G5783" s="3336"/>
      <c r="P5783" s="3337"/>
    </row>
    <row r="5784" spans="7:16" s="1634" customFormat="1">
      <c r="G5784" s="3336"/>
      <c r="P5784" s="3337"/>
    </row>
    <row r="5785" spans="7:16" s="1634" customFormat="1">
      <c r="G5785" s="3336"/>
      <c r="P5785" s="3337"/>
    </row>
    <row r="5786" spans="7:16" s="1634" customFormat="1">
      <c r="G5786" s="3336"/>
      <c r="P5786" s="3337"/>
    </row>
    <row r="5787" spans="7:16" s="1634" customFormat="1">
      <c r="G5787" s="3336"/>
      <c r="P5787" s="3337"/>
    </row>
    <row r="5788" spans="7:16" s="1634" customFormat="1">
      <c r="G5788" s="3336"/>
      <c r="P5788" s="3337"/>
    </row>
    <row r="5789" spans="7:16" s="1634" customFormat="1">
      <c r="G5789" s="3336"/>
      <c r="P5789" s="3337"/>
    </row>
    <row r="5790" spans="7:16" s="1634" customFormat="1">
      <c r="G5790" s="3336"/>
      <c r="P5790" s="3337"/>
    </row>
    <row r="5791" spans="7:16" s="1634" customFormat="1">
      <c r="G5791" s="3336"/>
      <c r="P5791" s="3337"/>
    </row>
    <row r="5792" spans="7:16" s="1634" customFormat="1">
      <c r="G5792" s="3336"/>
      <c r="P5792" s="3337"/>
    </row>
    <row r="5793" spans="7:16" s="1634" customFormat="1">
      <c r="G5793" s="3336"/>
      <c r="P5793" s="3337"/>
    </row>
    <row r="5794" spans="7:16" s="1634" customFormat="1">
      <c r="G5794" s="3336"/>
      <c r="P5794" s="3337"/>
    </row>
    <row r="5795" spans="7:16" s="1634" customFormat="1">
      <c r="G5795" s="3336"/>
      <c r="P5795" s="3337"/>
    </row>
    <row r="5796" spans="7:16" s="1634" customFormat="1">
      <c r="G5796" s="3336"/>
      <c r="P5796" s="3337"/>
    </row>
    <row r="5797" spans="7:16" s="1634" customFormat="1">
      <c r="G5797" s="3336"/>
      <c r="P5797" s="3337"/>
    </row>
    <row r="5798" spans="7:16" s="1634" customFormat="1">
      <c r="G5798" s="3336"/>
      <c r="P5798" s="3337"/>
    </row>
    <row r="5799" spans="7:16" s="1634" customFormat="1">
      <c r="G5799" s="3336"/>
      <c r="P5799" s="3337"/>
    </row>
    <row r="5800" spans="7:16" s="1634" customFormat="1">
      <c r="G5800" s="3336"/>
      <c r="P5800" s="3337"/>
    </row>
    <row r="5801" spans="7:16" s="1634" customFormat="1">
      <c r="G5801" s="3336"/>
      <c r="P5801" s="3337"/>
    </row>
    <row r="5802" spans="7:16" s="1634" customFormat="1">
      <c r="G5802" s="3336"/>
      <c r="P5802" s="3337"/>
    </row>
    <row r="5803" spans="7:16" s="1634" customFormat="1">
      <c r="G5803" s="3336"/>
      <c r="P5803" s="3337"/>
    </row>
    <row r="5804" spans="7:16" s="1634" customFormat="1">
      <c r="G5804" s="3336"/>
      <c r="P5804" s="3337"/>
    </row>
    <row r="5805" spans="7:16" s="1634" customFormat="1">
      <c r="G5805" s="3336"/>
      <c r="P5805" s="3337"/>
    </row>
    <row r="5806" spans="7:16" s="1634" customFormat="1">
      <c r="G5806" s="3336"/>
      <c r="P5806" s="3337"/>
    </row>
    <row r="5807" spans="7:16" s="1634" customFormat="1">
      <c r="G5807" s="3336"/>
      <c r="P5807" s="3337"/>
    </row>
    <row r="5808" spans="7:16" s="1634" customFormat="1">
      <c r="G5808" s="3336"/>
      <c r="P5808" s="3337"/>
    </row>
    <row r="5809" spans="7:16" s="1634" customFormat="1">
      <c r="G5809" s="3336"/>
      <c r="P5809" s="3337"/>
    </row>
    <row r="5810" spans="7:16" s="1634" customFormat="1">
      <c r="G5810" s="3336"/>
      <c r="P5810" s="3337"/>
    </row>
    <row r="5811" spans="7:16" s="1634" customFormat="1">
      <c r="G5811" s="3336"/>
      <c r="P5811" s="3337"/>
    </row>
    <row r="5812" spans="7:16" s="1634" customFormat="1">
      <c r="G5812" s="3336"/>
      <c r="P5812" s="3337"/>
    </row>
    <row r="5813" spans="7:16" s="1634" customFormat="1">
      <c r="G5813" s="3336"/>
      <c r="P5813" s="3337"/>
    </row>
    <row r="5814" spans="7:16" s="1634" customFormat="1">
      <c r="G5814" s="3336"/>
      <c r="P5814" s="3337"/>
    </row>
    <row r="5815" spans="7:16" s="1634" customFormat="1">
      <c r="G5815" s="3336"/>
      <c r="P5815" s="3337"/>
    </row>
    <row r="5816" spans="7:16" s="1634" customFormat="1">
      <c r="G5816" s="3336"/>
      <c r="P5816" s="3337"/>
    </row>
    <row r="5817" spans="7:16" s="1634" customFormat="1">
      <c r="G5817" s="3336"/>
      <c r="P5817" s="3337"/>
    </row>
    <row r="5818" spans="7:16" s="1634" customFormat="1">
      <c r="G5818" s="3336"/>
      <c r="P5818" s="3337"/>
    </row>
    <row r="5819" spans="7:16" s="1634" customFormat="1">
      <c r="G5819" s="3336"/>
      <c r="P5819" s="3337"/>
    </row>
    <row r="5820" spans="7:16" s="1634" customFormat="1">
      <c r="G5820" s="3336"/>
      <c r="P5820" s="3337"/>
    </row>
    <row r="5821" spans="7:16" s="1634" customFormat="1">
      <c r="G5821" s="3336"/>
      <c r="P5821" s="3337"/>
    </row>
    <row r="5822" spans="7:16" s="1634" customFormat="1">
      <c r="G5822" s="3336"/>
      <c r="P5822" s="3337"/>
    </row>
    <row r="5823" spans="7:16" s="1634" customFormat="1">
      <c r="G5823" s="3336"/>
      <c r="P5823" s="3337"/>
    </row>
    <row r="5824" spans="7:16" s="1634" customFormat="1">
      <c r="G5824" s="3336"/>
      <c r="P5824" s="3337"/>
    </row>
    <row r="5825" spans="7:16" s="1634" customFormat="1">
      <c r="G5825" s="3336"/>
      <c r="P5825" s="3337"/>
    </row>
    <row r="5826" spans="7:16" s="1634" customFormat="1">
      <c r="G5826" s="3336"/>
      <c r="P5826" s="3337"/>
    </row>
    <row r="5827" spans="7:16" s="1634" customFormat="1">
      <c r="G5827" s="3336"/>
      <c r="P5827" s="3337"/>
    </row>
    <row r="5828" spans="7:16" s="1634" customFormat="1">
      <c r="G5828" s="3336"/>
      <c r="P5828" s="3337"/>
    </row>
    <row r="5829" spans="7:16" s="1634" customFormat="1">
      <c r="G5829" s="3336"/>
      <c r="P5829" s="3337"/>
    </row>
    <row r="5830" spans="7:16" s="1634" customFormat="1">
      <c r="G5830" s="3336"/>
      <c r="P5830" s="3337"/>
    </row>
    <row r="5831" spans="7:16" s="1634" customFormat="1">
      <c r="G5831" s="3336"/>
      <c r="P5831" s="3337"/>
    </row>
    <row r="5832" spans="7:16" s="1634" customFormat="1">
      <c r="G5832" s="3336"/>
      <c r="P5832" s="3337"/>
    </row>
    <row r="5833" spans="7:16" s="1634" customFormat="1">
      <c r="G5833" s="3336"/>
      <c r="P5833" s="3337"/>
    </row>
    <row r="5834" spans="7:16" s="1634" customFormat="1">
      <c r="G5834" s="3336"/>
      <c r="P5834" s="3337"/>
    </row>
    <row r="5835" spans="7:16" s="1634" customFormat="1">
      <c r="G5835" s="3336"/>
      <c r="P5835" s="3337"/>
    </row>
    <row r="5836" spans="7:16" s="1634" customFormat="1">
      <c r="G5836" s="3336"/>
      <c r="P5836" s="3337"/>
    </row>
    <row r="5837" spans="7:16" s="1634" customFormat="1">
      <c r="G5837" s="3336"/>
      <c r="P5837" s="3337"/>
    </row>
    <row r="5838" spans="7:16" s="1634" customFormat="1">
      <c r="G5838" s="3336"/>
      <c r="P5838" s="3337"/>
    </row>
    <row r="5839" spans="7:16" s="1634" customFormat="1">
      <c r="G5839" s="3336"/>
      <c r="P5839" s="3337"/>
    </row>
    <row r="5840" spans="7:16" s="1634" customFormat="1">
      <c r="G5840" s="3336"/>
      <c r="P5840" s="3337"/>
    </row>
    <row r="5841" spans="7:16" s="1634" customFormat="1">
      <c r="G5841" s="3336"/>
      <c r="P5841" s="3337"/>
    </row>
    <row r="5842" spans="7:16" s="1634" customFormat="1">
      <c r="G5842" s="3336"/>
      <c r="P5842" s="3337"/>
    </row>
    <row r="5843" spans="7:16" s="1634" customFormat="1">
      <c r="G5843" s="3336"/>
      <c r="P5843" s="3337"/>
    </row>
    <row r="5844" spans="7:16" s="1634" customFormat="1">
      <c r="G5844" s="3336"/>
      <c r="P5844" s="3337"/>
    </row>
    <row r="5845" spans="7:16" s="1634" customFormat="1">
      <c r="G5845" s="3336"/>
      <c r="P5845" s="3337"/>
    </row>
    <row r="5846" spans="7:16" s="1634" customFormat="1">
      <c r="G5846" s="3336"/>
      <c r="P5846" s="3337"/>
    </row>
    <row r="5847" spans="7:16" s="1634" customFormat="1">
      <c r="G5847" s="3336"/>
      <c r="P5847" s="3337"/>
    </row>
    <row r="5848" spans="7:16" s="1634" customFormat="1">
      <c r="G5848" s="3336"/>
      <c r="P5848" s="3337"/>
    </row>
    <row r="5849" spans="7:16" s="1634" customFormat="1">
      <c r="G5849" s="3336"/>
      <c r="P5849" s="3337"/>
    </row>
    <row r="5850" spans="7:16" s="1634" customFormat="1">
      <c r="G5850" s="3336"/>
      <c r="P5850" s="3337"/>
    </row>
    <row r="5851" spans="7:16" s="1634" customFormat="1">
      <c r="G5851" s="3336"/>
      <c r="P5851" s="3337"/>
    </row>
    <row r="5852" spans="7:16" s="1634" customFormat="1">
      <c r="G5852" s="3336"/>
      <c r="P5852" s="3337"/>
    </row>
    <row r="5853" spans="7:16" s="1634" customFormat="1">
      <c r="G5853" s="3336"/>
      <c r="P5853" s="3337"/>
    </row>
    <row r="5854" spans="7:16" s="1634" customFormat="1">
      <c r="G5854" s="3336"/>
      <c r="P5854" s="3337"/>
    </row>
    <row r="5855" spans="7:16" s="1634" customFormat="1">
      <c r="G5855" s="3336"/>
      <c r="P5855" s="3337"/>
    </row>
    <row r="5856" spans="7:16" s="1634" customFormat="1">
      <c r="G5856" s="3336"/>
      <c r="P5856" s="3337"/>
    </row>
    <row r="5857" spans="7:16" s="1634" customFormat="1">
      <c r="G5857" s="3336"/>
      <c r="P5857" s="3337"/>
    </row>
    <row r="5858" spans="7:16" s="1634" customFormat="1">
      <c r="G5858" s="3336"/>
      <c r="P5858" s="3337"/>
    </row>
    <row r="5859" spans="7:16" s="1634" customFormat="1">
      <c r="G5859" s="3336"/>
      <c r="P5859" s="3337"/>
    </row>
    <row r="5860" spans="7:16" s="1634" customFormat="1">
      <c r="G5860" s="3336"/>
      <c r="P5860" s="3337"/>
    </row>
    <row r="5861" spans="7:16" s="1634" customFormat="1">
      <c r="G5861" s="3336"/>
      <c r="P5861" s="3337"/>
    </row>
    <row r="5862" spans="7:16" s="1634" customFormat="1">
      <c r="G5862" s="3336"/>
      <c r="P5862" s="3337"/>
    </row>
    <row r="5863" spans="7:16" s="1634" customFormat="1">
      <c r="G5863" s="3336"/>
      <c r="P5863" s="3337"/>
    </row>
    <row r="5864" spans="7:16" s="1634" customFormat="1">
      <c r="G5864" s="3336"/>
      <c r="P5864" s="3337"/>
    </row>
    <row r="5865" spans="7:16" s="1634" customFormat="1">
      <c r="G5865" s="3336"/>
      <c r="P5865" s="3337"/>
    </row>
    <row r="5866" spans="7:16" s="1634" customFormat="1">
      <c r="G5866" s="3336"/>
      <c r="P5866" s="3337"/>
    </row>
    <row r="5867" spans="7:16" s="1634" customFormat="1">
      <c r="G5867" s="3336"/>
      <c r="P5867" s="3337"/>
    </row>
    <row r="5868" spans="7:16" s="1634" customFormat="1">
      <c r="G5868" s="3336"/>
      <c r="P5868" s="3337"/>
    </row>
    <row r="5869" spans="7:16" s="1634" customFormat="1">
      <c r="G5869" s="3336"/>
      <c r="P5869" s="3337"/>
    </row>
    <row r="5870" spans="7:16" s="1634" customFormat="1">
      <c r="G5870" s="3336"/>
      <c r="P5870" s="3337"/>
    </row>
    <row r="5871" spans="7:16" s="1634" customFormat="1">
      <c r="G5871" s="3336"/>
      <c r="P5871" s="3337"/>
    </row>
    <row r="5872" spans="7:16" s="1634" customFormat="1">
      <c r="G5872" s="3336"/>
      <c r="P5872" s="3337"/>
    </row>
    <row r="5873" spans="7:16" s="1634" customFormat="1">
      <c r="G5873" s="3336"/>
      <c r="P5873" s="3337"/>
    </row>
    <row r="5874" spans="7:16" s="1634" customFormat="1">
      <c r="G5874" s="3336"/>
      <c r="P5874" s="3337"/>
    </row>
    <row r="5875" spans="7:16" s="1634" customFormat="1">
      <c r="G5875" s="3336"/>
      <c r="P5875" s="3337"/>
    </row>
    <row r="5876" spans="7:16" s="1634" customFormat="1">
      <c r="G5876" s="3336"/>
      <c r="P5876" s="3337"/>
    </row>
    <row r="5877" spans="7:16" s="1634" customFormat="1">
      <c r="G5877" s="3336"/>
      <c r="P5877" s="3337"/>
    </row>
    <row r="5878" spans="7:16" s="1634" customFormat="1">
      <c r="G5878" s="3336"/>
      <c r="P5878" s="3337"/>
    </row>
    <row r="5879" spans="7:16" s="1634" customFormat="1">
      <c r="G5879" s="3336"/>
      <c r="P5879" s="3337"/>
    </row>
    <row r="5880" spans="7:16" s="1634" customFormat="1">
      <c r="G5880" s="3336"/>
      <c r="P5880" s="3337"/>
    </row>
    <row r="5881" spans="7:16" s="1634" customFormat="1">
      <c r="G5881" s="3336"/>
      <c r="P5881" s="3337"/>
    </row>
    <row r="5882" spans="7:16" s="1634" customFormat="1">
      <c r="G5882" s="3336"/>
      <c r="P5882" s="3337"/>
    </row>
    <row r="5883" spans="7:16" s="1634" customFormat="1">
      <c r="G5883" s="3336"/>
      <c r="P5883" s="3337"/>
    </row>
    <row r="5884" spans="7:16" s="1634" customFormat="1">
      <c r="G5884" s="3336"/>
      <c r="P5884" s="3337"/>
    </row>
    <row r="5885" spans="7:16" s="1634" customFormat="1">
      <c r="G5885" s="3336"/>
      <c r="P5885" s="3337"/>
    </row>
    <row r="5886" spans="7:16" s="1634" customFormat="1">
      <c r="G5886" s="3336"/>
      <c r="P5886" s="3337"/>
    </row>
    <row r="5887" spans="7:16" s="1634" customFormat="1">
      <c r="G5887" s="3336"/>
      <c r="P5887" s="3337"/>
    </row>
    <row r="5888" spans="7:16" s="1634" customFormat="1">
      <c r="G5888" s="3336"/>
      <c r="P5888" s="3337"/>
    </row>
    <row r="5889" spans="7:16" s="1634" customFormat="1">
      <c r="G5889" s="3336"/>
      <c r="P5889" s="3337"/>
    </row>
    <row r="5890" spans="7:16" s="1634" customFormat="1">
      <c r="G5890" s="3336"/>
      <c r="P5890" s="3337"/>
    </row>
    <row r="5891" spans="7:16" s="1634" customFormat="1">
      <c r="G5891" s="3336"/>
      <c r="P5891" s="3337"/>
    </row>
    <row r="5892" spans="7:16" s="1634" customFormat="1">
      <c r="G5892" s="3336"/>
      <c r="P5892" s="3337"/>
    </row>
    <row r="5893" spans="7:16" s="1634" customFormat="1">
      <c r="G5893" s="3336"/>
      <c r="P5893" s="3337"/>
    </row>
    <row r="5894" spans="7:16" s="1634" customFormat="1">
      <c r="G5894" s="3336"/>
      <c r="P5894" s="3337"/>
    </row>
    <row r="5895" spans="7:16" s="1634" customFormat="1">
      <c r="G5895" s="3336"/>
      <c r="P5895" s="3337"/>
    </row>
    <row r="5896" spans="7:16" s="1634" customFormat="1">
      <c r="G5896" s="3336"/>
      <c r="P5896" s="3337"/>
    </row>
    <row r="5897" spans="7:16" s="1634" customFormat="1">
      <c r="G5897" s="3336"/>
      <c r="P5897" s="3337"/>
    </row>
    <row r="5898" spans="7:16" s="1634" customFormat="1">
      <c r="G5898" s="3336"/>
      <c r="P5898" s="3337"/>
    </row>
    <row r="5899" spans="7:16" s="1634" customFormat="1">
      <c r="G5899" s="3336"/>
      <c r="P5899" s="3337"/>
    </row>
    <row r="5900" spans="7:16" s="1634" customFormat="1">
      <c r="G5900" s="3336"/>
      <c r="P5900" s="3337"/>
    </row>
    <row r="5901" spans="7:16" s="1634" customFormat="1">
      <c r="G5901" s="3336"/>
      <c r="P5901" s="3337"/>
    </row>
    <row r="5902" spans="7:16" s="1634" customFormat="1">
      <c r="G5902" s="3336"/>
      <c r="P5902" s="3337"/>
    </row>
    <row r="5903" spans="7:16" s="1634" customFormat="1">
      <c r="G5903" s="3336"/>
      <c r="P5903" s="3337"/>
    </row>
    <row r="5904" spans="7:16" s="1634" customFormat="1">
      <c r="G5904" s="3336"/>
      <c r="P5904" s="3337"/>
    </row>
    <row r="5905" spans="7:16" s="1634" customFormat="1">
      <c r="G5905" s="3336"/>
      <c r="P5905" s="3337"/>
    </row>
    <row r="5906" spans="7:16" s="1634" customFormat="1">
      <c r="G5906" s="3336"/>
      <c r="P5906" s="3337"/>
    </row>
    <row r="5907" spans="7:16" s="1634" customFormat="1">
      <c r="G5907" s="3336"/>
      <c r="P5907" s="3337"/>
    </row>
    <row r="5908" spans="7:16" s="1634" customFormat="1">
      <c r="G5908" s="3336"/>
      <c r="P5908" s="3337"/>
    </row>
    <row r="5909" spans="7:16" s="1634" customFormat="1">
      <c r="G5909" s="3336"/>
      <c r="P5909" s="3337"/>
    </row>
    <row r="5910" spans="7:16" s="1634" customFormat="1">
      <c r="G5910" s="3336"/>
      <c r="P5910" s="3337"/>
    </row>
    <row r="5911" spans="7:16" s="1634" customFormat="1">
      <c r="G5911" s="3336"/>
      <c r="P5911" s="3337"/>
    </row>
    <row r="5912" spans="7:16" s="1634" customFormat="1">
      <c r="G5912" s="3336"/>
      <c r="P5912" s="3337"/>
    </row>
    <row r="5913" spans="7:16" s="1634" customFormat="1">
      <c r="G5913" s="3336"/>
      <c r="P5913" s="3337"/>
    </row>
    <row r="5914" spans="7:16" s="1634" customFormat="1">
      <c r="G5914" s="3336"/>
      <c r="P5914" s="3337"/>
    </row>
    <row r="5915" spans="7:16" s="1634" customFormat="1">
      <c r="G5915" s="3336"/>
      <c r="P5915" s="3337"/>
    </row>
    <row r="5916" spans="7:16" s="1634" customFormat="1">
      <c r="G5916" s="3336"/>
      <c r="P5916" s="3337"/>
    </row>
    <row r="5917" spans="7:16" s="1634" customFormat="1">
      <c r="G5917" s="3336"/>
      <c r="P5917" s="3337"/>
    </row>
    <row r="5918" spans="7:16" s="1634" customFormat="1">
      <c r="G5918" s="3336"/>
      <c r="P5918" s="3337"/>
    </row>
    <row r="5919" spans="7:16" s="1634" customFormat="1">
      <c r="G5919" s="3336"/>
      <c r="P5919" s="3337"/>
    </row>
    <row r="5920" spans="7:16" s="1634" customFormat="1">
      <c r="G5920" s="3336"/>
      <c r="P5920" s="3337"/>
    </row>
    <row r="5921" spans="7:16" s="1634" customFormat="1">
      <c r="G5921" s="3336"/>
      <c r="P5921" s="3337"/>
    </row>
    <row r="5922" spans="7:16" s="1634" customFormat="1">
      <c r="G5922" s="3336"/>
      <c r="P5922" s="3337"/>
    </row>
    <row r="5923" spans="7:16" s="1634" customFormat="1">
      <c r="G5923" s="3336"/>
      <c r="P5923" s="3337"/>
    </row>
    <row r="5924" spans="7:16" s="1634" customFormat="1">
      <c r="G5924" s="3336"/>
      <c r="P5924" s="3337"/>
    </row>
    <row r="5925" spans="7:16" s="1634" customFormat="1">
      <c r="G5925" s="3336"/>
      <c r="P5925" s="3337"/>
    </row>
    <row r="5926" spans="7:16" s="1634" customFormat="1">
      <c r="G5926" s="3336"/>
      <c r="P5926" s="3337"/>
    </row>
    <row r="5927" spans="7:16" s="1634" customFormat="1">
      <c r="G5927" s="3336"/>
      <c r="P5927" s="3337"/>
    </row>
    <row r="5928" spans="7:16" s="1634" customFormat="1">
      <c r="G5928" s="3336"/>
      <c r="P5928" s="3337"/>
    </row>
    <row r="5929" spans="7:16" s="1634" customFormat="1">
      <c r="G5929" s="3336"/>
      <c r="P5929" s="3337"/>
    </row>
    <row r="5930" spans="7:16" s="1634" customFormat="1">
      <c r="G5930" s="3336"/>
      <c r="P5930" s="3337"/>
    </row>
    <row r="5931" spans="7:16" s="1634" customFormat="1">
      <c r="G5931" s="3336"/>
      <c r="P5931" s="3337"/>
    </row>
    <row r="5932" spans="7:16" s="1634" customFormat="1">
      <c r="G5932" s="3336"/>
      <c r="P5932" s="3337"/>
    </row>
    <row r="5933" spans="7:16" s="1634" customFormat="1">
      <c r="G5933" s="3336"/>
      <c r="P5933" s="3337"/>
    </row>
    <row r="5934" spans="7:16" s="1634" customFormat="1">
      <c r="G5934" s="3336"/>
      <c r="P5934" s="3337"/>
    </row>
    <row r="5935" spans="7:16" s="1634" customFormat="1">
      <c r="G5935" s="3336"/>
      <c r="P5935" s="3337"/>
    </row>
    <row r="5936" spans="7:16" s="1634" customFormat="1">
      <c r="G5936" s="3336"/>
      <c r="P5936" s="3337"/>
    </row>
    <row r="5937" spans="7:16" s="1634" customFormat="1">
      <c r="G5937" s="3336"/>
      <c r="P5937" s="3337"/>
    </row>
    <row r="5938" spans="7:16" s="1634" customFormat="1">
      <c r="G5938" s="3336"/>
      <c r="P5938" s="3337"/>
    </row>
    <row r="5939" spans="7:16" s="1634" customFormat="1">
      <c r="G5939" s="3336"/>
      <c r="P5939" s="3337"/>
    </row>
    <row r="5940" spans="7:16" s="1634" customFormat="1">
      <c r="G5940" s="3336"/>
      <c r="P5940" s="3337"/>
    </row>
    <row r="5941" spans="7:16" s="1634" customFormat="1">
      <c r="G5941" s="3336"/>
      <c r="P5941" s="3337"/>
    </row>
    <row r="5942" spans="7:16" s="1634" customFormat="1">
      <c r="G5942" s="3336"/>
      <c r="P5942" s="3337"/>
    </row>
    <row r="5943" spans="7:16" s="1634" customFormat="1">
      <c r="G5943" s="3336"/>
      <c r="P5943" s="3337"/>
    </row>
    <row r="5944" spans="7:16" s="1634" customFormat="1">
      <c r="G5944" s="3336"/>
      <c r="P5944" s="3337"/>
    </row>
    <row r="5945" spans="7:16" s="1634" customFormat="1">
      <c r="G5945" s="3336"/>
      <c r="P5945" s="3337"/>
    </row>
    <row r="5946" spans="7:16" s="1634" customFormat="1">
      <c r="G5946" s="3336"/>
      <c r="P5946" s="3337"/>
    </row>
    <row r="5947" spans="7:16" s="1634" customFormat="1">
      <c r="G5947" s="3336"/>
      <c r="P5947" s="3337"/>
    </row>
    <row r="5948" spans="7:16" s="1634" customFormat="1">
      <c r="G5948" s="3336"/>
      <c r="P5948" s="3337"/>
    </row>
    <row r="5949" spans="7:16" s="1634" customFormat="1">
      <c r="G5949" s="3336"/>
      <c r="P5949" s="3337"/>
    </row>
    <row r="5950" spans="7:16" s="1634" customFormat="1">
      <c r="G5950" s="3336"/>
      <c r="P5950" s="3337"/>
    </row>
    <row r="5951" spans="7:16" s="1634" customFormat="1">
      <c r="G5951" s="3336"/>
      <c r="P5951" s="3337"/>
    </row>
    <row r="5952" spans="7:16" s="1634" customFormat="1">
      <c r="G5952" s="3336"/>
      <c r="P5952" s="3337"/>
    </row>
    <row r="5953" spans="7:16" s="1634" customFormat="1">
      <c r="G5953" s="3336"/>
      <c r="P5953" s="3337"/>
    </row>
    <row r="5954" spans="7:16" s="1634" customFormat="1">
      <c r="G5954" s="3336"/>
      <c r="P5954" s="3337"/>
    </row>
    <row r="5955" spans="7:16" s="1634" customFormat="1">
      <c r="G5955" s="3336"/>
      <c r="P5955" s="3337"/>
    </row>
    <row r="5956" spans="7:16" s="1634" customFormat="1">
      <c r="G5956" s="3336"/>
      <c r="P5956" s="3337"/>
    </row>
    <row r="5957" spans="7:16" s="1634" customFormat="1">
      <c r="G5957" s="3336"/>
      <c r="P5957" s="3337"/>
    </row>
    <row r="5958" spans="7:16" s="1634" customFormat="1">
      <c r="G5958" s="3336"/>
      <c r="P5958" s="3337"/>
    </row>
    <row r="5959" spans="7:16" s="1634" customFormat="1">
      <c r="G5959" s="3336"/>
      <c r="P5959" s="3337"/>
    </row>
    <row r="5960" spans="7:16" s="1634" customFormat="1">
      <c r="G5960" s="3336"/>
      <c r="P5960" s="3337"/>
    </row>
    <row r="5961" spans="7:16" s="1634" customFormat="1">
      <c r="G5961" s="3336"/>
      <c r="P5961" s="3337"/>
    </row>
    <row r="5962" spans="7:16" s="1634" customFormat="1">
      <c r="G5962" s="3336"/>
      <c r="P5962" s="3337"/>
    </row>
    <row r="5963" spans="7:16" s="1634" customFormat="1">
      <c r="G5963" s="3336"/>
      <c r="P5963" s="3337"/>
    </row>
    <row r="5964" spans="7:16" s="1634" customFormat="1">
      <c r="G5964" s="3336"/>
      <c r="P5964" s="3337"/>
    </row>
    <row r="5965" spans="7:16" s="1634" customFormat="1">
      <c r="G5965" s="3336"/>
      <c r="P5965" s="3337"/>
    </row>
    <row r="5966" spans="7:16" s="1634" customFormat="1">
      <c r="G5966" s="3336"/>
      <c r="P5966" s="3337"/>
    </row>
    <row r="5967" spans="7:16" s="1634" customFormat="1">
      <c r="G5967" s="3336"/>
      <c r="P5967" s="3337"/>
    </row>
    <row r="5968" spans="7:16" s="1634" customFormat="1">
      <c r="G5968" s="3336"/>
      <c r="P5968" s="3337"/>
    </row>
    <row r="5969" spans="7:16" s="1634" customFormat="1">
      <c r="G5969" s="3336"/>
      <c r="P5969" s="3337"/>
    </row>
    <row r="5970" spans="7:16" s="1634" customFormat="1">
      <c r="G5970" s="3336"/>
      <c r="P5970" s="3337"/>
    </row>
    <row r="5971" spans="7:16" s="1634" customFormat="1">
      <c r="G5971" s="3336"/>
      <c r="P5971" s="3337"/>
    </row>
    <row r="5972" spans="7:16" s="1634" customFormat="1">
      <c r="G5972" s="3336"/>
      <c r="P5972" s="3337"/>
    </row>
    <row r="5973" spans="7:16" s="1634" customFormat="1">
      <c r="G5973" s="3336"/>
      <c r="P5973" s="3337"/>
    </row>
    <row r="5974" spans="7:16" s="1634" customFormat="1">
      <c r="G5974" s="3336"/>
      <c r="P5974" s="3337"/>
    </row>
    <row r="5975" spans="7:16" s="1634" customFormat="1">
      <c r="G5975" s="3336"/>
      <c r="P5975" s="3337"/>
    </row>
    <row r="5976" spans="7:16" s="1634" customFormat="1">
      <c r="G5976" s="3336"/>
      <c r="P5976" s="3337"/>
    </row>
    <row r="5977" spans="7:16" s="1634" customFormat="1">
      <c r="G5977" s="3336"/>
      <c r="P5977" s="3337"/>
    </row>
    <row r="5978" spans="7:16" s="1634" customFormat="1">
      <c r="G5978" s="3336"/>
      <c r="P5978" s="3337"/>
    </row>
    <row r="5979" spans="7:16" s="1634" customFormat="1">
      <c r="G5979" s="3336"/>
      <c r="P5979" s="3337"/>
    </row>
    <row r="5980" spans="7:16" s="1634" customFormat="1">
      <c r="G5980" s="3336"/>
      <c r="P5980" s="3337"/>
    </row>
    <row r="5981" spans="7:16" s="1634" customFormat="1">
      <c r="G5981" s="3336"/>
      <c r="P5981" s="3337"/>
    </row>
    <row r="5982" spans="7:16" s="1634" customFormat="1">
      <c r="G5982" s="3336"/>
      <c r="P5982" s="3337"/>
    </row>
    <row r="5983" spans="7:16" s="1634" customFormat="1">
      <c r="G5983" s="3336"/>
      <c r="P5983" s="3337"/>
    </row>
    <row r="5984" spans="7:16" s="1634" customFormat="1">
      <c r="G5984" s="3336"/>
      <c r="P5984" s="3337"/>
    </row>
    <row r="5985" spans="7:16" s="1634" customFormat="1">
      <c r="G5985" s="3336"/>
      <c r="P5985" s="3337"/>
    </row>
    <row r="5986" spans="7:16" s="1634" customFormat="1">
      <c r="G5986" s="3336"/>
      <c r="P5986" s="3337"/>
    </row>
    <row r="5987" spans="7:16" s="1634" customFormat="1">
      <c r="G5987" s="3336"/>
      <c r="P5987" s="3337"/>
    </row>
    <row r="5988" spans="7:16" s="1634" customFormat="1">
      <c r="G5988" s="3336"/>
      <c r="P5988" s="3337"/>
    </row>
    <row r="5989" spans="7:16" s="1634" customFormat="1">
      <c r="G5989" s="3336"/>
      <c r="P5989" s="3337"/>
    </row>
    <row r="5990" spans="7:16" s="1634" customFormat="1">
      <c r="G5990" s="3336"/>
      <c r="P5990" s="3337"/>
    </row>
    <row r="5991" spans="7:16" s="1634" customFormat="1">
      <c r="G5991" s="3336"/>
      <c r="P5991" s="3337"/>
    </row>
    <row r="5992" spans="7:16" s="1634" customFormat="1">
      <c r="G5992" s="3336"/>
      <c r="P5992" s="3337"/>
    </row>
    <row r="5993" spans="7:16" s="1634" customFormat="1">
      <c r="G5993" s="3336"/>
      <c r="P5993" s="3337"/>
    </row>
    <row r="5994" spans="7:16" s="1634" customFormat="1">
      <c r="G5994" s="3336"/>
      <c r="P5994" s="3337"/>
    </row>
    <row r="5995" spans="7:16" s="1634" customFormat="1">
      <c r="G5995" s="3336"/>
      <c r="P5995" s="3337"/>
    </row>
    <row r="5996" spans="7:16" s="1634" customFormat="1">
      <c r="G5996" s="3336"/>
      <c r="P5996" s="3337"/>
    </row>
    <row r="5997" spans="7:16" s="1634" customFormat="1">
      <c r="G5997" s="3336"/>
      <c r="P5997" s="3337"/>
    </row>
    <row r="5998" spans="7:16" s="1634" customFormat="1">
      <c r="G5998" s="3336"/>
      <c r="P5998" s="3337"/>
    </row>
    <row r="5999" spans="7:16" s="1634" customFormat="1">
      <c r="G5999" s="3336"/>
      <c r="P5999" s="3337"/>
    </row>
    <row r="6000" spans="7:16" s="1634" customFormat="1">
      <c r="G6000" s="3336"/>
      <c r="P6000" s="3337"/>
    </row>
    <row r="6001" spans="7:16" s="1634" customFormat="1">
      <c r="G6001" s="3336"/>
      <c r="P6001" s="3337"/>
    </row>
    <row r="6002" spans="7:16" s="1634" customFormat="1">
      <c r="G6002" s="3336"/>
      <c r="P6002" s="3337"/>
    </row>
    <row r="6003" spans="7:16" s="1634" customFormat="1">
      <c r="G6003" s="3336"/>
      <c r="P6003" s="3337"/>
    </row>
    <row r="6004" spans="7:16" s="1634" customFormat="1">
      <c r="G6004" s="3336"/>
      <c r="P6004" s="3337"/>
    </row>
    <row r="6005" spans="7:16" s="1634" customFormat="1">
      <c r="G6005" s="3336"/>
      <c r="P6005" s="3337"/>
    </row>
    <row r="6006" spans="7:16" s="1634" customFormat="1">
      <c r="G6006" s="3336"/>
      <c r="P6006" s="3337"/>
    </row>
    <row r="6007" spans="7:16" s="1634" customFormat="1">
      <c r="G6007" s="3336"/>
      <c r="P6007" s="3337"/>
    </row>
    <row r="6008" spans="7:16" s="1634" customFormat="1">
      <c r="G6008" s="3336"/>
      <c r="P6008" s="3337"/>
    </row>
    <row r="6009" spans="7:16" s="1634" customFormat="1">
      <c r="G6009" s="3336"/>
      <c r="P6009" s="3337"/>
    </row>
    <row r="6010" spans="7:16" s="1634" customFormat="1">
      <c r="G6010" s="3336"/>
      <c r="P6010" s="3337"/>
    </row>
    <row r="6011" spans="7:16" s="1634" customFormat="1">
      <c r="G6011" s="3336"/>
      <c r="P6011" s="3337"/>
    </row>
    <row r="6012" spans="7:16" s="1634" customFormat="1">
      <c r="G6012" s="3336"/>
      <c r="P6012" s="3337"/>
    </row>
    <row r="6013" spans="7:16" s="1634" customFormat="1">
      <c r="G6013" s="3336"/>
      <c r="P6013" s="3337"/>
    </row>
    <row r="6014" spans="7:16" s="1634" customFormat="1">
      <c r="G6014" s="3336"/>
      <c r="P6014" s="3337"/>
    </row>
    <row r="6015" spans="7:16" s="1634" customFormat="1">
      <c r="G6015" s="3336"/>
      <c r="P6015" s="3337"/>
    </row>
    <row r="6016" spans="7:16" s="1634" customFormat="1">
      <c r="G6016" s="3336"/>
      <c r="P6016" s="3337"/>
    </row>
    <row r="6017" spans="7:16" s="1634" customFormat="1">
      <c r="G6017" s="3336"/>
      <c r="P6017" s="3337"/>
    </row>
    <row r="6018" spans="7:16" s="1634" customFormat="1">
      <c r="G6018" s="3336"/>
      <c r="P6018" s="3337"/>
    </row>
    <row r="6019" spans="7:16" s="1634" customFormat="1">
      <c r="G6019" s="3336"/>
      <c r="P6019" s="3337"/>
    </row>
    <row r="6020" spans="7:16" s="1634" customFormat="1">
      <c r="G6020" s="3336"/>
      <c r="P6020" s="3337"/>
    </row>
    <row r="6021" spans="7:16" s="1634" customFormat="1">
      <c r="G6021" s="3336"/>
      <c r="P6021" s="3337"/>
    </row>
    <row r="6022" spans="7:16" s="1634" customFormat="1">
      <c r="G6022" s="3336"/>
      <c r="P6022" s="3337"/>
    </row>
    <row r="6023" spans="7:16" s="1634" customFormat="1">
      <c r="G6023" s="3336"/>
      <c r="P6023" s="3337"/>
    </row>
    <row r="6024" spans="7:16" s="1634" customFormat="1">
      <c r="G6024" s="3336"/>
      <c r="P6024" s="3337"/>
    </row>
    <row r="6025" spans="7:16" s="1634" customFormat="1">
      <c r="G6025" s="3336"/>
      <c r="P6025" s="3337"/>
    </row>
    <row r="6026" spans="7:16" s="1634" customFormat="1">
      <c r="G6026" s="3336"/>
      <c r="P6026" s="3337"/>
    </row>
    <row r="6027" spans="7:16" s="1634" customFormat="1">
      <c r="G6027" s="3336"/>
      <c r="P6027" s="3337"/>
    </row>
    <row r="6028" spans="7:16" s="1634" customFormat="1">
      <c r="G6028" s="3336"/>
      <c r="P6028" s="3337"/>
    </row>
    <row r="6029" spans="7:16" s="1634" customFormat="1">
      <c r="G6029" s="3336"/>
      <c r="P6029" s="3337"/>
    </row>
    <row r="6030" spans="7:16" s="1634" customFormat="1">
      <c r="G6030" s="3336"/>
      <c r="P6030" s="3337"/>
    </row>
    <row r="6031" spans="7:16" s="1634" customFormat="1">
      <c r="G6031" s="3336"/>
      <c r="P6031" s="3337"/>
    </row>
    <row r="6032" spans="7:16" s="1634" customFormat="1">
      <c r="G6032" s="3336"/>
      <c r="P6032" s="3337"/>
    </row>
    <row r="6033" spans="7:16" s="1634" customFormat="1">
      <c r="G6033" s="3336"/>
      <c r="P6033" s="3337"/>
    </row>
    <row r="6034" spans="7:16" s="1634" customFormat="1">
      <c r="G6034" s="3336"/>
      <c r="P6034" s="3337"/>
    </row>
    <row r="6035" spans="7:16" s="1634" customFormat="1">
      <c r="G6035" s="3336"/>
      <c r="P6035" s="3337"/>
    </row>
    <row r="6036" spans="7:16" s="1634" customFormat="1">
      <c r="G6036" s="3336"/>
      <c r="P6036" s="3337"/>
    </row>
    <row r="6037" spans="7:16" s="1634" customFormat="1">
      <c r="G6037" s="3336"/>
      <c r="P6037" s="3337"/>
    </row>
    <row r="6038" spans="7:16" s="1634" customFormat="1">
      <c r="G6038" s="3336"/>
      <c r="P6038" s="3337"/>
    </row>
    <row r="6039" spans="7:16" s="1634" customFormat="1">
      <c r="G6039" s="3336"/>
      <c r="P6039" s="3337"/>
    </row>
    <row r="6040" spans="7:16" s="1634" customFormat="1">
      <c r="G6040" s="3336"/>
      <c r="P6040" s="3337"/>
    </row>
    <row r="6041" spans="7:16" s="1634" customFormat="1">
      <c r="G6041" s="3336"/>
      <c r="P6041" s="3337"/>
    </row>
    <row r="6042" spans="7:16" s="1634" customFormat="1">
      <c r="G6042" s="3336"/>
      <c r="P6042" s="3337"/>
    </row>
    <row r="6043" spans="7:16" s="1634" customFormat="1">
      <c r="G6043" s="3336"/>
      <c r="P6043" s="3337"/>
    </row>
    <row r="6044" spans="7:16" s="1634" customFormat="1">
      <c r="G6044" s="3336"/>
      <c r="P6044" s="3337"/>
    </row>
    <row r="6045" spans="7:16" s="1634" customFormat="1">
      <c r="G6045" s="3336"/>
      <c r="P6045" s="3337"/>
    </row>
    <row r="6046" spans="7:16" s="1634" customFormat="1">
      <c r="G6046" s="3336"/>
      <c r="P6046" s="3337"/>
    </row>
    <row r="6047" spans="7:16" s="1634" customFormat="1">
      <c r="G6047" s="3336"/>
      <c r="P6047" s="3337"/>
    </row>
    <row r="6048" spans="7:16" s="1634" customFormat="1">
      <c r="G6048" s="3336"/>
      <c r="P6048" s="3337"/>
    </row>
    <row r="6049" spans="7:16" s="1634" customFormat="1">
      <c r="G6049" s="3336"/>
      <c r="P6049" s="3337"/>
    </row>
    <row r="6050" spans="7:16" s="1634" customFormat="1">
      <c r="G6050" s="3336"/>
      <c r="P6050" s="3337"/>
    </row>
    <row r="6051" spans="7:16" s="1634" customFormat="1">
      <c r="G6051" s="3336"/>
      <c r="P6051" s="3337"/>
    </row>
    <row r="6052" spans="7:16" s="1634" customFormat="1">
      <c r="G6052" s="3336"/>
      <c r="P6052" s="3337"/>
    </row>
    <row r="6053" spans="7:16" s="1634" customFormat="1">
      <c r="G6053" s="3336"/>
      <c r="P6053" s="3337"/>
    </row>
    <row r="6054" spans="7:16" s="1634" customFormat="1">
      <c r="G6054" s="3336"/>
      <c r="P6054" s="3337"/>
    </row>
    <row r="6055" spans="7:16" s="1634" customFormat="1">
      <c r="G6055" s="3336"/>
      <c r="P6055" s="3337"/>
    </row>
    <row r="6056" spans="7:16" s="1634" customFormat="1">
      <c r="G6056" s="3336"/>
      <c r="P6056" s="3337"/>
    </row>
    <row r="6057" spans="7:16" s="1634" customFormat="1">
      <c r="G6057" s="3336"/>
      <c r="P6057" s="3337"/>
    </row>
    <row r="6058" spans="7:16" s="1634" customFormat="1">
      <c r="G6058" s="3336"/>
      <c r="P6058" s="3337"/>
    </row>
    <row r="6059" spans="7:16" s="1634" customFormat="1">
      <c r="G6059" s="3336"/>
      <c r="P6059" s="3337"/>
    </row>
    <row r="6060" spans="7:16" s="1634" customFormat="1">
      <c r="G6060" s="3336"/>
      <c r="P6060" s="3337"/>
    </row>
    <row r="6061" spans="7:16" s="1634" customFormat="1">
      <c r="G6061" s="3336"/>
      <c r="P6061" s="3337"/>
    </row>
    <row r="6062" spans="7:16" s="1634" customFormat="1">
      <c r="G6062" s="3336"/>
      <c r="P6062" s="3337"/>
    </row>
    <row r="6063" spans="7:16" s="1634" customFormat="1">
      <c r="G6063" s="3336"/>
      <c r="P6063" s="3337"/>
    </row>
    <row r="6064" spans="7:16" s="1634" customFormat="1">
      <c r="G6064" s="3336"/>
      <c r="P6064" s="3337"/>
    </row>
    <row r="6065" spans="7:16" s="1634" customFormat="1">
      <c r="G6065" s="3336"/>
      <c r="P6065" s="3337"/>
    </row>
    <row r="6066" spans="7:16" s="1634" customFormat="1">
      <c r="G6066" s="3336"/>
      <c r="P6066" s="3337"/>
    </row>
    <row r="6067" spans="7:16" s="1634" customFormat="1">
      <c r="G6067" s="3336"/>
      <c r="P6067" s="3337"/>
    </row>
    <row r="6068" spans="7:16" s="1634" customFormat="1">
      <c r="G6068" s="3336"/>
      <c r="P6068" s="3337"/>
    </row>
    <row r="6069" spans="7:16" s="1634" customFormat="1">
      <c r="G6069" s="3336"/>
      <c r="P6069" s="3337"/>
    </row>
    <row r="6070" spans="7:16" s="1634" customFormat="1">
      <c r="G6070" s="3336"/>
      <c r="P6070" s="3337"/>
    </row>
    <row r="6071" spans="7:16" s="1634" customFormat="1">
      <c r="G6071" s="3336"/>
      <c r="P6071" s="3337"/>
    </row>
    <row r="6072" spans="7:16" s="1634" customFormat="1">
      <c r="G6072" s="3336"/>
      <c r="P6072" s="3337"/>
    </row>
    <row r="6073" spans="7:16" s="1634" customFormat="1">
      <c r="G6073" s="3336"/>
      <c r="P6073" s="3337"/>
    </row>
    <row r="6074" spans="7:16" s="1634" customFormat="1">
      <c r="G6074" s="3336"/>
      <c r="P6074" s="3337"/>
    </row>
    <row r="6075" spans="7:16" s="1634" customFormat="1">
      <c r="G6075" s="3336"/>
      <c r="P6075" s="3337"/>
    </row>
    <row r="6076" spans="7:16" s="1634" customFormat="1">
      <c r="G6076" s="3336"/>
      <c r="P6076" s="3337"/>
    </row>
    <row r="6077" spans="7:16" s="1634" customFormat="1">
      <c r="G6077" s="3336"/>
      <c r="P6077" s="3337"/>
    </row>
    <row r="6078" spans="7:16" s="1634" customFormat="1">
      <c r="G6078" s="3336"/>
      <c r="P6078" s="3337"/>
    </row>
    <row r="6079" spans="7:16" s="1634" customFormat="1">
      <c r="G6079" s="3336"/>
      <c r="P6079" s="3337"/>
    </row>
    <row r="6080" spans="7:16" s="1634" customFormat="1">
      <c r="G6080" s="3336"/>
      <c r="P6080" s="3337"/>
    </row>
    <row r="6081" spans="7:16" s="1634" customFormat="1">
      <c r="G6081" s="3336"/>
      <c r="P6081" s="3337"/>
    </row>
    <row r="6082" spans="7:16" s="1634" customFormat="1">
      <c r="G6082" s="3336"/>
      <c r="P6082" s="3337"/>
    </row>
    <row r="6083" spans="7:16" s="1634" customFormat="1">
      <c r="G6083" s="3336"/>
      <c r="P6083" s="3337"/>
    </row>
    <row r="6084" spans="7:16" s="1634" customFormat="1">
      <c r="G6084" s="3336"/>
      <c r="P6084" s="3337"/>
    </row>
    <row r="6085" spans="7:16" s="1634" customFormat="1">
      <c r="G6085" s="3336"/>
      <c r="P6085" s="3337"/>
    </row>
    <row r="6086" spans="7:16" s="1634" customFormat="1">
      <c r="G6086" s="3336"/>
      <c r="P6086" s="3337"/>
    </row>
    <row r="6087" spans="7:16" s="1634" customFormat="1">
      <c r="G6087" s="3336"/>
      <c r="P6087" s="3337"/>
    </row>
    <row r="6088" spans="7:16" s="1634" customFormat="1">
      <c r="G6088" s="3336"/>
      <c r="P6088" s="3337"/>
    </row>
    <row r="6089" spans="7:16" s="1634" customFormat="1">
      <c r="G6089" s="3336"/>
      <c r="P6089" s="3337"/>
    </row>
    <row r="6090" spans="7:16" s="1634" customFormat="1">
      <c r="G6090" s="3336"/>
      <c r="P6090" s="3337"/>
    </row>
    <row r="6091" spans="7:16" s="1634" customFormat="1">
      <c r="G6091" s="3336"/>
      <c r="P6091" s="3337"/>
    </row>
    <row r="6092" spans="7:16" s="1634" customFormat="1">
      <c r="G6092" s="3336"/>
      <c r="P6092" s="3337"/>
    </row>
    <row r="6093" spans="7:16" s="1634" customFormat="1">
      <c r="G6093" s="3336"/>
      <c r="P6093" s="3337"/>
    </row>
    <row r="6094" spans="7:16" s="1634" customFormat="1">
      <c r="G6094" s="3336"/>
      <c r="P6094" s="3337"/>
    </row>
    <row r="6095" spans="7:16" s="1634" customFormat="1">
      <c r="G6095" s="3336"/>
      <c r="P6095" s="3337"/>
    </row>
    <row r="6096" spans="7:16" s="1634" customFormat="1">
      <c r="G6096" s="3336"/>
      <c r="P6096" s="3337"/>
    </row>
    <row r="6097" spans="7:16" s="1634" customFormat="1">
      <c r="G6097" s="3336"/>
      <c r="P6097" s="3337"/>
    </row>
    <row r="6098" spans="7:16" s="1634" customFormat="1">
      <c r="G6098" s="3336"/>
      <c r="P6098" s="3337"/>
    </row>
    <row r="6099" spans="7:16" s="1634" customFormat="1">
      <c r="G6099" s="3336"/>
      <c r="P6099" s="3337"/>
    </row>
    <row r="6100" spans="7:16" s="1634" customFormat="1">
      <c r="G6100" s="3336"/>
      <c r="P6100" s="3337"/>
    </row>
    <row r="6101" spans="7:16" s="1634" customFormat="1">
      <c r="G6101" s="3336"/>
      <c r="P6101" s="3337"/>
    </row>
    <row r="6102" spans="7:16" s="1634" customFormat="1">
      <c r="G6102" s="3336"/>
      <c r="P6102" s="3337"/>
    </row>
    <row r="6103" spans="7:16" s="1634" customFormat="1">
      <c r="G6103" s="3336"/>
      <c r="P6103" s="3337"/>
    </row>
    <row r="6104" spans="7:16" s="1634" customFormat="1">
      <c r="G6104" s="3336"/>
      <c r="P6104" s="3337"/>
    </row>
    <row r="6105" spans="7:16" s="1634" customFormat="1">
      <c r="G6105" s="3336"/>
      <c r="P6105" s="3337"/>
    </row>
    <row r="6106" spans="7:16" s="1634" customFormat="1">
      <c r="G6106" s="3336"/>
      <c r="P6106" s="3337"/>
    </row>
    <row r="6107" spans="7:16" s="1634" customFormat="1">
      <c r="G6107" s="3336"/>
      <c r="P6107" s="3337"/>
    </row>
    <row r="6108" spans="7:16" s="1634" customFormat="1">
      <c r="G6108" s="3336"/>
      <c r="P6108" s="3337"/>
    </row>
    <row r="6109" spans="7:16" s="1634" customFormat="1">
      <c r="G6109" s="3336"/>
      <c r="P6109" s="3337"/>
    </row>
    <row r="6110" spans="7:16" s="1634" customFormat="1">
      <c r="G6110" s="3336"/>
      <c r="P6110" s="3337"/>
    </row>
    <row r="6111" spans="7:16" s="1634" customFormat="1">
      <c r="G6111" s="3336"/>
      <c r="P6111" s="3337"/>
    </row>
    <row r="6112" spans="7:16" s="1634" customFormat="1">
      <c r="G6112" s="3336"/>
      <c r="P6112" s="3337"/>
    </row>
    <row r="6113" spans="7:16" s="1634" customFormat="1">
      <c r="G6113" s="3336"/>
      <c r="P6113" s="3337"/>
    </row>
    <row r="6114" spans="7:16" s="1634" customFormat="1">
      <c r="G6114" s="3336"/>
      <c r="P6114" s="3337"/>
    </row>
    <row r="6115" spans="7:16" s="1634" customFormat="1">
      <c r="G6115" s="3336"/>
      <c r="P6115" s="3337"/>
    </row>
    <row r="6116" spans="7:16" s="1634" customFormat="1">
      <c r="G6116" s="3336"/>
      <c r="P6116" s="3337"/>
    </row>
    <row r="6117" spans="7:16" s="1634" customFormat="1">
      <c r="G6117" s="3336"/>
      <c r="P6117" s="3337"/>
    </row>
    <row r="6118" spans="7:16" s="1634" customFormat="1">
      <c r="G6118" s="3336"/>
      <c r="P6118" s="3337"/>
    </row>
    <row r="6119" spans="7:16" s="1634" customFormat="1">
      <c r="G6119" s="3336"/>
      <c r="P6119" s="3337"/>
    </row>
    <row r="6120" spans="7:16" s="1634" customFormat="1">
      <c r="G6120" s="3336"/>
      <c r="P6120" s="3337"/>
    </row>
    <row r="6121" spans="7:16" s="1634" customFormat="1">
      <c r="G6121" s="3336"/>
      <c r="P6121" s="3337"/>
    </row>
    <row r="6122" spans="7:16" s="1634" customFormat="1">
      <c r="G6122" s="3336"/>
      <c r="P6122" s="3337"/>
    </row>
    <row r="6123" spans="7:16" s="1634" customFormat="1">
      <c r="G6123" s="3336"/>
      <c r="P6123" s="3337"/>
    </row>
    <row r="6124" spans="7:16" s="1634" customFormat="1">
      <c r="G6124" s="3336"/>
      <c r="P6124" s="3337"/>
    </row>
    <row r="6125" spans="7:16" s="1634" customFormat="1">
      <c r="G6125" s="3336"/>
      <c r="P6125" s="3337"/>
    </row>
    <row r="6126" spans="7:16" s="1634" customFormat="1">
      <c r="G6126" s="3336"/>
      <c r="P6126" s="3337"/>
    </row>
    <row r="6127" spans="7:16" s="1634" customFormat="1">
      <c r="G6127" s="3336"/>
      <c r="P6127" s="3337"/>
    </row>
    <row r="6128" spans="7:16" s="1634" customFormat="1">
      <c r="G6128" s="3336"/>
      <c r="P6128" s="3337"/>
    </row>
    <row r="6129" spans="7:16" s="1634" customFormat="1">
      <c r="G6129" s="3336"/>
      <c r="P6129" s="3337"/>
    </row>
    <row r="6130" spans="7:16" s="1634" customFormat="1">
      <c r="G6130" s="3336"/>
      <c r="P6130" s="3337"/>
    </row>
    <row r="6131" spans="7:16" s="1634" customFormat="1">
      <c r="G6131" s="3336"/>
      <c r="P6131" s="3337"/>
    </row>
    <row r="6132" spans="7:16" s="1634" customFormat="1">
      <c r="G6132" s="3336"/>
      <c r="P6132" s="3337"/>
    </row>
    <row r="6133" spans="7:16" s="1634" customFormat="1">
      <c r="G6133" s="3336"/>
      <c r="P6133" s="3337"/>
    </row>
    <row r="6134" spans="7:16" s="1634" customFormat="1">
      <c r="G6134" s="3336"/>
      <c r="P6134" s="3337"/>
    </row>
    <row r="6135" spans="7:16" s="1634" customFormat="1">
      <c r="G6135" s="3336"/>
      <c r="P6135" s="3337"/>
    </row>
    <row r="6136" spans="7:16" s="1634" customFormat="1">
      <c r="G6136" s="3336"/>
      <c r="P6136" s="3337"/>
    </row>
    <row r="6137" spans="7:16" s="1634" customFormat="1">
      <c r="G6137" s="3336"/>
      <c r="P6137" s="3337"/>
    </row>
    <row r="6138" spans="7:16" s="1634" customFormat="1">
      <c r="G6138" s="3336"/>
      <c r="P6138" s="3337"/>
    </row>
    <row r="6139" spans="7:16" s="1634" customFormat="1">
      <c r="G6139" s="3336"/>
      <c r="P6139" s="3337"/>
    </row>
    <row r="6140" spans="7:16" s="1634" customFormat="1">
      <c r="G6140" s="3336"/>
      <c r="P6140" s="3337"/>
    </row>
    <row r="6141" spans="7:16" s="1634" customFormat="1">
      <c r="G6141" s="3336"/>
      <c r="P6141" s="3337"/>
    </row>
    <row r="6142" spans="7:16" s="1634" customFormat="1">
      <c r="G6142" s="3336"/>
      <c r="P6142" s="3337"/>
    </row>
    <row r="6143" spans="7:16" s="1634" customFormat="1">
      <c r="G6143" s="3336"/>
      <c r="P6143" s="3337"/>
    </row>
    <row r="6144" spans="7:16" s="1634" customFormat="1">
      <c r="G6144" s="3336"/>
      <c r="P6144" s="3337"/>
    </row>
    <row r="6145" spans="7:16" s="1634" customFormat="1">
      <c r="G6145" s="3336"/>
      <c r="P6145" s="3337"/>
    </row>
    <row r="6146" spans="7:16" s="1634" customFormat="1">
      <c r="G6146" s="3336"/>
      <c r="P6146" s="3337"/>
    </row>
    <row r="6147" spans="7:16" s="1634" customFormat="1">
      <c r="G6147" s="3336"/>
      <c r="P6147" s="3337"/>
    </row>
    <row r="6148" spans="7:16" s="1634" customFormat="1">
      <c r="G6148" s="3336"/>
      <c r="P6148" s="3337"/>
    </row>
    <row r="6149" spans="7:16" s="1634" customFormat="1">
      <c r="G6149" s="3336"/>
      <c r="P6149" s="3337"/>
    </row>
    <row r="6150" spans="7:16" s="1634" customFormat="1">
      <c r="G6150" s="3336"/>
      <c r="P6150" s="3337"/>
    </row>
    <row r="6151" spans="7:16" s="1634" customFormat="1">
      <c r="G6151" s="3336"/>
      <c r="P6151" s="3337"/>
    </row>
    <row r="6152" spans="7:16" s="1634" customFormat="1">
      <c r="G6152" s="3336"/>
      <c r="P6152" s="3337"/>
    </row>
    <row r="6153" spans="7:16" s="1634" customFormat="1">
      <c r="G6153" s="3336"/>
      <c r="P6153" s="3337"/>
    </row>
    <row r="6154" spans="7:16" s="1634" customFormat="1">
      <c r="G6154" s="3336"/>
      <c r="P6154" s="3337"/>
    </row>
    <row r="6155" spans="7:16" s="1634" customFormat="1">
      <c r="G6155" s="3336"/>
      <c r="P6155" s="3337"/>
    </row>
    <row r="6156" spans="7:16" s="1634" customFormat="1">
      <c r="G6156" s="3336"/>
      <c r="P6156" s="3337"/>
    </row>
    <row r="6157" spans="7:16" s="1634" customFormat="1">
      <c r="G6157" s="3336"/>
      <c r="P6157" s="3337"/>
    </row>
    <row r="6158" spans="7:16" s="1634" customFormat="1">
      <c r="G6158" s="3336"/>
      <c r="P6158" s="3337"/>
    </row>
    <row r="6159" spans="7:16" s="1634" customFormat="1">
      <c r="G6159" s="3336"/>
      <c r="P6159" s="3337"/>
    </row>
    <row r="6160" spans="7:16" s="1634" customFormat="1">
      <c r="G6160" s="3336"/>
      <c r="P6160" s="3337"/>
    </row>
    <row r="6161" spans="7:16" s="1634" customFormat="1">
      <c r="G6161" s="3336"/>
      <c r="P6161" s="3337"/>
    </row>
    <row r="6162" spans="7:16" s="1634" customFormat="1">
      <c r="G6162" s="3336"/>
      <c r="P6162" s="3337"/>
    </row>
    <row r="6163" spans="7:16" s="1634" customFormat="1">
      <c r="G6163" s="3336"/>
      <c r="P6163" s="3337"/>
    </row>
    <row r="6164" spans="7:16" s="1634" customFormat="1">
      <c r="G6164" s="3336"/>
      <c r="P6164" s="3337"/>
    </row>
    <row r="6165" spans="7:16" s="1634" customFormat="1">
      <c r="G6165" s="3336"/>
      <c r="P6165" s="3337"/>
    </row>
    <row r="6166" spans="7:16" s="1634" customFormat="1">
      <c r="G6166" s="3336"/>
      <c r="P6166" s="3337"/>
    </row>
    <row r="6167" spans="7:16" s="1634" customFormat="1">
      <c r="G6167" s="3336"/>
      <c r="P6167" s="3337"/>
    </row>
    <row r="6168" spans="7:16" s="1634" customFormat="1">
      <c r="G6168" s="3336"/>
      <c r="P6168" s="3337"/>
    </row>
    <row r="6169" spans="7:16" s="1634" customFormat="1">
      <c r="G6169" s="3336"/>
      <c r="P6169" s="3337"/>
    </row>
    <row r="6170" spans="7:16" s="1634" customFormat="1">
      <c r="G6170" s="3336"/>
      <c r="P6170" s="3337"/>
    </row>
    <row r="6171" spans="7:16" s="1634" customFormat="1">
      <c r="G6171" s="3336"/>
      <c r="P6171" s="3337"/>
    </row>
    <row r="6172" spans="7:16" s="1634" customFormat="1">
      <c r="G6172" s="3336"/>
      <c r="P6172" s="3337"/>
    </row>
    <row r="6173" spans="7:16" s="1634" customFormat="1">
      <c r="G6173" s="3336"/>
      <c r="P6173" s="3337"/>
    </row>
    <row r="6174" spans="7:16" s="1634" customFormat="1">
      <c r="G6174" s="3336"/>
      <c r="P6174" s="3337"/>
    </row>
    <row r="6175" spans="7:16" s="1634" customFormat="1">
      <c r="G6175" s="3336"/>
      <c r="P6175" s="3337"/>
    </row>
    <row r="6176" spans="7:16" s="1634" customFormat="1">
      <c r="G6176" s="3336"/>
      <c r="P6176" s="3337"/>
    </row>
    <row r="6177" spans="7:16" s="1634" customFormat="1">
      <c r="G6177" s="3336"/>
      <c r="P6177" s="3337"/>
    </row>
    <row r="6178" spans="7:16" s="1634" customFormat="1">
      <c r="G6178" s="3336"/>
      <c r="P6178" s="3337"/>
    </row>
    <row r="6179" spans="7:16" s="1634" customFormat="1">
      <c r="G6179" s="3336"/>
      <c r="P6179" s="3337"/>
    </row>
    <row r="6180" spans="7:16" s="1634" customFormat="1">
      <c r="G6180" s="3336"/>
      <c r="P6180" s="3337"/>
    </row>
    <row r="6181" spans="7:16" s="1634" customFormat="1">
      <c r="G6181" s="3336"/>
      <c r="P6181" s="3337"/>
    </row>
    <row r="6182" spans="7:16" s="1634" customFormat="1">
      <c r="G6182" s="3336"/>
      <c r="P6182" s="3337"/>
    </row>
    <row r="6183" spans="7:16" s="1634" customFormat="1">
      <c r="G6183" s="3336"/>
      <c r="P6183" s="3337"/>
    </row>
    <row r="6184" spans="7:16" s="1634" customFormat="1">
      <c r="G6184" s="3336"/>
      <c r="P6184" s="3337"/>
    </row>
    <row r="6185" spans="7:16" s="1634" customFormat="1">
      <c r="G6185" s="3336"/>
      <c r="P6185" s="3337"/>
    </row>
    <row r="6186" spans="7:16" s="1634" customFormat="1">
      <c r="G6186" s="3336"/>
      <c r="P6186" s="3337"/>
    </row>
    <row r="6187" spans="7:16" s="1634" customFormat="1">
      <c r="G6187" s="3336"/>
      <c r="P6187" s="3337"/>
    </row>
    <row r="6188" spans="7:16" s="1634" customFormat="1">
      <c r="G6188" s="3336"/>
      <c r="P6188" s="3337"/>
    </row>
    <row r="6189" spans="7:16" s="1634" customFormat="1">
      <c r="G6189" s="3336"/>
      <c r="P6189" s="3337"/>
    </row>
    <row r="6190" spans="7:16" s="1634" customFormat="1">
      <c r="G6190" s="3336"/>
      <c r="P6190" s="3337"/>
    </row>
    <row r="6191" spans="7:16" s="1634" customFormat="1">
      <c r="G6191" s="3336"/>
      <c r="P6191" s="3337"/>
    </row>
    <row r="6192" spans="7:16" s="1634" customFormat="1">
      <c r="G6192" s="3336"/>
      <c r="P6192" s="3337"/>
    </row>
    <row r="6193" spans="7:16" s="1634" customFormat="1">
      <c r="G6193" s="3336"/>
      <c r="P6193" s="3337"/>
    </row>
    <row r="6194" spans="7:16" s="1634" customFormat="1">
      <c r="G6194" s="3336"/>
      <c r="P6194" s="3337"/>
    </row>
    <row r="6195" spans="7:16" s="1634" customFormat="1">
      <c r="G6195" s="3336"/>
      <c r="P6195" s="3337"/>
    </row>
    <row r="6196" spans="7:16" s="1634" customFormat="1">
      <c r="G6196" s="3336"/>
      <c r="P6196" s="3337"/>
    </row>
    <row r="6197" spans="7:16" s="1634" customFormat="1">
      <c r="G6197" s="3336"/>
      <c r="P6197" s="3337"/>
    </row>
    <row r="6198" spans="7:16" s="1634" customFormat="1">
      <c r="G6198" s="3336"/>
      <c r="P6198" s="3337"/>
    </row>
    <row r="6199" spans="7:16" s="1634" customFormat="1">
      <c r="G6199" s="3336"/>
      <c r="P6199" s="3337"/>
    </row>
    <row r="6200" spans="7:16" s="1634" customFormat="1">
      <c r="G6200" s="3336"/>
      <c r="P6200" s="3337"/>
    </row>
    <row r="6201" spans="7:16" s="1634" customFormat="1">
      <c r="G6201" s="3336"/>
      <c r="P6201" s="3337"/>
    </row>
    <row r="6202" spans="7:16" s="1634" customFormat="1">
      <c r="G6202" s="3336"/>
      <c r="P6202" s="3337"/>
    </row>
    <row r="6203" spans="7:16" s="1634" customFormat="1">
      <c r="G6203" s="3336"/>
      <c r="P6203" s="3337"/>
    </row>
    <row r="6204" spans="7:16" s="1634" customFormat="1">
      <c r="G6204" s="3336"/>
      <c r="P6204" s="3337"/>
    </row>
    <row r="6205" spans="7:16" s="1634" customFormat="1">
      <c r="G6205" s="3336"/>
      <c r="P6205" s="3337"/>
    </row>
    <row r="6206" spans="7:16" s="1634" customFormat="1">
      <c r="G6206" s="3336"/>
      <c r="P6206" s="3337"/>
    </row>
    <row r="6207" spans="7:16" s="1634" customFormat="1">
      <c r="G6207" s="3336"/>
      <c r="P6207" s="3337"/>
    </row>
    <row r="6208" spans="7:16" s="1634" customFormat="1">
      <c r="G6208" s="3336"/>
      <c r="P6208" s="3337"/>
    </row>
    <row r="6209" spans="7:16" s="1634" customFormat="1">
      <c r="G6209" s="3336"/>
      <c r="P6209" s="3337"/>
    </row>
    <row r="6210" spans="7:16" s="1634" customFormat="1">
      <c r="G6210" s="3336"/>
      <c r="P6210" s="3337"/>
    </row>
    <row r="6211" spans="7:16" s="1634" customFormat="1">
      <c r="G6211" s="3336"/>
      <c r="P6211" s="3337"/>
    </row>
    <row r="6212" spans="7:16" s="1634" customFormat="1">
      <c r="G6212" s="3336"/>
      <c r="P6212" s="3337"/>
    </row>
    <row r="6213" spans="7:16" s="1634" customFormat="1">
      <c r="G6213" s="3336"/>
      <c r="P6213" s="3337"/>
    </row>
    <row r="6214" spans="7:16" s="1634" customFormat="1">
      <c r="G6214" s="3336"/>
      <c r="P6214" s="3337"/>
    </row>
    <row r="6215" spans="7:16" s="1634" customFormat="1">
      <c r="G6215" s="3336"/>
      <c r="P6215" s="3337"/>
    </row>
    <row r="6216" spans="7:16" s="1634" customFormat="1">
      <c r="G6216" s="3336"/>
      <c r="P6216" s="3337"/>
    </row>
    <row r="6217" spans="7:16" s="1634" customFormat="1">
      <c r="G6217" s="3336"/>
      <c r="P6217" s="3337"/>
    </row>
    <row r="6218" spans="7:16" s="1634" customFormat="1">
      <c r="G6218" s="3336"/>
      <c r="P6218" s="3337"/>
    </row>
    <row r="6219" spans="7:16" s="1634" customFormat="1">
      <c r="G6219" s="3336"/>
      <c r="P6219" s="3337"/>
    </row>
    <row r="6220" spans="7:16" s="1634" customFormat="1">
      <c r="G6220" s="3336"/>
      <c r="P6220" s="3337"/>
    </row>
    <row r="6221" spans="7:16" s="1634" customFormat="1">
      <c r="G6221" s="3336"/>
      <c r="P6221" s="3337"/>
    </row>
    <row r="6222" spans="7:16" s="1634" customFormat="1">
      <c r="G6222" s="3336"/>
      <c r="P6222" s="3337"/>
    </row>
    <row r="6223" spans="7:16" s="1634" customFormat="1">
      <c r="G6223" s="3336"/>
      <c r="P6223" s="3337"/>
    </row>
    <row r="6224" spans="7:16" s="1634" customFormat="1">
      <c r="G6224" s="3336"/>
      <c r="P6224" s="3337"/>
    </row>
    <row r="6225" spans="7:16" s="1634" customFormat="1">
      <c r="G6225" s="3336"/>
      <c r="P6225" s="3337"/>
    </row>
    <row r="6226" spans="7:16" s="1634" customFormat="1">
      <c r="G6226" s="3336"/>
      <c r="P6226" s="3337"/>
    </row>
    <row r="6227" spans="7:16" s="1634" customFormat="1">
      <c r="G6227" s="3336"/>
      <c r="P6227" s="3337"/>
    </row>
    <row r="6228" spans="7:16" s="1634" customFormat="1">
      <c r="G6228" s="3336"/>
      <c r="P6228" s="3337"/>
    </row>
    <row r="6229" spans="7:16" s="1634" customFormat="1">
      <c r="G6229" s="3336"/>
      <c r="P6229" s="3337"/>
    </row>
    <row r="6230" spans="7:16" s="1634" customFormat="1">
      <c r="G6230" s="3336"/>
      <c r="P6230" s="3337"/>
    </row>
    <row r="6231" spans="7:16" s="1634" customFormat="1">
      <c r="G6231" s="3336"/>
      <c r="P6231" s="3337"/>
    </row>
    <row r="6232" spans="7:16" s="1634" customFormat="1">
      <c r="G6232" s="3336"/>
      <c r="P6232" s="3337"/>
    </row>
    <row r="6233" spans="7:16" s="1634" customFormat="1">
      <c r="G6233" s="3336"/>
      <c r="P6233" s="3337"/>
    </row>
    <row r="6234" spans="7:16" s="1634" customFormat="1">
      <c r="G6234" s="3336"/>
      <c r="P6234" s="3337"/>
    </row>
    <row r="6235" spans="7:16" s="1634" customFormat="1">
      <c r="G6235" s="3336"/>
      <c r="P6235" s="3337"/>
    </row>
    <row r="6236" spans="7:16" s="1634" customFormat="1">
      <c r="G6236" s="3336"/>
      <c r="P6236" s="3337"/>
    </row>
    <row r="6237" spans="7:16" s="1634" customFormat="1">
      <c r="G6237" s="3336"/>
      <c r="P6237" s="3337"/>
    </row>
    <row r="6238" spans="7:16" s="1634" customFormat="1">
      <c r="G6238" s="3336"/>
      <c r="P6238" s="3337"/>
    </row>
    <row r="6239" spans="7:16" s="1634" customFormat="1">
      <c r="G6239" s="3336"/>
      <c r="P6239" s="3337"/>
    </row>
    <row r="6240" spans="7:16" s="1634" customFormat="1">
      <c r="G6240" s="3336"/>
      <c r="P6240" s="3337"/>
    </row>
    <row r="6241" spans="7:16" s="1634" customFormat="1">
      <c r="G6241" s="3336"/>
      <c r="P6241" s="3337"/>
    </row>
    <row r="6242" spans="7:16" s="1634" customFormat="1">
      <c r="G6242" s="3336"/>
      <c r="P6242" s="3337"/>
    </row>
    <row r="6243" spans="7:16" s="1634" customFormat="1">
      <c r="G6243" s="3336"/>
      <c r="P6243" s="3337"/>
    </row>
    <row r="6244" spans="7:16" s="1634" customFormat="1">
      <c r="G6244" s="3336"/>
      <c r="P6244" s="3337"/>
    </row>
    <row r="6245" spans="7:16" s="1634" customFormat="1">
      <c r="G6245" s="3336"/>
      <c r="P6245" s="3337"/>
    </row>
    <row r="6246" spans="7:16" s="1634" customFormat="1">
      <c r="G6246" s="3336"/>
      <c r="P6246" s="3337"/>
    </row>
    <row r="6247" spans="7:16" s="1634" customFormat="1">
      <c r="G6247" s="3336"/>
      <c r="P6247" s="3337"/>
    </row>
    <row r="6248" spans="7:16" s="1634" customFormat="1">
      <c r="G6248" s="3336"/>
      <c r="P6248" s="3337"/>
    </row>
    <row r="6249" spans="7:16" s="1634" customFormat="1">
      <c r="G6249" s="3336"/>
      <c r="P6249" s="3337"/>
    </row>
    <row r="6250" spans="7:16" s="1634" customFormat="1">
      <c r="G6250" s="3336"/>
      <c r="P6250" s="3337"/>
    </row>
    <row r="6251" spans="7:16" s="1634" customFormat="1">
      <c r="G6251" s="3336"/>
      <c r="P6251" s="3337"/>
    </row>
    <row r="6252" spans="7:16" s="1634" customFormat="1">
      <c r="G6252" s="3336"/>
      <c r="P6252" s="3337"/>
    </row>
    <row r="6253" spans="7:16" s="1634" customFormat="1">
      <c r="G6253" s="3336"/>
      <c r="P6253" s="3337"/>
    </row>
    <row r="6254" spans="7:16" s="1634" customFormat="1">
      <c r="G6254" s="3336"/>
      <c r="P6254" s="3337"/>
    </row>
    <row r="6255" spans="7:16" s="1634" customFormat="1">
      <c r="G6255" s="3336"/>
      <c r="P6255" s="3337"/>
    </row>
    <row r="6256" spans="7:16" s="1634" customFormat="1">
      <c r="G6256" s="3336"/>
      <c r="P6256" s="3337"/>
    </row>
    <row r="6257" spans="7:16" s="1634" customFormat="1">
      <c r="G6257" s="3336"/>
      <c r="P6257" s="3337"/>
    </row>
    <row r="6258" spans="7:16" s="1634" customFormat="1">
      <c r="G6258" s="3336"/>
      <c r="P6258" s="3337"/>
    </row>
    <row r="6259" spans="7:16" s="1634" customFormat="1">
      <c r="G6259" s="3336"/>
      <c r="P6259" s="3337"/>
    </row>
    <row r="6260" spans="7:16" s="1634" customFormat="1">
      <c r="G6260" s="3336"/>
      <c r="P6260" s="3337"/>
    </row>
    <row r="6261" spans="7:16" s="1634" customFormat="1">
      <c r="G6261" s="3336"/>
      <c r="P6261" s="3337"/>
    </row>
    <row r="6262" spans="7:16" s="1634" customFormat="1">
      <c r="G6262" s="3336"/>
      <c r="P6262" s="3337"/>
    </row>
    <row r="6263" spans="7:16" s="1634" customFormat="1">
      <c r="G6263" s="3336"/>
      <c r="P6263" s="3337"/>
    </row>
    <row r="6264" spans="7:16" s="1634" customFormat="1">
      <c r="G6264" s="3336"/>
      <c r="P6264" s="3337"/>
    </row>
    <row r="6265" spans="7:16" s="1634" customFormat="1">
      <c r="G6265" s="3336"/>
      <c r="P6265" s="3337"/>
    </row>
    <row r="6266" spans="7:16" s="1634" customFormat="1">
      <c r="G6266" s="3336"/>
      <c r="P6266" s="3337"/>
    </row>
    <row r="6267" spans="7:16" s="1634" customFormat="1">
      <c r="G6267" s="3336"/>
      <c r="P6267" s="3337"/>
    </row>
    <row r="6268" spans="7:16" s="1634" customFormat="1">
      <c r="G6268" s="3336"/>
      <c r="P6268" s="3337"/>
    </row>
    <row r="6269" spans="7:16" s="1634" customFormat="1">
      <c r="G6269" s="3336"/>
      <c r="P6269" s="3337"/>
    </row>
    <row r="6270" spans="7:16" s="1634" customFormat="1">
      <c r="G6270" s="3336"/>
      <c r="P6270" s="3337"/>
    </row>
    <row r="6271" spans="7:16" s="1634" customFormat="1">
      <c r="G6271" s="3336"/>
      <c r="P6271" s="3337"/>
    </row>
    <row r="6272" spans="7:16" s="1634" customFormat="1">
      <c r="G6272" s="3336"/>
      <c r="P6272" s="3337"/>
    </row>
    <row r="6273" spans="7:16" s="1634" customFormat="1">
      <c r="G6273" s="3336"/>
      <c r="P6273" s="3337"/>
    </row>
    <row r="6274" spans="7:16" s="1634" customFormat="1">
      <c r="G6274" s="3336"/>
      <c r="P6274" s="3337"/>
    </row>
    <row r="6275" spans="7:16" s="1634" customFormat="1">
      <c r="G6275" s="3336"/>
      <c r="P6275" s="3337"/>
    </row>
    <row r="6276" spans="7:16" s="1634" customFormat="1">
      <c r="G6276" s="3336"/>
      <c r="P6276" s="3337"/>
    </row>
    <row r="6277" spans="7:16" s="1634" customFormat="1">
      <c r="G6277" s="3336"/>
      <c r="P6277" s="3337"/>
    </row>
    <row r="6278" spans="7:16" s="1634" customFormat="1">
      <c r="G6278" s="3336"/>
      <c r="P6278" s="3337"/>
    </row>
    <row r="6279" spans="7:16" s="1634" customFormat="1">
      <c r="G6279" s="3336"/>
      <c r="P6279" s="3337"/>
    </row>
    <row r="6280" spans="7:16" s="1634" customFormat="1">
      <c r="G6280" s="3336"/>
      <c r="P6280" s="3337"/>
    </row>
    <row r="6281" spans="7:16" s="1634" customFormat="1">
      <c r="G6281" s="3336"/>
      <c r="P6281" s="3337"/>
    </row>
    <row r="6282" spans="7:16" s="1634" customFormat="1">
      <c r="G6282" s="3336"/>
      <c r="P6282" s="3337"/>
    </row>
    <row r="6283" spans="7:16" s="1634" customFormat="1">
      <c r="G6283" s="3336"/>
      <c r="P6283" s="3337"/>
    </row>
    <row r="6284" spans="7:16" s="1634" customFormat="1">
      <c r="G6284" s="3336"/>
      <c r="P6284" s="3337"/>
    </row>
    <row r="6285" spans="7:16" s="1634" customFormat="1">
      <c r="G6285" s="3336"/>
      <c r="P6285" s="3337"/>
    </row>
    <row r="6286" spans="7:16" s="1634" customFormat="1">
      <c r="G6286" s="3336"/>
      <c r="P6286" s="3337"/>
    </row>
    <row r="6287" spans="7:16" s="1634" customFormat="1">
      <c r="G6287" s="3336"/>
      <c r="P6287" s="3337"/>
    </row>
    <row r="6288" spans="7:16" s="1634" customFormat="1">
      <c r="G6288" s="3336"/>
      <c r="P6288" s="3337"/>
    </row>
    <row r="6289" spans="7:16" s="1634" customFormat="1">
      <c r="G6289" s="3336"/>
      <c r="P6289" s="3337"/>
    </row>
    <row r="6290" spans="7:16" s="1634" customFormat="1">
      <c r="G6290" s="3336"/>
      <c r="P6290" s="3337"/>
    </row>
    <row r="6291" spans="7:16" s="1634" customFormat="1">
      <c r="G6291" s="3336"/>
      <c r="P6291" s="3337"/>
    </row>
    <row r="6292" spans="7:16" s="1634" customFormat="1">
      <c r="G6292" s="3336"/>
      <c r="P6292" s="3337"/>
    </row>
    <row r="6293" spans="7:16" s="1634" customFormat="1">
      <c r="G6293" s="3336"/>
      <c r="P6293" s="3337"/>
    </row>
    <row r="6294" spans="7:16" s="1634" customFormat="1">
      <c r="G6294" s="3336"/>
      <c r="P6294" s="3337"/>
    </row>
    <row r="6295" spans="7:16" s="1634" customFormat="1">
      <c r="G6295" s="3336"/>
      <c r="P6295" s="3337"/>
    </row>
    <row r="6296" spans="7:16" s="1634" customFormat="1">
      <c r="G6296" s="3336"/>
      <c r="P6296" s="3337"/>
    </row>
    <row r="6297" spans="7:16" s="1634" customFormat="1">
      <c r="G6297" s="3336"/>
      <c r="P6297" s="3337"/>
    </row>
    <row r="6298" spans="7:16" s="1634" customFormat="1">
      <c r="G6298" s="3336"/>
      <c r="P6298" s="3337"/>
    </row>
    <row r="6299" spans="7:16" s="1634" customFormat="1">
      <c r="G6299" s="3336"/>
      <c r="P6299" s="3337"/>
    </row>
    <row r="6300" spans="7:16" s="1634" customFormat="1">
      <c r="G6300" s="3336"/>
      <c r="P6300" s="3337"/>
    </row>
    <row r="6301" spans="7:16" s="1634" customFormat="1">
      <c r="G6301" s="3336"/>
      <c r="P6301" s="3337"/>
    </row>
    <row r="6302" spans="7:16" s="1634" customFormat="1">
      <c r="G6302" s="3336"/>
      <c r="P6302" s="3337"/>
    </row>
    <row r="6303" spans="7:16" s="1634" customFormat="1">
      <c r="G6303" s="3336"/>
      <c r="P6303" s="3337"/>
    </row>
    <row r="6304" spans="7:16" s="1634" customFormat="1">
      <c r="G6304" s="3336"/>
      <c r="P6304" s="3337"/>
    </row>
    <row r="6305" spans="7:16" s="1634" customFormat="1">
      <c r="G6305" s="3336"/>
      <c r="P6305" s="3337"/>
    </row>
    <row r="6306" spans="7:16" s="1634" customFormat="1">
      <c r="G6306" s="3336"/>
      <c r="P6306" s="3337"/>
    </row>
    <row r="6307" spans="7:16" s="1634" customFormat="1">
      <c r="G6307" s="3336"/>
      <c r="P6307" s="3337"/>
    </row>
    <row r="6308" spans="7:16" s="1634" customFormat="1">
      <c r="G6308" s="3336"/>
      <c r="P6308" s="3337"/>
    </row>
    <row r="6309" spans="7:16" s="1634" customFormat="1">
      <c r="G6309" s="3336"/>
      <c r="P6309" s="3337"/>
    </row>
    <row r="6310" spans="7:16" s="1634" customFormat="1">
      <c r="G6310" s="3336"/>
      <c r="P6310" s="3337"/>
    </row>
    <row r="6311" spans="7:16" s="1634" customFormat="1">
      <c r="G6311" s="3336"/>
      <c r="P6311" s="3337"/>
    </row>
    <row r="6312" spans="7:16" s="1634" customFormat="1">
      <c r="G6312" s="3336"/>
      <c r="P6312" s="3337"/>
    </row>
    <row r="6313" spans="7:16" s="1634" customFormat="1">
      <c r="G6313" s="3336"/>
      <c r="P6313" s="3337"/>
    </row>
    <row r="6314" spans="7:16" s="1634" customFormat="1">
      <c r="G6314" s="3336"/>
      <c r="P6314" s="3337"/>
    </row>
    <row r="6315" spans="7:16" s="1634" customFormat="1">
      <c r="G6315" s="3336"/>
      <c r="P6315" s="3337"/>
    </row>
    <row r="6316" spans="7:16" s="1634" customFormat="1">
      <c r="G6316" s="3336"/>
      <c r="P6316" s="3337"/>
    </row>
    <row r="6317" spans="7:16" s="1634" customFormat="1">
      <c r="G6317" s="3336"/>
      <c r="P6317" s="3337"/>
    </row>
    <row r="6318" spans="7:16" s="1634" customFormat="1">
      <c r="G6318" s="3336"/>
      <c r="P6318" s="3337"/>
    </row>
    <row r="6319" spans="7:16" s="1634" customFormat="1">
      <c r="G6319" s="3336"/>
      <c r="P6319" s="3337"/>
    </row>
    <row r="6320" spans="7:16" s="1634" customFormat="1">
      <c r="G6320" s="3336"/>
      <c r="P6320" s="3337"/>
    </row>
    <row r="6321" spans="7:16" s="1634" customFormat="1">
      <c r="G6321" s="3336"/>
      <c r="P6321" s="3337"/>
    </row>
    <row r="6322" spans="7:16" s="1634" customFormat="1">
      <c r="G6322" s="3336"/>
      <c r="P6322" s="3337"/>
    </row>
    <row r="6323" spans="7:16" s="1634" customFormat="1">
      <c r="G6323" s="3336"/>
      <c r="P6323" s="3337"/>
    </row>
    <row r="6324" spans="7:16" s="1634" customFormat="1">
      <c r="G6324" s="3336"/>
      <c r="P6324" s="3337"/>
    </row>
    <row r="6325" spans="7:16" s="1634" customFormat="1">
      <c r="G6325" s="3336"/>
      <c r="P6325" s="3337"/>
    </row>
    <row r="6326" spans="7:16" s="1634" customFormat="1">
      <c r="G6326" s="3336"/>
      <c r="P6326" s="3337"/>
    </row>
    <row r="6327" spans="7:16" s="1634" customFormat="1">
      <c r="G6327" s="3336"/>
      <c r="P6327" s="3337"/>
    </row>
    <row r="6328" spans="7:16" s="1634" customFormat="1">
      <c r="G6328" s="3336"/>
      <c r="P6328" s="3337"/>
    </row>
    <row r="6329" spans="7:16" s="1634" customFormat="1">
      <c r="G6329" s="3336"/>
      <c r="P6329" s="3337"/>
    </row>
    <row r="6330" spans="7:16" s="1634" customFormat="1">
      <c r="G6330" s="3336"/>
      <c r="P6330" s="3337"/>
    </row>
    <row r="6331" spans="7:16" s="1634" customFormat="1">
      <c r="G6331" s="3336"/>
      <c r="P6331" s="3337"/>
    </row>
    <row r="6332" spans="7:16" s="1634" customFormat="1">
      <c r="G6332" s="3336"/>
      <c r="P6332" s="3337"/>
    </row>
    <row r="6333" spans="7:16" s="1634" customFormat="1">
      <c r="G6333" s="3336"/>
      <c r="P6333" s="3337"/>
    </row>
    <row r="6334" spans="7:16" s="1634" customFormat="1">
      <c r="G6334" s="3336"/>
      <c r="P6334" s="3337"/>
    </row>
    <row r="6335" spans="7:16" s="1634" customFormat="1">
      <c r="G6335" s="3336"/>
      <c r="P6335" s="3337"/>
    </row>
    <row r="6336" spans="7:16" s="1634" customFormat="1">
      <c r="G6336" s="3336"/>
      <c r="P6336" s="3337"/>
    </row>
    <row r="6337" spans="7:16" s="1634" customFormat="1">
      <c r="G6337" s="3336"/>
      <c r="P6337" s="3337"/>
    </row>
    <row r="6338" spans="7:16" s="1634" customFormat="1">
      <c r="G6338" s="3336"/>
      <c r="P6338" s="3337"/>
    </row>
    <row r="6339" spans="7:16" s="1634" customFormat="1">
      <c r="G6339" s="3336"/>
      <c r="P6339" s="3337"/>
    </row>
    <row r="6340" spans="7:16" s="1634" customFormat="1">
      <c r="G6340" s="3336"/>
      <c r="P6340" s="3337"/>
    </row>
    <row r="6341" spans="7:16" s="1634" customFormat="1">
      <c r="G6341" s="3336"/>
      <c r="P6341" s="3337"/>
    </row>
    <row r="6342" spans="7:16" s="1634" customFormat="1">
      <c r="G6342" s="3336"/>
      <c r="P6342" s="3337"/>
    </row>
    <row r="6343" spans="7:16" s="1634" customFormat="1">
      <c r="G6343" s="3336"/>
      <c r="P6343" s="3337"/>
    </row>
    <row r="6344" spans="7:16" s="1634" customFormat="1">
      <c r="G6344" s="3336"/>
      <c r="P6344" s="3337"/>
    </row>
    <row r="6345" spans="7:16" s="1634" customFormat="1">
      <c r="G6345" s="3336"/>
      <c r="P6345" s="3337"/>
    </row>
    <row r="6346" spans="7:16" s="1634" customFormat="1">
      <c r="G6346" s="3336"/>
      <c r="P6346" s="3337"/>
    </row>
    <row r="6347" spans="7:16" s="1634" customFormat="1">
      <c r="G6347" s="3336"/>
      <c r="P6347" s="3337"/>
    </row>
    <row r="6348" spans="7:16" s="1634" customFormat="1">
      <c r="G6348" s="3336"/>
      <c r="P6348" s="3337"/>
    </row>
    <row r="6349" spans="7:16" s="1634" customFormat="1">
      <c r="G6349" s="3336"/>
      <c r="P6349" s="3337"/>
    </row>
    <row r="6350" spans="7:16" s="1634" customFormat="1">
      <c r="G6350" s="3336"/>
      <c r="P6350" s="3337"/>
    </row>
    <row r="6351" spans="7:16" s="1634" customFormat="1">
      <c r="G6351" s="3336"/>
      <c r="P6351" s="3337"/>
    </row>
    <row r="6352" spans="7:16" s="1634" customFormat="1">
      <c r="G6352" s="3336"/>
      <c r="P6352" s="3337"/>
    </row>
    <row r="6353" spans="7:16" s="1634" customFormat="1">
      <c r="G6353" s="3336"/>
      <c r="P6353" s="3337"/>
    </row>
    <row r="6354" spans="7:16" s="1634" customFormat="1">
      <c r="G6354" s="3336"/>
      <c r="P6354" s="3337"/>
    </row>
    <row r="6355" spans="7:16" s="1634" customFormat="1">
      <c r="G6355" s="3336"/>
      <c r="P6355" s="3337"/>
    </row>
    <row r="6356" spans="7:16" s="1634" customFormat="1">
      <c r="G6356" s="3336"/>
      <c r="P6356" s="3337"/>
    </row>
    <row r="6357" spans="7:16" s="1634" customFormat="1">
      <c r="G6357" s="3336"/>
      <c r="P6357" s="3337"/>
    </row>
    <row r="6358" spans="7:16" s="1634" customFormat="1">
      <c r="G6358" s="3336"/>
      <c r="P6358" s="3337"/>
    </row>
    <row r="6359" spans="7:16" s="1634" customFormat="1">
      <c r="G6359" s="3336"/>
      <c r="P6359" s="3337"/>
    </row>
    <row r="6360" spans="7:16" s="1634" customFormat="1">
      <c r="G6360" s="3336"/>
      <c r="P6360" s="3337"/>
    </row>
    <row r="6361" spans="7:16" s="1634" customFormat="1">
      <c r="G6361" s="3336"/>
      <c r="P6361" s="3337"/>
    </row>
    <row r="6362" spans="7:16" s="1634" customFormat="1">
      <c r="G6362" s="3336"/>
      <c r="P6362" s="3337"/>
    </row>
    <row r="6363" spans="7:16" s="1634" customFormat="1">
      <c r="G6363" s="3336"/>
      <c r="P6363" s="3337"/>
    </row>
    <row r="6364" spans="7:16" s="1634" customFormat="1">
      <c r="G6364" s="3336"/>
      <c r="P6364" s="3337"/>
    </row>
    <row r="6365" spans="7:16" s="1634" customFormat="1">
      <c r="G6365" s="3336"/>
      <c r="P6365" s="3337"/>
    </row>
    <row r="6366" spans="7:16" s="1634" customFormat="1">
      <c r="G6366" s="3336"/>
      <c r="P6366" s="3337"/>
    </row>
    <row r="6367" spans="7:16" s="1634" customFormat="1">
      <c r="G6367" s="3336"/>
      <c r="P6367" s="3337"/>
    </row>
    <row r="6368" spans="7:16" s="1634" customFormat="1">
      <c r="G6368" s="3336"/>
      <c r="P6368" s="3337"/>
    </row>
    <row r="6369" spans="7:16" s="1634" customFormat="1">
      <c r="G6369" s="3336"/>
      <c r="P6369" s="3337"/>
    </row>
    <row r="6370" spans="7:16" s="1634" customFormat="1">
      <c r="G6370" s="3336"/>
      <c r="P6370" s="3337"/>
    </row>
    <row r="6371" spans="7:16" s="1634" customFormat="1">
      <c r="G6371" s="3336"/>
      <c r="P6371" s="3337"/>
    </row>
    <row r="6372" spans="7:16" s="1634" customFormat="1">
      <c r="G6372" s="3336"/>
      <c r="P6372" s="3337"/>
    </row>
    <row r="6373" spans="7:16" s="1634" customFormat="1">
      <c r="G6373" s="3336"/>
      <c r="P6373" s="3337"/>
    </row>
    <row r="6374" spans="7:16" s="1634" customFormat="1">
      <c r="G6374" s="3336"/>
      <c r="P6374" s="3337"/>
    </row>
    <row r="6375" spans="7:16" s="1634" customFormat="1">
      <c r="G6375" s="3336"/>
      <c r="P6375" s="3337"/>
    </row>
    <row r="6376" spans="7:16" s="1634" customFormat="1">
      <c r="G6376" s="3336"/>
      <c r="P6376" s="3337"/>
    </row>
    <row r="6377" spans="7:16" s="1634" customFormat="1">
      <c r="G6377" s="3336"/>
      <c r="P6377" s="3337"/>
    </row>
    <row r="6378" spans="7:16" s="1634" customFormat="1">
      <c r="G6378" s="3336"/>
      <c r="P6378" s="3337"/>
    </row>
    <row r="6379" spans="7:16" s="1634" customFormat="1">
      <c r="G6379" s="3336"/>
      <c r="P6379" s="3337"/>
    </row>
    <row r="6380" spans="7:16" s="1634" customFormat="1">
      <c r="G6380" s="3336"/>
      <c r="P6380" s="3337"/>
    </row>
    <row r="6381" spans="7:16" s="1634" customFormat="1">
      <c r="G6381" s="3336"/>
      <c r="P6381" s="3337"/>
    </row>
    <row r="6382" spans="7:16" s="1634" customFormat="1">
      <c r="G6382" s="3336"/>
      <c r="P6382" s="3337"/>
    </row>
    <row r="6383" spans="7:16" s="1634" customFormat="1">
      <c r="G6383" s="3336"/>
      <c r="P6383" s="3337"/>
    </row>
    <row r="6384" spans="7:16" s="1634" customFormat="1">
      <c r="G6384" s="3336"/>
      <c r="P6384" s="3337"/>
    </row>
    <row r="6385" spans="7:16" s="1634" customFormat="1">
      <c r="G6385" s="3336"/>
      <c r="P6385" s="3337"/>
    </row>
    <row r="6386" spans="7:16" s="1634" customFormat="1">
      <c r="G6386" s="3336"/>
      <c r="P6386" s="3337"/>
    </row>
    <row r="6387" spans="7:16" s="1634" customFormat="1">
      <c r="G6387" s="3336"/>
      <c r="P6387" s="3337"/>
    </row>
    <row r="6388" spans="7:16" s="1634" customFormat="1">
      <c r="G6388" s="3336"/>
      <c r="P6388" s="3337"/>
    </row>
    <row r="6389" spans="7:16" s="1634" customFormat="1">
      <c r="G6389" s="3336"/>
      <c r="P6389" s="3337"/>
    </row>
    <row r="6390" spans="7:16" s="1634" customFormat="1">
      <c r="G6390" s="3336"/>
      <c r="P6390" s="3337"/>
    </row>
    <row r="6391" spans="7:16" s="1634" customFormat="1">
      <c r="G6391" s="3336"/>
      <c r="P6391" s="3337"/>
    </row>
    <row r="6392" spans="7:16" s="1634" customFormat="1">
      <c r="G6392" s="3336"/>
      <c r="P6392" s="3337"/>
    </row>
    <row r="6393" spans="7:16" s="1634" customFormat="1">
      <c r="G6393" s="3336"/>
      <c r="P6393" s="3337"/>
    </row>
    <row r="6394" spans="7:16" s="1634" customFormat="1">
      <c r="G6394" s="3336"/>
      <c r="P6394" s="3337"/>
    </row>
    <row r="6395" spans="7:16" s="1634" customFormat="1">
      <c r="G6395" s="3336"/>
      <c r="P6395" s="3337"/>
    </row>
    <row r="6396" spans="7:16" s="1634" customFormat="1">
      <c r="G6396" s="3336"/>
      <c r="P6396" s="3337"/>
    </row>
    <row r="6397" spans="7:16" s="1634" customFormat="1">
      <c r="G6397" s="3336"/>
      <c r="P6397" s="3337"/>
    </row>
    <row r="6398" spans="7:16" s="1634" customFormat="1">
      <c r="G6398" s="3336"/>
      <c r="P6398" s="3337"/>
    </row>
    <row r="6399" spans="7:16" s="1634" customFormat="1">
      <c r="G6399" s="3336"/>
      <c r="P6399" s="3337"/>
    </row>
    <row r="6400" spans="7:16" s="1634" customFormat="1">
      <c r="G6400" s="3336"/>
      <c r="P6400" s="3337"/>
    </row>
    <row r="6401" spans="7:16" s="1634" customFormat="1">
      <c r="G6401" s="3336"/>
      <c r="P6401" s="3337"/>
    </row>
    <row r="6402" spans="7:16" s="1634" customFormat="1">
      <c r="G6402" s="3336"/>
      <c r="P6402" s="3337"/>
    </row>
    <row r="6403" spans="7:16" s="1634" customFormat="1">
      <c r="G6403" s="3336"/>
      <c r="P6403" s="3337"/>
    </row>
    <row r="6404" spans="7:16" s="1634" customFormat="1">
      <c r="G6404" s="3336"/>
      <c r="P6404" s="3337"/>
    </row>
    <row r="6405" spans="7:16" s="1634" customFormat="1">
      <c r="G6405" s="3336"/>
      <c r="P6405" s="3337"/>
    </row>
    <row r="6406" spans="7:16" s="1634" customFormat="1">
      <c r="G6406" s="3336"/>
      <c r="P6406" s="3337"/>
    </row>
    <row r="6407" spans="7:16" s="1634" customFormat="1">
      <c r="G6407" s="3336"/>
      <c r="P6407" s="3337"/>
    </row>
    <row r="6408" spans="7:16" s="1634" customFormat="1">
      <c r="G6408" s="3336"/>
      <c r="P6408" s="3337"/>
    </row>
    <row r="6409" spans="7:16" s="1634" customFormat="1">
      <c r="G6409" s="3336"/>
      <c r="P6409" s="3337"/>
    </row>
    <row r="6410" spans="7:16" s="1634" customFormat="1">
      <c r="G6410" s="3336"/>
      <c r="P6410" s="3337"/>
    </row>
    <row r="6411" spans="7:16" s="1634" customFormat="1">
      <c r="G6411" s="3336"/>
      <c r="P6411" s="3337"/>
    </row>
    <row r="6412" spans="7:16" s="1634" customFormat="1">
      <c r="G6412" s="3336"/>
      <c r="P6412" s="3337"/>
    </row>
    <row r="6413" spans="7:16" s="1634" customFormat="1">
      <c r="G6413" s="3336"/>
      <c r="P6413" s="3337"/>
    </row>
    <row r="6414" spans="7:16" s="1634" customFormat="1">
      <c r="G6414" s="3336"/>
      <c r="P6414" s="3337"/>
    </row>
    <row r="6415" spans="7:16" s="1634" customFormat="1">
      <c r="G6415" s="3336"/>
      <c r="P6415" s="3337"/>
    </row>
    <row r="6416" spans="7:16" s="1634" customFormat="1">
      <c r="G6416" s="3336"/>
      <c r="P6416" s="3337"/>
    </row>
    <row r="6417" spans="7:16" s="1634" customFormat="1">
      <c r="G6417" s="3336"/>
      <c r="P6417" s="3337"/>
    </row>
    <row r="6418" spans="7:16" s="1634" customFormat="1">
      <c r="G6418" s="3336"/>
      <c r="P6418" s="3337"/>
    </row>
    <row r="6419" spans="7:16" s="1634" customFormat="1">
      <c r="G6419" s="3336"/>
      <c r="P6419" s="3337"/>
    </row>
    <row r="6420" spans="7:16" s="1634" customFormat="1">
      <c r="G6420" s="3336"/>
      <c r="P6420" s="3337"/>
    </row>
    <row r="6421" spans="7:16" s="1634" customFormat="1">
      <c r="G6421" s="3336"/>
      <c r="P6421" s="3337"/>
    </row>
    <row r="6422" spans="7:16" s="1634" customFormat="1">
      <c r="G6422" s="3336"/>
      <c r="P6422" s="3337"/>
    </row>
    <row r="6423" spans="7:16" s="1634" customFormat="1">
      <c r="G6423" s="3336"/>
      <c r="P6423" s="3337"/>
    </row>
    <row r="6424" spans="7:16" s="1634" customFormat="1">
      <c r="G6424" s="3336"/>
      <c r="P6424" s="3337"/>
    </row>
    <row r="6425" spans="7:16" s="1634" customFormat="1">
      <c r="G6425" s="3336"/>
      <c r="P6425" s="3337"/>
    </row>
    <row r="6426" spans="7:16" s="1634" customFormat="1">
      <c r="G6426" s="3336"/>
      <c r="P6426" s="3337"/>
    </row>
    <row r="6427" spans="7:16" s="1634" customFormat="1">
      <c r="G6427" s="3336"/>
      <c r="P6427" s="3337"/>
    </row>
    <row r="6428" spans="7:16" s="1634" customFormat="1">
      <c r="G6428" s="3336"/>
      <c r="P6428" s="3337"/>
    </row>
    <row r="6429" spans="7:16" s="1634" customFormat="1">
      <c r="G6429" s="3336"/>
      <c r="P6429" s="3337"/>
    </row>
    <row r="6430" spans="7:16" s="1634" customFormat="1">
      <c r="G6430" s="3336"/>
      <c r="P6430" s="3337"/>
    </row>
    <row r="6431" spans="7:16" s="1634" customFormat="1">
      <c r="G6431" s="3336"/>
      <c r="P6431" s="3337"/>
    </row>
    <row r="6432" spans="7:16" s="1634" customFormat="1">
      <c r="G6432" s="3336"/>
      <c r="P6432" s="3337"/>
    </row>
    <row r="6433" spans="7:16" s="1634" customFormat="1">
      <c r="G6433" s="3336"/>
      <c r="P6433" s="3337"/>
    </row>
    <row r="6434" spans="7:16" s="1634" customFormat="1">
      <c r="G6434" s="3336"/>
      <c r="P6434" s="3337"/>
    </row>
    <row r="6435" spans="7:16" s="1634" customFormat="1">
      <c r="G6435" s="3336"/>
      <c r="P6435" s="3337"/>
    </row>
    <row r="6436" spans="7:16" s="1634" customFormat="1">
      <c r="G6436" s="3336"/>
      <c r="P6436" s="3337"/>
    </row>
    <row r="6437" spans="7:16" s="1634" customFormat="1">
      <c r="G6437" s="3336"/>
      <c r="P6437" s="3337"/>
    </row>
    <row r="6438" spans="7:16" s="1634" customFormat="1">
      <c r="G6438" s="3336"/>
      <c r="P6438" s="3337"/>
    </row>
    <row r="6439" spans="7:16" s="1634" customFormat="1">
      <c r="G6439" s="3336"/>
      <c r="P6439" s="3337"/>
    </row>
    <row r="6440" spans="7:16" s="1634" customFormat="1">
      <c r="G6440" s="3336"/>
      <c r="P6440" s="3337"/>
    </row>
    <row r="6441" spans="7:16" s="1634" customFormat="1">
      <c r="G6441" s="3336"/>
      <c r="P6441" s="3337"/>
    </row>
    <row r="6442" spans="7:16" s="1634" customFormat="1">
      <c r="G6442" s="3336"/>
      <c r="P6442" s="3337"/>
    </row>
    <row r="6443" spans="7:16" s="1634" customFormat="1">
      <c r="G6443" s="3336"/>
      <c r="P6443" s="3337"/>
    </row>
    <row r="6444" spans="7:16" s="1634" customFormat="1">
      <c r="G6444" s="3336"/>
      <c r="P6444" s="3337"/>
    </row>
    <row r="6445" spans="7:16" s="1634" customFormat="1">
      <c r="G6445" s="3336"/>
      <c r="P6445" s="3337"/>
    </row>
    <row r="6446" spans="7:16" s="1634" customFormat="1">
      <c r="G6446" s="3336"/>
      <c r="P6446" s="3337"/>
    </row>
    <row r="6447" spans="7:16" s="1634" customFormat="1">
      <c r="G6447" s="3336"/>
      <c r="P6447" s="3337"/>
    </row>
    <row r="6448" spans="7:16" s="1634" customFormat="1">
      <c r="G6448" s="3336"/>
      <c r="P6448" s="3337"/>
    </row>
    <row r="6449" spans="7:16" s="1634" customFormat="1">
      <c r="G6449" s="3336"/>
      <c r="P6449" s="3337"/>
    </row>
    <row r="6450" spans="7:16" s="1634" customFormat="1">
      <c r="G6450" s="3336"/>
      <c r="P6450" s="3337"/>
    </row>
    <row r="6451" spans="7:16" s="1634" customFormat="1">
      <c r="G6451" s="3336"/>
      <c r="P6451" s="3337"/>
    </row>
    <row r="6452" spans="7:16" s="1634" customFormat="1">
      <c r="G6452" s="3336"/>
      <c r="P6452" s="3337"/>
    </row>
    <row r="6453" spans="7:16" s="1634" customFormat="1">
      <c r="G6453" s="3336"/>
      <c r="P6453" s="3337"/>
    </row>
    <row r="6454" spans="7:16" s="1634" customFormat="1">
      <c r="G6454" s="3336"/>
      <c r="P6454" s="3337"/>
    </row>
    <row r="6455" spans="7:16" s="1634" customFormat="1">
      <c r="G6455" s="3336"/>
      <c r="P6455" s="3337"/>
    </row>
    <row r="6456" spans="7:16" s="1634" customFormat="1">
      <c r="G6456" s="3336"/>
      <c r="P6456" s="3337"/>
    </row>
    <row r="6457" spans="7:16" s="1634" customFormat="1">
      <c r="G6457" s="3336"/>
      <c r="P6457" s="3337"/>
    </row>
    <row r="6458" spans="7:16" s="1634" customFormat="1">
      <c r="G6458" s="3336"/>
      <c r="P6458" s="3337"/>
    </row>
    <row r="6459" spans="7:16" s="1634" customFormat="1">
      <c r="G6459" s="3336"/>
      <c r="P6459" s="3337"/>
    </row>
    <row r="6460" spans="7:16" s="1634" customFormat="1">
      <c r="G6460" s="3336"/>
      <c r="P6460" s="3337"/>
    </row>
    <row r="6461" spans="7:16" s="1634" customFormat="1">
      <c r="G6461" s="3336"/>
      <c r="P6461" s="3337"/>
    </row>
    <row r="6462" spans="7:16" s="1634" customFormat="1">
      <c r="G6462" s="3336"/>
      <c r="P6462" s="3337"/>
    </row>
    <row r="6463" spans="7:16" s="1634" customFormat="1">
      <c r="G6463" s="3336"/>
      <c r="P6463" s="3337"/>
    </row>
    <row r="6464" spans="7:16" s="1634" customFormat="1">
      <c r="G6464" s="3336"/>
      <c r="P6464" s="3337"/>
    </row>
    <row r="6465" spans="7:16" s="1634" customFormat="1">
      <c r="G6465" s="3336"/>
      <c r="P6465" s="3337"/>
    </row>
    <row r="6466" spans="7:16" s="1634" customFormat="1">
      <c r="G6466" s="3336"/>
      <c r="P6466" s="3337"/>
    </row>
    <row r="6467" spans="7:16" s="1634" customFormat="1">
      <c r="G6467" s="3336"/>
      <c r="P6467" s="3337"/>
    </row>
    <row r="6468" spans="7:16" s="1634" customFormat="1">
      <c r="G6468" s="3336"/>
      <c r="P6468" s="3337"/>
    </row>
    <row r="6469" spans="7:16" s="1634" customFormat="1">
      <c r="G6469" s="3336"/>
      <c r="P6469" s="3337"/>
    </row>
    <row r="6470" spans="7:16" s="1634" customFormat="1">
      <c r="G6470" s="3336"/>
      <c r="P6470" s="3337"/>
    </row>
    <row r="6471" spans="7:16" s="1634" customFormat="1">
      <c r="G6471" s="3336"/>
      <c r="P6471" s="3337"/>
    </row>
    <row r="6472" spans="7:16" s="1634" customFormat="1">
      <c r="G6472" s="3336"/>
      <c r="P6472" s="3337"/>
    </row>
    <row r="6473" spans="7:16" s="1634" customFormat="1">
      <c r="G6473" s="3336"/>
      <c r="P6473" s="3337"/>
    </row>
    <row r="6474" spans="7:16" s="1634" customFormat="1">
      <c r="G6474" s="3336"/>
      <c r="P6474" s="3337"/>
    </row>
    <row r="6475" spans="7:16" s="1634" customFormat="1">
      <c r="G6475" s="3336"/>
      <c r="P6475" s="3337"/>
    </row>
    <row r="6476" spans="7:16" s="1634" customFormat="1">
      <c r="G6476" s="3336"/>
      <c r="P6476" s="3337"/>
    </row>
    <row r="6477" spans="7:16" s="1634" customFormat="1">
      <c r="G6477" s="3336"/>
      <c r="P6477" s="3337"/>
    </row>
    <row r="6478" spans="7:16" s="1634" customFormat="1">
      <c r="G6478" s="3336"/>
      <c r="P6478" s="3337"/>
    </row>
    <row r="6479" spans="7:16" s="1634" customFormat="1">
      <c r="G6479" s="3336"/>
      <c r="P6479" s="3337"/>
    </row>
    <row r="6480" spans="7:16" s="1634" customFormat="1">
      <c r="G6480" s="3336"/>
      <c r="P6480" s="3337"/>
    </row>
    <row r="6481" spans="7:16" s="1634" customFormat="1">
      <c r="G6481" s="3336"/>
      <c r="P6481" s="3337"/>
    </row>
    <row r="6482" spans="7:16" s="1634" customFormat="1">
      <c r="G6482" s="3336"/>
      <c r="P6482" s="3337"/>
    </row>
    <row r="6483" spans="7:16" s="1634" customFormat="1">
      <c r="G6483" s="3336"/>
      <c r="P6483" s="3337"/>
    </row>
    <row r="6484" spans="7:16" s="1634" customFormat="1">
      <c r="G6484" s="3336"/>
      <c r="P6484" s="3337"/>
    </row>
    <row r="6485" spans="7:16" s="1634" customFormat="1">
      <c r="G6485" s="3336"/>
      <c r="P6485" s="3337"/>
    </row>
    <row r="6486" spans="7:16" s="1634" customFormat="1">
      <c r="G6486" s="3336"/>
      <c r="P6486" s="3337"/>
    </row>
    <row r="6487" spans="7:16" s="1634" customFormat="1">
      <c r="G6487" s="3336"/>
      <c r="P6487" s="3337"/>
    </row>
    <row r="6488" spans="7:16" s="1634" customFormat="1">
      <c r="G6488" s="3336"/>
      <c r="P6488" s="3337"/>
    </row>
    <row r="6489" spans="7:16" s="1634" customFormat="1">
      <c r="G6489" s="3336"/>
      <c r="P6489" s="3337"/>
    </row>
    <row r="6490" spans="7:16" s="1634" customFormat="1">
      <c r="G6490" s="3336"/>
      <c r="P6490" s="3337"/>
    </row>
    <row r="6491" spans="7:16" s="1634" customFormat="1">
      <c r="G6491" s="3336"/>
      <c r="P6491" s="3337"/>
    </row>
    <row r="6492" spans="7:16" s="1634" customFormat="1">
      <c r="G6492" s="3336"/>
      <c r="P6492" s="3337"/>
    </row>
    <row r="6493" spans="7:16" s="1634" customFormat="1">
      <c r="G6493" s="3336"/>
      <c r="P6493" s="3337"/>
    </row>
    <row r="6494" spans="7:16" s="1634" customFormat="1">
      <c r="G6494" s="3336"/>
      <c r="P6494" s="3337"/>
    </row>
    <row r="6495" spans="7:16" s="1634" customFormat="1">
      <c r="G6495" s="3336"/>
      <c r="P6495" s="3337"/>
    </row>
    <row r="6496" spans="7:16" s="1634" customFormat="1">
      <c r="G6496" s="3336"/>
      <c r="P6496" s="3337"/>
    </row>
    <row r="6497" spans="7:16" s="1634" customFormat="1">
      <c r="G6497" s="3336"/>
      <c r="P6497" s="3337"/>
    </row>
    <row r="6498" spans="7:16" s="1634" customFormat="1">
      <c r="G6498" s="3336"/>
      <c r="P6498" s="3337"/>
    </row>
    <row r="6499" spans="7:16" s="1634" customFormat="1">
      <c r="G6499" s="3336"/>
      <c r="P6499" s="3337"/>
    </row>
    <row r="6500" spans="7:16" s="1634" customFormat="1">
      <c r="G6500" s="3336"/>
      <c r="P6500" s="3337"/>
    </row>
    <row r="6501" spans="7:16" s="1634" customFormat="1">
      <c r="G6501" s="3336"/>
      <c r="P6501" s="3337"/>
    </row>
    <row r="6502" spans="7:16" s="1634" customFormat="1">
      <c r="G6502" s="3336"/>
      <c r="P6502" s="3337"/>
    </row>
    <row r="6503" spans="7:16" s="1634" customFormat="1">
      <c r="G6503" s="3336"/>
      <c r="P6503" s="3337"/>
    </row>
    <row r="6504" spans="7:16" s="1634" customFormat="1">
      <c r="G6504" s="3336"/>
      <c r="P6504" s="3337"/>
    </row>
    <row r="6505" spans="7:16" s="1634" customFormat="1">
      <c r="G6505" s="3336"/>
      <c r="P6505" s="3337"/>
    </row>
    <row r="6506" spans="7:16" s="1634" customFormat="1">
      <c r="G6506" s="3336"/>
      <c r="P6506" s="3337"/>
    </row>
    <row r="6507" spans="7:16" s="1634" customFormat="1">
      <c r="G6507" s="3336"/>
      <c r="P6507" s="3337"/>
    </row>
    <row r="6508" spans="7:16" s="1634" customFormat="1">
      <c r="G6508" s="3336"/>
      <c r="P6508" s="3337"/>
    </row>
    <row r="6509" spans="7:16" s="1634" customFormat="1">
      <c r="G6509" s="3336"/>
      <c r="P6509" s="3337"/>
    </row>
    <row r="6510" spans="7:16" s="1634" customFormat="1">
      <c r="G6510" s="3336"/>
      <c r="P6510" s="3337"/>
    </row>
    <row r="6511" spans="7:16" s="1634" customFormat="1">
      <c r="G6511" s="3336"/>
      <c r="P6511" s="3337"/>
    </row>
    <row r="6512" spans="7:16" s="1634" customFormat="1">
      <c r="G6512" s="3336"/>
      <c r="P6512" s="3337"/>
    </row>
    <row r="6513" spans="7:16" s="1634" customFormat="1">
      <c r="G6513" s="3336"/>
      <c r="P6513" s="3337"/>
    </row>
    <row r="6514" spans="7:16" s="1634" customFormat="1">
      <c r="G6514" s="3336"/>
      <c r="P6514" s="3337"/>
    </row>
    <row r="6515" spans="7:16" s="1634" customFormat="1">
      <c r="G6515" s="3336"/>
      <c r="P6515" s="3337"/>
    </row>
    <row r="6516" spans="7:16" s="1634" customFormat="1">
      <c r="G6516" s="3336"/>
      <c r="P6516" s="3337"/>
    </row>
    <row r="6517" spans="7:16" s="1634" customFormat="1">
      <c r="G6517" s="3336"/>
      <c r="P6517" s="3337"/>
    </row>
    <row r="6518" spans="7:16" s="1634" customFormat="1">
      <c r="G6518" s="3336"/>
      <c r="P6518" s="3337"/>
    </row>
    <row r="6519" spans="7:16" s="1634" customFormat="1">
      <c r="G6519" s="3336"/>
      <c r="P6519" s="3337"/>
    </row>
    <row r="6520" spans="7:16" s="1634" customFormat="1">
      <c r="G6520" s="3336"/>
      <c r="P6520" s="3337"/>
    </row>
    <row r="6521" spans="7:16" s="1634" customFormat="1">
      <c r="G6521" s="3336"/>
      <c r="P6521" s="3337"/>
    </row>
    <row r="6522" spans="7:16" s="1634" customFormat="1">
      <c r="G6522" s="3336"/>
      <c r="P6522" s="3337"/>
    </row>
    <row r="6523" spans="7:16" s="1634" customFormat="1">
      <c r="G6523" s="3336"/>
      <c r="P6523" s="3337"/>
    </row>
    <row r="6524" spans="7:16" s="1634" customFormat="1">
      <c r="G6524" s="3336"/>
      <c r="P6524" s="3337"/>
    </row>
    <row r="6525" spans="7:16" s="1634" customFormat="1">
      <c r="G6525" s="3336"/>
      <c r="P6525" s="3337"/>
    </row>
    <row r="6526" spans="7:16" s="1634" customFormat="1">
      <c r="G6526" s="3336"/>
      <c r="P6526" s="3337"/>
    </row>
    <row r="6527" spans="7:16" s="1634" customFormat="1">
      <c r="G6527" s="3336"/>
      <c r="P6527" s="3337"/>
    </row>
    <row r="6528" spans="7:16" s="1634" customFormat="1">
      <c r="G6528" s="3336"/>
      <c r="P6528" s="3337"/>
    </row>
    <row r="6529" spans="7:16" s="1634" customFormat="1">
      <c r="G6529" s="3336"/>
      <c r="P6529" s="3337"/>
    </row>
    <row r="6530" spans="7:16" s="1634" customFormat="1">
      <c r="G6530" s="3336"/>
      <c r="P6530" s="3337"/>
    </row>
    <row r="6531" spans="7:16" s="1634" customFormat="1">
      <c r="G6531" s="3336"/>
      <c r="P6531" s="3337"/>
    </row>
    <row r="6532" spans="7:16" s="1634" customFormat="1">
      <c r="G6532" s="3336"/>
      <c r="P6532" s="3337"/>
    </row>
    <row r="6533" spans="7:16" s="1634" customFormat="1">
      <c r="G6533" s="3336"/>
      <c r="P6533" s="3337"/>
    </row>
    <row r="6534" spans="7:16" s="1634" customFormat="1">
      <c r="G6534" s="3336"/>
      <c r="P6534" s="3337"/>
    </row>
    <row r="6535" spans="7:16" s="1634" customFormat="1">
      <c r="G6535" s="3336"/>
      <c r="P6535" s="3337"/>
    </row>
    <row r="6536" spans="7:16" s="1634" customFormat="1">
      <c r="G6536" s="3336"/>
      <c r="P6536" s="3337"/>
    </row>
    <row r="6537" spans="7:16" s="1634" customFormat="1">
      <c r="G6537" s="3336"/>
      <c r="P6537" s="3337"/>
    </row>
    <row r="6538" spans="7:16" s="1634" customFormat="1">
      <c r="G6538" s="3336"/>
      <c r="P6538" s="3337"/>
    </row>
    <row r="6539" spans="7:16" s="1634" customFormat="1">
      <c r="G6539" s="3336"/>
      <c r="P6539" s="3337"/>
    </row>
    <row r="6540" spans="7:16" s="1634" customFormat="1">
      <c r="G6540" s="3336"/>
      <c r="P6540" s="3337"/>
    </row>
    <row r="6541" spans="7:16" s="1634" customFormat="1">
      <c r="G6541" s="3336"/>
      <c r="P6541" s="3337"/>
    </row>
    <row r="6542" spans="7:16" s="1634" customFormat="1">
      <c r="G6542" s="3336"/>
      <c r="P6542" s="3337"/>
    </row>
    <row r="6543" spans="7:16" s="1634" customFormat="1">
      <c r="G6543" s="3336"/>
      <c r="P6543" s="3337"/>
    </row>
    <row r="6544" spans="7:16" s="1634" customFormat="1">
      <c r="G6544" s="3336"/>
      <c r="P6544" s="3337"/>
    </row>
    <row r="6545" spans="7:16" s="1634" customFormat="1">
      <c r="G6545" s="3336"/>
      <c r="P6545" s="3337"/>
    </row>
    <row r="6546" spans="7:16" s="1634" customFormat="1">
      <c r="G6546" s="3336"/>
      <c r="P6546" s="3337"/>
    </row>
    <row r="6547" spans="7:16" s="1634" customFormat="1">
      <c r="G6547" s="3336"/>
      <c r="P6547" s="3337"/>
    </row>
    <row r="6548" spans="7:16" s="1634" customFormat="1">
      <c r="G6548" s="3336"/>
      <c r="P6548" s="3337"/>
    </row>
    <row r="6549" spans="7:16" s="1634" customFormat="1">
      <c r="G6549" s="3336"/>
      <c r="P6549" s="3337"/>
    </row>
    <row r="6550" spans="7:16" s="1634" customFormat="1">
      <c r="G6550" s="3336"/>
      <c r="P6550" s="3337"/>
    </row>
    <row r="6551" spans="7:16" s="1634" customFormat="1">
      <c r="G6551" s="3336"/>
      <c r="P6551" s="3337"/>
    </row>
    <row r="6552" spans="7:16" s="1634" customFormat="1">
      <c r="G6552" s="3336"/>
      <c r="P6552" s="3337"/>
    </row>
    <row r="6553" spans="7:16" s="1634" customFormat="1">
      <c r="G6553" s="3336"/>
      <c r="P6553" s="3337"/>
    </row>
    <row r="6554" spans="7:16" s="1634" customFormat="1">
      <c r="G6554" s="3336"/>
      <c r="P6554" s="3337"/>
    </row>
    <row r="6555" spans="7:16" s="1634" customFormat="1">
      <c r="G6555" s="3336"/>
      <c r="P6555" s="3337"/>
    </row>
    <row r="6556" spans="7:16" s="1634" customFormat="1">
      <c r="G6556" s="3336"/>
      <c r="P6556" s="3337"/>
    </row>
    <row r="6557" spans="7:16" s="1634" customFormat="1">
      <c r="G6557" s="3336"/>
      <c r="P6557" s="3337"/>
    </row>
    <row r="6558" spans="7:16" s="1634" customFormat="1">
      <c r="G6558" s="3336"/>
      <c r="P6558" s="3337"/>
    </row>
    <row r="6559" spans="7:16" s="1634" customFormat="1">
      <c r="G6559" s="3336"/>
      <c r="P6559" s="3337"/>
    </row>
    <row r="6560" spans="7:16" s="1634" customFormat="1">
      <c r="G6560" s="3336"/>
      <c r="P6560" s="3337"/>
    </row>
    <row r="6561" spans="7:16" s="1634" customFormat="1">
      <c r="G6561" s="3336"/>
      <c r="P6561" s="3337"/>
    </row>
    <row r="6562" spans="7:16" s="1634" customFormat="1">
      <c r="G6562" s="3336"/>
      <c r="P6562" s="3337"/>
    </row>
    <row r="6563" spans="7:16" s="1634" customFormat="1">
      <c r="G6563" s="3336"/>
      <c r="P6563" s="3337"/>
    </row>
    <row r="6564" spans="7:16" s="1634" customFormat="1">
      <c r="G6564" s="3336"/>
      <c r="P6564" s="3337"/>
    </row>
    <row r="6565" spans="7:16" s="1634" customFormat="1">
      <c r="G6565" s="3336"/>
      <c r="P6565" s="3337"/>
    </row>
    <row r="6566" spans="7:16" s="1634" customFormat="1">
      <c r="G6566" s="3336"/>
      <c r="P6566" s="3337"/>
    </row>
    <row r="6567" spans="7:16" s="1634" customFormat="1">
      <c r="G6567" s="3336"/>
      <c r="P6567" s="3337"/>
    </row>
    <row r="6568" spans="7:16" s="1634" customFormat="1">
      <c r="G6568" s="3336"/>
      <c r="P6568" s="3337"/>
    </row>
    <row r="6569" spans="7:16" s="1634" customFormat="1">
      <c r="G6569" s="3336"/>
      <c r="P6569" s="3337"/>
    </row>
    <row r="6570" spans="7:16" s="1634" customFormat="1">
      <c r="G6570" s="3336"/>
      <c r="P6570" s="3337"/>
    </row>
    <row r="6571" spans="7:16" s="1634" customFormat="1">
      <c r="G6571" s="3336"/>
      <c r="P6571" s="3337"/>
    </row>
    <row r="6572" spans="7:16" s="1634" customFormat="1">
      <c r="G6572" s="3336"/>
      <c r="P6572" s="3337"/>
    </row>
    <row r="6573" spans="7:16" s="1634" customFormat="1">
      <c r="G6573" s="3336"/>
      <c r="P6573" s="3337"/>
    </row>
    <row r="6574" spans="7:16" s="1634" customFormat="1">
      <c r="G6574" s="3336"/>
      <c r="P6574" s="3337"/>
    </row>
    <row r="6575" spans="7:16" s="1634" customFormat="1">
      <c r="G6575" s="3336"/>
      <c r="P6575" s="3337"/>
    </row>
    <row r="6576" spans="7:16" s="1634" customFormat="1">
      <c r="G6576" s="3336"/>
      <c r="P6576" s="3337"/>
    </row>
    <row r="6577" spans="7:16" s="1634" customFormat="1">
      <c r="G6577" s="3336"/>
      <c r="P6577" s="3337"/>
    </row>
    <row r="6578" spans="7:16" s="1634" customFormat="1">
      <c r="G6578" s="3336"/>
      <c r="P6578" s="3337"/>
    </row>
    <row r="6579" spans="7:16" s="1634" customFormat="1">
      <c r="G6579" s="3336"/>
      <c r="P6579" s="3337"/>
    </row>
    <row r="6580" spans="7:16" s="1634" customFormat="1">
      <c r="G6580" s="3336"/>
      <c r="P6580" s="3337"/>
    </row>
    <row r="6581" spans="7:16" s="1634" customFormat="1">
      <c r="G6581" s="3336"/>
      <c r="P6581" s="3337"/>
    </row>
    <row r="6582" spans="7:16" s="1634" customFormat="1">
      <c r="G6582" s="3336"/>
      <c r="P6582" s="3337"/>
    </row>
    <row r="6583" spans="7:16" s="1634" customFormat="1">
      <c r="G6583" s="3336"/>
      <c r="P6583" s="3337"/>
    </row>
    <row r="6584" spans="7:16" s="1634" customFormat="1">
      <c r="G6584" s="3336"/>
      <c r="P6584" s="3337"/>
    </row>
    <row r="6585" spans="7:16" s="1634" customFormat="1">
      <c r="G6585" s="3336"/>
      <c r="P6585" s="3337"/>
    </row>
    <row r="6586" spans="7:16" s="1634" customFormat="1">
      <c r="G6586" s="3336"/>
      <c r="P6586" s="3337"/>
    </row>
    <row r="6587" spans="7:16" s="1634" customFormat="1">
      <c r="G6587" s="3336"/>
      <c r="P6587" s="3337"/>
    </row>
    <row r="6588" spans="7:16" s="1634" customFormat="1">
      <c r="G6588" s="3336"/>
      <c r="P6588" s="3337"/>
    </row>
    <row r="6589" spans="7:16" s="1634" customFormat="1">
      <c r="G6589" s="3336"/>
      <c r="P6589" s="3337"/>
    </row>
    <row r="6590" spans="7:16" s="1634" customFormat="1">
      <c r="G6590" s="3336"/>
      <c r="P6590" s="3337"/>
    </row>
    <row r="6591" spans="7:16" s="1634" customFormat="1">
      <c r="G6591" s="3336"/>
      <c r="P6591" s="3337"/>
    </row>
    <row r="6592" spans="7:16" s="1634" customFormat="1">
      <c r="G6592" s="3336"/>
      <c r="P6592" s="3337"/>
    </row>
    <row r="6593" spans="7:16" s="1634" customFormat="1">
      <c r="G6593" s="3336"/>
      <c r="P6593" s="3337"/>
    </row>
    <row r="6594" spans="7:16" s="1634" customFormat="1">
      <c r="G6594" s="3336"/>
      <c r="P6594" s="3337"/>
    </row>
    <row r="6595" spans="7:16" s="1634" customFormat="1">
      <c r="G6595" s="3336"/>
      <c r="P6595" s="3337"/>
    </row>
    <row r="6596" spans="7:16" s="1634" customFormat="1">
      <c r="G6596" s="3336"/>
      <c r="P6596" s="3337"/>
    </row>
    <row r="6597" spans="7:16" s="1634" customFormat="1">
      <c r="G6597" s="3336"/>
      <c r="P6597" s="3337"/>
    </row>
    <row r="6598" spans="7:16" s="1634" customFormat="1">
      <c r="G6598" s="3336"/>
      <c r="P6598" s="3337"/>
    </row>
    <row r="6599" spans="7:16" s="1634" customFormat="1">
      <c r="G6599" s="3336"/>
      <c r="P6599" s="3337"/>
    </row>
    <row r="6600" spans="7:16" s="1634" customFormat="1">
      <c r="G6600" s="3336"/>
      <c r="P6600" s="3337"/>
    </row>
    <row r="6601" spans="7:16" s="1634" customFormat="1">
      <c r="G6601" s="3336"/>
      <c r="P6601" s="3337"/>
    </row>
    <row r="6602" spans="7:16" s="1634" customFormat="1">
      <c r="G6602" s="3336"/>
      <c r="P6602" s="3337"/>
    </row>
    <row r="6603" spans="7:16" s="1634" customFormat="1">
      <c r="G6603" s="3336"/>
      <c r="P6603" s="3337"/>
    </row>
    <row r="6604" spans="7:16" s="1634" customFormat="1">
      <c r="G6604" s="3336"/>
      <c r="P6604" s="3337"/>
    </row>
    <row r="6605" spans="7:16" s="1634" customFormat="1">
      <c r="G6605" s="3336"/>
      <c r="P6605" s="3337"/>
    </row>
    <row r="6606" spans="7:16" s="1634" customFormat="1">
      <c r="G6606" s="3336"/>
      <c r="P6606" s="3337"/>
    </row>
    <row r="6607" spans="7:16" s="1634" customFormat="1">
      <c r="G6607" s="3336"/>
      <c r="P6607" s="3337"/>
    </row>
    <row r="6608" spans="7:16" s="1634" customFormat="1">
      <c r="G6608" s="3336"/>
      <c r="P6608" s="3337"/>
    </row>
    <row r="6609" spans="7:16" s="1634" customFormat="1">
      <c r="G6609" s="3336"/>
      <c r="P6609" s="3337"/>
    </row>
    <row r="6610" spans="7:16" s="1634" customFormat="1">
      <c r="G6610" s="3336"/>
      <c r="P6610" s="3337"/>
    </row>
    <row r="6611" spans="7:16" s="1634" customFormat="1">
      <c r="G6611" s="3336"/>
      <c r="P6611" s="3337"/>
    </row>
    <row r="6612" spans="7:16" s="1634" customFormat="1">
      <c r="G6612" s="3336"/>
      <c r="P6612" s="3337"/>
    </row>
    <row r="6613" spans="7:16" s="1634" customFormat="1">
      <c r="G6613" s="3336"/>
      <c r="P6613" s="3337"/>
    </row>
    <row r="6614" spans="7:16" s="1634" customFormat="1">
      <c r="G6614" s="3336"/>
      <c r="P6614" s="3337"/>
    </row>
    <row r="6615" spans="7:16" s="1634" customFormat="1">
      <c r="G6615" s="3336"/>
      <c r="P6615" s="3337"/>
    </row>
    <row r="6616" spans="7:16" s="1634" customFormat="1">
      <c r="G6616" s="3336"/>
      <c r="P6616" s="3337"/>
    </row>
    <row r="6617" spans="7:16" s="1634" customFormat="1">
      <c r="G6617" s="3336"/>
      <c r="P6617" s="3337"/>
    </row>
    <row r="6618" spans="7:16" s="1634" customFormat="1">
      <c r="G6618" s="3336"/>
      <c r="P6618" s="3337"/>
    </row>
    <row r="6619" spans="7:16" s="1634" customFormat="1">
      <c r="G6619" s="3336"/>
      <c r="P6619" s="3337"/>
    </row>
    <row r="6620" spans="7:16" s="1634" customFormat="1">
      <c r="G6620" s="3336"/>
      <c r="P6620" s="3337"/>
    </row>
    <row r="6621" spans="7:16" s="1634" customFormat="1">
      <c r="G6621" s="3336"/>
      <c r="P6621" s="3337"/>
    </row>
    <row r="6622" spans="7:16" s="1634" customFormat="1">
      <c r="G6622" s="3336"/>
      <c r="P6622" s="3337"/>
    </row>
    <row r="6623" spans="7:16" s="1634" customFormat="1">
      <c r="G6623" s="3336"/>
      <c r="P6623" s="3337"/>
    </row>
    <row r="6624" spans="7:16" s="1634" customFormat="1">
      <c r="G6624" s="3336"/>
      <c r="P6624" s="3337"/>
    </row>
    <row r="6625" spans="7:16" s="1634" customFormat="1">
      <c r="G6625" s="3336"/>
      <c r="P6625" s="3337"/>
    </row>
    <row r="6626" spans="7:16" s="1634" customFormat="1">
      <c r="G6626" s="3336"/>
      <c r="P6626" s="3337"/>
    </row>
    <row r="6627" spans="7:16" s="1634" customFormat="1">
      <c r="G6627" s="3336"/>
      <c r="P6627" s="3337"/>
    </row>
    <row r="6628" spans="7:16" s="1634" customFormat="1">
      <c r="G6628" s="3336"/>
      <c r="P6628" s="3337"/>
    </row>
    <row r="6629" spans="7:16" s="1634" customFormat="1">
      <c r="G6629" s="3336"/>
      <c r="P6629" s="3337"/>
    </row>
    <row r="6630" spans="7:16" s="1634" customFormat="1">
      <c r="G6630" s="3336"/>
      <c r="P6630" s="3337"/>
    </row>
    <row r="6631" spans="7:16" s="1634" customFormat="1">
      <c r="G6631" s="3336"/>
      <c r="P6631" s="3337"/>
    </row>
    <row r="6632" spans="7:16" s="1634" customFormat="1">
      <c r="G6632" s="3336"/>
      <c r="P6632" s="3337"/>
    </row>
    <row r="6633" spans="7:16" s="1634" customFormat="1">
      <c r="G6633" s="3336"/>
      <c r="P6633" s="3337"/>
    </row>
    <row r="6634" spans="7:16" s="1634" customFormat="1">
      <c r="G6634" s="3336"/>
      <c r="P6634" s="3337"/>
    </row>
    <row r="6635" spans="7:16" s="1634" customFormat="1">
      <c r="G6635" s="3336"/>
      <c r="P6635" s="3337"/>
    </row>
    <row r="6636" spans="7:16" s="1634" customFormat="1">
      <c r="G6636" s="3336"/>
      <c r="P6636" s="3337"/>
    </row>
    <row r="6637" spans="7:16" s="1634" customFormat="1">
      <c r="G6637" s="3336"/>
      <c r="P6637" s="3337"/>
    </row>
    <row r="6638" spans="7:16" s="1634" customFormat="1">
      <c r="G6638" s="3336"/>
      <c r="P6638" s="3337"/>
    </row>
    <row r="6639" spans="7:16" s="1634" customFormat="1">
      <c r="G6639" s="3336"/>
      <c r="P6639" s="3337"/>
    </row>
    <row r="6640" spans="7:16" s="1634" customFormat="1">
      <c r="G6640" s="3336"/>
      <c r="P6640" s="3337"/>
    </row>
    <row r="6641" spans="7:16" s="1634" customFormat="1">
      <c r="G6641" s="3336"/>
      <c r="P6641" s="3337"/>
    </row>
    <row r="6642" spans="7:16" s="1634" customFormat="1">
      <c r="G6642" s="3336"/>
      <c r="P6642" s="3337"/>
    </row>
    <row r="6643" spans="7:16" s="1634" customFormat="1">
      <c r="G6643" s="3336"/>
      <c r="P6643" s="3337"/>
    </row>
    <row r="6644" spans="7:16" s="1634" customFormat="1">
      <c r="G6644" s="3336"/>
      <c r="P6644" s="3337"/>
    </row>
    <row r="6645" spans="7:16" s="1634" customFormat="1">
      <c r="G6645" s="3336"/>
      <c r="P6645" s="3337"/>
    </row>
    <row r="6646" spans="7:16" s="1634" customFormat="1">
      <c r="G6646" s="3336"/>
      <c r="P6646" s="3337"/>
    </row>
    <row r="6647" spans="7:16" s="1634" customFormat="1">
      <c r="G6647" s="3336"/>
      <c r="P6647" s="3337"/>
    </row>
    <row r="6648" spans="7:16" s="1634" customFormat="1">
      <c r="G6648" s="3336"/>
      <c r="P6648" s="3337"/>
    </row>
    <row r="6649" spans="7:16" s="1634" customFormat="1">
      <c r="G6649" s="3336"/>
      <c r="P6649" s="3337"/>
    </row>
    <row r="6650" spans="7:16" s="1634" customFormat="1">
      <c r="G6650" s="3336"/>
      <c r="P6650" s="3337"/>
    </row>
    <row r="6651" spans="7:16" s="1634" customFormat="1">
      <c r="G6651" s="3336"/>
      <c r="P6651" s="3337"/>
    </row>
    <row r="6652" spans="7:16" s="1634" customFormat="1">
      <c r="G6652" s="3336"/>
      <c r="P6652" s="3337"/>
    </row>
    <row r="6653" spans="7:16" s="1634" customFormat="1">
      <c r="G6653" s="3336"/>
      <c r="P6653" s="3337"/>
    </row>
    <row r="6654" spans="7:16" s="1634" customFormat="1">
      <c r="G6654" s="3336"/>
      <c r="P6654" s="3337"/>
    </row>
    <row r="6655" spans="7:16" s="1634" customFormat="1">
      <c r="G6655" s="3336"/>
      <c r="P6655" s="3337"/>
    </row>
    <row r="6656" spans="7:16" s="1634" customFormat="1">
      <c r="G6656" s="3336"/>
      <c r="P6656" s="3337"/>
    </row>
    <row r="6657" spans="7:16" s="1634" customFormat="1">
      <c r="G6657" s="3336"/>
      <c r="P6657" s="3337"/>
    </row>
    <row r="6658" spans="7:16" s="1634" customFormat="1">
      <c r="G6658" s="3336"/>
      <c r="P6658" s="3337"/>
    </row>
    <row r="6659" spans="7:16" s="1634" customFormat="1">
      <c r="G6659" s="3336"/>
      <c r="P6659" s="3337"/>
    </row>
    <row r="6660" spans="7:16" s="1634" customFormat="1">
      <c r="G6660" s="3336"/>
      <c r="P6660" s="3337"/>
    </row>
    <row r="6661" spans="7:16" s="1634" customFormat="1">
      <c r="G6661" s="3336"/>
      <c r="P6661" s="3337"/>
    </row>
    <row r="6662" spans="7:16" s="1634" customFormat="1">
      <c r="G6662" s="3336"/>
      <c r="P6662" s="3337"/>
    </row>
    <row r="6663" spans="7:16" s="1634" customFormat="1">
      <c r="G6663" s="3336"/>
      <c r="P6663" s="3337"/>
    </row>
    <row r="6664" spans="7:16" s="1634" customFormat="1">
      <c r="G6664" s="3336"/>
      <c r="P6664" s="3337"/>
    </row>
    <row r="6665" spans="7:16" s="1634" customFormat="1">
      <c r="G6665" s="3336"/>
      <c r="P6665" s="3337"/>
    </row>
    <row r="6666" spans="7:16" s="1634" customFormat="1">
      <c r="G6666" s="3336"/>
      <c r="P6666" s="3337"/>
    </row>
    <row r="6667" spans="7:16" s="1634" customFormat="1">
      <c r="G6667" s="3336"/>
      <c r="P6667" s="3337"/>
    </row>
    <row r="6668" spans="7:16" s="1634" customFormat="1">
      <c r="G6668" s="3336"/>
      <c r="P6668" s="3337"/>
    </row>
    <row r="6669" spans="7:16" s="1634" customFormat="1">
      <c r="G6669" s="3336"/>
      <c r="P6669" s="3337"/>
    </row>
    <row r="6670" spans="7:16" s="1634" customFormat="1">
      <c r="G6670" s="3336"/>
      <c r="P6670" s="3337"/>
    </row>
    <row r="6671" spans="7:16" s="1634" customFormat="1">
      <c r="G6671" s="3336"/>
      <c r="P6671" s="3337"/>
    </row>
    <row r="6672" spans="7:16" s="1634" customFormat="1">
      <c r="G6672" s="3336"/>
      <c r="P6672" s="3337"/>
    </row>
    <row r="6673" spans="7:16" s="1634" customFormat="1">
      <c r="G6673" s="3336"/>
      <c r="P6673" s="3337"/>
    </row>
    <row r="6674" spans="7:16" s="1634" customFormat="1">
      <c r="G6674" s="3336"/>
      <c r="P6674" s="3337"/>
    </row>
    <row r="6675" spans="7:16" s="1634" customFormat="1">
      <c r="G6675" s="3336"/>
      <c r="P6675" s="3337"/>
    </row>
    <row r="6676" spans="7:16" s="1634" customFormat="1">
      <c r="G6676" s="3336"/>
      <c r="P6676" s="3337"/>
    </row>
    <row r="6677" spans="7:16" s="1634" customFormat="1">
      <c r="G6677" s="3336"/>
      <c r="P6677" s="3337"/>
    </row>
    <row r="6678" spans="7:16" s="1634" customFormat="1">
      <c r="G6678" s="3336"/>
      <c r="P6678" s="3337"/>
    </row>
    <row r="6679" spans="7:16" s="1634" customFormat="1">
      <c r="G6679" s="3336"/>
      <c r="P6679" s="3337"/>
    </row>
    <row r="6680" spans="7:16" s="1634" customFormat="1">
      <c r="G6680" s="3336"/>
      <c r="P6680" s="3337"/>
    </row>
    <row r="6681" spans="7:16" s="1634" customFormat="1">
      <c r="G6681" s="3336"/>
      <c r="P6681" s="3337"/>
    </row>
    <row r="6682" spans="7:16" s="1634" customFormat="1">
      <c r="G6682" s="3336"/>
      <c r="P6682" s="3337"/>
    </row>
    <row r="6683" spans="7:16" s="1634" customFormat="1">
      <c r="G6683" s="3336"/>
      <c r="P6683" s="3337"/>
    </row>
    <row r="6684" spans="7:16" s="1634" customFormat="1">
      <c r="G6684" s="3336"/>
      <c r="P6684" s="3337"/>
    </row>
    <row r="6685" spans="7:16" s="1634" customFormat="1">
      <c r="G6685" s="3336"/>
      <c r="P6685" s="3337"/>
    </row>
    <row r="6686" spans="7:16" s="1634" customFormat="1">
      <c r="G6686" s="3336"/>
      <c r="P6686" s="3337"/>
    </row>
    <row r="6687" spans="7:16" s="1634" customFormat="1">
      <c r="G6687" s="3336"/>
      <c r="P6687" s="3337"/>
    </row>
    <row r="6688" spans="7:16" s="1634" customFormat="1">
      <c r="G6688" s="3336"/>
      <c r="P6688" s="3337"/>
    </row>
    <row r="6689" spans="7:16" s="1634" customFormat="1">
      <c r="G6689" s="3336"/>
      <c r="P6689" s="3337"/>
    </row>
    <row r="6690" spans="7:16" s="1634" customFormat="1">
      <c r="G6690" s="3336"/>
      <c r="P6690" s="3337"/>
    </row>
    <row r="6691" spans="7:16" s="1634" customFormat="1">
      <c r="G6691" s="3336"/>
      <c r="P6691" s="3337"/>
    </row>
    <row r="6692" spans="7:16" s="1634" customFormat="1">
      <c r="G6692" s="3336"/>
      <c r="P6692" s="3337"/>
    </row>
    <row r="6693" spans="7:16" s="1634" customFormat="1">
      <c r="G6693" s="3336"/>
      <c r="P6693" s="3337"/>
    </row>
    <row r="6694" spans="7:16" s="1634" customFormat="1">
      <c r="G6694" s="3336"/>
      <c r="P6694" s="3337"/>
    </row>
    <row r="6695" spans="7:16" s="1634" customFormat="1">
      <c r="G6695" s="3336"/>
      <c r="P6695" s="3337"/>
    </row>
    <row r="6696" spans="7:16" s="1634" customFormat="1">
      <c r="G6696" s="3336"/>
      <c r="P6696" s="3337"/>
    </row>
    <row r="6697" spans="7:16" s="1634" customFormat="1">
      <c r="G6697" s="3336"/>
      <c r="P6697" s="3337"/>
    </row>
    <row r="6698" spans="7:16" s="1634" customFormat="1">
      <c r="G6698" s="3336"/>
      <c r="P6698" s="3337"/>
    </row>
    <row r="6699" spans="7:16" s="1634" customFormat="1">
      <c r="G6699" s="3336"/>
      <c r="P6699" s="3337"/>
    </row>
    <row r="6700" spans="7:16" s="1634" customFormat="1">
      <c r="G6700" s="3336"/>
      <c r="P6700" s="3337"/>
    </row>
    <row r="6701" spans="7:16" s="1634" customFormat="1">
      <c r="G6701" s="3336"/>
      <c r="P6701" s="3337"/>
    </row>
    <row r="6702" spans="7:16" s="1634" customFormat="1">
      <c r="G6702" s="3336"/>
      <c r="P6702" s="3337"/>
    </row>
    <row r="6703" spans="7:16" s="1634" customFormat="1">
      <c r="G6703" s="3336"/>
      <c r="P6703" s="3337"/>
    </row>
    <row r="6704" spans="7:16" s="1634" customFormat="1">
      <c r="G6704" s="3336"/>
      <c r="P6704" s="3337"/>
    </row>
    <row r="6705" spans="7:16" s="1634" customFormat="1">
      <c r="G6705" s="3336"/>
      <c r="P6705" s="3337"/>
    </row>
    <row r="6706" spans="7:16" s="1634" customFormat="1">
      <c r="G6706" s="3336"/>
      <c r="P6706" s="3337"/>
    </row>
    <row r="6707" spans="7:16" s="1634" customFormat="1">
      <c r="G6707" s="3336"/>
      <c r="P6707" s="3337"/>
    </row>
    <row r="6708" spans="7:16" s="1634" customFormat="1">
      <c r="G6708" s="3336"/>
      <c r="P6708" s="3337"/>
    </row>
    <row r="6709" spans="7:16" s="1634" customFormat="1">
      <c r="G6709" s="3336"/>
      <c r="P6709" s="3337"/>
    </row>
    <row r="6710" spans="7:16" s="1634" customFormat="1">
      <c r="G6710" s="3336"/>
      <c r="P6710" s="3337"/>
    </row>
    <row r="6711" spans="7:16" s="1634" customFormat="1">
      <c r="G6711" s="3336"/>
      <c r="P6711" s="3337"/>
    </row>
    <row r="6712" spans="7:16" s="1634" customFormat="1">
      <c r="G6712" s="3336"/>
      <c r="P6712" s="3337"/>
    </row>
    <row r="6713" spans="7:16" s="1634" customFormat="1">
      <c r="G6713" s="3336"/>
      <c r="P6713" s="3337"/>
    </row>
    <row r="6714" spans="7:16" s="1634" customFormat="1">
      <c r="G6714" s="3336"/>
      <c r="P6714" s="3337"/>
    </row>
    <row r="6715" spans="7:16" s="1634" customFormat="1">
      <c r="G6715" s="3336"/>
      <c r="P6715" s="3337"/>
    </row>
    <row r="6716" spans="7:16" s="1634" customFormat="1">
      <c r="G6716" s="3336"/>
      <c r="P6716" s="3337"/>
    </row>
    <row r="6717" spans="7:16" s="1634" customFormat="1">
      <c r="G6717" s="3336"/>
      <c r="P6717" s="3337"/>
    </row>
    <row r="6718" spans="7:16" s="1634" customFormat="1">
      <c r="G6718" s="3336"/>
      <c r="P6718" s="3337"/>
    </row>
    <row r="6719" spans="7:16" s="1634" customFormat="1">
      <c r="G6719" s="3336"/>
      <c r="P6719" s="3337"/>
    </row>
    <row r="6720" spans="7:16" s="1634" customFormat="1">
      <c r="G6720" s="3336"/>
      <c r="P6720" s="3337"/>
    </row>
    <row r="6721" spans="7:16" s="1634" customFormat="1">
      <c r="G6721" s="3336"/>
      <c r="P6721" s="3337"/>
    </row>
    <row r="6722" spans="7:16" s="1634" customFormat="1">
      <c r="G6722" s="3336"/>
      <c r="P6722" s="3337"/>
    </row>
    <row r="6723" spans="7:16" s="1634" customFormat="1">
      <c r="G6723" s="3336"/>
      <c r="P6723" s="3337"/>
    </row>
    <row r="6724" spans="7:16" s="1634" customFormat="1">
      <c r="G6724" s="3336"/>
      <c r="P6724" s="3337"/>
    </row>
    <row r="6725" spans="7:16" s="1634" customFormat="1">
      <c r="G6725" s="3336"/>
      <c r="P6725" s="3337"/>
    </row>
    <row r="6726" spans="7:16" s="1634" customFormat="1">
      <c r="G6726" s="3336"/>
      <c r="P6726" s="3337"/>
    </row>
    <row r="6727" spans="7:16" s="1634" customFormat="1">
      <c r="G6727" s="3336"/>
      <c r="P6727" s="3337"/>
    </row>
    <row r="6728" spans="7:16" s="1634" customFormat="1">
      <c r="G6728" s="3336"/>
      <c r="P6728" s="3337"/>
    </row>
    <row r="6729" spans="7:16" s="1634" customFormat="1">
      <c r="G6729" s="3336"/>
      <c r="P6729" s="3337"/>
    </row>
    <row r="6730" spans="7:16" s="1634" customFormat="1">
      <c r="G6730" s="3336"/>
      <c r="P6730" s="3337"/>
    </row>
    <row r="6731" spans="7:16" s="1634" customFormat="1">
      <c r="G6731" s="3336"/>
      <c r="P6731" s="3337"/>
    </row>
    <row r="6732" spans="7:16" s="1634" customFormat="1">
      <c r="G6732" s="3336"/>
      <c r="P6732" s="3337"/>
    </row>
    <row r="6733" spans="7:16" s="1634" customFormat="1">
      <c r="G6733" s="3336"/>
      <c r="P6733" s="3337"/>
    </row>
    <row r="6734" spans="7:16" s="1634" customFormat="1">
      <c r="G6734" s="3336"/>
      <c r="P6734" s="3337"/>
    </row>
    <row r="6735" spans="7:16" s="1634" customFormat="1">
      <c r="G6735" s="3336"/>
      <c r="P6735" s="3337"/>
    </row>
    <row r="6736" spans="7:16" s="1634" customFormat="1">
      <c r="G6736" s="3336"/>
      <c r="P6736" s="3337"/>
    </row>
    <row r="6737" spans="7:16" s="1634" customFormat="1">
      <c r="G6737" s="3336"/>
      <c r="P6737" s="3337"/>
    </row>
    <row r="6738" spans="7:16" s="1634" customFormat="1">
      <c r="G6738" s="3336"/>
      <c r="P6738" s="3337"/>
    </row>
    <row r="6739" spans="7:16" s="1634" customFormat="1">
      <c r="G6739" s="3336"/>
      <c r="P6739" s="3337"/>
    </row>
    <row r="6740" spans="7:16" s="1634" customFormat="1">
      <c r="G6740" s="3336"/>
      <c r="P6740" s="3337"/>
    </row>
    <row r="6741" spans="7:16" s="1634" customFormat="1">
      <c r="G6741" s="3336"/>
      <c r="P6741" s="3337"/>
    </row>
    <row r="6742" spans="7:16" s="1634" customFormat="1">
      <c r="G6742" s="3336"/>
      <c r="P6742" s="3337"/>
    </row>
    <row r="6743" spans="7:16" s="1634" customFormat="1">
      <c r="G6743" s="3336"/>
      <c r="P6743" s="3337"/>
    </row>
    <row r="6744" spans="7:16" s="1634" customFormat="1">
      <c r="G6744" s="3336"/>
      <c r="P6744" s="3337"/>
    </row>
    <row r="6745" spans="7:16" s="1634" customFormat="1">
      <c r="G6745" s="3336"/>
      <c r="P6745" s="3337"/>
    </row>
    <row r="6746" spans="7:16" s="1634" customFormat="1">
      <c r="G6746" s="3336"/>
      <c r="P6746" s="3337"/>
    </row>
    <row r="6747" spans="7:16" s="1634" customFormat="1">
      <c r="G6747" s="3336"/>
      <c r="P6747" s="3337"/>
    </row>
    <row r="6748" spans="7:16" s="1634" customFormat="1">
      <c r="G6748" s="3336"/>
      <c r="P6748" s="3337"/>
    </row>
    <row r="6749" spans="7:16" s="1634" customFormat="1">
      <c r="G6749" s="3336"/>
      <c r="P6749" s="3337"/>
    </row>
    <row r="6750" spans="7:16" s="1634" customFormat="1">
      <c r="G6750" s="3336"/>
      <c r="P6750" s="3337"/>
    </row>
    <row r="6751" spans="7:16" s="1634" customFormat="1">
      <c r="G6751" s="3336"/>
      <c r="P6751" s="3337"/>
    </row>
    <row r="6752" spans="7:16" s="1634" customFormat="1">
      <c r="G6752" s="3336"/>
      <c r="P6752" s="3337"/>
    </row>
    <row r="6753" spans="7:16" s="1634" customFormat="1">
      <c r="G6753" s="3336"/>
      <c r="P6753" s="3337"/>
    </row>
    <row r="6754" spans="7:16" s="1634" customFormat="1">
      <c r="G6754" s="3336"/>
      <c r="P6754" s="3337"/>
    </row>
    <row r="6755" spans="7:16" s="1634" customFormat="1">
      <c r="G6755" s="3336"/>
      <c r="P6755" s="3337"/>
    </row>
    <row r="6756" spans="7:16" s="1634" customFormat="1">
      <c r="G6756" s="3336"/>
      <c r="P6756" s="3337"/>
    </row>
    <row r="6757" spans="7:16" s="1634" customFormat="1">
      <c r="G6757" s="3336"/>
      <c r="P6757" s="3337"/>
    </row>
    <row r="6758" spans="7:16" s="1634" customFormat="1">
      <c r="G6758" s="3336"/>
      <c r="P6758" s="3337"/>
    </row>
    <row r="6759" spans="7:16" s="1634" customFormat="1">
      <c r="G6759" s="3336"/>
      <c r="P6759" s="3337"/>
    </row>
    <row r="6760" spans="7:16" s="1634" customFormat="1">
      <c r="G6760" s="3336"/>
      <c r="P6760" s="3337"/>
    </row>
    <row r="6761" spans="7:16" s="1634" customFormat="1">
      <c r="G6761" s="3336"/>
      <c r="P6761" s="3337"/>
    </row>
    <row r="6762" spans="7:16" s="1634" customFormat="1">
      <c r="G6762" s="3336"/>
      <c r="P6762" s="3337"/>
    </row>
    <row r="6763" spans="7:16" s="1634" customFormat="1">
      <c r="G6763" s="3336"/>
      <c r="P6763" s="3337"/>
    </row>
    <row r="6764" spans="7:16" s="1634" customFormat="1">
      <c r="G6764" s="3336"/>
      <c r="P6764" s="3337"/>
    </row>
    <row r="6765" spans="7:16" s="1634" customFormat="1">
      <c r="G6765" s="3336"/>
      <c r="P6765" s="3337"/>
    </row>
    <row r="6766" spans="7:16" s="1634" customFormat="1">
      <c r="G6766" s="3336"/>
      <c r="P6766" s="3337"/>
    </row>
    <row r="6767" spans="7:16" s="1634" customFormat="1">
      <c r="G6767" s="3336"/>
      <c r="P6767" s="3337"/>
    </row>
    <row r="6768" spans="7:16" s="1634" customFormat="1">
      <c r="G6768" s="3336"/>
      <c r="P6768" s="3337"/>
    </row>
    <row r="6769" spans="7:16" s="1634" customFormat="1">
      <c r="G6769" s="3336"/>
      <c r="P6769" s="3337"/>
    </row>
    <row r="6770" spans="7:16" s="1634" customFormat="1">
      <c r="G6770" s="3336"/>
      <c r="P6770" s="3337"/>
    </row>
    <row r="6771" spans="7:16" s="1634" customFormat="1">
      <c r="G6771" s="3336"/>
      <c r="P6771" s="3337"/>
    </row>
    <row r="6772" spans="7:16" s="1634" customFormat="1">
      <c r="G6772" s="3336"/>
      <c r="P6772" s="3337"/>
    </row>
    <row r="6773" spans="7:16" s="1634" customFormat="1">
      <c r="G6773" s="3336"/>
      <c r="P6773" s="3337"/>
    </row>
    <row r="6774" spans="7:16" s="1634" customFormat="1">
      <c r="G6774" s="3336"/>
      <c r="P6774" s="3337"/>
    </row>
    <row r="6775" spans="7:16" s="1634" customFormat="1">
      <c r="G6775" s="3336"/>
      <c r="P6775" s="3337"/>
    </row>
    <row r="6776" spans="7:16" s="1634" customFormat="1">
      <c r="G6776" s="3336"/>
      <c r="P6776" s="3337"/>
    </row>
    <row r="6777" spans="7:16" s="1634" customFormat="1">
      <c r="G6777" s="3336"/>
      <c r="P6777" s="3337"/>
    </row>
    <row r="6778" spans="7:16" s="1634" customFormat="1">
      <c r="G6778" s="3336"/>
      <c r="P6778" s="3337"/>
    </row>
    <row r="6779" spans="7:16" s="1634" customFormat="1">
      <c r="G6779" s="3336"/>
      <c r="P6779" s="3337"/>
    </row>
    <row r="6780" spans="7:16" s="1634" customFormat="1">
      <c r="G6780" s="3336"/>
      <c r="P6780" s="3337"/>
    </row>
    <row r="6781" spans="7:16" s="1634" customFormat="1">
      <c r="G6781" s="3336"/>
      <c r="P6781" s="3337"/>
    </row>
    <row r="6782" spans="7:16" s="1634" customFormat="1">
      <c r="G6782" s="3336"/>
      <c r="P6782" s="3337"/>
    </row>
    <row r="6783" spans="7:16" s="1634" customFormat="1">
      <c r="G6783" s="3336"/>
      <c r="P6783" s="3337"/>
    </row>
    <row r="6784" spans="7:16" s="1634" customFormat="1">
      <c r="G6784" s="3336"/>
      <c r="P6784" s="3337"/>
    </row>
    <row r="6785" spans="7:16" s="1634" customFormat="1">
      <c r="G6785" s="3336"/>
      <c r="P6785" s="3337"/>
    </row>
    <row r="6786" spans="7:16" s="1634" customFormat="1">
      <c r="G6786" s="3336"/>
      <c r="P6786" s="3337"/>
    </row>
    <row r="6787" spans="7:16" s="1634" customFormat="1">
      <c r="G6787" s="3336"/>
      <c r="P6787" s="3337"/>
    </row>
    <row r="6788" spans="7:16" s="1634" customFormat="1">
      <c r="G6788" s="3336"/>
      <c r="P6788" s="3337"/>
    </row>
    <row r="6789" spans="7:16" s="1634" customFormat="1">
      <c r="G6789" s="3336"/>
      <c r="P6789" s="3337"/>
    </row>
    <row r="6790" spans="7:16" s="1634" customFormat="1">
      <c r="G6790" s="3336"/>
      <c r="P6790" s="3337"/>
    </row>
    <row r="6791" spans="7:16" s="1634" customFormat="1">
      <c r="G6791" s="3336"/>
      <c r="P6791" s="3337"/>
    </row>
    <row r="6792" spans="7:16" s="1634" customFormat="1">
      <c r="G6792" s="3336"/>
      <c r="P6792" s="3337"/>
    </row>
    <row r="6793" spans="7:16" s="1634" customFormat="1">
      <c r="G6793" s="3336"/>
      <c r="P6793" s="3337"/>
    </row>
    <row r="6794" spans="7:16" s="1634" customFormat="1">
      <c r="G6794" s="3336"/>
      <c r="P6794" s="3337"/>
    </row>
    <row r="6795" spans="7:16" s="1634" customFormat="1">
      <c r="G6795" s="3336"/>
      <c r="P6795" s="3337"/>
    </row>
    <row r="6796" spans="7:16" s="1634" customFormat="1">
      <c r="G6796" s="3336"/>
      <c r="P6796" s="3337"/>
    </row>
    <row r="6797" spans="7:16" s="1634" customFormat="1">
      <c r="G6797" s="3336"/>
      <c r="P6797" s="3337"/>
    </row>
    <row r="6798" spans="7:16" s="1634" customFormat="1">
      <c r="G6798" s="3336"/>
      <c r="P6798" s="3337"/>
    </row>
    <row r="6799" spans="7:16" s="1634" customFormat="1">
      <c r="G6799" s="3336"/>
      <c r="P6799" s="3337"/>
    </row>
    <row r="6800" spans="7:16" s="1634" customFormat="1">
      <c r="G6800" s="3336"/>
      <c r="P6800" s="3337"/>
    </row>
    <row r="6801" spans="7:16" s="1634" customFormat="1">
      <c r="G6801" s="3336"/>
      <c r="P6801" s="3337"/>
    </row>
    <row r="6802" spans="7:16" s="1634" customFormat="1">
      <c r="G6802" s="3336"/>
      <c r="P6802" s="3337"/>
    </row>
    <row r="6803" spans="7:16" s="1634" customFormat="1">
      <c r="G6803" s="3336"/>
      <c r="P6803" s="3337"/>
    </row>
    <row r="6804" spans="7:16" s="1634" customFormat="1">
      <c r="G6804" s="3336"/>
      <c r="P6804" s="3337"/>
    </row>
    <row r="6805" spans="7:16" s="1634" customFormat="1">
      <c r="G6805" s="3336"/>
      <c r="P6805" s="3337"/>
    </row>
    <row r="6806" spans="7:16" s="1634" customFormat="1">
      <c r="G6806" s="3336"/>
      <c r="P6806" s="3337"/>
    </row>
    <row r="6807" spans="7:16" s="1634" customFormat="1">
      <c r="G6807" s="3336"/>
      <c r="P6807" s="3337"/>
    </row>
    <row r="6808" spans="7:16" s="1634" customFormat="1">
      <c r="G6808" s="3336"/>
      <c r="P6808" s="3337"/>
    </row>
    <row r="6809" spans="7:16" s="1634" customFormat="1">
      <c r="G6809" s="3336"/>
      <c r="P6809" s="3337"/>
    </row>
    <row r="6810" spans="7:16" s="1634" customFormat="1">
      <c r="G6810" s="3336"/>
      <c r="P6810" s="3337"/>
    </row>
    <row r="6811" spans="7:16" s="1634" customFormat="1">
      <c r="G6811" s="3336"/>
      <c r="P6811" s="3337"/>
    </row>
    <row r="6812" spans="7:16" s="1634" customFormat="1">
      <c r="G6812" s="3336"/>
      <c r="P6812" s="3337"/>
    </row>
    <row r="6813" spans="7:16" s="1634" customFormat="1">
      <c r="G6813" s="3336"/>
      <c r="P6813" s="3337"/>
    </row>
    <row r="6814" spans="7:16" s="1634" customFormat="1">
      <c r="G6814" s="3336"/>
      <c r="P6814" s="3337"/>
    </row>
    <row r="6815" spans="7:16" s="1634" customFormat="1">
      <c r="G6815" s="3336"/>
      <c r="P6815" s="3337"/>
    </row>
    <row r="6816" spans="7:16" s="1634" customFormat="1">
      <c r="G6816" s="3336"/>
      <c r="P6816" s="3337"/>
    </row>
    <row r="6817" spans="7:16" s="1634" customFormat="1">
      <c r="G6817" s="3336"/>
      <c r="P6817" s="3337"/>
    </row>
    <row r="6818" spans="7:16" s="1634" customFormat="1">
      <c r="G6818" s="3336"/>
      <c r="P6818" s="3337"/>
    </row>
    <row r="6819" spans="7:16" s="1634" customFormat="1">
      <c r="G6819" s="3336"/>
      <c r="P6819" s="3337"/>
    </row>
    <row r="6820" spans="7:16" s="1634" customFormat="1">
      <c r="G6820" s="3336"/>
      <c r="P6820" s="3337"/>
    </row>
    <row r="6821" spans="7:16" s="1634" customFormat="1">
      <c r="G6821" s="3336"/>
      <c r="P6821" s="3337"/>
    </row>
    <row r="6822" spans="7:16" s="1634" customFormat="1">
      <c r="G6822" s="3336"/>
      <c r="P6822" s="3337"/>
    </row>
    <row r="6823" spans="7:16" s="1634" customFormat="1">
      <c r="G6823" s="3336"/>
      <c r="P6823" s="3337"/>
    </row>
    <row r="6824" spans="7:16" s="1634" customFormat="1">
      <c r="G6824" s="3336"/>
      <c r="P6824" s="3337"/>
    </row>
    <row r="6825" spans="7:16" s="1634" customFormat="1">
      <c r="G6825" s="3336"/>
      <c r="P6825" s="3337"/>
    </row>
    <row r="6826" spans="7:16" s="1634" customFormat="1">
      <c r="G6826" s="3336"/>
      <c r="P6826" s="3337"/>
    </row>
    <row r="6827" spans="7:16" s="1634" customFormat="1">
      <c r="G6827" s="3336"/>
      <c r="P6827" s="3337"/>
    </row>
    <row r="6828" spans="7:16" s="1634" customFormat="1">
      <c r="G6828" s="3336"/>
      <c r="P6828" s="3337"/>
    </row>
    <row r="6829" spans="7:16" s="1634" customFormat="1">
      <c r="G6829" s="3336"/>
      <c r="P6829" s="3337"/>
    </row>
    <row r="6830" spans="7:16" s="1634" customFormat="1">
      <c r="G6830" s="3336"/>
      <c r="P6830" s="3337"/>
    </row>
    <row r="6831" spans="7:16" s="1634" customFormat="1">
      <c r="G6831" s="3336"/>
      <c r="P6831" s="3337"/>
    </row>
    <row r="6832" spans="7:16" s="1634" customFormat="1">
      <c r="G6832" s="3336"/>
      <c r="P6832" s="3337"/>
    </row>
    <row r="6833" spans="7:16" s="1634" customFormat="1">
      <c r="G6833" s="3336"/>
      <c r="P6833" s="3337"/>
    </row>
    <row r="6834" spans="7:16" s="1634" customFormat="1">
      <c r="G6834" s="3336"/>
      <c r="P6834" s="3337"/>
    </row>
    <row r="6835" spans="7:16" s="1634" customFormat="1">
      <c r="G6835" s="3336"/>
      <c r="P6835" s="3337"/>
    </row>
    <row r="6836" spans="7:16" s="1634" customFormat="1">
      <c r="G6836" s="3336"/>
      <c r="P6836" s="3337"/>
    </row>
    <row r="6837" spans="7:16" s="1634" customFormat="1">
      <c r="G6837" s="3336"/>
      <c r="P6837" s="3337"/>
    </row>
    <row r="6838" spans="7:16" s="1634" customFormat="1">
      <c r="G6838" s="3336"/>
      <c r="P6838" s="3337"/>
    </row>
    <row r="6839" spans="7:16" s="1634" customFormat="1">
      <c r="G6839" s="3336"/>
      <c r="P6839" s="3337"/>
    </row>
    <row r="6840" spans="7:16" s="1634" customFormat="1">
      <c r="G6840" s="3336"/>
      <c r="P6840" s="3337"/>
    </row>
    <row r="6841" spans="7:16" s="1634" customFormat="1">
      <c r="G6841" s="3336"/>
      <c r="P6841" s="3337"/>
    </row>
    <row r="6842" spans="7:16" s="1634" customFormat="1">
      <c r="G6842" s="3336"/>
      <c r="P6842" s="3337"/>
    </row>
    <row r="6843" spans="7:16" s="1634" customFormat="1">
      <c r="G6843" s="3336"/>
      <c r="P6843" s="3337"/>
    </row>
    <row r="6844" spans="7:16" s="1634" customFormat="1">
      <c r="G6844" s="3336"/>
      <c r="P6844" s="3337"/>
    </row>
    <row r="6845" spans="7:16" s="1634" customFormat="1">
      <c r="G6845" s="3336"/>
      <c r="P6845" s="3337"/>
    </row>
    <row r="6846" spans="7:16" s="1634" customFormat="1">
      <c r="G6846" s="3336"/>
      <c r="P6846" s="3337"/>
    </row>
    <row r="6847" spans="7:16" s="1634" customFormat="1">
      <c r="G6847" s="3336"/>
      <c r="P6847" s="3337"/>
    </row>
    <row r="6848" spans="7:16" s="1634" customFormat="1">
      <c r="G6848" s="3336"/>
      <c r="P6848" s="3337"/>
    </row>
    <row r="6849" spans="7:16" s="1634" customFormat="1">
      <c r="G6849" s="3336"/>
      <c r="P6849" s="3337"/>
    </row>
    <row r="6850" spans="7:16" s="1634" customFormat="1">
      <c r="G6850" s="3336"/>
      <c r="P6850" s="3337"/>
    </row>
    <row r="6851" spans="7:16" s="1634" customFormat="1">
      <c r="G6851" s="3336"/>
      <c r="P6851" s="3337"/>
    </row>
    <row r="6852" spans="7:16" s="1634" customFormat="1">
      <c r="G6852" s="3336"/>
      <c r="P6852" s="3337"/>
    </row>
    <row r="6853" spans="7:16" s="1634" customFormat="1">
      <c r="G6853" s="3336"/>
      <c r="P6853" s="3337"/>
    </row>
    <row r="6854" spans="7:16" s="1634" customFormat="1">
      <c r="G6854" s="3336"/>
      <c r="P6854" s="3337"/>
    </row>
    <row r="6855" spans="7:16" s="1634" customFormat="1">
      <c r="G6855" s="3336"/>
      <c r="P6855" s="3337"/>
    </row>
    <row r="6856" spans="7:16" s="1634" customFormat="1">
      <c r="G6856" s="3336"/>
      <c r="P6856" s="3337"/>
    </row>
    <row r="6857" spans="7:16" s="1634" customFormat="1">
      <c r="G6857" s="3336"/>
      <c r="P6857" s="3337"/>
    </row>
    <row r="6858" spans="7:16" s="1634" customFormat="1">
      <c r="G6858" s="3336"/>
      <c r="P6858" s="3337"/>
    </row>
    <row r="6859" spans="7:16" s="1634" customFormat="1">
      <c r="G6859" s="3336"/>
      <c r="P6859" s="3337"/>
    </row>
    <row r="6860" spans="7:16" s="1634" customFormat="1">
      <c r="G6860" s="3336"/>
      <c r="P6860" s="3337"/>
    </row>
    <row r="6861" spans="7:16" s="1634" customFormat="1">
      <c r="G6861" s="3336"/>
      <c r="P6861" s="3337"/>
    </row>
    <row r="6862" spans="7:16" s="1634" customFormat="1">
      <c r="G6862" s="3336"/>
      <c r="P6862" s="3337"/>
    </row>
    <row r="6863" spans="7:16" s="1634" customFormat="1">
      <c r="G6863" s="3336"/>
      <c r="P6863" s="3337"/>
    </row>
    <row r="6864" spans="7:16" s="1634" customFormat="1">
      <c r="G6864" s="3336"/>
      <c r="P6864" s="3337"/>
    </row>
    <row r="6865" spans="7:16" s="1634" customFormat="1">
      <c r="G6865" s="3336"/>
      <c r="P6865" s="3337"/>
    </row>
    <row r="6866" spans="7:16" s="1634" customFormat="1">
      <c r="G6866" s="3336"/>
      <c r="P6866" s="3337"/>
    </row>
    <row r="6867" spans="7:16" s="1634" customFormat="1">
      <c r="G6867" s="3336"/>
      <c r="P6867" s="3337"/>
    </row>
    <row r="6868" spans="7:16" s="1634" customFormat="1">
      <c r="G6868" s="3336"/>
      <c r="P6868" s="3337"/>
    </row>
    <row r="6869" spans="7:16" s="1634" customFormat="1">
      <c r="G6869" s="3336"/>
      <c r="P6869" s="3337"/>
    </row>
    <row r="6870" spans="7:16" s="1634" customFormat="1">
      <c r="G6870" s="3336"/>
      <c r="P6870" s="3337"/>
    </row>
    <row r="6871" spans="7:16" s="1634" customFormat="1">
      <c r="G6871" s="3336"/>
      <c r="P6871" s="3337"/>
    </row>
    <row r="6872" spans="7:16" s="1634" customFormat="1">
      <c r="G6872" s="3336"/>
      <c r="P6872" s="3337"/>
    </row>
    <row r="6873" spans="7:16" s="1634" customFormat="1">
      <c r="G6873" s="3336"/>
      <c r="P6873" s="3337"/>
    </row>
    <row r="6874" spans="7:16" s="1634" customFormat="1">
      <c r="G6874" s="3336"/>
      <c r="P6874" s="3337"/>
    </row>
    <row r="6875" spans="7:16" s="1634" customFormat="1">
      <c r="G6875" s="3336"/>
      <c r="P6875" s="3337"/>
    </row>
    <row r="6876" spans="7:16" s="1634" customFormat="1">
      <c r="G6876" s="3336"/>
      <c r="P6876" s="3337"/>
    </row>
    <row r="6877" spans="7:16" s="1634" customFormat="1">
      <c r="G6877" s="3336"/>
      <c r="P6877" s="3337"/>
    </row>
    <row r="6878" spans="7:16" s="1634" customFormat="1">
      <c r="G6878" s="3336"/>
      <c r="P6878" s="3337"/>
    </row>
    <row r="6879" spans="7:16" s="1634" customFormat="1">
      <c r="G6879" s="3336"/>
      <c r="P6879" s="3337"/>
    </row>
    <row r="6880" spans="7:16" s="1634" customFormat="1">
      <c r="G6880" s="3336"/>
      <c r="P6880" s="3337"/>
    </row>
    <row r="6881" spans="7:16" s="1634" customFormat="1">
      <c r="G6881" s="3336"/>
      <c r="P6881" s="3337"/>
    </row>
    <row r="6882" spans="7:16" s="1634" customFormat="1">
      <c r="G6882" s="3336"/>
      <c r="P6882" s="3337"/>
    </row>
    <row r="6883" spans="7:16" s="1634" customFormat="1">
      <c r="G6883" s="3336"/>
      <c r="P6883" s="3337"/>
    </row>
    <row r="6884" spans="7:16" s="1634" customFormat="1">
      <c r="G6884" s="3336"/>
      <c r="P6884" s="3337"/>
    </row>
    <row r="6885" spans="7:16" s="1634" customFormat="1">
      <c r="G6885" s="3336"/>
      <c r="P6885" s="3337"/>
    </row>
    <row r="6886" spans="7:16" s="1634" customFormat="1">
      <c r="G6886" s="3336"/>
      <c r="P6886" s="3337"/>
    </row>
    <row r="6887" spans="7:16" s="1634" customFormat="1">
      <c r="G6887" s="3336"/>
      <c r="P6887" s="3337"/>
    </row>
    <row r="6888" spans="7:16" s="1634" customFormat="1">
      <c r="G6888" s="3336"/>
      <c r="P6888" s="3337"/>
    </row>
    <row r="6889" spans="7:16" s="1634" customFormat="1">
      <c r="G6889" s="3336"/>
      <c r="P6889" s="3337"/>
    </row>
    <row r="6890" spans="7:16" s="1634" customFormat="1">
      <c r="G6890" s="3336"/>
      <c r="P6890" s="3337"/>
    </row>
    <row r="6891" spans="7:16" s="1634" customFormat="1">
      <c r="G6891" s="3336"/>
      <c r="P6891" s="3337"/>
    </row>
    <row r="6892" spans="7:16" s="1634" customFormat="1">
      <c r="G6892" s="3336"/>
      <c r="P6892" s="3337"/>
    </row>
    <row r="6893" spans="7:16" s="1634" customFormat="1">
      <c r="G6893" s="3336"/>
      <c r="P6893" s="3337"/>
    </row>
    <row r="6894" spans="7:16" s="1634" customFormat="1">
      <c r="G6894" s="3336"/>
      <c r="P6894" s="3337"/>
    </row>
    <row r="6895" spans="7:16" s="1634" customFormat="1">
      <c r="G6895" s="3336"/>
      <c r="P6895" s="3337"/>
    </row>
    <row r="6896" spans="7:16" s="1634" customFormat="1">
      <c r="G6896" s="3336"/>
      <c r="P6896" s="3337"/>
    </row>
    <row r="6897" spans="7:16" s="1634" customFormat="1">
      <c r="G6897" s="3336"/>
      <c r="P6897" s="3337"/>
    </row>
    <row r="6898" spans="7:16" s="1634" customFormat="1">
      <c r="G6898" s="3336"/>
      <c r="P6898" s="3337"/>
    </row>
    <row r="6899" spans="7:16" s="1634" customFormat="1">
      <c r="G6899" s="3336"/>
      <c r="P6899" s="3337"/>
    </row>
    <row r="6900" spans="7:16" s="1634" customFormat="1">
      <c r="G6900" s="3336"/>
      <c r="P6900" s="3337"/>
    </row>
    <row r="6901" spans="7:16" s="1634" customFormat="1">
      <c r="G6901" s="3336"/>
      <c r="P6901" s="3337"/>
    </row>
    <row r="6902" spans="7:16" s="1634" customFormat="1">
      <c r="G6902" s="3336"/>
      <c r="P6902" s="3337"/>
    </row>
    <row r="6903" spans="7:16" s="1634" customFormat="1">
      <c r="G6903" s="3336"/>
      <c r="P6903" s="3337"/>
    </row>
    <row r="6904" spans="7:16" s="1634" customFormat="1">
      <c r="G6904" s="3336"/>
      <c r="P6904" s="3337"/>
    </row>
    <row r="6905" spans="7:16" s="1634" customFormat="1">
      <c r="G6905" s="3336"/>
      <c r="P6905" s="3337"/>
    </row>
    <row r="6906" spans="7:16" s="1634" customFormat="1">
      <c r="G6906" s="3336"/>
      <c r="P6906" s="3337"/>
    </row>
    <row r="6907" spans="7:16" s="1634" customFormat="1">
      <c r="G6907" s="3336"/>
      <c r="P6907" s="3337"/>
    </row>
    <row r="6908" spans="7:16" s="1634" customFormat="1">
      <c r="G6908" s="3336"/>
      <c r="P6908" s="3337"/>
    </row>
    <row r="6909" spans="7:16" s="1634" customFormat="1">
      <c r="G6909" s="3336"/>
      <c r="P6909" s="3337"/>
    </row>
    <row r="6910" spans="7:16" s="1634" customFormat="1">
      <c r="G6910" s="3336"/>
      <c r="P6910" s="3337"/>
    </row>
    <row r="6911" spans="7:16" s="1634" customFormat="1">
      <c r="G6911" s="3336"/>
      <c r="P6911" s="3337"/>
    </row>
    <row r="6912" spans="7:16" s="1634" customFormat="1">
      <c r="G6912" s="3336"/>
      <c r="P6912" s="3337"/>
    </row>
    <row r="6913" spans="7:16" s="1634" customFormat="1">
      <c r="G6913" s="3336"/>
      <c r="P6913" s="3337"/>
    </row>
    <row r="6914" spans="7:16" s="1634" customFormat="1">
      <c r="G6914" s="3336"/>
      <c r="P6914" s="3337"/>
    </row>
    <row r="6915" spans="7:16" s="1634" customFormat="1">
      <c r="G6915" s="3336"/>
      <c r="P6915" s="3337"/>
    </row>
    <row r="6916" spans="7:16" s="1634" customFormat="1">
      <c r="G6916" s="3336"/>
      <c r="P6916" s="3337"/>
    </row>
    <row r="6917" spans="7:16" s="1634" customFormat="1">
      <c r="G6917" s="3336"/>
      <c r="P6917" s="3337"/>
    </row>
    <row r="6918" spans="7:16" s="1634" customFormat="1">
      <c r="G6918" s="3336"/>
      <c r="P6918" s="3337"/>
    </row>
    <row r="6919" spans="7:16" s="1634" customFormat="1">
      <c r="G6919" s="3336"/>
      <c r="P6919" s="3337"/>
    </row>
    <row r="6920" spans="7:16" s="1634" customFormat="1">
      <c r="G6920" s="3336"/>
      <c r="P6920" s="3337"/>
    </row>
    <row r="6921" spans="7:16" s="1634" customFormat="1">
      <c r="G6921" s="3336"/>
      <c r="P6921" s="3337"/>
    </row>
    <row r="6922" spans="7:16" s="1634" customFormat="1">
      <c r="G6922" s="3336"/>
      <c r="P6922" s="3337"/>
    </row>
    <row r="6923" spans="7:16" s="1634" customFormat="1">
      <c r="G6923" s="3336"/>
      <c r="P6923" s="3337"/>
    </row>
    <row r="6924" spans="7:16" s="1634" customFormat="1">
      <c r="G6924" s="3336"/>
      <c r="P6924" s="3337"/>
    </row>
    <row r="6925" spans="7:16" s="1634" customFormat="1">
      <c r="G6925" s="3336"/>
      <c r="P6925" s="3337"/>
    </row>
    <row r="6926" spans="7:16" s="1634" customFormat="1">
      <c r="G6926" s="3336"/>
      <c r="P6926" s="3337"/>
    </row>
    <row r="6927" spans="7:16" s="1634" customFormat="1">
      <c r="G6927" s="3336"/>
      <c r="P6927" s="3337"/>
    </row>
    <row r="6928" spans="7:16" s="1634" customFormat="1">
      <c r="G6928" s="3336"/>
      <c r="P6928" s="3337"/>
    </row>
    <row r="6929" spans="7:16" s="1634" customFormat="1">
      <c r="G6929" s="3336"/>
      <c r="P6929" s="3337"/>
    </row>
    <row r="6930" spans="7:16" s="1634" customFormat="1">
      <c r="G6930" s="3336"/>
      <c r="P6930" s="3337"/>
    </row>
    <row r="6931" spans="7:16" s="1634" customFormat="1">
      <c r="G6931" s="3336"/>
      <c r="P6931" s="3337"/>
    </row>
    <row r="6932" spans="7:16" s="1634" customFormat="1">
      <c r="G6932" s="3336"/>
      <c r="P6932" s="3337"/>
    </row>
    <row r="6933" spans="7:16" s="1634" customFormat="1">
      <c r="G6933" s="3336"/>
      <c r="P6933" s="3337"/>
    </row>
    <row r="6934" spans="7:16" s="1634" customFormat="1">
      <c r="G6934" s="3336"/>
      <c r="P6934" s="3337"/>
    </row>
    <row r="6935" spans="7:16" s="1634" customFormat="1">
      <c r="G6935" s="3336"/>
      <c r="P6935" s="3337"/>
    </row>
    <row r="6936" spans="7:16" s="1634" customFormat="1">
      <c r="G6936" s="3336"/>
      <c r="P6936" s="3337"/>
    </row>
    <row r="6937" spans="7:16" s="1634" customFormat="1">
      <c r="G6937" s="3336"/>
      <c r="P6937" s="3337"/>
    </row>
    <row r="6938" spans="7:16" s="1634" customFormat="1">
      <c r="G6938" s="3336"/>
      <c r="P6938" s="3337"/>
    </row>
    <row r="6939" spans="7:16" s="1634" customFormat="1">
      <c r="G6939" s="3336"/>
      <c r="P6939" s="3337"/>
    </row>
    <row r="6940" spans="7:16" s="1634" customFormat="1">
      <c r="G6940" s="3336"/>
      <c r="P6940" s="3337"/>
    </row>
    <row r="6941" spans="7:16" s="1634" customFormat="1">
      <c r="G6941" s="3336"/>
      <c r="P6941" s="3337"/>
    </row>
    <row r="6942" spans="7:16" s="1634" customFormat="1">
      <c r="G6942" s="3336"/>
      <c r="P6942" s="3337"/>
    </row>
    <row r="6943" spans="7:16" s="1634" customFormat="1">
      <c r="G6943" s="3336"/>
      <c r="P6943" s="3337"/>
    </row>
    <row r="6944" spans="7:16" s="1634" customFormat="1">
      <c r="G6944" s="3336"/>
      <c r="P6944" s="3337"/>
    </row>
    <row r="6945" spans="7:16" s="1634" customFormat="1">
      <c r="G6945" s="3336"/>
      <c r="P6945" s="3337"/>
    </row>
    <row r="6946" spans="7:16" s="1634" customFormat="1">
      <c r="G6946" s="3336"/>
      <c r="P6946" s="3337"/>
    </row>
    <row r="6947" spans="7:16" s="1634" customFormat="1">
      <c r="G6947" s="3336"/>
      <c r="P6947" s="3337"/>
    </row>
    <row r="6948" spans="7:16" s="1634" customFormat="1">
      <c r="G6948" s="3336"/>
      <c r="P6948" s="3337"/>
    </row>
    <row r="6949" spans="7:16" s="1634" customFormat="1">
      <c r="G6949" s="3336"/>
      <c r="P6949" s="3337"/>
    </row>
    <row r="6950" spans="7:16" s="1634" customFormat="1">
      <c r="G6950" s="3336"/>
      <c r="P6950" s="3337"/>
    </row>
    <row r="6951" spans="7:16" s="1634" customFormat="1">
      <c r="G6951" s="3336"/>
      <c r="P6951" s="3337"/>
    </row>
    <row r="6952" spans="7:16" s="1634" customFormat="1">
      <c r="G6952" s="3336"/>
      <c r="P6952" s="3337"/>
    </row>
    <row r="6953" spans="7:16" s="1634" customFormat="1">
      <c r="G6953" s="3336"/>
      <c r="P6953" s="3337"/>
    </row>
    <row r="6954" spans="7:16" s="1634" customFormat="1">
      <c r="G6954" s="3336"/>
      <c r="P6954" s="3337"/>
    </row>
    <row r="6955" spans="7:16" s="1634" customFormat="1">
      <c r="G6955" s="3336"/>
      <c r="P6955" s="3337"/>
    </row>
    <row r="6956" spans="7:16" s="1634" customFormat="1">
      <c r="G6956" s="3336"/>
      <c r="P6956" s="3337"/>
    </row>
    <row r="6957" spans="7:16" s="1634" customFormat="1">
      <c r="G6957" s="3336"/>
      <c r="P6957" s="3337"/>
    </row>
    <row r="6958" spans="7:16" s="1634" customFormat="1">
      <c r="G6958" s="3336"/>
      <c r="P6958" s="3337"/>
    </row>
    <row r="6959" spans="7:16" s="1634" customFormat="1">
      <c r="G6959" s="3336"/>
      <c r="P6959" s="3337"/>
    </row>
    <row r="6960" spans="7:16" s="1634" customFormat="1">
      <c r="G6960" s="3336"/>
      <c r="P6960" s="3337"/>
    </row>
    <row r="6961" spans="7:16" s="1634" customFormat="1">
      <c r="G6961" s="3336"/>
      <c r="P6961" s="3337"/>
    </row>
    <row r="6962" spans="7:16" s="1634" customFormat="1">
      <c r="G6962" s="3336"/>
      <c r="P6962" s="3337"/>
    </row>
    <row r="6963" spans="7:16" s="1634" customFormat="1">
      <c r="G6963" s="3336"/>
      <c r="P6963" s="3337"/>
    </row>
    <row r="6964" spans="7:16" s="1634" customFormat="1">
      <c r="G6964" s="3336"/>
      <c r="P6964" s="3337"/>
    </row>
    <row r="6965" spans="7:16" s="1634" customFormat="1">
      <c r="G6965" s="3336"/>
      <c r="P6965" s="3337"/>
    </row>
    <row r="6966" spans="7:16" s="1634" customFormat="1">
      <c r="G6966" s="3336"/>
      <c r="P6966" s="3337"/>
    </row>
    <row r="6967" spans="7:16" s="1634" customFormat="1">
      <c r="G6967" s="3336"/>
      <c r="P6967" s="3337"/>
    </row>
    <row r="6968" spans="7:16" s="1634" customFormat="1">
      <c r="G6968" s="3336"/>
      <c r="P6968" s="3337"/>
    </row>
    <row r="6969" spans="7:16" s="1634" customFormat="1">
      <c r="G6969" s="3336"/>
      <c r="P6969" s="3337"/>
    </row>
    <row r="6970" spans="7:16" s="1634" customFormat="1">
      <c r="G6970" s="3336"/>
      <c r="P6970" s="3337"/>
    </row>
    <row r="6971" spans="7:16" s="1634" customFormat="1">
      <c r="G6971" s="3336"/>
      <c r="P6971" s="3337"/>
    </row>
    <row r="6972" spans="7:16" s="1634" customFormat="1">
      <c r="G6972" s="3336"/>
      <c r="P6972" s="3337"/>
    </row>
    <row r="6973" spans="7:16" s="1634" customFormat="1">
      <c r="G6973" s="3336"/>
      <c r="P6973" s="3337"/>
    </row>
    <row r="6974" spans="7:16" s="1634" customFormat="1">
      <c r="G6974" s="3336"/>
      <c r="P6974" s="3337"/>
    </row>
    <row r="6975" spans="7:16" s="1634" customFormat="1">
      <c r="G6975" s="3336"/>
      <c r="P6975" s="3337"/>
    </row>
    <row r="6976" spans="7:16" s="1634" customFormat="1">
      <c r="G6976" s="3336"/>
      <c r="P6976" s="3337"/>
    </row>
    <row r="6977" spans="7:16" s="1634" customFormat="1">
      <c r="G6977" s="3336"/>
      <c r="P6977" s="3337"/>
    </row>
    <row r="6978" spans="7:16" s="1634" customFormat="1">
      <c r="G6978" s="3336"/>
      <c r="P6978" s="3337"/>
    </row>
    <row r="6979" spans="7:16" s="1634" customFormat="1">
      <c r="G6979" s="3336"/>
      <c r="P6979" s="3337"/>
    </row>
    <row r="6980" spans="7:16" s="1634" customFormat="1">
      <c r="G6980" s="3336"/>
      <c r="P6980" s="3337"/>
    </row>
    <row r="6981" spans="7:16" s="1634" customFormat="1">
      <c r="G6981" s="3336"/>
      <c r="P6981" s="3337"/>
    </row>
    <row r="6982" spans="7:16" s="1634" customFormat="1">
      <c r="G6982" s="3336"/>
      <c r="P6982" s="3337"/>
    </row>
    <row r="6983" spans="7:16" s="1634" customFormat="1">
      <c r="G6983" s="3336"/>
      <c r="P6983" s="3337"/>
    </row>
    <row r="6984" spans="7:16" s="1634" customFormat="1">
      <c r="G6984" s="3336"/>
      <c r="P6984" s="3337"/>
    </row>
    <row r="6985" spans="7:16" s="1634" customFormat="1">
      <c r="G6985" s="3336"/>
      <c r="P6985" s="3337"/>
    </row>
    <row r="6986" spans="7:16" s="1634" customFormat="1">
      <c r="G6986" s="3336"/>
      <c r="P6986" s="3337"/>
    </row>
    <row r="6987" spans="7:16" s="1634" customFormat="1">
      <c r="G6987" s="3336"/>
      <c r="P6987" s="3337"/>
    </row>
    <row r="6988" spans="7:16" s="1634" customFormat="1">
      <c r="G6988" s="3336"/>
      <c r="P6988" s="3337"/>
    </row>
    <row r="6989" spans="7:16" s="1634" customFormat="1">
      <c r="G6989" s="3336"/>
      <c r="P6989" s="3337"/>
    </row>
    <row r="6990" spans="7:16" s="1634" customFormat="1">
      <c r="G6990" s="3336"/>
      <c r="P6990" s="3337"/>
    </row>
    <row r="6991" spans="7:16" s="1634" customFormat="1">
      <c r="G6991" s="3336"/>
      <c r="P6991" s="3337"/>
    </row>
    <row r="6992" spans="7:16" s="1634" customFormat="1">
      <c r="G6992" s="3336"/>
      <c r="P6992" s="3337"/>
    </row>
    <row r="6993" spans="7:16" s="1634" customFormat="1">
      <c r="G6993" s="3336"/>
      <c r="P6993" s="3337"/>
    </row>
    <row r="6994" spans="7:16" s="1634" customFormat="1">
      <c r="G6994" s="3336"/>
      <c r="P6994" s="3337"/>
    </row>
    <row r="6995" spans="7:16" s="1634" customFormat="1">
      <c r="G6995" s="3336"/>
      <c r="P6995" s="3337"/>
    </row>
    <row r="6996" spans="7:16" s="1634" customFormat="1">
      <c r="G6996" s="3336"/>
      <c r="P6996" s="3337"/>
    </row>
    <row r="6997" spans="7:16" s="1634" customFormat="1">
      <c r="G6997" s="3336"/>
      <c r="P6997" s="3337"/>
    </row>
    <row r="6998" spans="7:16" s="1634" customFormat="1">
      <c r="G6998" s="3336"/>
      <c r="P6998" s="3337"/>
    </row>
    <row r="6999" spans="7:16" s="1634" customFormat="1">
      <c r="G6999" s="3336"/>
      <c r="P6999" s="3337"/>
    </row>
    <row r="7000" spans="7:16" s="1634" customFormat="1">
      <c r="G7000" s="3336"/>
      <c r="P7000" s="3337"/>
    </row>
    <row r="7001" spans="7:16" s="1634" customFormat="1">
      <c r="G7001" s="3336"/>
      <c r="P7001" s="3337"/>
    </row>
    <row r="7002" spans="7:16" s="1634" customFormat="1">
      <c r="G7002" s="3336"/>
      <c r="P7002" s="3337"/>
    </row>
    <row r="7003" spans="7:16" s="1634" customFormat="1">
      <c r="G7003" s="3336"/>
      <c r="P7003" s="3337"/>
    </row>
    <row r="7004" spans="7:16" s="1634" customFormat="1">
      <c r="G7004" s="3336"/>
      <c r="P7004" s="3337"/>
    </row>
    <row r="7005" spans="7:16" s="1634" customFormat="1">
      <c r="G7005" s="3336"/>
      <c r="P7005" s="3337"/>
    </row>
    <row r="7006" spans="7:16" s="1634" customFormat="1">
      <c r="G7006" s="3336"/>
      <c r="P7006" s="3337"/>
    </row>
    <row r="7007" spans="7:16" s="1634" customFormat="1">
      <c r="G7007" s="3336"/>
      <c r="P7007" s="3337"/>
    </row>
    <row r="7008" spans="7:16" s="1634" customFormat="1">
      <c r="G7008" s="3336"/>
      <c r="P7008" s="3337"/>
    </row>
    <row r="7009" spans="7:16" s="1634" customFormat="1">
      <c r="G7009" s="3336"/>
      <c r="P7009" s="3337"/>
    </row>
    <row r="7010" spans="7:16" s="1634" customFormat="1">
      <c r="G7010" s="3336"/>
      <c r="P7010" s="3337"/>
    </row>
    <row r="7011" spans="7:16" s="1634" customFormat="1">
      <c r="G7011" s="3336"/>
      <c r="P7011" s="3337"/>
    </row>
    <row r="7012" spans="7:16" s="1634" customFormat="1">
      <c r="G7012" s="3336"/>
      <c r="P7012" s="3337"/>
    </row>
    <row r="7013" spans="7:16" s="1634" customFormat="1">
      <c r="G7013" s="3336"/>
      <c r="P7013" s="3337"/>
    </row>
    <row r="7014" spans="7:16" s="1634" customFormat="1">
      <c r="G7014" s="3336"/>
      <c r="P7014" s="3337"/>
    </row>
    <row r="7015" spans="7:16" s="1634" customFormat="1">
      <c r="G7015" s="3336"/>
      <c r="P7015" s="3337"/>
    </row>
    <row r="7016" spans="7:16" s="1634" customFormat="1">
      <c r="G7016" s="3336"/>
      <c r="P7016" s="3337"/>
    </row>
    <row r="7017" spans="7:16" s="1634" customFormat="1">
      <c r="G7017" s="3336"/>
      <c r="P7017" s="3337"/>
    </row>
    <row r="7018" spans="7:16" s="1634" customFormat="1">
      <c r="G7018" s="3336"/>
      <c r="P7018" s="3337"/>
    </row>
    <row r="7019" spans="7:16" s="1634" customFormat="1">
      <c r="G7019" s="3336"/>
      <c r="P7019" s="3337"/>
    </row>
    <row r="7020" spans="7:16" s="1634" customFormat="1">
      <c r="G7020" s="3336"/>
      <c r="P7020" s="3337"/>
    </row>
    <row r="7021" spans="7:16" s="1634" customFormat="1">
      <c r="G7021" s="3336"/>
      <c r="P7021" s="3337"/>
    </row>
    <row r="7022" spans="7:16" s="1634" customFormat="1">
      <c r="G7022" s="3336"/>
      <c r="P7022" s="3337"/>
    </row>
    <row r="7023" spans="7:16" s="1634" customFormat="1">
      <c r="G7023" s="3336"/>
      <c r="P7023" s="3337"/>
    </row>
    <row r="7024" spans="7:16" s="1634" customFormat="1">
      <c r="G7024" s="3336"/>
      <c r="P7024" s="3337"/>
    </row>
    <row r="7025" spans="7:16" s="1634" customFormat="1">
      <c r="G7025" s="3336"/>
      <c r="P7025" s="3337"/>
    </row>
    <row r="7026" spans="7:16" s="1634" customFormat="1">
      <c r="G7026" s="3336"/>
      <c r="P7026" s="3337"/>
    </row>
    <row r="7027" spans="7:16" s="1634" customFormat="1">
      <c r="G7027" s="3336"/>
      <c r="P7027" s="3337"/>
    </row>
    <row r="7028" spans="7:16" s="1634" customFormat="1">
      <c r="G7028" s="3336"/>
      <c r="P7028" s="3337"/>
    </row>
    <row r="7029" spans="7:16" s="1634" customFormat="1">
      <c r="G7029" s="3336"/>
      <c r="P7029" s="3337"/>
    </row>
    <row r="7030" spans="7:16" s="1634" customFormat="1">
      <c r="G7030" s="3336"/>
      <c r="P7030" s="3337"/>
    </row>
    <row r="7031" spans="7:16" s="1634" customFormat="1">
      <c r="G7031" s="3336"/>
      <c r="P7031" s="3337"/>
    </row>
    <row r="7032" spans="7:16" s="1634" customFormat="1">
      <c r="G7032" s="3336"/>
      <c r="P7032" s="3337"/>
    </row>
    <row r="7033" spans="7:16" s="1634" customFormat="1">
      <c r="G7033" s="3336"/>
      <c r="P7033" s="3337"/>
    </row>
    <row r="7034" spans="7:16" s="1634" customFormat="1">
      <c r="G7034" s="3336"/>
      <c r="P7034" s="3337"/>
    </row>
    <row r="7035" spans="7:16" s="1634" customFormat="1">
      <c r="G7035" s="3336"/>
      <c r="P7035" s="3337"/>
    </row>
    <row r="7036" spans="7:16" s="1634" customFormat="1">
      <c r="G7036" s="3336"/>
      <c r="P7036" s="3337"/>
    </row>
    <row r="7037" spans="7:16" s="1634" customFormat="1">
      <c r="G7037" s="3336"/>
      <c r="P7037" s="3337"/>
    </row>
    <row r="7038" spans="7:16" s="1634" customFormat="1">
      <c r="G7038" s="3336"/>
      <c r="P7038" s="3337"/>
    </row>
    <row r="7039" spans="7:16" s="1634" customFormat="1">
      <c r="G7039" s="3336"/>
      <c r="P7039" s="3337"/>
    </row>
    <row r="7040" spans="7:16" s="1634" customFormat="1">
      <c r="G7040" s="3336"/>
      <c r="P7040" s="3337"/>
    </row>
    <row r="7041" spans="7:16" s="1634" customFormat="1">
      <c r="G7041" s="3336"/>
      <c r="P7041" s="3337"/>
    </row>
    <row r="7042" spans="7:16" s="1634" customFormat="1">
      <c r="G7042" s="3336"/>
      <c r="P7042" s="3337"/>
    </row>
    <row r="7043" spans="7:16" s="1634" customFormat="1">
      <c r="G7043" s="3336"/>
      <c r="P7043" s="3337"/>
    </row>
    <row r="7044" spans="7:16" s="1634" customFormat="1">
      <c r="G7044" s="3336"/>
      <c r="P7044" s="3337"/>
    </row>
    <row r="7045" spans="7:16" s="1634" customFormat="1">
      <c r="G7045" s="3336"/>
      <c r="P7045" s="3337"/>
    </row>
    <row r="7046" spans="7:16" s="1634" customFormat="1">
      <c r="G7046" s="3336"/>
      <c r="P7046" s="3337"/>
    </row>
    <row r="7047" spans="7:16" s="1634" customFormat="1">
      <c r="G7047" s="3336"/>
      <c r="P7047" s="3337"/>
    </row>
    <row r="7048" spans="7:16" s="1634" customFormat="1">
      <c r="G7048" s="3336"/>
      <c r="P7048" s="3337"/>
    </row>
    <row r="7049" spans="7:16" s="1634" customFormat="1">
      <c r="G7049" s="3336"/>
      <c r="P7049" s="3337"/>
    </row>
    <row r="7050" spans="7:16" s="1634" customFormat="1">
      <c r="G7050" s="3336"/>
      <c r="P7050" s="3337"/>
    </row>
    <row r="7051" spans="7:16" s="1634" customFormat="1">
      <c r="G7051" s="3336"/>
      <c r="P7051" s="3337"/>
    </row>
    <row r="7052" spans="7:16" s="1634" customFormat="1">
      <c r="G7052" s="3336"/>
      <c r="P7052" s="3337"/>
    </row>
    <row r="7053" spans="7:16" s="1634" customFormat="1">
      <c r="G7053" s="3336"/>
      <c r="P7053" s="3337"/>
    </row>
    <row r="7054" spans="7:16" s="1634" customFormat="1">
      <c r="G7054" s="3336"/>
      <c r="P7054" s="3337"/>
    </row>
    <row r="7055" spans="7:16" s="1634" customFormat="1">
      <c r="G7055" s="3336"/>
      <c r="P7055" s="3337"/>
    </row>
    <row r="7056" spans="7:16" s="1634" customFormat="1">
      <c r="G7056" s="3336"/>
      <c r="P7056" s="3337"/>
    </row>
    <row r="7057" spans="7:16" s="1634" customFormat="1">
      <c r="G7057" s="3336"/>
      <c r="P7057" s="3337"/>
    </row>
    <row r="7058" spans="7:16" s="1634" customFormat="1">
      <c r="G7058" s="3336"/>
      <c r="P7058" s="3337"/>
    </row>
    <row r="7059" spans="7:16" s="1634" customFormat="1">
      <c r="G7059" s="3336"/>
      <c r="P7059" s="3337"/>
    </row>
    <row r="7060" spans="7:16" s="1634" customFormat="1">
      <c r="G7060" s="3336"/>
      <c r="P7060" s="3337"/>
    </row>
    <row r="7061" spans="7:16" s="1634" customFormat="1">
      <c r="G7061" s="3336"/>
      <c r="P7061" s="3337"/>
    </row>
    <row r="7062" spans="7:16" s="1634" customFormat="1">
      <c r="G7062" s="3336"/>
      <c r="P7062" s="3337"/>
    </row>
    <row r="7063" spans="7:16" s="1634" customFormat="1">
      <c r="G7063" s="3336"/>
      <c r="P7063" s="3337"/>
    </row>
    <row r="7064" spans="7:16" s="1634" customFormat="1">
      <c r="G7064" s="3336"/>
      <c r="P7064" s="3337"/>
    </row>
    <row r="7065" spans="7:16" s="1634" customFormat="1">
      <c r="G7065" s="3336"/>
      <c r="P7065" s="3337"/>
    </row>
    <row r="7066" spans="7:16" s="1634" customFormat="1">
      <c r="G7066" s="3336"/>
      <c r="P7066" s="3337"/>
    </row>
    <row r="7067" spans="7:16" s="1634" customFormat="1">
      <c r="G7067" s="3336"/>
      <c r="P7067" s="3337"/>
    </row>
    <row r="7068" spans="7:16" s="1634" customFormat="1">
      <c r="G7068" s="3336"/>
      <c r="P7068" s="3337"/>
    </row>
    <row r="7069" spans="7:16" s="1634" customFormat="1">
      <c r="G7069" s="3336"/>
      <c r="P7069" s="3337"/>
    </row>
    <row r="7070" spans="7:16" s="1634" customFormat="1">
      <c r="G7070" s="3336"/>
      <c r="P7070" s="3337"/>
    </row>
    <row r="7071" spans="7:16" s="1634" customFormat="1">
      <c r="G7071" s="3336"/>
      <c r="P7071" s="3337"/>
    </row>
    <row r="7072" spans="7:16" s="1634" customFormat="1">
      <c r="G7072" s="3336"/>
      <c r="P7072" s="3337"/>
    </row>
    <row r="7073" spans="7:16" s="1634" customFormat="1">
      <c r="G7073" s="3336"/>
      <c r="P7073" s="3337"/>
    </row>
    <row r="7074" spans="7:16" s="1634" customFormat="1">
      <c r="G7074" s="3336"/>
      <c r="P7074" s="3337"/>
    </row>
    <row r="7075" spans="7:16" s="1634" customFormat="1">
      <c r="G7075" s="3336"/>
      <c r="P7075" s="3337"/>
    </row>
    <row r="7076" spans="7:16" s="1634" customFormat="1">
      <c r="G7076" s="3336"/>
      <c r="P7076" s="3337"/>
    </row>
    <row r="7077" spans="7:16" s="1634" customFormat="1">
      <c r="G7077" s="3336"/>
      <c r="P7077" s="3337"/>
    </row>
    <row r="7078" spans="7:16" s="1634" customFormat="1">
      <c r="G7078" s="3336"/>
      <c r="P7078" s="3337"/>
    </row>
    <row r="7079" spans="7:16" s="1634" customFormat="1">
      <c r="G7079" s="3336"/>
      <c r="P7079" s="3337"/>
    </row>
    <row r="7080" spans="7:16" s="1634" customFormat="1">
      <c r="G7080" s="3336"/>
      <c r="P7080" s="3337"/>
    </row>
    <row r="7081" spans="7:16" s="1634" customFormat="1">
      <c r="G7081" s="3336"/>
      <c r="P7081" s="3337"/>
    </row>
    <row r="7082" spans="7:16" s="1634" customFormat="1">
      <c r="G7082" s="3336"/>
      <c r="P7082" s="3337"/>
    </row>
    <row r="7083" spans="7:16" s="1634" customFormat="1">
      <c r="G7083" s="3336"/>
      <c r="P7083" s="3337"/>
    </row>
    <row r="7084" spans="7:16" s="1634" customFormat="1">
      <c r="G7084" s="3336"/>
      <c r="P7084" s="3337"/>
    </row>
    <row r="7085" spans="7:16" s="1634" customFormat="1">
      <c r="G7085" s="3336"/>
      <c r="P7085" s="3337"/>
    </row>
    <row r="7086" spans="7:16" s="1634" customFormat="1">
      <c r="G7086" s="3336"/>
      <c r="P7086" s="3337"/>
    </row>
    <row r="7087" spans="7:16" s="1634" customFormat="1">
      <c r="G7087" s="3336"/>
      <c r="P7087" s="3337"/>
    </row>
    <row r="7088" spans="7:16" s="1634" customFormat="1">
      <c r="G7088" s="3336"/>
      <c r="P7088" s="3337"/>
    </row>
    <row r="7089" spans="7:16" s="1634" customFormat="1">
      <c r="G7089" s="3336"/>
      <c r="P7089" s="3337"/>
    </row>
    <row r="7090" spans="7:16" s="1634" customFormat="1">
      <c r="G7090" s="3336"/>
      <c r="P7090" s="3337"/>
    </row>
    <row r="7091" spans="7:16" s="1634" customFormat="1">
      <c r="G7091" s="3336"/>
      <c r="P7091" s="3337"/>
    </row>
    <row r="7092" spans="7:16" s="1634" customFormat="1">
      <c r="G7092" s="3336"/>
      <c r="P7092" s="3337"/>
    </row>
    <row r="7093" spans="7:16" s="1634" customFormat="1">
      <c r="G7093" s="3336"/>
      <c r="P7093" s="3337"/>
    </row>
    <row r="7094" spans="7:16" s="1634" customFormat="1">
      <c r="G7094" s="3336"/>
      <c r="P7094" s="3337"/>
    </row>
    <row r="7095" spans="7:16" s="1634" customFormat="1">
      <c r="G7095" s="3336"/>
      <c r="P7095" s="3337"/>
    </row>
    <row r="7096" spans="7:16" s="1634" customFormat="1">
      <c r="G7096" s="3336"/>
      <c r="P7096" s="3337"/>
    </row>
    <row r="7097" spans="7:16" s="1634" customFormat="1">
      <c r="G7097" s="3336"/>
      <c r="P7097" s="3337"/>
    </row>
    <row r="7098" spans="7:16" s="1634" customFormat="1">
      <c r="G7098" s="3336"/>
      <c r="P7098" s="3337"/>
    </row>
    <row r="7099" spans="7:16" s="1634" customFormat="1">
      <c r="G7099" s="3336"/>
      <c r="P7099" s="3337"/>
    </row>
    <row r="7100" spans="7:16" s="1634" customFormat="1">
      <c r="G7100" s="3336"/>
      <c r="P7100" s="3337"/>
    </row>
    <row r="7101" spans="7:16" s="1634" customFormat="1">
      <c r="G7101" s="3336"/>
      <c r="P7101" s="3337"/>
    </row>
    <row r="7102" spans="7:16" s="1634" customFormat="1">
      <c r="G7102" s="3336"/>
      <c r="P7102" s="3337"/>
    </row>
    <row r="7103" spans="7:16" s="1634" customFormat="1">
      <c r="G7103" s="3336"/>
      <c r="P7103" s="3337"/>
    </row>
    <row r="7104" spans="7:16" s="1634" customFormat="1">
      <c r="G7104" s="3336"/>
      <c r="P7104" s="3337"/>
    </row>
    <row r="7105" spans="7:16" s="1634" customFormat="1">
      <c r="G7105" s="3336"/>
      <c r="P7105" s="3337"/>
    </row>
    <row r="7106" spans="7:16" s="1634" customFormat="1">
      <c r="G7106" s="3336"/>
      <c r="P7106" s="3337"/>
    </row>
    <row r="7107" spans="7:16" s="1634" customFormat="1">
      <c r="G7107" s="3336"/>
      <c r="P7107" s="3337"/>
    </row>
    <row r="7108" spans="7:16" s="1634" customFormat="1">
      <c r="G7108" s="3336"/>
      <c r="P7108" s="3337"/>
    </row>
    <row r="7109" spans="7:16" s="1634" customFormat="1">
      <c r="G7109" s="3336"/>
      <c r="P7109" s="3337"/>
    </row>
    <row r="7110" spans="7:16" s="1634" customFormat="1">
      <c r="G7110" s="3336"/>
      <c r="P7110" s="3337"/>
    </row>
    <row r="7111" spans="7:16" s="1634" customFormat="1">
      <c r="G7111" s="3336"/>
      <c r="P7111" s="3337"/>
    </row>
    <row r="7112" spans="7:16" s="1634" customFormat="1">
      <c r="G7112" s="3336"/>
      <c r="P7112" s="3337"/>
    </row>
    <row r="7113" spans="7:16" s="1634" customFormat="1">
      <c r="G7113" s="3336"/>
      <c r="P7113" s="3337"/>
    </row>
    <row r="7114" spans="7:16" s="1634" customFormat="1">
      <c r="G7114" s="3336"/>
      <c r="P7114" s="3337"/>
    </row>
    <row r="7115" spans="7:16" s="1634" customFormat="1">
      <c r="G7115" s="3336"/>
      <c r="P7115" s="3337"/>
    </row>
    <row r="7116" spans="7:16" s="1634" customFormat="1">
      <c r="G7116" s="3336"/>
      <c r="P7116" s="3337"/>
    </row>
    <row r="7117" spans="7:16" s="1634" customFormat="1">
      <c r="G7117" s="3336"/>
      <c r="P7117" s="3337"/>
    </row>
    <row r="7118" spans="7:16" s="1634" customFormat="1">
      <c r="G7118" s="3336"/>
      <c r="P7118" s="3337"/>
    </row>
    <row r="7119" spans="7:16" s="1634" customFormat="1">
      <c r="G7119" s="3336"/>
      <c r="P7119" s="3337"/>
    </row>
    <row r="7120" spans="7:16" s="1634" customFormat="1">
      <c r="G7120" s="3336"/>
      <c r="P7120" s="3337"/>
    </row>
    <row r="7121" spans="7:16" s="1634" customFormat="1">
      <c r="G7121" s="3336"/>
      <c r="P7121" s="3337"/>
    </row>
    <row r="7122" spans="7:16" s="1634" customFormat="1">
      <c r="G7122" s="3336"/>
      <c r="P7122" s="3337"/>
    </row>
    <row r="7123" spans="7:16" s="1634" customFormat="1">
      <c r="G7123" s="3336"/>
      <c r="P7123" s="3337"/>
    </row>
    <row r="7124" spans="7:16" s="1634" customFormat="1">
      <c r="G7124" s="3336"/>
      <c r="P7124" s="3337"/>
    </row>
    <row r="7125" spans="7:16" s="1634" customFormat="1">
      <c r="G7125" s="3336"/>
      <c r="P7125" s="3337"/>
    </row>
    <row r="7126" spans="7:16" s="1634" customFormat="1">
      <c r="G7126" s="3336"/>
      <c r="P7126" s="3337"/>
    </row>
    <row r="7127" spans="7:16" s="1634" customFormat="1">
      <c r="G7127" s="3336"/>
      <c r="P7127" s="3337"/>
    </row>
    <row r="7128" spans="7:16" s="1634" customFormat="1">
      <c r="G7128" s="3336"/>
      <c r="P7128" s="3337"/>
    </row>
    <row r="7129" spans="7:16" s="1634" customFormat="1">
      <c r="G7129" s="3336"/>
      <c r="P7129" s="3337"/>
    </row>
    <row r="7130" spans="7:16" s="1634" customFormat="1">
      <c r="G7130" s="3336"/>
      <c r="P7130" s="3337"/>
    </row>
    <row r="7131" spans="7:16" s="1634" customFormat="1">
      <c r="G7131" s="3336"/>
      <c r="P7131" s="3337"/>
    </row>
    <row r="7132" spans="7:16" s="1634" customFormat="1">
      <c r="G7132" s="3336"/>
      <c r="P7132" s="3337"/>
    </row>
    <row r="7133" spans="7:16" s="1634" customFormat="1">
      <c r="G7133" s="3336"/>
      <c r="P7133" s="3337"/>
    </row>
    <row r="7134" spans="7:16" s="1634" customFormat="1">
      <c r="G7134" s="3336"/>
      <c r="P7134" s="3337"/>
    </row>
    <row r="7135" spans="7:16" s="1634" customFormat="1">
      <c r="G7135" s="3336"/>
      <c r="P7135" s="3337"/>
    </row>
    <row r="7136" spans="7:16" s="1634" customFormat="1">
      <c r="G7136" s="3336"/>
      <c r="P7136" s="3337"/>
    </row>
    <row r="7137" spans="7:16" s="1634" customFormat="1">
      <c r="G7137" s="3336"/>
      <c r="P7137" s="3337"/>
    </row>
    <row r="7138" spans="7:16" s="1634" customFormat="1">
      <c r="G7138" s="3336"/>
      <c r="P7138" s="3337"/>
    </row>
    <row r="7139" spans="7:16" s="1634" customFormat="1">
      <c r="G7139" s="3336"/>
      <c r="P7139" s="3337"/>
    </row>
    <row r="7140" spans="7:16" s="1634" customFormat="1">
      <c r="G7140" s="3336"/>
      <c r="P7140" s="3337"/>
    </row>
    <row r="7141" spans="7:16" s="1634" customFormat="1">
      <c r="G7141" s="3336"/>
      <c r="P7141" s="3337"/>
    </row>
    <row r="7142" spans="7:16" s="1634" customFormat="1">
      <c r="G7142" s="3336"/>
      <c r="P7142" s="3337"/>
    </row>
    <row r="7143" spans="7:16" s="1634" customFormat="1">
      <c r="G7143" s="3336"/>
      <c r="P7143" s="3337"/>
    </row>
    <row r="7144" spans="7:16" s="1634" customFormat="1">
      <c r="G7144" s="3336"/>
      <c r="P7144" s="3337"/>
    </row>
    <row r="7145" spans="7:16" s="1634" customFormat="1">
      <c r="G7145" s="3336"/>
      <c r="P7145" s="3337"/>
    </row>
    <row r="7146" spans="7:16" s="1634" customFormat="1">
      <c r="G7146" s="3336"/>
      <c r="P7146" s="3337"/>
    </row>
    <row r="7147" spans="7:16" s="1634" customFormat="1">
      <c r="G7147" s="3336"/>
      <c r="P7147" s="3337"/>
    </row>
    <row r="7148" spans="7:16" s="1634" customFormat="1">
      <c r="G7148" s="3336"/>
      <c r="P7148" s="3337"/>
    </row>
    <row r="7149" spans="7:16" s="1634" customFormat="1">
      <c r="G7149" s="3336"/>
      <c r="P7149" s="3337"/>
    </row>
    <row r="7150" spans="7:16" s="1634" customFormat="1">
      <c r="G7150" s="3336"/>
      <c r="P7150" s="3337"/>
    </row>
    <row r="7151" spans="7:16" s="1634" customFormat="1">
      <c r="G7151" s="3336"/>
      <c r="P7151" s="3337"/>
    </row>
    <row r="7152" spans="7:16" s="1634" customFormat="1">
      <c r="G7152" s="3336"/>
      <c r="P7152" s="3337"/>
    </row>
    <row r="7153" spans="7:16" s="1634" customFormat="1">
      <c r="G7153" s="3336"/>
      <c r="P7153" s="3337"/>
    </row>
    <row r="7154" spans="7:16" s="1634" customFormat="1">
      <c r="G7154" s="3336"/>
      <c r="P7154" s="3337"/>
    </row>
    <row r="7155" spans="7:16" s="1634" customFormat="1">
      <c r="G7155" s="3336"/>
      <c r="P7155" s="3337"/>
    </row>
    <row r="7156" spans="7:16" s="1634" customFormat="1">
      <c r="G7156" s="3336"/>
      <c r="P7156" s="3337"/>
    </row>
    <row r="7157" spans="7:16" s="1634" customFormat="1">
      <c r="G7157" s="3336"/>
      <c r="P7157" s="3337"/>
    </row>
    <row r="7158" spans="7:16" s="1634" customFormat="1">
      <c r="G7158" s="3336"/>
      <c r="P7158" s="3337"/>
    </row>
    <row r="7159" spans="7:16" s="1634" customFormat="1">
      <c r="G7159" s="3336"/>
      <c r="P7159" s="3337"/>
    </row>
    <row r="7160" spans="7:16" s="1634" customFormat="1">
      <c r="G7160" s="3336"/>
      <c r="P7160" s="3337"/>
    </row>
    <row r="7161" spans="7:16" s="1634" customFormat="1">
      <c r="G7161" s="3336"/>
      <c r="P7161" s="3337"/>
    </row>
    <row r="7162" spans="7:16" s="1634" customFormat="1">
      <c r="G7162" s="3336"/>
      <c r="P7162" s="3337"/>
    </row>
    <row r="7163" spans="7:16" s="1634" customFormat="1">
      <c r="G7163" s="3336"/>
      <c r="P7163" s="3337"/>
    </row>
    <row r="7164" spans="7:16" s="1634" customFormat="1">
      <c r="G7164" s="3336"/>
      <c r="P7164" s="3337"/>
    </row>
    <row r="7165" spans="7:16" s="1634" customFormat="1">
      <c r="G7165" s="3336"/>
      <c r="P7165" s="3337"/>
    </row>
    <row r="7166" spans="7:16" s="1634" customFormat="1">
      <c r="G7166" s="3336"/>
      <c r="P7166" s="3337"/>
    </row>
    <row r="7167" spans="7:16" s="1634" customFormat="1">
      <c r="G7167" s="3336"/>
      <c r="P7167" s="3337"/>
    </row>
    <row r="7168" spans="7:16" s="1634" customFormat="1">
      <c r="G7168" s="3336"/>
      <c r="P7168" s="3337"/>
    </row>
    <row r="7169" spans="7:16" s="1634" customFormat="1">
      <c r="G7169" s="3336"/>
      <c r="P7169" s="3337"/>
    </row>
    <row r="7170" spans="7:16" s="1634" customFormat="1">
      <c r="G7170" s="3336"/>
      <c r="P7170" s="3337"/>
    </row>
    <row r="7171" spans="7:16" s="1634" customFormat="1">
      <c r="G7171" s="3336"/>
      <c r="P7171" s="3337"/>
    </row>
    <row r="7172" spans="7:16" s="1634" customFormat="1">
      <c r="G7172" s="3336"/>
      <c r="P7172" s="3337"/>
    </row>
    <row r="7173" spans="7:16" s="1634" customFormat="1">
      <c r="G7173" s="3336"/>
      <c r="P7173" s="3337"/>
    </row>
    <row r="7174" spans="7:16" s="1634" customFormat="1">
      <c r="G7174" s="3336"/>
      <c r="P7174" s="3337"/>
    </row>
    <row r="7175" spans="7:16" s="1634" customFormat="1">
      <c r="G7175" s="3336"/>
      <c r="P7175" s="3337"/>
    </row>
    <row r="7176" spans="7:16" s="1634" customFormat="1">
      <c r="G7176" s="3336"/>
      <c r="P7176" s="3337"/>
    </row>
    <row r="7177" spans="7:16" s="1634" customFormat="1">
      <c r="G7177" s="3336"/>
      <c r="P7177" s="3337"/>
    </row>
    <row r="7178" spans="7:16" s="1634" customFormat="1">
      <c r="G7178" s="3336"/>
      <c r="P7178" s="3337"/>
    </row>
    <row r="7179" spans="7:16" s="1634" customFormat="1">
      <c r="G7179" s="3336"/>
      <c r="P7179" s="3337"/>
    </row>
    <row r="7180" spans="7:16" s="1634" customFormat="1">
      <c r="G7180" s="3336"/>
      <c r="P7180" s="3337"/>
    </row>
    <row r="7181" spans="7:16" s="1634" customFormat="1">
      <c r="G7181" s="3336"/>
      <c r="P7181" s="3337"/>
    </row>
    <row r="7182" spans="7:16" s="1634" customFormat="1">
      <c r="G7182" s="3336"/>
      <c r="P7182" s="3337"/>
    </row>
    <row r="7183" spans="7:16" s="1634" customFormat="1">
      <c r="G7183" s="3336"/>
      <c r="P7183" s="3337"/>
    </row>
    <row r="7184" spans="7:16" s="1634" customFormat="1">
      <c r="G7184" s="3336"/>
      <c r="P7184" s="3337"/>
    </row>
    <row r="7185" spans="7:16" s="1634" customFormat="1">
      <c r="G7185" s="3336"/>
      <c r="P7185" s="3337"/>
    </row>
    <row r="7186" spans="7:16" s="1634" customFormat="1">
      <c r="G7186" s="3336"/>
      <c r="P7186" s="3337"/>
    </row>
    <row r="7187" spans="7:16" s="1634" customFormat="1">
      <c r="G7187" s="3336"/>
      <c r="P7187" s="3337"/>
    </row>
    <row r="7188" spans="7:16" s="1634" customFormat="1">
      <c r="G7188" s="3336"/>
      <c r="P7188" s="3337"/>
    </row>
    <row r="7189" spans="7:16" s="1634" customFormat="1">
      <c r="G7189" s="3336"/>
      <c r="P7189" s="3337"/>
    </row>
    <row r="7190" spans="7:16" s="1634" customFormat="1">
      <c r="G7190" s="3336"/>
      <c r="P7190" s="3337"/>
    </row>
    <row r="7191" spans="7:16" s="1634" customFormat="1">
      <c r="G7191" s="3336"/>
      <c r="P7191" s="3337"/>
    </row>
    <row r="7192" spans="7:16" s="1634" customFormat="1">
      <c r="G7192" s="3336"/>
      <c r="P7192" s="3337"/>
    </row>
    <row r="7193" spans="7:16" s="1634" customFormat="1">
      <c r="G7193" s="3336"/>
      <c r="P7193" s="3337"/>
    </row>
    <row r="7194" spans="7:16" s="1634" customFormat="1">
      <c r="G7194" s="3336"/>
      <c r="P7194" s="3337"/>
    </row>
    <row r="7195" spans="7:16" s="1634" customFormat="1">
      <c r="G7195" s="3336"/>
      <c r="P7195" s="3337"/>
    </row>
    <row r="7196" spans="7:16" s="1634" customFormat="1">
      <c r="G7196" s="3336"/>
      <c r="P7196" s="3337"/>
    </row>
    <row r="7197" spans="7:16" s="1634" customFormat="1">
      <c r="G7197" s="3336"/>
      <c r="P7197" s="3337"/>
    </row>
    <row r="7198" spans="7:16" s="1634" customFormat="1">
      <c r="G7198" s="3336"/>
      <c r="P7198" s="3337"/>
    </row>
    <row r="7199" spans="7:16" s="1634" customFormat="1">
      <c r="G7199" s="3336"/>
      <c r="P7199" s="3337"/>
    </row>
    <row r="7200" spans="7:16" s="1634" customFormat="1">
      <c r="G7200" s="3336"/>
      <c r="P7200" s="3337"/>
    </row>
    <row r="7201" spans="7:16" s="1634" customFormat="1">
      <c r="G7201" s="3336"/>
      <c r="P7201" s="3337"/>
    </row>
    <row r="7202" spans="7:16" s="1634" customFormat="1">
      <c r="G7202" s="3336"/>
      <c r="P7202" s="3337"/>
    </row>
    <row r="7203" spans="7:16" s="1634" customFormat="1">
      <c r="G7203" s="3336"/>
      <c r="P7203" s="3337"/>
    </row>
    <row r="7204" spans="7:16" s="1634" customFormat="1">
      <c r="G7204" s="3336"/>
      <c r="P7204" s="3337"/>
    </row>
    <row r="7205" spans="7:16" s="1634" customFormat="1">
      <c r="G7205" s="3336"/>
      <c r="P7205" s="3337"/>
    </row>
    <row r="7206" spans="7:16" s="1634" customFormat="1">
      <c r="G7206" s="3336"/>
      <c r="P7206" s="3337"/>
    </row>
    <row r="7207" spans="7:16" s="1634" customFormat="1">
      <c r="G7207" s="3336"/>
      <c r="P7207" s="3337"/>
    </row>
    <row r="7208" spans="7:16" s="1634" customFormat="1">
      <c r="G7208" s="3336"/>
      <c r="P7208" s="3337"/>
    </row>
    <row r="7209" spans="7:16" s="1634" customFormat="1">
      <c r="G7209" s="3336"/>
      <c r="P7209" s="3337"/>
    </row>
    <row r="7210" spans="7:16" s="1634" customFormat="1">
      <c r="G7210" s="3336"/>
      <c r="P7210" s="3337"/>
    </row>
    <row r="7211" spans="7:16" s="1634" customFormat="1">
      <c r="G7211" s="3336"/>
      <c r="P7211" s="3337"/>
    </row>
    <row r="7212" spans="7:16" s="1634" customFormat="1">
      <c r="G7212" s="3336"/>
      <c r="P7212" s="3337"/>
    </row>
    <row r="7213" spans="7:16" s="1634" customFormat="1">
      <c r="G7213" s="3336"/>
      <c r="P7213" s="3337"/>
    </row>
    <row r="7214" spans="7:16" s="1634" customFormat="1">
      <c r="G7214" s="3336"/>
      <c r="P7214" s="3337"/>
    </row>
    <row r="7215" spans="7:16" s="1634" customFormat="1">
      <c r="G7215" s="3336"/>
      <c r="P7215" s="3337"/>
    </row>
    <row r="7216" spans="7:16" s="1634" customFormat="1">
      <c r="G7216" s="3336"/>
      <c r="P7216" s="3337"/>
    </row>
    <row r="7217" spans="7:16" s="1634" customFormat="1">
      <c r="G7217" s="3336"/>
      <c r="P7217" s="3337"/>
    </row>
    <row r="7218" spans="7:16" s="1634" customFormat="1">
      <c r="G7218" s="3336"/>
      <c r="P7218" s="3337"/>
    </row>
    <row r="7219" spans="7:16" s="1634" customFormat="1">
      <c r="G7219" s="3336"/>
      <c r="P7219" s="3337"/>
    </row>
    <row r="7220" spans="7:16" s="1634" customFormat="1">
      <c r="G7220" s="3336"/>
      <c r="P7220" s="3337"/>
    </row>
    <row r="7221" spans="7:16" s="1634" customFormat="1">
      <c r="G7221" s="3336"/>
      <c r="P7221" s="3337"/>
    </row>
    <row r="7222" spans="7:16" s="1634" customFormat="1">
      <c r="G7222" s="3336"/>
      <c r="P7222" s="3337"/>
    </row>
    <row r="7223" spans="7:16" s="1634" customFormat="1">
      <c r="G7223" s="3336"/>
      <c r="P7223" s="3337"/>
    </row>
    <row r="7224" spans="7:16" s="1634" customFormat="1">
      <c r="G7224" s="3336"/>
      <c r="P7224" s="3337"/>
    </row>
    <row r="7225" spans="7:16" s="1634" customFormat="1">
      <c r="G7225" s="3336"/>
      <c r="P7225" s="3337"/>
    </row>
    <row r="7226" spans="7:16" s="1634" customFormat="1">
      <c r="G7226" s="3336"/>
      <c r="P7226" s="3337"/>
    </row>
    <row r="7227" spans="7:16" s="1634" customFormat="1">
      <c r="G7227" s="3336"/>
      <c r="P7227" s="3337"/>
    </row>
    <row r="7228" spans="7:16" s="1634" customFormat="1">
      <c r="G7228" s="3336"/>
      <c r="P7228" s="3337"/>
    </row>
    <row r="7229" spans="7:16" s="1634" customFormat="1">
      <c r="G7229" s="3336"/>
      <c r="P7229" s="3337"/>
    </row>
    <row r="7230" spans="7:16" s="1634" customFormat="1">
      <c r="G7230" s="3336"/>
      <c r="P7230" s="3337"/>
    </row>
    <row r="7231" spans="7:16" s="1634" customFormat="1">
      <c r="G7231" s="3336"/>
      <c r="P7231" s="3337"/>
    </row>
    <row r="7232" spans="7:16" s="1634" customFormat="1">
      <c r="G7232" s="3336"/>
      <c r="P7232" s="3337"/>
    </row>
    <row r="7233" spans="7:16" s="1634" customFormat="1">
      <c r="G7233" s="3336"/>
      <c r="P7233" s="3337"/>
    </row>
    <row r="7234" spans="7:16" s="1634" customFormat="1">
      <c r="G7234" s="3336"/>
      <c r="P7234" s="3337"/>
    </row>
    <row r="7235" spans="7:16" s="1634" customFormat="1">
      <c r="G7235" s="3336"/>
      <c r="P7235" s="3337"/>
    </row>
    <row r="7236" spans="7:16" s="1634" customFormat="1">
      <c r="G7236" s="3336"/>
      <c r="P7236" s="3337"/>
    </row>
    <row r="7237" spans="7:16" s="1634" customFormat="1">
      <c r="G7237" s="3336"/>
      <c r="P7237" s="3337"/>
    </row>
    <row r="7238" spans="7:16" s="1634" customFormat="1">
      <c r="G7238" s="3336"/>
      <c r="P7238" s="3337"/>
    </row>
    <row r="7239" spans="7:16" s="1634" customFormat="1">
      <c r="G7239" s="3336"/>
      <c r="P7239" s="3337"/>
    </row>
    <row r="7240" spans="7:16" s="1634" customFormat="1">
      <c r="G7240" s="3336"/>
      <c r="P7240" s="3337"/>
    </row>
    <row r="7241" spans="7:16" s="1634" customFormat="1">
      <c r="G7241" s="3336"/>
      <c r="P7241" s="3337"/>
    </row>
    <row r="7242" spans="7:16" s="1634" customFormat="1">
      <c r="G7242" s="3336"/>
      <c r="P7242" s="3337"/>
    </row>
    <row r="7243" spans="7:16" s="1634" customFormat="1">
      <c r="G7243" s="3336"/>
      <c r="P7243" s="3337"/>
    </row>
    <row r="7244" spans="7:16" s="1634" customFormat="1">
      <c r="G7244" s="3336"/>
      <c r="P7244" s="3337"/>
    </row>
    <row r="7245" spans="7:16" s="1634" customFormat="1">
      <c r="G7245" s="3336"/>
      <c r="P7245" s="3337"/>
    </row>
    <row r="7246" spans="7:16" s="1634" customFormat="1">
      <c r="G7246" s="3336"/>
      <c r="P7246" s="3337"/>
    </row>
    <row r="7247" spans="7:16" s="1634" customFormat="1">
      <c r="G7247" s="3336"/>
      <c r="P7247" s="3337"/>
    </row>
    <row r="7248" spans="7:16" s="1634" customFormat="1">
      <c r="G7248" s="3336"/>
      <c r="P7248" s="3337"/>
    </row>
    <row r="7249" spans="7:16" s="1634" customFormat="1">
      <c r="G7249" s="3336"/>
      <c r="P7249" s="3337"/>
    </row>
    <row r="7250" spans="7:16" s="1634" customFormat="1">
      <c r="G7250" s="3336"/>
      <c r="P7250" s="3337"/>
    </row>
    <row r="7251" spans="7:16" s="1634" customFormat="1">
      <c r="G7251" s="3336"/>
      <c r="P7251" s="3337"/>
    </row>
    <row r="7252" spans="7:16" s="1634" customFormat="1">
      <c r="G7252" s="3336"/>
      <c r="P7252" s="3337"/>
    </row>
    <row r="7253" spans="7:16" s="1634" customFormat="1">
      <c r="G7253" s="3336"/>
      <c r="P7253" s="3337"/>
    </row>
    <row r="7254" spans="7:16" s="1634" customFormat="1">
      <c r="G7254" s="3336"/>
      <c r="P7254" s="3337"/>
    </row>
    <row r="7255" spans="7:16" s="1634" customFormat="1">
      <c r="G7255" s="3336"/>
      <c r="P7255" s="3337"/>
    </row>
    <row r="7256" spans="7:16" s="1634" customFormat="1">
      <c r="G7256" s="3336"/>
      <c r="P7256" s="3337"/>
    </row>
    <row r="7257" spans="7:16" s="1634" customFormat="1">
      <c r="G7257" s="3336"/>
      <c r="P7257" s="3337"/>
    </row>
    <row r="7258" spans="7:16" s="1634" customFormat="1">
      <c r="G7258" s="3336"/>
      <c r="P7258" s="3337"/>
    </row>
    <row r="7259" spans="7:16" s="1634" customFormat="1">
      <c r="G7259" s="3336"/>
      <c r="P7259" s="3337"/>
    </row>
    <row r="7260" spans="7:16" s="1634" customFormat="1">
      <c r="G7260" s="3336"/>
      <c r="P7260" s="3337"/>
    </row>
    <row r="7261" spans="7:16" s="1634" customFormat="1">
      <c r="G7261" s="3336"/>
      <c r="P7261" s="3337"/>
    </row>
    <row r="7262" spans="7:16" s="1634" customFormat="1">
      <c r="G7262" s="3336"/>
      <c r="P7262" s="3337"/>
    </row>
    <row r="7263" spans="7:16" s="1634" customFormat="1">
      <c r="G7263" s="3336"/>
      <c r="P7263" s="3337"/>
    </row>
    <row r="7264" spans="7:16" s="1634" customFormat="1">
      <c r="G7264" s="3336"/>
      <c r="P7264" s="3337"/>
    </row>
    <row r="7265" spans="7:16" s="1634" customFormat="1">
      <c r="G7265" s="3336"/>
      <c r="P7265" s="3337"/>
    </row>
    <row r="7266" spans="7:16" s="1634" customFormat="1">
      <c r="G7266" s="3336"/>
      <c r="P7266" s="3337"/>
    </row>
    <row r="7267" spans="7:16" s="1634" customFormat="1">
      <c r="G7267" s="3336"/>
      <c r="P7267" s="3337"/>
    </row>
    <row r="7268" spans="7:16" s="1634" customFormat="1">
      <c r="G7268" s="3336"/>
      <c r="P7268" s="3337"/>
    </row>
    <row r="7269" spans="7:16" s="1634" customFormat="1">
      <c r="G7269" s="3336"/>
      <c r="P7269" s="3337"/>
    </row>
    <row r="7270" spans="7:16" s="1634" customFormat="1">
      <c r="G7270" s="3336"/>
      <c r="P7270" s="3337"/>
    </row>
    <row r="7271" spans="7:16" s="1634" customFormat="1">
      <c r="G7271" s="3336"/>
      <c r="P7271" s="3337"/>
    </row>
    <row r="7272" spans="7:16" s="1634" customFormat="1">
      <c r="G7272" s="3336"/>
      <c r="P7272" s="3337"/>
    </row>
    <row r="7273" spans="7:16" s="1634" customFormat="1">
      <c r="G7273" s="3336"/>
      <c r="P7273" s="3337"/>
    </row>
    <row r="7274" spans="7:16" s="1634" customFormat="1">
      <c r="G7274" s="3336"/>
      <c r="P7274" s="3337"/>
    </row>
    <row r="7275" spans="7:16" s="1634" customFormat="1">
      <c r="G7275" s="3336"/>
      <c r="P7275" s="3337"/>
    </row>
    <row r="7276" spans="7:16" s="1634" customFormat="1">
      <c r="G7276" s="3336"/>
      <c r="P7276" s="3337"/>
    </row>
    <row r="7277" spans="7:16" s="1634" customFormat="1">
      <c r="G7277" s="3336"/>
      <c r="P7277" s="3337"/>
    </row>
    <row r="7278" spans="7:16" s="1634" customFormat="1">
      <c r="G7278" s="3336"/>
      <c r="P7278" s="3337"/>
    </row>
    <row r="7279" spans="7:16" s="1634" customFormat="1">
      <c r="G7279" s="3336"/>
      <c r="P7279" s="3337"/>
    </row>
    <row r="7280" spans="7:16" s="1634" customFormat="1">
      <c r="G7280" s="3336"/>
      <c r="P7280" s="3337"/>
    </row>
    <row r="7281" spans="7:16" s="1634" customFormat="1">
      <c r="G7281" s="3336"/>
      <c r="P7281" s="3337"/>
    </row>
    <row r="7282" spans="7:16" s="1634" customFormat="1">
      <c r="G7282" s="3336"/>
      <c r="P7282" s="3337"/>
    </row>
    <row r="7283" spans="7:16" s="1634" customFormat="1">
      <c r="G7283" s="3336"/>
      <c r="P7283" s="3337"/>
    </row>
    <row r="7284" spans="7:16" s="1634" customFormat="1">
      <c r="G7284" s="3336"/>
      <c r="P7284" s="3337"/>
    </row>
    <row r="7285" spans="7:16" s="1634" customFormat="1">
      <c r="G7285" s="3336"/>
      <c r="P7285" s="3337"/>
    </row>
    <row r="7286" spans="7:16" s="1634" customFormat="1">
      <c r="G7286" s="3336"/>
      <c r="P7286" s="3337"/>
    </row>
    <row r="7287" spans="7:16" s="1634" customFormat="1">
      <c r="G7287" s="3336"/>
      <c r="P7287" s="3337"/>
    </row>
    <row r="7288" spans="7:16" s="1634" customFormat="1">
      <c r="G7288" s="3336"/>
      <c r="P7288" s="3337"/>
    </row>
    <row r="7289" spans="7:16" s="1634" customFormat="1">
      <c r="G7289" s="3336"/>
      <c r="P7289" s="3337"/>
    </row>
    <row r="7290" spans="7:16" s="1634" customFormat="1">
      <c r="G7290" s="3336"/>
      <c r="P7290" s="3337"/>
    </row>
    <row r="7291" spans="7:16" s="1634" customFormat="1">
      <c r="G7291" s="3336"/>
      <c r="P7291" s="3337"/>
    </row>
    <row r="7292" spans="7:16" s="1634" customFormat="1">
      <c r="G7292" s="3336"/>
      <c r="P7292" s="3337"/>
    </row>
    <row r="7293" spans="7:16" s="1634" customFormat="1">
      <c r="G7293" s="3336"/>
      <c r="P7293" s="3337"/>
    </row>
    <row r="7294" spans="7:16" s="1634" customFormat="1">
      <c r="G7294" s="3336"/>
      <c r="P7294" s="3337"/>
    </row>
    <row r="7295" spans="7:16" s="1634" customFormat="1">
      <c r="G7295" s="3336"/>
      <c r="P7295" s="3337"/>
    </row>
    <row r="7296" spans="7:16" s="1634" customFormat="1">
      <c r="G7296" s="3336"/>
      <c r="P7296" s="3337"/>
    </row>
    <row r="7297" spans="7:16" s="1634" customFormat="1">
      <c r="G7297" s="3336"/>
      <c r="P7297" s="3337"/>
    </row>
    <row r="7298" spans="7:16" s="1634" customFormat="1">
      <c r="G7298" s="3336"/>
      <c r="P7298" s="3337"/>
    </row>
    <row r="7299" spans="7:16" s="1634" customFormat="1">
      <c r="G7299" s="3336"/>
      <c r="P7299" s="3337"/>
    </row>
    <row r="7300" spans="7:16" s="1634" customFormat="1">
      <c r="G7300" s="3336"/>
      <c r="P7300" s="3337"/>
    </row>
    <row r="7301" spans="7:16" s="1634" customFormat="1">
      <c r="G7301" s="3336"/>
      <c r="P7301" s="3337"/>
    </row>
    <row r="7302" spans="7:16" s="1634" customFormat="1">
      <c r="G7302" s="3336"/>
      <c r="P7302" s="3337"/>
    </row>
    <row r="7303" spans="7:16" s="1634" customFormat="1">
      <c r="G7303" s="3336"/>
      <c r="P7303" s="3337"/>
    </row>
    <row r="7304" spans="7:16" s="1634" customFormat="1">
      <c r="G7304" s="3336"/>
      <c r="P7304" s="3337"/>
    </row>
    <row r="7305" spans="7:16" s="1634" customFormat="1">
      <c r="G7305" s="3336"/>
      <c r="P7305" s="3337"/>
    </row>
    <row r="7306" spans="7:16" s="1634" customFormat="1">
      <c r="G7306" s="3336"/>
      <c r="P7306" s="3337"/>
    </row>
    <row r="7307" spans="7:16" s="1634" customFormat="1">
      <c r="G7307" s="3336"/>
      <c r="P7307" s="3337"/>
    </row>
    <row r="7308" spans="7:16" s="1634" customFormat="1">
      <c r="G7308" s="3336"/>
      <c r="P7308" s="3337"/>
    </row>
    <row r="7309" spans="7:16" s="1634" customFormat="1">
      <c r="G7309" s="3336"/>
      <c r="P7309" s="3337"/>
    </row>
    <row r="7310" spans="7:16" s="1634" customFormat="1">
      <c r="G7310" s="3336"/>
      <c r="P7310" s="3337"/>
    </row>
    <row r="7311" spans="7:16" s="1634" customFormat="1">
      <c r="G7311" s="3336"/>
      <c r="P7311" s="3337"/>
    </row>
    <row r="7312" spans="7:16" s="1634" customFormat="1">
      <c r="G7312" s="3336"/>
      <c r="P7312" s="3337"/>
    </row>
    <row r="7313" spans="7:16" s="1634" customFormat="1">
      <c r="G7313" s="3336"/>
      <c r="P7313" s="3337"/>
    </row>
    <row r="7314" spans="7:16" s="1634" customFormat="1">
      <c r="G7314" s="3336"/>
      <c r="P7314" s="3337"/>
    </row>
    <row r="7315" spans="7:16" s="1634" customFormat="1">
      <c r="G7315" s="3336"/>
      <c r="P7315" s="3337"/>
    </row>
    <row r="7316" spans="7:16" s="1634" customFormat="1">
      <c r="G7316" s="3336"/>
      <c r="P7316" s="3337"/>
    </row>
    <row r="7317" spans="7:16" s="1634" customFormat="1">
      <c r="G7317" s="3336"/>
      <c r="P7317" s="3337"/>
    </row>
    <row r="7318" spans="7:16" s="1634" customFormat="1">
      <c r="G7318" s="3336"/>
      <c r="P7318" s="3337"/>
    </row>
    <row r="7319" spans="7:16" s="1634" customFormat="1">
      <c r="G7319" s="3336"/>
      <c r="P7319" s="3337"/>
    </row>
    <row r="7320" spans="7:16" s="1634" customFormat="1">
      <c r="G7320" s="3336"/>
      <c r="P7320" s="3337"/>
    </row>
    <row r="7321" spans="7:16" s="1634" customFormat="1">
      <c r="G7321" s="3336"/>
      <c r="P7321" s="3337"/>
    </row>
    <row r="7322" spans="7:16" s="1634" customFormat="1">
      <c r="G7322" s="3336"/>
      <c r="P7322" s="3337"/>
    </row>
    <row r="7323" spans="7:16" s="1634" customFormat="1">
      <c r="G7323" s="3336"/>
      <c r="P7323" s="3337"/>
    </row>
    <row r="7324" spans="7:16" s="1634" customFormat="1">
      <c r="G7324" s="3336"/>
      <c r="P7324" s="3337"/>
    </row>
    <row r="7325" spans="7:16" s="1634" customFormat="1">
      <c r="G7325" s="3336"/>
      <c r="P7325" s="3337"/>
    </row>
    <row r="7326" spans="7:16" s="1634" customFormat="1">
      <c r="G7326" s="3336"/>
      <c r="P7326" s="3337"/>
    </row>
    <row r="7327" spans="7:16" s="1634" customFormat="1">
      <c r="G7327" s="3336"/>
      <c r="P7327" s="3337"/>
    </row>
    <row r="7328" spans="7:16" s="1634" customFormat="1">
      <c r="G7328" s="3336"/>
      <c r="P7328" s="3337"/>
    </row>
    <row r="7329" spans="7:16" s="1634" customFormat="1">
      <c r="G7329" s="3336"/>
      <c r="P7329" s="3337"/>
    </row>
    <row r="7330" spans="7:16" s="1634" customFormat="1">
      <c r="G7330" s="3336"/>
      <c r="P7330" s="3337"/>
    </row>
    <row r="7331" spans="7:16" s="1634" customFormat="1">
      <c r="G7331" s="3336"/>
      <c r="P7331" s="3337"/>
    </row>
    <row r="7332" spans="7:16" s="1634" customFormat="1">
      <c r="G7332" s="3336"/>
      <c r="P7332" s="3337"/>
    </row>
    <row r="7333" spans="7:16" s="1634" customFormat="1">
      <c r="G7333" s="3336"/>
      <c r="P7333" s="3337"/>
    </row>
    <row r="7334" spans="7:16" s="1634" customFormat="1">
      <c r="G7334" s="3336"/>
      <c r="P7334" s="3337"/>
    </row>
    <row r="7335" spans="7:16" s="1634" customFormat="1">
      <c r="G7335" s="3336"/>
      <c r="P7335" s="3337"/>
    </row>
    <row r="7336" spans="7:16" s="1634" customFormat="1">
      <c r="G7336" s="3336"/>
      <c r="P7336" s="3337"/>
    </row>
    <row r="7337" spans="7:16" s="1634" customFormat="1">
      <c r="G7337" s="3336"/>
      <c r="P7337" s="3337"/>
    </row>
    <row r="7338" spans="7:16" s="1634" customFormat="1">
      <c r="G7338" s="3336"/>
      <c r="P7338" s="3337"/>
    </row>
    <row r="7339" spans="7:16" s="1634" customFormat="1">
      <c r="G7339" s="3336"/>
      <c r="P7339" s="3337"/>
    </row>
    <row r="7340" spans="7:16" s="1634" customFormat="1">
      <c r="G7340" s="3336"/>
      <c r="P7340" s="3337"/>
    </row>
    <row r="7341" spans="7:16" s="1634" customFormat="1">
      <c r="G7341" s="3336"/>
      <c r="P7341" s="3337"/>
    </row>
    <row r="7342" spans="7:16" s="1634" customFormat="1">
      <c r="G7342" s="3336"/>
      <c r="P7342" s="3337"/>
    </row>
    <row r="7343" spans="7:16" s="1634" customFormat="1">
      <c r="G7343" s="3336"/>
      <c r="P7343" s="3337"/>
    </row>
    <row r="7344" spans="7:16" s="1634" customFormat="1">
      <c r="G7344" s="3336"/>
      <c r="P7344" s="3337"/>
    </row>
    <row r="7345" spans="7:16" s="1634" customFormat="1">
      <c r="G7345" s="3336"/>
      <c r="P7345" s="3337"/>
    </row>
    <row r="7346" spans="7:16" s="1634" customFormat="1">
      <c r="G7346" s="3336"/>
      <c r="P7346" s="3337"/>
    </row>
    <row r="7347" spans="7:16" s="1634" customFormat="1">
      <c r="G7347" s="3336"/>
      <c r="P7347" s="3337"/>
    </row>
    <row r="7348" spans="7:16" s="1634" customFormat="1">
      <c r="G7348" s="3336"/>
      <c r="P7348" s="3337"/>
    </row>
    <row r="7349" spans="7:16" s="1634" customFormat="1">
      <c r="G7349" s="3336"/>
      <c r="P7349" s="3337"/>
    </row>
    <row r="7350" spans="7:16" s="1634" customFormat="1">
      <c r="G7350" s="3336"/>
      <c r="P7350" s="3337"/>
    </row>
    <row r="7351" spans="7:16" s="1634" customFormat="1">
      <c r="G7351" s="3336"/>
      <c r="P7351" s="3337"/>
    </row>
    <row r="7352" spans="7:16" s="1634" customFormat="1">
      <c r="G7352" s="3336"/>
      <c r="P7352" s="3337"/>
    </row>
    <row r="7353" spans="7:16" s="1634" customFormat="1">
      <c r="G7353" s="3336"/>
      <c r="P7353" s="3337"/>
    </row>
    <row r="7354" spans="7:16" s="1634" customFormat="1">
      <c r="G7354" s="3336"/>
      <c r="P7354" s="3337"/>
    </row>
    <row r="7355" spans="7:16" s="1634" customFormat="1">
      <c r="G7355" s="3336"/>
      <c r="P7355" s="3337"/>
    </row>
    <row r="7356" spans="7:16" s="1634" customFormat="1">
      <c r="G7356" s="3336"/>
      <c r="P7356" s="3337"/>
    </row>
    <row r="7357" spans="7:16" s="1634" customFormat="1">
      <c r="G7357" s="3336"/>
      <c r="P7357" s="3337"/>
    </row>
    <row r="7358" spans="7:16" s="1634" customFormat="1">
      <c r="G7358" s="3336"/>
      <c r="P7358" s="3337"/>
    </row>
    <row r="7359" spans="7:16" s="1634" customFormat="1">
      <c r="G7359" s="3336"/>
      <c r="P7359" s="3337"/>
    </row>
    <row r="7360" spans="7:16" s="1634" customFormat="1">
      <c r="G7360" s="3336"/>
      <c r="P7360" s="3337"/>
    </row>
    <row r="7361" spans="7:16" s="1634" customFormat="1">
      <c r="G7361" s="3336"/>
      <c r="P7361" s="3337"/>
    </row>
    <row r="7362" spans="7:16" s="1634" customFormat="1">
      <c r="G7362" s="3336"/>
      <c r="P7362" s="3337"/>
    </row>
    <row r="7363" spans="7:16" s="1634" customFormat="1">
      <c r="G7363" s="3336"/>
      <c r="P7363" s="3337"/>
    </row>
    <row r="7364" spans="7:16" s="1634" customFormat="1">
      <c r="G7364" s="3336"/>
      <c r="P7364" s="3337"/>
    </row>
    <row r="7365" spans="7:16" s="1634" customFormat="1">
      <c r="G7365" s="3336"/>
      <c r="P7365" s="3337"/>
    </row>
    <row r="7366" spans="7:16" s="1634" customFormat="1">
      <c r="G7366" s="3336"/>
      <c r="P7366" s="3337"/>
    </row>
    <row r="7367" spans="7:16" s="1634" customFormat="1">
      <c r="G7367" s="3336"/>
      <c r="P7367" s="3337"/>
    </row>
    <row r="7368" spans="7:16" s="1634" customFormat="1">
      <c r="G7368" s="3336"/>
      <c r="P7368" s="3337"/>
    </row>
    <row r="7369" spans="7:16" s="1634" customFormat="1">
      <c r="G7369" s="3336"/>
      <c r="P7369" s="3337"/>
    </row>
    <row r="7370" spans="7:16" s="1634" customFormat="1">
      <c r="G7370" s="3336"/>
      <c r="P7370" s="3337"/>
    </row>
    <row r="7371" spans="7:16" s="1634" customFormat="1">
      <c r="G7371" s="3336"/>
      <c r="P7371" s="3337"/>
    </row>
    <row r="7372" spans="7:16" s="1634" customFormat="1">
      <c r="G7372" s="3336"/>
      <c r="P7372" s="3337"/>
    </row>
    <row r="7373" spans="7:16" s="1634" customFormat="1">
      <c r="G7373" s="3336"/>
      <c r="P7373" s="3337"/>
    </row>
    <row r="7374" spans="7:16" s="1634" customFormat="1">
      <c r="G7374" s="3336"/>
      <c r="P7374" s="3337"/>
    </row>
    <row r="7375" spans="7:16" s="1634" customFormat="1">
      <c r="G7375" s="3336"/>
      <c r="P7375" s="3337"/>
    </row>
    <row r="7376" spans="7:16" s="1634" customFormat="1">
      <c r="G7376" s="3336"/>
      <c r="P7376" s="3337"/>
    </row>
    <row r="7377" spans="7:16" s="1634" customFormat="1">
      <c r="G7377" s="3336"/>
      <c r="P7377" s="3337"/>
    </row>
    <row r="7378" spans="7:16" s="1634" customFormat="1">
      <c r="G7378" s="3336"/>
      <c r="P7378" s="3337"/>
    </row>
    <row r="7379" spans="7:16" s="1634" customFormat="1">
      <c r="G7379" s="3336"/>
      <c r="P7379" s="3337"/>
    </row>
    <row r="7380" spans="7:16" s="1634" customFormat="1">
      <c r="G7380" s="3336"/>
      <c r="P7380" s="3337"/>
    </row>
    <row r="7381" spans="7:16" s="1634" customFormat="1">
      <c r="G7381" s="3336"/>
      <c r="P7381" s="3337"/>
    </row>
    <row r="7382" spans="7:16" s="1634" customFormat="1">
      <c r="G7382" s="3336"/>
      <c r="P7382" s="3337"/>
    </row>
    <row r="7383" spans="7:16" s="1634" customFormat="1">
      <c r="G7383" s="3336"/>
      <c r="P7383" s="3337"/>
    </row>
    <row r="7384" spans="7:16" s="1634" customFormat="1">
      <c r="G7384" s="3336"/>
      <c r="P7384" s="3337"/>
    </row>
    <row r="7385" spans="7:16" s="1634" customFormat="1">
      <c r="G7385" s="3336"/>
      <c r="P7385" s="3337"/>
    </row>
    <row r="7386" spans="7:16" s="1634" customFormat="1">
      <c r="G7386" s="3336"/>
      <c r="P7386" s="3337"/>
    </row>
    <row r="7387" spans="7:16" s="1634" customFormat="1">
      <c r="G7387" s="3336"/>
      <c r="P7387" s="3337"/>
    </row>
    <row r="7388" spans="7:16" s="1634" customFormat="1">
      <c r="G7388" s="3336"/>
      <c r="P7388" s="3337"/>
    </row>
    <row r="7389" spans="7:16" s="1634" customFormat="1">
      <c r="G7389" s="3336"/>
      <c r="P7389" s="3337"/>
    </row>
    <row r="7390" spans="7:16" s="1634" customFormat="1">
      <c r="G7390" s="3336"/>
      <c r="P7390" s="3337"/>
    </row>
    <row r="7391" spans="7:16" s="1634" customFormat="1">
      <c r="G7391" s="3336"/>
      <c r="P7391" s="3337"/>
    </row>
    <row r="7392" spans="7:16" s="1634" customFormat="1">
      <c r="G7392" s="3336"/>
      <c r="P7392" s="3337"/>
    </row>
    <row r="7393" spans="7:16" s="1634" customFormat="1">
      <c r="G7393" s="3336"/>
      <c r="P7393" s="3337"/>
    </row>
    <row r="7394" spans="7:16" s="1634" customFormat="1">
      <c r="G7394" s="3336"/>
      <c r="P7394" s="3337"/>
    </row>
    <row r="7395" spans="7:16" s="1634" customFormat="1">
      <c r="G7395" s="3336"/>
      <c r="P7395" s="3337"/>
    </row>
    <row r="7396" spans="7:16" s="1634" customFormat="1">
      <c r="G7396" s="3336"/>
      <c r="P7396" s="3337"/>
    </row>
    <row r="7397" spans="7:16" s="1634" customFormat="1">
      <c r="G7397" s="3336"/>
      <c r="P7397" s="3337"/>
    </row>
    <row r="7398" spans="7:16" s="1634" customFormat="1">
      <c r="G7398" s="3336"/>
      <c r="P7398" s="3337"/>
    </row>
    <row r="7399" spans="7:16" s="1634" customFormat="1">
      <c r="G7399" s="3336"/>
      <c r="P7399" s="3337"/>
    </row>
    <row r="7400" spans="7:16" s="1634" customFormat="1">
      <c r="G7400" s="3336"/>
      <c r="P7400" s="3337"/>
    </row>
    <row r="7401" spans="7:16" s="1634" customFormat="1">
      <c r="G7401" s="3336"/>
      <c r="P7401" s="3337"/>
    </row>
    <row r="7402" spans="7:16" s="1634" customFormat="1">
      <c r="G7402" s="3336"/>
      <c r="P7402" s="3337"/>
    </row>
    <row r="7403" spans="7:16" s="1634" customFormat="1">
      <c r="G7403" s="3336"/>
      <c r="P7403" s="3337"/>
    </row>
    <row r="7404" spans="7:16" s="1634" customFormat="1">
      <c r="G7404" s="3336"/>
      <c r="P7404" s="3337"/>
    </row>
    <row r="7405" spans="7:16" s="1634" customFormat="1">
      <c r="G7405" s="3336"/>
      <c r="P7405" s="3337"/>
    </row>
    <row r="7406" spans="7:16" s="1634" customFormat="1">
      <c r="G7406" s="3336"/>
      <c r="P7406" s="3337"/>
    </row>
    <row r="7407" spans="7:16" s="1634" customFormat="1">
      <c r="G7407" s="3336"/>
      <c r="P7407" s="3337"/>
    </row>
    <row r="7408" spans="7:16" s="1634" customFormat="1">
      <c r="G7408" s="3336"/>
      <c r="P7408" s="3337"/>
    </row>
    <row r="7409" spans="7:16" s="1634" customFormat="1">
      <c r="G7409" s="3336"/>
      <c r="P7409" s="3337"/>
    </row>
    <row r="7410" spans="7:16" s="1634" customFormat="1">
      <c r="G7410" s="3336"/>
      <c r="P7410" s="3337"/>
    </row>
    <row r="7411" spans="7:16" s="1634" customFormat="1">
      <c r="G7411" s="3336"/>
      <c r="P7411" s="3337"/>
    </row>
    <row r="7412" spans="7:16" s="1634" customFormat="1">
      <c r="G7412" s="3336"/>
      <c r="P7412" s="3337"/>
    </row>
    <row r="7413" spans="7:16" s="1634" customFormat="1">
      <c r="G7413" s="3336"/>
      <c r="P7413" s="3337"/>
    </row>
    <row r="7414" spans="7:16" s="1634" customFormat="1">
      <c r="G7414" s="3336"/>
      <c r="P7414" s="3337"/>
    </row>
    <row r="7415" spans="7:16" s="1634" customFormat="1">
      <c r="G7415" s="3336"/>
      <c r="P7415" s="3337"/>
    </row>
    <row r="7416" spans="7:16" s="1634" customFormat="1">
      <c r="G7416" s="3336"/>
      <c r="P7416" s="3337"/>
    </row>
    <row r="7417" spans="7:16" s="1634" customFormat="1">
      <c r="G7417" s="3336"/>
      <c r="P7417" s="3337"/>
    </row>
    <row r="7418" spans="7:16" s="1634" customFormat="1">
      <c r="G7418" s="3336"/>
      <c r="P7418" s="3337"/>
    </row>
    <row r="7419" spans="7:16" s="1634" customFormat="1">
      <c r="G7419" s="3336"/>
      <c r="P7419" s="3337"/>
    </row>
    <row r="7420" spans="7:16" s="1634" customFormat="1">
      <c r="G7420" s="3336"/>
      <c r="P7420" s="3337"/>
    </row>
    <row r="7421" spans="7:16" s="1634" customFormat="1">
      <c r="G7421" s="3336"/>
      <c r="P7421" s="3337"/>
    </row>
    <row r="7422" spans="7:16" s="1634" customFormat="1">
      <c r="G7422" s="3336"/>
      <c r="P7422" s="3337"/>
    </row>
    <row r="7423" spans="7:16" s="1634" customFormat="1">
      <c r="G7423" s="3336"/>
      <c r="P7423" s="3337"/>
    </row>
    <row r="7424" spans="7:16" s="1634" customFormat="1">
      <c r="G7424" s="3336"/>
      <c r="P7424" s="3337"/>
    </row>
    <row r="7425" spans="7:16" s="1634" customFormat="1">
      <c r="G7425" s="3336"/>
      <c r="P7425" s="3337"/>
    </row>
    <row r="7426" spans="7:16" s="1634" customFormat="1">
      <c r="G7426" s="3336"/>
      <c r="P7426" s="3337"/>
    </row>
    <row r="7427" spans="7:16" s="1634" customFormat="1">
      <c r="G7427" s="3336"/>
      <c r="P7427" s="3337"/>
    </row>
    <row r="7428" spans="7:16" s="1634" customFormat="1">
      <c r="G7428" s="3336"/>
      <c r="P7428" s="3337"/>
    </row>
    <row r="7429" spans="7:16" s="1634" customFormat="1">
      <c r="G7429" s="3336"/>
      <c r="P7429" s="3337"/>
    </row>
    <row r="7430" spans="7:16" s="1634" customFormat="1">
      <c r="G7430" s="3336"/>
      <c r="P7430" s="3337"/>
    </row>
    <row r="7431" spans="7:16" s="1634" customFormat="1">
      <c r="G7431" s="3336"/>
      <c r="P7431" s="3337"/>
    </row>
    <row r="7432" spans="7:16" s="1634" customFormat="1">
      <c r="G7432" s="3336"/>
      <c r="P7432" s="3337"/>
    </row>
    <row r="7433" spans="7:16" s="1634" customFormat="1">
      <c r="G7433" s="3336"/>
      <c r="P7433" s="3337"/>
    </row>
    <row r="7434" spans="7:16" s="1634" customFormat="1">
      <c r="G7434" s="3336"/>
      <c r="P7434" s="3337"/>
    </row>
    <row r="7435" spans="7:16" s="1634" customFormat="1">
      <c r="G7435" s="3336"/>
      <c r="P7435" s="3337"/>
    </row>
    <row r="7436" spans="7:16" s="1634" customFormat="1">
      <c r="G7436" s="3336"/>
      <c r="P7436" s="3337"/>
    </row>
    <row r="7437" spans="7:16" s="1634" customFormat="1">
      <c r="G7437" s="3336"/>
      <c r="P7437" s="3337"/>
    </row>
    <row r="7438" spans="7:16" s="1634" customFormat="1">
      <c r="G7438" s="3336"/>
      <c r="P7438" s="3337"/>
    </row>
    <row r="7439" spans="7:16" s="1634" customFormat="1">
      <c r="G7439" s="3336"/>
      <c r="P7439" s="3337"/>
    </row>
    <row r="7440" spans="7:16" s="1634" customFormat="1">
      <c r="G7440" s="3336"/>
      <c r="P7440" s="3337"/>
    </row>
    <row r="7441" spans="7:16" s="1634" customFormat="1">
      <c r="G7441" s="3336"/>
      <c r="P7441" s="3337"/>
    </row>
    <row r="7442" spans="7:16" s="1634" customFormat="1">
      <c r="G7442" s="3336"/>
      <c r="P7442" s="3337"/>
    </row>
    <row r="7443" spans="7:16" s="1634" customFormat="1">
      <c r="G7443" s="3336"/>
      <c r="P7443" s="3337"/>
    </row>
    <row r="7444" spans="7:16" s="1634" customFormat="1">
      <c r="G7444" s="3336"/>
      <c r="P7444" s="3337"/>
    </row>
    <row r="7445" spans="7:16" s="1634" customFormat="1">
      <c r="G7445" s="3336"/>
      <c r="P7445" s="3337"/>
    </row>
    <row r="7446" spans="7:16" s="1634" customFormat="1">
      <c r="G7446" s="3336"/>
      <c r="P7446" s="3337"/>
    </row>
    <row r="7447" spans="7:16" s="1634" customFormat="1">
      <c r="G7447" s="3336"/>
      <c r="P7447" s="3337"/>
    </row>
    <row r="7448" spans="7:16" s="1634" customFormat="1">
      <c r="G7448" s="3336"/>
      <c r="P7448" s="3337"/>
    </row>
    <row r="7449" spans="7:16" s="1634" customFormat="1">
      <c r="G7449" s="3336"/>
      <c r="P7449" s="3337"/>
    </row>
    <row r="7450" spans="7:16" s="1634" customFormat="1">
      <c r="G7450" s="3336"/>
      <c r="P7450" s="3337"/>
    </row>
    <row r="7451" spans="7:16" s="1634" customFormat="1">
      <c r="G7451" s="3336"/>
      <c r="P7451" s="3337"/>
    </row>
    <row r="7452" spans="7:16" s="1634" customFormat="1">
      <c r="G7452" s="3336"/>
      <c r="P7452" s="3337"/>
    </row>
    <row r="7453" spans="7:16" s="1634" customFormat="1">
      <c r="G7453" s="3336"/>
      <c r="P7453" s="3337"/>
    </row>
    <row r="7454" spans="7:16" s="1634" customFormat="1">
      <c r="G7454" s="3336"/>
      <c r="P7454" s="3337"/>
    </row>
    <row r="7455" spans="7:16" s="1634" customFormat="1">
      <c r="G7455" s="3336"/>
      <c r="P7455" s="3337"/>
    </row>
    <row r="7456" spans="7:16" s="1634" customFormat="1">
      <c r="G7456" s="3336"/>
      <c r="P7456" s="3337"/>
    </row>
    <row r="7457" spans="7:16" s="1634" customFormat="1">
      <c r="G7457" s="3336"/>
      <c r="P7457" s="3337"/>
    </row>
    <row r="7458" spans="7:16" s="1634" customFormat="1">
      <c r="G7458" s="3336"/>
      <c r="P7458" s="3337"/>
    </row>
    <row r="7459" spans="7:16" s="1634" customFormat="1">
      <c r="G7459" s="3336"/>
      <c r="P7459" s="3337"/>
    </row>
    <row r="7460" spans="7:16" s="1634" customFormat="1">
      <c r="G7460" s="3336"/>
      <c r="P7460" s="3337"/>
    </row>
    <row r="7461" spans="7:16" s="1634" customFormat="1">
      <c r="G7461" s="3336"/>
      <c r="P7461" s="3337"/>
    </row>
    <row r="7462" spans="7:16" s="1634" customFormat="1">
      <c r="G7462" s="3336"/>
      <c r="P7462" s="3337"/>
    </row>
    <row r="7463" spans="7:16" s="1634" customFormat="1">
      <c r="G7463" s="3336"/>
      <c r="P7463" s="3337"/>
    </row>
    <row r="7464" spans="7:16" s="1634" customFormat="1">
      <c r="G7464" s="3336"/>
      <c r="P7464" s="3337"/>
    </row>
    <row r="7465" spans="7:16" s="1634" customFormat="1">
      <c r="G7465" s="3336"/>
      <c r="P7465" s="3337"/>
    </row>
    <row r="7466" spans="7:16" s="1634" customFormat="1">
      <c r="G7466" s="3336"/>
      <c r="P7466" s="3337"/>
    </row>
    <row r="7467" spans="7:16" s="1634" customFormat="1">
      <c r="G7467" s="3336"/>
      <c r="P7467" s="3337"/>
    </row>
    <row r="7468" spans="7:16" s="1634" customFormat="1">
      <c r="G7468" s="3336"/>
      <c r="P7468" s="3337"/>
    </row>
    <row r="7469" spans="7:16" s="1634" customFormat="1">
      <c r="G7469" s="3336"/>
      <c r="P7469" s="3337"/>
    </row>
    <row r="7470" spans="7:16" s="1634" customFormat="1">
      <c r="G7470" s="3336"/>
      <c r="P7470" s="3337"/>
    </row>
    <row r="7471" spans="7:16" s="1634" customFormat="1">
      <c r="G7471" s="3336"/>
      <c r="P7471" s="3337"/>
    </row>
    <row r="7472" spans="7:16" s="1634" customFormat="1">
      <c r="G7472" s="3336"/>
      <c r="P7472" s="3337"/>
    </row>
    <row r="7473" spans="7:16" s="1634" customFormat="1">
      <c r="G7473" s="3336"/>
      <c r="P7473" s="3337"/>
    </row>
    <row r="7474" spans="7:16" s="1634" customFormat="1">
      <c r="G7474" s="3336"/>
      <c r="P7474" s="3337"/>
    </row>
    <row r="7475" spans="7:16" s="1634" customFormat="1">
      <c r="G7475" s="3336"/>
      <c r="P7475" s="3337"/>
    </row>
    <row r="7476" spans="7:16" s="1634" customFormat="1">
      <c r="G7476" s="3336"/>
      <c r="P7476" s="3337"/>
    </row>
    <row r="7477" spans="7:16" s="1634" customFormat="1">
      <c r="G7477" s="3336"/>
      <c r="P7477" s="3337"/>
    </row>
    <row r="7478" spans="7:16" s="1634" customFormat="1">
      <c r="G7478" s="3336"/>
      <c r="P7478" s="3337"/>
    </row>
    <row r="7479" spans="7:16" s="1634" customFormat="1">
      <c r="G7479" s="3336"/>
      <c r="P7479" s="3337"/>
    </row>
    <row r="7480" spans="7:16" s="1634" customFormat="1">
      <c r="G7480" s="3336"/>
      <c r="P7480" s="3337"/>
    </row>
    <row r="7481" spans="7:16" s="1634" customFormat="1">
      <c r="G7481" s="3336"/>
      <c r="P7481" s="3337"/>
    </row>
    <row r="7482" spans="7:16" s="1634" customFormat="1">
      <c r="G7482" s="3336"/>
      <c r="P7482" s="3337"/>
    </row>
    <row r="7483" spans="7:16" s="1634" customFormat="1">
      <c r="G7483" s="3336"/>
      <c r="P7483" s="3337"/>
    </row>
    <row r="7484" spans="7:16" s="1634" customFormat="1">
      <c r="G7484" s="3336"/>
      <c r="P7484" s="3337"/>
    </row>
    <row r="7485" spans="7:16" s="1634" customFormat="1">
      <c r="G7485" s="3336"/>
      <c r="P7485" s="3337"/>
    </row>
    <row r="7486" spans="7:16" s="1634" customFormat="1">
      <c r="G7486" s="3336"/>
      <c r="P7486" s="3337"/>
    </row>
    <row r="7487" spans="7:16" s="1634" customFormat="1">
      <c r="G7487" s="3336"/>
      <c r="P7487" s="3337"/>
    </row>
    <row r="7488" spans="7:16" s="1634" customFormat="1">
      <c r="G7488" s="3336"/>
      <c r="P7488" s="3337"/>
    </row>
    <row r="7489" spans="7:16" s="1634" customFormat="1">
      <c r="G7489" s="3336"/>
      <c r="P7489" s="3337"/>
    </row>
    <row r="7490" spans="7:16" s="1634" customFormat="1">
      <c r="G7490" s="3336"/>
      <c r="P7490" s="3337"/>
    </row>
    <row r="7491" spans="7:16" s="1634" customFormat="1">
      <c r="G7491" s="3336"/>
      <c r="P7491" s="3337"/>
    </row>
    <row r="7492" spans="7:16" s="1634" customFormat="1">
      <c r="G7492" s="3336"/>
      <c r="P7492" s="3337"/>
    </row>
    <row r="7493" spans="7:16" s="1634" customFormat="1">
      <c r="G7493" s="3336"/>
      <c r="P7493" s="3337"/>
    </row>
    <row r="7494" spans="7:16" s="1634" customFormat="1">
      <c r="G7494" s="3336"/>
      <c r="P7494" s="3337"/>
    </row>
    <row r="7495" spans="7:16" s="1634" customFormat="1">
      <c r="G7495" s="3336"/>
      <c r="P7495" s="3337"/>
    </row>
    <row r="7496" spans="7:16" s="1634" customFormat="1">
      <c r="G7496" s="3336"/>
      <c r="P7496" s="3337"/>
    </row>
    <row r="7497" spans="7:16" s="1634" customFormat="1">
      <c r="G7497" s="3336"/>
      <c r="P7497" s="3337"/>
    </row>
    <row r="7498" spans="7:16" s="1634" customFormat="1">
      <c r="G7498" s="3336"/>
      <c r="P7498" s="3337"/>
    </row>
    <row r="7499" spans="7:16" s="1634" customFormat="1">
      <c r="G7499" s="3336"/>
      <c r="P7499" s="3337"/>
    </row>
    <row r="7500" spans="7:16" s="1634" customFormat="1">
      <c r="G7500" s="3336"/>
      <c r="P7500" s="3337"/>
    </row>
    <row r="7501" spans="7:16" s="1634" customFormat="1">
      <c r="G7501" s="3336"/>
      <c r="P7501" s="3337"/>
    </row>
    <row r="7502" spans="7:16" s="1634" customFormat="1">
      <c r="G7502" s="3336"/>
      <c r="P7502" s="3337"/>
    </row>
    <row r="7503" spans="7:16" s="1634" customFormat="1">
      <c r="G7503" s="3336"/>
      <c r="P7503" s="3337"/>
    </row>
    <row r="7504" spans="7:16" s="1634" customFormat="1">
      <c r="G7504" s="3336"/>
      <c r="P7504" s="3337"/>
    </row>
    <row r="7505" spans="7:16" s="1634" customFormat="1">
      <c r="G7505" s="3336"/>
      <c r="P7505" s="3337"/>
    </row>
    <row r="7506" spans="7:16" s="1634" customFormat="1">
      <c r="G7506" s="3336"/>
      <c r="P7506" s="3337"/>
    </row>
    <row r="7507" spans="7:16" s="1634" customFormat="1">
      <c r="G7507" s="3336"/>
      <c r="P7507" s="3337"/>
    </row>
    <row r="7508" spans="7:16" s="1634" customFormat="1">
      <c r="G7508" s="3336"/>
      <c r="P7508" s="3337"/>
    </row>
    <row r="7509" spans="7:16" s="1634" customFormat="1">
      <c r="G7509" s="3336"/>
      <c r="P7509" s="3337"/>
    </row>
    <row r="7510" spans="7:16" s="1634" customFormat="1">
      <c r="G7510" s="3336"/>
      <c r="P7510" s="3337"/>
    </row>
    <row r="7511" spans="7:16" s="1634" customFormat="1">
      <c r="G7511" s="3336"/>
      <c r="P7511" s="3337"/>
    </row>
    <row r="7512" spans="7:16" s="1634" customFormat="1">
      <c r="G7512" s="3336"/>
      <c r="P7512" s="3337"/>
    </row>
    <row r="7513" spans="7:16" s="1634" customFormat="1">
      <c r="G7513" s="3336"/>
      <c r="P7513" s="3337"/>
    </row>
    <row r="7514" spans="7:16" s="1634" customFormat="1">
      <c r="G7514" s="3336"/>
      <c r="P7514" s="3337"/>
    </row>
    <row r="7515" spans="7:16" s="1634" customFormat="1">
      <c r="G7515" s="3336"/>
      <c r="P7515" s="3337"/>
    </row>
    <row r="7516" spans="7:16" s="1634" customFormat="1">
      <c r="G7516" s="3336"/>
      <c r="P7516" s="3337"/>
    </row>
    <row r="7517" spans="7:16" s="1634" customFormat="1">
      <c r="G7517" s="3336"/>
      <c r="P7517" s="3337"/>
    </row>
    <row r="7518" spans="7:16" s="1634" customFormat="1">
      <c r="G7518" s="3336"/>
      <c r="P7518" s="3337"/>
    </row>
    <row r="7519" spans="7:16" s="1634" customFormat="1">
      <c r="G7519" s="3336"/>
      <c r="P7519" s="3337"/>
    </row>
    <row r="7520" spans="7:16" s="1634" customFormat="1">
      <c r="G7520" s="3336"/>
      <c r="P7520" s="3337"/>
    </row>
    <row r="7521" spans="7:16" s="1634" customFormat="1">
      <c r="G7521" s="3336"/>
      <c r="P7521" s="3337"/>
    </row>
    <row r="7522" spans="7:16" s="1634" customFormat="1">
      <c r="G7522" s="3336"/>
      <c r="P7522" s="3337"/>
    </row>
    <row r="7523" spans="7:16" s="1634" customFormat="1">
      <c r="G7523" s="3336"/>
      <c r="P7523" s="3337"/>
    </row>
    <row r="7524" spans="7:16" s="1634" customFormat="1">
      <c r="G7524" s="3336"/>
      <c r="P7524" s="3337"/>
    </row>
    <row r="7525" spans="7:16" s="1634" customFormat="1">
      <c r="G7525" s="3336"/>
      <c r="P7525" s="3337"/>
    </row>
    <row r="7526" spans="7:16" s="1634" customFormat="1">
      <c r="G7526" s="3336"/>
      <c r="P7526" s="3337"/>
    </row>
    <row r="7527" spans="7:16" s="1634" customFormat="1">
      <c r="G7527" s="3336"/>
      <c r="P7527" s="3337"/>
    </row>
    <row r="7528" spans="7:16" s="1634" customFormat="1">
      <c r="G7528" s="3336"/>
      <c r="P7528" s="3337"/>
    </row>
    <row r="7529" spans="7:16" s="1634" customFormat="1">
      <c r="G7529" s="3336"/>
      <c r="P7529" s="3337"/>
    </row>
    <row r="7530" spans="7:16" s="1634" customFormat="1">
      <c r="G7530" s="3336"/>
      <c r="P7530" s="3337"/>
    </row>
    <row r="7531" spans="7:16" s="1634" customFormat="1">
      <c r="G7531" s="3336"/>
      <c r="P7531" s="3337"/>
    </row>
    <row r="7532" spans="7:16" s="1634" customFormat="1">
      <c r="G7532" s="3336"/>
      <c r="P7532" s="3337"/>
    </row>
    <row r="7533" spans="7:16" s="1634" customFormat="1">
      <c r="G7533" s="3336"/>
      <c r="P7533" s="3337"/>
    </row>
    <row r="7534" spans="7:16" s="1634" customFormat="1">
      <c r="G7534" s="3336"/>
      <c r="P7534" s="3337"/>
    </row>
    <row r="7535" spans="7:16" s="1634" customFormat="1">
      <c r="G7535" s="3336"/>
      <c r="P7535" s="3337"/>
    </row>
    <row r="7536" spans="7:16" s="1634" customFormat="1">
      <c r="G7536" s="3336"/>
      <c r="P7536" s="3337"/>
    </row>
    <row r="7537" spans="7:16" s="1634" customFormat="1">
      <c r="G7537" s="3336"/>
      <c r="P7537" s="3337"/>
    </row>
    <row r="7538" spans="7:16" s="1634" customFormat="1">
      <c r="G7538" s="3336"/>
      <c r="P7538" s="3337"/>
    </row>
    <row r="7539" spans="7:16" s="1634" customFormat="1">
      <c r="G7539" s="3336"/>
      <c r="P7539" s="3337"/>
    </row>
    <row r="7540" spans="7:16" s="1634" customFormat="1">
      <c r="G7540" s="3336"/>
      <c r="P7540" s="3337"/>
    </row>
    <row r="7541" spans="7:16" s="1634" customFormat="1">
      <c r="G7541" s="3336"/>
      <c r="P7541" s="3337"/>
    </row>
    <row r="7542" spans="7:16" s="1634" customFormat="1">
      <c r="G7542" s="3336"/>
      <c r="P7542" s="3337"/>
    </row>
    <row r="7543" spans="7:16" s="1634" customFormat="1">
      <c r="G7543" s="3336"/>
      <c r="P7543" s="3337"/>
    </row>
    <row r="7544" spans="7:16" s="1634" customFormat="1">
      <c r="G7544" s="3336"/>
      <c r="P7544" s="3337"/>
    </row>
    <row r="7545" spans="7:16" s="1634" customFormat="1">
      <c r="G7545" s="3336"/>
      <c r="P7545" s="3337"/>
    </row>
    <row r="7546" spans="7:16" s="1634" customFormat="1">
      <c r="G7546" s="3336"/>
      <c r="P7546" s="3337"/>
    </row>
    <row r="7547" spans="7:16" s="1634" customFormat="1">
      <c r="G7547" s="3336"/>
      <c r="P7547" s="3337"/>
    </row>
    <row r="7548" spans="7:16" s="1634" customFormat="1">
      <c r="G7548" s="3336"/>
      <c r="P7548" s="3337"/>
    </row>
    <row r="7549" spans="7:16" s="1634" customFormat="1">
      <c r="G7549" s="3336"/>
      <c r="P7549" s="3337"/>
    </row>
    <row r="7550" spans="7:16" s="1634" customFormat="1">
      <c r="G7550" s="3336"/>
      <c r="P7550" s="3337"/>
    </row>
    <row r="7551" spans="7:16" s="1634" customFormat="1">
      <c r="G7551" s="3336"/>
      <c r="P7551" s="3337"/>
    </row>
    <row r="7552" spans="7:16" s="1634" customFormat="1">
      <c r="G7552" s="3336"/>
      <c r="P7552" s="3337"/>
    </row>
    <row r="7553" spans="7:16" s="1634" customFormat="1">
      <c r="G7553" s="3336"/>
      <c r="P7553" s="3337"/>
    </row>
    <row r="7554" spans="7:16" s="1634" customFormat="1">
      <c r="G7554" s="3336"/>
      <c r="P7554" s="3337"/>
    </row>
    <row r="7555" spans="7:16" s="1634" customFormat="1">
      <c r="G7555" s="3336"/>
      <c r="P7555" s="3337"/>
    </row>
    <row r="7556" spans="7:16" s="1634" customFormat="1">
      <c r="G7556" s="3336"/>
      <c r="P7556" s="3337"/>
    </row>
    <row r="7557" spans="7:16" s="1634" customFormat="1">
      <c r="G7557" s="3336"/>
      <c r="P7557" s="3337"/>
    </row>
    <row r="7558" spans="7:16" s="1634" customFormat="1">
      <c r="G7558" s="3336"/>
      <c r="P7558" s="3337"/>
    </row>
    <row r="7559" spans="7:16" s="1634" customFormat="1">
      <c r="G7559" s="3336"/>
      <c r="P7559" s="3337"/>
    </row>
    <row r="7560" spans="7:16" s="1634" customFormat="1">
      <c r="G7560" s="3336"/>
      <c r="P7560" s="3337"/>
    </row>
    <row r="7561" spans="7:16" s="1634" customFormat="1">
      <c r="G7561" s="3336"/>
      <c r="P7561" s="3337"/>
    </row>
    <row r="7562" spans="7:16" s="1634" customFormat="1">
      <c r="G7562" s="3336"/>
      <c r="P7562" s="3337"/>
    </row>
    <row r="7563" spans="7:16" s="1634" customFormat="1">
      <c r="G7563" s="3336"/>
      <c r="P7563" s="3337"/>
    </row>
    <row r="7564" spans="7:16" s="1634" customFormat="1">
      <c r="G7564" s="3336"/>
      <c r="P7564" s="3337"/>
    </row>
    <row r="7565" spans="7:16" s="1634" customFormat="1">
      <c r="G7565" s="3336"/>
      <c r="P7565" s="3337"/>
    </row>
    <row r="7566" spans="7:16" s="1634" customFormat="1">
      <c r="G7566" s="3336"/>
      <c r="P7566" s="3337"/>
    </row>
    <row r="7567" spans="7:16" s="1634" customFormat="1">
      <c r="G7567" s="3336"/>
      <c r="P7567" s="3337"/>
    </row>
    <row r="7568" spans="7:16" s="1634" customFormat="1">
      <c r="G7568" s="3336"/>
      <c r="P7568" s="3337"/>
    </row>
    <row r="7569" spans="7:16" s="1634" customFormat="1">
      <c r="G7569" s="3336"/>
      <c r="P7569" s="3337"/>
    </row>
    <row r="7570" spans="7:16" s="1634" customFormat="1">
      <c r="G7570" s="3336"/>
      <c r="P7570" s="3337"/>
    </row>
    <row r="7571" spans="7:16" s="1634" customFormat="1">
      <c r="G7571" s="3336"/>
      <c r="P7571" s="3337"/>
    </row>
    <row r="7572" spans="7:16" s="1634" customFormat="1">
      <c r="G7572" s="3336"/>
      <c r="P7572" s="3337"/>
    </row>
    <row r="7573" spans="7:16" s="1634" customFormat="1">
      <c r="G7573" s="3336"/>
      <c r="P7573" s="3337"/>
    </row>
    <row r="7574" spans="7:16" s="1634" customFormat="1">
      <c r="G7574" s="3336"/>
      <c r="P7574" s="3337"/>
    </row>
    <row r="7575" spans="7:16" s="1634" customFormat="1">
      <c r="G7575" s="3336"/>
      <c r="P7575" s="3337"/>
    </row>
    <row r="7576" spans="7:16" s="1634" customFormat="1">
      <c r="G7576" s="3336"/>
      <c r="P7576" s="3337"/>
    </row>
    <row r="7577" spans="7:16" s="1634" customFormat="1">
      <c r="G7577" s="3336"/>
      <c r="P7577" s="3337"/>
    </row>
    <row r="7578" spans="7:16" s="1634" customFormat="1">
      <c r="G7578" s="3336"/>
      <c r="P7578" s="3337"/>
    </row>
    <row r="7579" spans="7:16" s="1634" customFormat="1">
      <c r="G7579" s="3336"/>
      <c r="P7579" s="3337"/>
    </row>
    <row r="7580" spans="7:16" s="1634" customFormat="1">
      <c r="G7580" s="3336"/>
      <c r="P7580" s="3337"/>
    </row>
    <row r="7581" spans="7:16" s="1634" customFormat="1">
      <c r="G7581" s="3336"/>
      <c r="P7581" s="3337"/>
    </row>
    <row r="7582" spans="7:16" s="1634" customFormat="1">
      <c r="G7582" s="3336"/>
      <c r="P7582" s="3337"/>
    </row>
    <row r="7583" spans="7:16" s="1634" customFormat="1">
      <c r="G7583" s="3336"/>
      <c r="P7583" s="3337"/>
    </row>
    <row r="7584" spans="7:16" s="1634" customFormat="1">
      <c r="G7584" s="3336"/>
      <c r="P7584" s="3337"/>
    </row>
    <row r="7585" spans="7:16" s="1634" customFormat="1">
      <c r="G7585" s="3336"/>
      <c r="P7585" s="3337"/>
    </row>
    <row r="7586" spans="7:16" s="1634" customFormat="1">
      <c r="G7586" s="3336"/>
      <c r="P7586" s="3337"/>
    </row>
    <row r="7587" spans="7:16" s="1634" customFormat="1">
      <c r="G7587" s="3336"/>
      <c r="P7587" s="3337"/>
    </row>
    <row r="7588" spans="7:16" s="1634" customFormat="1">
      <c r="G7588" s="3336"/>
      <c r="P7588" s="3337"/>
    </row>
    <row r="7589" spans="7:16" s="1634" customFormat="1">
      <c r="G7589" s="3336"/>
      <c r="P7589" s="3337"/>
    </row>
    <row r="7590" spans="7:16" s="1634" customFormat="1">
      <c r="G7590" s="3336"/>
      <c r="P7590" s="3337"/>
    </row>
    <row r="7591" spans="7:16" s="1634" customFormat="1">
      <c r="G7591" s="3336"/>
      <c r="P7591" s="3337"/>
    </row>
    <row r="7592" spans="7:16" s="1634" customFormat="1">
      <c r="G7592" s="3336"/>
      <c r="P7592" s="3337"/>
    </row>
    <row r="7593" spans="7:16" s="1634" customFormat="1">
      <c r="G7593" s="3336"/>
      <c r="P7593" s="3337"/>
    </row>
    <row r="7594" spans="7:16" s="1634" customFormat="1">
      <c r="G7594" s="3336"/>
      <c r="P7594" s="3337"/>
    </row>
    <row r="7595" spans="7:16" s="1634" customFormat="1">
      <c r="G7595" s="3336"/>
      <c r="P7595" s="3337"/>
    </row>
    <row r="7596" spans="7:16" s="1634" customFormat="1">
      <c r="G7596" s="3336"/>
      <c r="P7596" s="3337"/>
    </row>
    <row r="7597" spans="7:16" s="1634" customFormat="1">
      <c r="G7597" s="3336"/>
      <c r="P7597" s="3337"/>
    </row>
    <row r="7598" spans="7:16" s="1634" customFormat="1">
      <c r="G7598" s="3336"/>
      <c r="P7598" s="3337"/>
    </row>
    <row r="7599" spans="7:16" s="1634" customFormat="1">
      <c r="G7599" s="3336"/>
      <c r="P7599" s="3337"/>
    </row>
    <row r="7600" spans="7:16" s="1634" customFormat="1">
      <c r="G7600" s="3336"/>
      <c r="P7600" s="3337"/>
    </row>
    <row r="7601" spans="7:16" s="1634" customFormat="1">
      <c r="G7601" s="3336"/>
      <c r="P7601" s="3337"/>
    </row>
    <row r="7602" spans="7:16" s="1634" customFormat="1">
      <c r="G7602" s="3336"/>
      <c r="P7602" s="3337"/>
    </row>
    <row r="7603" spans="7:16" s="1634" customFormat="1">
      <c r="G7603" s="3336"/>
      <c r="P7603" s="3337"/>
    </row>
    <row r="7604" spans="7:16" s="1634" customFormat="1">
      <c r="G7604" s="3336"/>
      <c r="P7604" s="3337"/>
    </row>
    <row r="7605" spans="7:16" s="1634" customFormat="1">
      <c r="G7605" s="3336"/>
      <c r="P7605" s="3337"/>
    </row>
    <row r="7606" spans="7:16" s="1634" customFormat="1">
      <c r="G7606" s="3336"/>
      <c r="P7606" s="3337"/>
    </row>
    <row r="7607" spans="7:16" s="1634" customFormat="1">
      <c r="G7607" s="3336"/>
      <c r="P7607" s="3337"/>
    </row>
    <row r="7608" spans="7:16" s="1634" customFormat="1">
      <c r="G7608" s="3336"/>
      <c r="P7608" s="3337"/>
    </row>
    <row r="7609" spans="7:16" s="1634" customFormat="1">
      <c r="G7609" s="3336"/>
      <c r="P7609" s="3337"/>
    </row>
    <row r="7610" spans="7:16" s="1634" customFormat="1">
      <c r="G7610" s="3336"/>
      <c r="P7610" s="3337"/>
    </row>
    <row r="7611" spans="7:16" s="1634" customFormat="1">
      <c r="G7611" s="3336"/>
      <c r="P7611" s="3337"/>
    </row>
    <row r="7612" spans="7:16" s="1634" customFormat="1">
      <c r="G7612" s="3336"/>
      <c r="P7612" s="3337"/>
    </row>
    <row r="7613" spans="7:16" s="1634" customFormat="1">
      <c r="G7613" s="3336"/>
      <c r="P7613" s="3337"/>
    </row>
    <row r="7614" spans="7:16" s="1634" customFormat="1">
      <c r="G7614" s="3336"/>
      <c r="P7614" s="3337"/>
    </row>
    <row r="7615" spans="7:16" s="1634" customFormat="1">
      <c r="G7615" s="3336"/>
      <c r="P7615" s="3337"/>
    </row>
    <row r="7616" spans="7:16" s="1634" customFormat="1">
      <c r="G7616" s="3336"/>
      <c r="P7616" s="3337"/>
    </row>
    <row r="7617" spans="7:16" s="1634" customFormat="1">
      <c r="G7617" s="3336"/>
      <c r="P7617" s="3337"/>
    </row>
    <row r="7618" spans="7:16" s="1634" customFormat="1">
      <c r="G7618" s="3336"/>
      <c r="P7618" s="3337"/>
    </row>
    <row r="7619" spans="7:16" s="1634" customFormat="1">
      <c r="G7619" s="3336"/>
      <c r="P7619" s="3337"/>
    </row>
    <row r="7620" spans="7:16" s="1634" customFormat="1">
      <c r="G7620" s="3336"/>
      <c r="P7620" s="3337"/>
    </row>
    <row r="7621" spans="7:16" s="1634" customFormat="1">
      <c r="G7621" s="3336"/>
      <c r="P7621" s="3337"/>
    </row>
    <row r="7622" spans="7:16" s="1634" customFormat="1">
      <c r="G7622" s="3336"/>
      <c r="P7622" s="3337"/>
    </row>
    <row r="7623" spans="7:16" s="1634" customFormat="1">
      <c r="G7623" s="3336"/>
      <c r="P7623" s="3337"/>
    </row>
    <row r="7624" spans="7:16" s="1634" customFormat="1">
      <c r="G7624" s="3336"/>
      <c r="P7624" s="3337"/>
    </row>
    <row r="7625" spans="7:16" s="1634" customFormat="1">
      <c r="G7625" s="3336"/>
      <c r="P7625" s="3337"/>
    </row>
    <row r="7626" spans="7:16" s="1634" customFormat="1">
      <c r="G7626" s="3336"/>
      <c r="P7626" s="3337"/>
    </row>
    <row r="7627" spans="7:16" s="1634" customFormat="1">
      <c r="G7627" s="3336"/>
      <c r="P7627" s="3337"/>
    </row>
    <row r="7628" spans="7:16" s="1634" customFormat="1">
      <c r="G7628" s="3336"/>
      <c r="P7628" s="3337"/>
    </row>
    <row r="7629" spans="7:16" s="1634" customFormat="1">
      <c r="G7629" s="3336"/>
      <c r="P7629" s="3337"/>
    </row>
    <row r="7630" spans="7:16" s="1634" customFormat="1">
      <c r="G7630" s="3336"/>
      <c r="P7630" s="3337"/>
    </row>
    <row r="7631" spans="7:16" s="1634" customFormat="1">
      <c r="G7631" s="3336"/>
      <c r="P7631" s="3337"/>
    </row>
    <row r="7632" spans="7:16" s="1634" customFormat="1">
      <c r="G7632" s="3336"/>
      <c r="P7632" s="3337"/>
    </row>
    <row r="7633" spans="7:16" s="1634" customFormat="1">
      <c r="G7633" s="3336"/>
      <c r="P7633" s="3337"/>
    </row>
    <row r="7634" spans="7:16" s="1634" customFormat="1">
      <c r="G7634" s="3336"/>
      <c r="P7634" s="3337"/>
    </row>
    <row r="7635" spans="7:16" s="1634" customFormat="1">
      <c r="G7635" s="3336"/>
      <c r="P7635" s="3337"/>
    </row>
    <row r="7636" spans="7:16" s="1634" customFormat="1">
      <c r="G7636" s="3336"/>
      <c r="P7636" s="3337"/>
    </row>
    <row r="7637" spans="7:16" s="1634" customFormat="1">
      <c r="G7637" s="3336"/>
      <c r="P7637" s="3337"/>
    </row>
    <row r="7638" spans="7:16" s="1634" customFormat="1">
      <c r="G7638" s="3336"/>
      <c r="P7638" s="3337"/>
    </row>
    <row r="7639" spans="7:16" s="1634" customFormat="1">
      <c r="G7639" s="3336"/>
      <c r="P7639" s="3337"/>
    </row>
    <row r="7640" spans="7:16" s="1634" customFormat="1">
      <c r="G7640" s="3336"/>
      <c r="P7640" s="3337"/>
    </row>
    <row r="7641" spans="7:16" s="1634" customFormat="1">
      <c r="G7641" s="3336"/>
      <c r="P7641" s="3337"/>
    </row>
    <row r="7642" spans="7:16" s="1634" customFormat="1">
      <c r="G7642" s="3336"/>
      <c r="P7642" s="3337"/>
    </row>
    <row r="7643" spans="7:16" s="1634" customFormat="1">
      <c r="G7643" s="3336"/>
      <c r="P7643" s="3337"/>
    </row>
    <row r="7644" spans="7:16" s="1634" customFormat="1">
      <c r="G7644" s="3336"/>
      <c r="P7644" s="3337"/>
    </row>
    <row r="7645" spans="7:16" s="1634" customFormat="1">
      <c r="G7645" s="3336"/>
      <c r="P7645" s="3337"/>
    </row>
    <row r="7646" spans="7:16" s="1634" customFormat="1">
      <c r="G7646" s="3336"/>
      <c r="P7646" s="3337"/>
    </row>
    <row r="7647" spans="7:16" s="1634" customFormat="1">
      <c r="G7647" s="3336"/>
      <c r="P7647" s="3337"/>
    </row>
    <row r="7648" spans="7:16" s="1634" customFormat="1">
      <c r="G7648" s="3336"/>
      <c r="P7648" s="3337"/>
    </row>
    <row r="7649" spans="7:16" s="1634" customFormat="1">
      <c r="G7649" s="3336"/>
      <c r="P7649" s="3337"/>
    </row>
    <row r="7650" spans="7:16" s="1634" customFormat="1">
      <c r="G7650" s="3336"/>
      <c r="P7650" s="3337"/>
    </row>
    <row r="7651" spans="7:16" s="1634" customFormat="1">
      <c r="G7651" s="3336"/>
      <c r="P7651" s="3337"/>
    </row>
    <row r="7652" spans="7:16" s="1634" customFormat="1">
      <c r="G7652" s="3336"/>
      <c r="P7652" s="3337"/>
    </row>
    <row r="7653" spans="7:16" s="1634" customFormat="1">
      <c r="G7653" s="3336"/>
      <c r="P7653" s="3337"/>
    </row>
    <row r="7654" spans="7:16" s="1634" customFormat="1">
      <c r="G7654" s="3336"/>
      <c r="P7654" s="3337"/>
    </row>
    <row r="7655" spans="7:16" s="1634" customFormat="1">
      <c r="G7655" s="3336"/>
      <c r="P7655" s="3337"/>
    </row>
    <row r="7656" spans="7:16" s="1634" customFormat="1">
      <c r="G7656" s="3336"/>
      <c r="P7656" s="3337"/>
    </row>
    <row r="7657" spans="7:16" s="1634" customFormat="1">
      <c r="G7657" s="3336"/>
      <c r="P7657" s="3337"/>
    </row>
    <row r="7658" spans="7:16" s="1634" customFormat="1">
      <c r="G7658" s="3336"/>
      <c r="P7658" s="3337"/>
    </row>
    <row r="7659" spans="7:16" s="1634" customFormat="1">
      <c r="G7659" s="3336"/>
      <c r="P7659" s="3337"/>
    </row>
    <row r="7660" spans="7:16" s="1634" customFormat="1">
      <c r="G7660" s="3336"/>
      <c r="P7660" s="3337"/>
    </row>
    <row r="7661" spans="7:16" s="1634" customFormat="1">
      <c r="G7661" s="3336"/>
      <c r="P7661" s="3337"/>
    </row>
    <row r="7662" spans="7:16" s="1634" customFormat="1">
      <c r="G7662" s="3336"/>
      <c r="P7662" s="3337"/>
    </row>
    <row r="7663" spans="7:16" s="1634" customFormat="1">
      <c r="G7663" s="3336"/>
      <c r="P7663" s="3337"/>
    </row>
    <row r="7664" spans="7:16" s="1634" customFormat="1">
      <c r="G7664" s="3336"/>
      <c r="P7664" s="3337"/>
    </row>
    <row r="7665" spans="7:16" s="1634" customFormat="1">
      <c r="G7665" s="3336"/>
      <c r="P7665" s="3337"/>
    </row>
    <row r="7666" spans="7:16" s="1634" customFormat="1">
      <c r="G7666" s="3336"/>
      <c r="P7666" s="3337"/>
    </row>
    <row r="7667" spans="7:16" s="1634" customFormat="1">
      <c r="G7667" s="3336"/>
      <c r="P7667" s="3337"/>
    </row>
    <row r="7668" spans="7:16" s="1634" customFormat="1">
      <c r="G7668" s="3336"/>
      <c r="P7668" s="3337"/>
    </row>
    <row r="7669" spans="7:16" s="1634" customFormat="1">
      <c r="G7669" s="3336"/>
      <c r="P7669" s="3337"/>
    </row>
    <row r="7670" spans="7:16" s="1634" customFormat="1">
      <c r="G7670" s="3336"/>
      <c r="P7670" s="3337"/>
    </row>
    <row r="7671" spans="7:16" s="1634" customFormat="1">
      <c r="G7671" s="3336"/>
      <c r="P7671" s="3337"/>
    </row>
    <row r="7672" spans="7:16" s="1634" customFormat="1">
      <c r="G7672" s="3336"/>
      <c r="P7672" s="3337"/>
    </row>
    <row r="7673" spans="7:16" s="1634" customFormat="1">
      <c r="G7673" s="3336"/>
      <c r="P7673" s="3337"/>
    </row>
    <row r="7674" spans="7:16" s="1634" customFormat="1">
      <c r="G7674" s="3336"/>
      <c r="P7674" s="3337"/>
    </row>
    <row r="7675" spans="7:16" s="1634" customFormat="1">
      <c r="G7675" s="3336"/>
      <c r="P7675" s="3337"/>
    </row>
    <row r="7676" spans="7:16" s="1634" customFormat="1">
      <c r="G7676" s="3336"/>
      <c r="P7676" s="3337"/>
    </row>
    <row r="7677" spans="7:16" s="1634" customFormat="1">
      <c r="G7677" s="3336"/>
      <c r="P7677" s="3337"/>
    </row>
    <row r="7678" spans="7:16" s="1634" customFormat="1">
      <c r="G7678" s="3336"/>
      <c r="P7678" s="3337"/>
    </row>
    <row r="7679" spans="7:16" s="1634" customFormat="1">
      <c r="G7679" s="3336"/>
      <c r="P7679" s="3337"/>
    </row>
    <row r="7680" spans="7:16" s="1634" customFormat="1">
      <c r="G7680" s="3336"/>
      <c r="P7680" s="3337"/>
    </row>
    <row r="7681" spans="7:16" s="1634" customFormat="1">
      <c r="G7681" s="3336"/>
      <c r="P7681" s="3337"/>
    </row>
    <row r="7682" spans="7:16" s="1634" customFormat="1">
      <c r="G7682" s="3336"/>
      <c r="P7682" s="3337"/>
    </row>
    <row r="7683" spans="7:16" s="1634" customFormat="1">
      <c r="G7683" s="3336"/>
      <c r="P7683" s="3337"/>
    </row>
    <row r="7684" spans="7:16" s="1634" customFormat="1">
      <c r="G7684" s="3336"/>
      <c r="P7684" s="3337"/>
    </row>
    <row r="7685" spans="7:16" s="1634" customFormat="1">
      <c r="G7685" s="3336"/>
      <c r="P7685" s="3337"/>
    </row>
    <row r="7686" spans="7:16" s="1634" customFormat="1">
      <c r="G7686" s="3336"/>
      <c r="P7686" s="3337"/>
    </row>
    <row r="7687" spans="7:16" s="1634" customFormat="1">
      <c r="G7687" s="3336"/>
      <c r="P7687" s="3337"/>
    </row>
    <row r="7688" spans="7:16" s="1634" customFormat="1">
      <c r="G7688" s="3336"/>
      <c r="P7688" s="3337"/>
    </row>
    <row r="7689" spans="7:16" s="1634" customFormat="1">
      <c r="G7689" s="3336"/>
      <c r="P7689" s="3337"/>
    </row>
    <row r="7690" spans="7:16" s="1634" customFormat="1">
      <c r="G7690" s="3336"/>
      <c r="P7690" s="3337"/>
    </row>
    <row r="7691" spans="7:16" s="1634" customFormat="1">
      <c r="G7691" s="3336"/>
      <c r="P7691" s="3337"/>
    </row>
    <row r="7692" spans="7:16" s="1634" customFormat="1">
      <c r="G7692" s="3336"/>
      <c r="P7692" s="3337"/>
    </row>
    <row r="7693" spans="7:16" s="1634" customFormat="1">
      <c r="G7693" s="3336"/>
      <c r="P7693" s="3337"/>
    </row>
    <row r="7694" spans="7:16" s="1634" customFormat="1">
      <c r="G7694" s="3336"/>
      <c r="P7694" s="3337"/>
    </row>
    <row r="7695" spans="7:16" s="1634" customFormat="1">
      <c r="G7695" s="3336"/>
      <c r="P7695" s="3337"/>
    </row>
    <row r="7696" spans="7:16" s="1634" customFormat="1">
      <c r="G7696" s="3336"/>
      <c r="P7696" s="3337"/>
    </row>
    <row r="7697" spans="7:16" s="1634" customFormat="1">
      <c r="G7697" s="3336"/>
      <c r="P7697" s="3337"/>
    </row>
    <row r="7698" spans="7:16" s="1634" customFormat="1">
      <c r="G7698" s="3336"/>
      <c r="P7698" s="3337"/>
    </row>
    <row r="7699" spans="7:16" s="1634" customFormat="1">
      <c r="G7699" s="3336"/>
      <c r="P7699" s="3337"/>
    </row>
    <row r="7700" spans="7:16" s="1634" customFormat="1">
      <c r="G7700" s="3336"/>
      <c r="P7700" s="3337"/>
    </row>
    <row r="7701" spans="7:16" s="1634" customFormat="1">
      <c r="G7701" s="3336"/>
      <c r="P7701" s="3337"/>
    </row>
    <row r="7702" spans="7:16" s="1634" customFormat="1">
      <c r="G7702" s="3336"/>
      <c r="P7702" s="3337"/>
    </row>
    <row r="7703" spans="7:16" s="1634" customFormat="1">
      <c r="G7703" s="3336"/>
      <c r="P7703" s="3337"/>
    </row>
    <row r="7704" spans="7:16" s="1634" customFormat="1">
      <c r="G7704" s="3336"/>
      <c r="P7704" s="3337"/>
    </row>
    <row r="7705" spans="7:16" s="1634" customFormat="1">
      <c r="G7705" s="3336"/>
      <c r="P7705" s="3337"/>
    </row>
    <row r="7706" spans="7:16" s="1634" customFormat="1">
      <c r="G7706" s="3336"/>
      <c r="P7706" s="3337"/>
    </row>
    <row r="7707" spans="7:16" s="1634" customFormat="1">
      <c r="G7707" s="3336"/>
      <c r="P7707" s="3337"/>
    </row>
    <row r="7708" spans="7:16" s="1634" customFormat="1">
      <c r="G7708" s="3336"/>
      <c r="P7708" s="3337"/>
    </row>
    <row r="7709" spans="7:16" s="1634" customFormat="1">
      <c r="G7709" s="3336"/>
      <c r="P7709" s="3337"/>
    </row>
    <row r="7710" spans="7:16" s="1634" customFormat="1">
      <c r="G7710" s="3336"/>
      <c r="P7710" s="3337"/>
    </row>
    <row r="7711" spans="7:16" s="1634" customFormat="1">
      <c r="G7711" s="3336"/>
      <c r="P7711" s="3337"/>
    </row>
    <row r="7712" spans="7:16" s="1634" customFormat="1">
      <c r="G7712" s="3336"/>
      <c r="P7712" s="3337"/>
    </row>
    <row r="7713" spans="7:16" s="1634" customFormat="1">
      <c r="G7713" s="3336"/>
      <c r="P7713" s="3337"/>
    </row>
    <row r="7714" spans="7:16" s="1634" customFormat="1">
      <c r="G7714" s="3336"/>
      <c r="P7714" s="3337"/>
    </row>
    <row r="7715" spans="7:16" s="1634" customFormat="1">
      <c r="G7715" s="3336"/>
      <c r="P7715" s="3337"/>
    </row>
    <row r="7716" spans="7:16" s="1634" customFormat="1">
      <c r="G7716" s="3336"/>
      <c r="P7716" s="3337"/>
    </row>
    <row r="7717" spans="7:16" s="1634" customFormat="1">
      <c r="G7717" s="3336"/>
      <c r="P7717" s="3337"/>
    </row>
    <row r="7718" spans="7:16" s="1634" customFormat="1">
      <c r="G7718" s="3336"/>
      <c r="P7718" s="3337"/>
    </row>
    <row r="7719" spans="7:16" s="1634" customFormat="1">
      <c r="G7719" s="3336"/>
      <c r="P7719" s="3337"/>
    </row>
    <row r="7720" spans="7:16" s="1634" customFormat="1">
      <c r="G7720" s="3336"/>
      <c r="P7720" s="3337"/>
    </row>
    <row r="7721" spans="7:16" s="1634" customFormat="1">
      <c r="G7721" s="3336"/>
      <c r="P7721" s="3337"/>
    </row>
    <row r="7722" spans="7:16" s="1634" customFormat="1">
      <c r="G7722" s="3336"/>
      <c r="P7722" s="3337"/>
    </row>
    <row r="7723" spans="7:16" s="1634" customFormat="1">
      <c r="G7723" s="3336"/>
      <c r="P7723" s="3337"/>
    </row>
    <row r="7724" spans="7:16" s="1634" customFormat="1">
      <c r="G7724" s="3336"/>
      <c r="P7724" s="3337"/>
    </row>
    <row r="7725" spans="7:16" s="1634" customFormat="1">
      <c r="G7725" s="3336"/>
      <c r="P7725" s="3337"/>
    </row>
    <row r="7726" spans="7:16" s="1634" customFormat="1">
      <c r="G7726" s="3336"/>
      <c r="P7726" s="3337"/>
    </row>
    <row r="7727" spans="7:16" s="1634" customFormat="1">
      <c r="G7727" s="3336"/>
      <c r="P7727" s="3337"/>
    </row>
    <row r="7728" spans="7:16" s="1634" customFormat="1">
      <c r="G7728" s="3336"/>
      <c r="P7728" s="3337"/>
    </row>
    <row r="7729" spans="7:16" s="1634" customFormat="1">
      <c r="G7729" s="3336"/>
      <c r="P7729" s="3337"/>
    </row>
    <row r="7730" spans="7:16" s="1634" customFormat="1">
      <c r="G7730" s="3336"/>
      <c r="P7730" s="3337"/>
    </row>
    <row r="7731" spans="7:16" s="1634" customFormat="1">
      <c r="G7731" s="3336"/>
      <c r="P7731" s="3337"/>
    </row>
    <row r="7732" spans="7:16" s="1634" customFormat="1">
      <c r="G7732" s="3336"/>
      <c r="P7732" s="3337"/>
    </row>
    <row r="7733" spans="7:16" s="1634" customFormat="1">
      <c r="G7733" s="3336"/>
      <c r="P7733" s="3337"/>
    </row>
    <row r="7734" spans="7:16" s="1634" customFormat="1">
      <c r="G7734" s="3336"/>
      <c r="P7734" s="3337"/>
    </row>
    <row r="7735" spans="7:16" s="1634" customFormat="1">
      <c r="G7735" s="3336"/>
      <c r="P7735" s="3337"/>
    </row>
    <row r="7736" spans="7:16" s="1634" customFormat="1">
      <c r="G7736" s="3336"/>
      <c r="P7736" s="3337"/>
    </row>
    <row r="7737" spans="7:16" s="1634" customFormat="1">
      <c r="G7737" s="3336"/>
      <c r="P7737" s="3337"/>
    </row>
    <row r="7738" spans="7:16" s="1634" customFormat="1">
      <c r="G7738" s="3336"/>
      <c r="P7738" s="3337"/>
    </row>
    <row r="7739" spans="7:16" s="1634" customFormat="1">
      <c r="G7739" s="3336"/>
      <c r="P7739" s="3337"/>
    </row>
    <row r="7740" spans="7:16" s="1634" customFormat="1">
      <c r="G7740" s="3336"/>
      <c r="P7740" s="3337"/>
    </row>
    <row r="7741" spans="7:16" s="1634" customFormat="1">
      <c r="G7741" s="3336"/>
      <c r="P7741" s="3337"/>
    </row>
    <row r="7742" spans="7:16" s="1634" customFormat="1">
      <c r="G7742" s="3336"/>
      <c r="P7742" s="3337"/>
    </row>
    <row r="7743" spans="7:16" s="1634" customFormat="1">
      <c r="G7743" s="3336"/>
      <c r="P7743" s="3337"/>
    </row>
    <row r="7744" spans="7:16" s="1634" customFormat="1">
      <c r="G7744" s="3336"/>
      <c r="P7744" s="3337"/>
    </row>
    <row r="7745" spans="7:16" s="1634" customFormat="1">
      <c r="G7745" s="3336"/>
      <c r="P7745" s="3337"/>
    </row>
    <row r="7746" spans="7:16" s="1634" customFormat="1">
      <c r="G7746" s="3336"/>
      <c r="P7746" s="3337"/>
    </row>
    <row r="7747" spans="7:16" s="1634" customFormat="1">
      <c r="G7747" s="3336"/>
      <c r="P7747" s="3337"/>
    </row>
    <row r="7748" spans="7:16" s="1634" customFormat="1">
      <c r="G7748" s="3336"/>
      <c r="P7748" s="3337"/>
    </row>
    <row r="7749" spans="7:16" s="1634" customFormat="1">
      <c r="G7749" s="3336"/>
      <c r="P7749" s="3337"/>
    </row>
    <row r="7750" spans="7:16" s="1634" customFormat="1">
      <c r="G7750" s="3336"/>
      <c r="P7750" s="3337"/>
    </row>
    <row r="7751" spans="7:16" s="1634" customFormat="1">
      <c r="G7751" s="3336"/>
      <c r="P7751" s="3337"/>
    </row>
    <row r="7752" spans="7:16" s="1634" customFormat="1">
      <c r="G7752" s="3336"/>
      <c r="P7752" s="3337"/>
    </row>
    <row r="7753" spans="7:16" s="1634" customFormat="1">
      <c r="G7753" s="3336"/>
      <c r="P7753" s="3337"/>
    </row>
    <row r="7754" spans="7:16" s="1634" customFormat="1">
      <c r="G7754" s="3336"/>
      <c r="P7754" s="3337"/>
    </row>
    <row r="7755" spans="7:16" s="1634" customFormat="1">
      <c r="G7755" s="3336"/>
      <c r="P7755" s="3337"/>
    </row>
    <row r="7756" spans="7:16" s="1634" customFormat="1">
      <c r="G7756" s="3336"/>
      <c r="P7756" s="3337"/>
    </row>
    <row r="7757" spans="7:16" s="1634" customFormat="1">
      <c r="G7757" s="3336"/>
      <c r="P7757" s="3337"/>
    </row>
    <row r="7758" spans="7:16" s="1634" customFormat="1">
      <c r="G7758" s="3336"/>
      <c r="P7758" s="3337"/>
    </row>
    <row r="7759" spans="7:16" s="1634" customFormat="1">
      <c r="G7759" s="3336"/>
      <c r="P7759" s="3337"/>
    </row>
    <row r="7760" spans="7:16" s="1634" customFormat="1">
      <c r="G7760" s="3336"/>
      <c r="P7760" s="3337"/>
    </row>
    <row r="7761" spans="7:16" s="1634" customFormat="1">
      <c r="G7761" s="3336"/>
      <c r="P7761" s="3337"/>
    </row>
    <row r="7762" spans="7:16" s="1634" customFormat="1">
      <c r="G7762" s="3336"/>
      <c r="P7762" s="3337"/>
    </row>
    <row r="7763" spans="7:16" s="1634" customFormat="1">
      <c r="G7763" s="3336"/>
      <c r="P7763" s="3337"/>
    </row>
    <row r="7764" spans="7:16" s="1634" customFormat="1">
      <c r="G7764" s="3336"/>
      <c r="P7764" s="3337"/>
    </row>
    <row r="7765" spans="7:16" s="1634" customFormat="1">
      <c r="G7765" s="3336"/>
      <c r="P7765" s="3337"/>
    </row>
    <row r="7766" spans="7:16" s="1634" customFormat="1">
      <c r="G7766" s="3336"/>
      <c r="P7766" s="3337"/>
    </row>
    <row r="7767" spans="7:16" s="1634" customFormat="1">
      <c r="G7767" s="3336"/>
      <c r="P7767" s="3337"/>
    </row>
    <row r="7768" spans="7:16" s="1634" customFormat="1">
      <c r="G7768" s="3336"/>
      <c r="P7768" s="3337"/>
    </row>
    <row r="7769" spans="7:16" s="1634" customFormat="1">
      <c r="G7769" s="3336"/>
      <c r="P7769" s="3337"/>
    </row>
    <row r="7770" spans="7:16" s="1634" customFormat="1">
      <c r="G7770" s="3336"/>
      <c r="P7770" s="3337"/>
    </row>
    <row r="7771" spans="7:16" s="1634" customFormat="1">
      <c r="G7771" s="3336"/>
      <c r="P7771" s="3337"/>
    </row>
    <row r="7772" spans="7:16" s="1634" customFormat="1">
      <c r="G7772" s="3336"/>
      <c r="P7772" s="3337"/>
    </row>
    <row r="7773" spans="7:16" s="1634" customFormat="1">
      <c r="G7773" s="3336"/>
      <c r="P7773" s="3337"/>
    </row>
    <row r="7774" spans="7:16" s="1634" customFormat="1">
      <c r="G7774" s="3336"/>
      <c r="P7774" s="3337"/>
    </row>
    <row r="7775" spans="7:16" s="1634" customFormat="1">
      <c r="G7775" s="3336"/>
      <c r="P7775" s="3337"/>
    </row>
    <row r="7776" spans="7:16" s="1634" customFormat="1">
      <c r="G7776" s="3336"/>
      <c r="P7776" s="3337"/>
    </row>
    <row r="7777" spans="7:16" s="1634" customFormat="1">
      <c r="G7777" s="3336"/>
      <c r="P7777" s="3337"/>
    </row>
    <row r="7778" spans="7:16" s="1634" customFormat="1">
      <c r="G7778" s="3336"/>
      <c r="P7778" s="3337"/>
    </row>
    <row r="7779" spans="7:16" s="1634" customFormat="1">
      <c r="G7779" s="3336"/>
      <c r="P7779" s="3337"/>
    </row>
    <row r="7780" spans="7:16" s="1634" customFormat="1">
      <c r="G7780" s="3336"/>
      <c r="P7780" s="3337"/>
    </row>
    <row r="7781" spans="7:16" s="1634" customFormat="1">
      <c r="G7781" s="3336"/>
      <c r="P7781" s="3337"/>
    </row>
    <row r="7782" spans="7:16" s="1634" customFormat="1">
      <c r="G7782" s="3336"/>
      <c r="P7782" s="3337"/>
    </row>
    <row r="7783" spans="7:16" s="1634" customFormat="1">
      <c r="G7783" s="3336"/>
      <c r="P7783" s="3337"/>
    </row>
    <row r="7784" spans="7:16" s="1634" customFormat="1">
      <c r="G7784" s="3336"/>
      <c r="P7784" s="3337"/>
    </row>
    <row r="7785" spans="7:16" s="1634" customFormat="1">
      <c r="G7785" s="3336"/>
      <c r="P7785" s="3337"/>
    </row>
    <row r="7786" spans="7:16" s="1634" customFormat="1">
      <c r="G7786" s="3336"/>
      <c r="P7786" s="3337"/>
    </row>
    <row r="7787" spans="7:16" s="1634" customFormat="1">
      <c r="G7787" s="3336"/>
      <c r="P7787" s="3337"/>
    </row>
    <row r="7788" spans="7:16" s="1634" customFormat="1">
      <c r="G7788" s="3336"/>
      <c r="P7788" s="3337"/>
    </row>
    <row r="7789" spans="7:16" s="1634" customFormat="1">
      <c r="G7789" s="3336"/>
      <c r="P7789" s="3337"/>
    </row>
    <row r="7790" spans="7:16" s="1634" customFormat="1">
      <c r="G7790" s="3336"/>
      <c r="P7790" s="3337"/>
    </row>
    <row r="7791" spans="7:16" s="1634" customFormat="1">
      <c r="G7791" s="3336"/>
      <c r="P7791" s="3337"/>
    </row>
    <row r="7792" spans="7:16" s="1634" customFormat="1">
      <c r="G7792" s="3336"/>
      <c r="P7792" s="3337"/>
    </row>
    <row r="7793" spans="7:16" s="1634" customFormat="1">
      <c r="G7793" s="3336"/>
      <c r="P7793" s="3337"/>
    </row>
    <row r="7794" spans="7:16" s="1634" customFormat="1">
      <c r="G7794" s="3336"/>
      <c r="P7794" s="3337"/>
    </row>
    <row r="7795" spans="7:16" s="1634" customFormat="1">
      <c r="G7795" s="3336"/>
      <c r="P7795" s="3337"/>
    </row>
    <row r="7796" spans="7:16" s="1634" customFormat="1">
      <c r="G7796" s="3336"/>
      <c r="P7796" s="3337"/>
    </row>
    <row r="7797" spans="7:16" s="1634" customFormat="1">
      <c r="G7797" s="3336"/>
      <c r="P7797" s="3337"/>
    </row>
    <row r="7798" spans="7:16" s="1634" customFormat="1">
      <c r="G7798" s="3336"/>
      <c r="P7798" s="3337"/>
    </row>
    <row r="7799" spans="7:16" s="1634" customFormat="1">
      <c r="G7799" s="3336"/>
      <c r="P7799" s="3337"/>
    </row>
    <row r="7800" spans="7:16" s="1634" customFormat="1">
      <c r="G7800" s="3336"/>
      <c r="P7800" s="3337"/>
    </row>
    <row r="7801" spans="7:16" s="1634" customFormat="1">
      <c r="G7801" s="3336"/>
      <c r="P7801" s="3337"/>
    </row>
    <row r="7802" spans="7:16" s="1634" customFormat="1">
      <c r="G7802" s="3336"/>
      <c r="P7802" s="3337"/>
    </row>
    <row r="7803" spans="7:16" s="1634" customFormat="1">
      <c r="G7803" s="3336"/>
      <c r="P7803" s="3337"/>
    </row>
    <row r="7804" spans="7:16" s="1634" customFormat="1">
      <c r="G7804" s="3336"/>
      <c r="P7804" s="3337"/>
    </row>
    <row r="7805" spans="7:16" s="1634" customFormat="1">
      <c r="G7805" s="3336"/>
      <c r="P7805" s="3337"/>
    </row>
    <row r="7806" spans="7:16" s="1634" customFormat="1">
      <c r="G7806" s="3336"/>
      <c r="P7806" s="3337"/>
    </row>
    <row r="7807" spans="7:16" s="1634" customFormat="1">
      <c r="G7807" s="3336"/>
      <c r="P7807" s="3337"/>
    </row>
    <row r="7808" spans="7:16" s="1634" customFormat="1">
      <c r="G7808" s="3336"/>
      <c r="P7808" s="3337"/>
    </row>
    <row r="7809" spans="7:16" s="1634" customFormat="1">
      <c r="G7809" s="3336"/>
      <c r="P7809" s="3337"/>
    </row>
    <row r="7810" spans="7:16" s="1634" customFormat="1">
      <c r="G7810" s="3336"/>
      <c r="P7810" s="3337"/>
    </row>
    <row r="7811" spans="7:16" s="1634" customFormat="1">
      <c r="G7811" s="3336"/>
      <c r="P7811" s="3337"/>
    </row>
    <row r="7812" spans="7:16" s="1634" customFormat="1">
      <c r="G7812" s="3336"/>
      <c r="P7812" s="3337"/>
    </row>
    <row r="7813" spans="7:16" s="1634" customFormat="1">
      <c r="G7813" s="3336"/>
      <c r="P7813" s="3337"/>
    </row>
    <row r="7814" spans="7:16" s="1634" customFormat="1">
      <c r="G7814" s="3336"/>
      <c r="P7814" s="3337"/>
    </row>
    <row r="7815" spans="7:16" s="1634" customFormat="1">
      <c r="G7815" s="3336"/>
      <c r="P7815" s="3337"/>
    </row>
    <row r="7816" spans="7:16" s="1634" customFormat="1">
      <c r="G7816" s="3336"/>
      <c r="P7816" s="3337"/>
    </row>
    <row r="7817" spans="7:16" s="1634" customFormat="1">
      <c r="G7817" s="3336"/>
      <c r="P7817" s="3337"/>
    </row>
    <row r="7818" spans="7:16" s="1634" customFormat="1">
      <c r="G7818" s="3336"/>
      <c r="P7818" s="3337"/>
    </row>
    <row r="7819" spans="7:16" s="1634" customFormat="1">
      <c r="G7819" s="3336"/>
      <c r="P7819" s="3337"/>
    </row>
    <row r="7820" spans="7:16" s="1634" customFormat="1">
      <c r="G7820" s="3336"/>
      <c r="P7820" s="3337"/>
    </row>
    <row r="7821" spans="7:16" s="1634" customFormat="1">
      <c r="G7821" s="3336"/>
      <c r="P7821" s="3337"/>
    </row>
    <row r="7822" spans="7:16" s="1634" customFormat="1">
      <c r="G7822" s="3336"/>
      <c r="P7822" s="3337"/>
    </row>
    <row r="7823" spans="7:16" s="1634" customFormat="1">
      <c r="G7823" s="3336"/>
      <c r="P7823" s="3337"/>
    </row>
    <row r="7824" spans="7:16" s="1634" customFormat="1">
      <c r="G7824" s="3336"/>
      <c r="P7824" s="3337"/>
    </row>
    <row r="7825" spans="7:16" s="1634" customFormat="1">
      <c r="G7825" s="3336"/>
      <c r="P7825" s="3337"/>
    </row>
    <row r="7826" spans="7:16" s="1634" customFormat="1">
      <c r="G7826" s="3336"/>
      <c r="P7826" s="3337"/>
    </row>
    <row r="7827" spans="7:16" s="1634" customFormat="1">
      <c r="G7827" s="3336"/>
      <c r="P7827" s="3337"/>
    </row>
    <row r="7828" spans="7:16" s="1634" customFormat="1">
      <c r="G7828" s="3336"/>
      <c r="P7828" s="3337"/>
    </row>
    <row r="7829" spans="7:16" s="1634" customFormat="1">
      <c r="G7829" s="3336"/>
      <c r="P7829" s="3337"/>
    </row>
    <row r="7830" spans="7:16" s="1634" customFormat="1">
      <c r="G7830" s="3336"/>
      <c r="P7830" s="3337"/>
    </row>
    <row r="7831" spans="7:16" s="1634" customFormat="1">
      <c r="G7831" s="3336"/>
      <c r="P7831" s="3337"/>
    </row>
    <row r="7832" spans="7:16" s="1634" customFormat="1">
      <c r="G7832" s="3336"/>
      <c r="P7832" s="3337"/>
    </row>
    <row r="7833" spans="7:16" s="1634" customFormat="1">
      <c r="G7833" s="3336"/>
      <c r="P7833" s="3337"/>
    </row>
    <row r="7834" spans="7:16" s="1634" customFormat="1">
      <c r="G7834" s="3336"/>
      <c r="P7834" s="3337"/>
    </row>
    <row r="7835" spans="7:16" s="1634" customFormat="1">
      <c r="G7835" s="3336"/>
      <c r="P7835" s="3337"/>
    </row>
    <row r="7836" spans="7:16" s="1634" customFormat="1">
      <c r="G7836" s="3336"/>
      <c r="P7836" s="3337"/>
    </row>
    <row r="7837" spans="7:16" s="1634" customFormat="1">
      <c r="G7837" s="3336"/>
      <c r="P7837" s="3337"/>
    </row>
    <row r="7838" spans="7:16" s="1634" customFormat="1">
      <c r="G7838" s="3336"/>
      <c r="P7838" s="3337"/>
    </row>
    <row r="7839" spans="7:16" s="1634" customFormat="1">
      <c r="G7839" s="3336"/>
      <c r="P7839" s="3337"/>
    </row>
    <row r="7840" spans="7:16" s="1634" customFormat="1">
      <c r="G7840" s="3336"/>
      <c r="P7840" s="3337"/>
    </row>
    <row r="7841" spans="7:16" s="1634" customFormat="1">
      <c r="G7841" s="3336"/>
      <c r="P7841" s="3337"/>
    </row>
    <row r="7842" spans="7:16" s="1634" customFormat="1">
      <c r="G7842" s="3336"/>
      <c r="P7842" s="3337"/>
    </row>
    <row r="7843" spans="7:16" s="1634" customFormat="1">
      <c r="G7843" s="3336"/>
      <c r="P7843" s="3337"/>
    </row>
    <row r="7844" spans="7:16" s="1634" customFormat="1">
      <c r="G7844" s="3336"/>
      <c r="P7844" s="3337"/>
    </row>
    <row r="7845" spans="7:16" s="1634" customFormat="1">
      <c r="G7845" s="3336"/>
      <c r="P7845" s="3337"/>
    </row>
    <row r="7846" spans="7:16" s="1634" customFormat="1">
      <c r="G7846" s="3336"/>
      <c r="P7846" s="3337"/>
    </row>
    <row r="7847" spans="7:16" s="1634" customFormat="1">
      <c r="G7847" s="3336"/>
      <c r="P7847" s="3337"/>
    </row>
    <row r="7848" spans="7:16" s="1634" customFormat="1">
      <c r="G7848" s="3336"/>
      <c r="P7848" s="3337"/>
    </row>
    <row r="7849" spans="7:16" s="1634" customFormat="1">
      <c r="G7849" s="3336"/>
      <c r="P7849" s="3337"/>
    </row>
    <row r="7850" spans="7:16" s="1634" customFormat="1">
      <c r="G7850" s="3336"/>
      <c r="P7850" s="3337"/>
    </row>
    <row r="7851" spans="7:16" s="1634" customFormat="1">
      <c r="G7851" s="3336"/>
      <c r="P7851" s="3337"/>
    </row>
    <row r="7852" spans="7:16" s="1634" customFormat="1">
      <c r="G7852" s="3336"/>
      <c r="P7852" s="3337"/>
    </row>
    <row r="7853" spans="7:16" s="1634" customFormat="1">
      <c r="G7853" s="3336"/>
      <c r="P7853" s="3337"/>
    </row>
    <row r="7854" spans="7:16" s="1634" customFormat="1">
      <c r="G7854" s="3336"/>
      <c r="P7854" s="3337"/>
    </row>
    <row r="7855" spans="7:16" s="1634" customFormat="1">
      <c r="G7855" s="3336"/>
      <c r="P7855" s="3337"/>
    </row>
    <row r="7856" spans="7:16" s="1634" customFormat="1">
      <c r="G7856" s="3336"/>
      <c r="P7856" s="3337"/>
    </row>
    <row r="7857" spans="7:16" s="1634" customFormat="1">
      <c r="G7857" s="3336"/>
      <c r="P7857" s="3337"/>
    </row>
    <row r="7858" spans="7:16" s="1634" customFormat="1">
      <c r="G7858" s="3336"/>
      <c r="P7858" s="3337"/>
    </row>
    <row r="7859" spans="7:16" s="1634" customFormat="1">
      <c r="G7859" s="3336"/>
      <c r="P7859" s="3337"/>
    </row>
    <row r="7860" spans="7:16" s="1634" customFormat="1">
      <c r="G7860" s="3336"/>
      <c r="P7860" s="3337"/>
    </row>
    <row r="7861" spans="7:16" s="1634" customFormat="1">
      <c r="G7861" s="3336"/>
      <c r="P7861" s="3337"/>
    </row>
    <row r="7862" spans="7:16" s="1634" customFormat="1">
      <c r="G7862" s="3336"/>
      <c r="P7862" s="3337"/>
    </row>
    <row r="7863" spans="7:16" s="1634" customFormat="1">
      <c r="G7863" s="3336"/>
      <c r="P7863" s="3337"/>
    </row>
    <row r="7864" spans="7:16" s="1634" customFormat="1">
      <c r="G7864" s="3336"/>
      <c r="P7864" s="3337"/>
    </row>
    <row r="7865" spans="7:16" s="1634" customFormat="1">
      <c r="G7865" s="3336"/>
      <c r="P7865" s="3337"/>
    </row>
    <row r="7866" spans="7:16" s="1634" customFormat="1">
      <c r="G7866" s="3336"/>
      <c r="P7866" s="3337"/>
    </row>
    <row r="7867" spans="7:16" s="1634" customFormat="1">
      <c r="G7867" s="3336"/>
      <c r="P7867" s="3337"/>
    </row>
    <row r="7868" spans="7:16" s="1634" customFormat="1">
      <c r="G7868" s="3336"/>
      <c r="P7868" s="3337"/>
    </row>
    <row r="7869" spans="7:16" s="1634" customFormat="1">
      <c r="G7869" s="3336"/>
      <c r="P7869" s="3337"/>
    </row>
    <row r="7870" spans="7:16" s="1634" customFormat="1">
      <c r="G7870" s="3336"/>
      <c r="P7870" s="3337"/>
    </row>
    <row r="7871" spans="7:16" s="1634" customFormat="1">
      <c r="G7871" s="3336"/>
      <c r="P7871" s="3337"/>
    </row>
    <row r="7872" spans="7:16" s="1634" customFormat="1">
      <c r="G7872" s="3336"/>
      <c r="P7872" s="3337"/>
    </row>
    <row r="7873" spans="7:16" s="1634" customFormat="1">
      <c r="G7873" s="3336"/>
      <c r="P7873" s="3337"/>
    </row>
    <row r="7874" spans="7:16" s="1634" customFormat="1">
      <c r="G7874" s="3336"/>
      <c r="P7874" s="3337"/>
    </row>
    <row r="7875" spans="7:16" s="1634" customFormat="1">
      <c r="G7875" s="3336"/>
      <c r="P7875" s="3337"/>
    </row>
    <row r="7876" spans="7:16" s="1634" customFormat="1">
      <c r="G7876" s="3336"/>
      <c r="P7876" s="3337"/>
    </row>
    <row r="7877" spans="7:16" s="1634" customFormat="1">
      <c r="G7877" s="3336"/>
      <c r="P7877" s="3337"/>
    </row>
    <row r="7878" spans="7:16" s="1634" customFormat="1">
      <c r="G7878" s="3336"/>
      <c r="P7878" s="3337"/>
    </row>
    <row r="7879" spans="7:16" s="1634" customFormat="1">
      <c r="G7879" s="3336"/>
      <c r="P7879" s="3337"/>
    </row>
    <row r="7880" spans="7:16" s="1634" customFormat="1">
      <c r="G7880" s="3336"/>
      <c r="P7880" s="3337"/>
    </row>
    <row r="7881" spans="7:16" s="1634" customFormat="1">
      <c r="G7881" s="3336"/>
      <c r="P7881" s="3337"/>
    </row>
    <row r="7882" spans="7:16" s="1634" customFormat="1">
      <c r="G7882" s="3336"/>
      <c r="P7882" s="3337"/>
    </row>
    <row r="7883" spans="7:16" s="1634" customFormat="1">
      <c r="G7883" s="3336"/>
      <c r="P7883" s="3337"/>
    </row>
    <row r="7884" spans="7:16" s="1634" customFormat="1">
      <c r="G7884" s="3336"/>
      <c r="P7884" s="3337"/>
    </row>
    <row r="7885" spans="7:16" s="1634" customFormat="1">
      <c r="G7885" s="3336"/>
      <c r="P7885" s="3337"/>
    </row>
    <row r="7886" spans="7:16" s="1634" customFormat="1">
      <c r="G7886" s="3336"/>
      <c r="P7886" s="3337"/>
    </row>
    <row r="7887" spans="7:16" s="1634" customFormat="1">
      <c r="G7887" s="3336"/>
      <c r="P7887" s="3337"/>
    </row>
    <row r="7888" spans="7:16" s="1634" customFormat="1">
      <c r="G7888" s="3336"/>
      <c r="P7888" s="3337"/>
    </row>
    <row r="7889" spans="7:16" s="1634" customFormat="1">
      <c r="G7889" s="3336"/>
      <c r="P7889" s="3337"/>
    </row>
    <row r="7890" spans="7:16" s="1634" customFormat="1">
      <c r="G7890" s="3336"/>
      <c r="P7890" s="3337"/>
    </row>
    <row r="7891" spans="7:16" s="1634" customFormat="1">
      <c r="G7891" s="3336"/>
      <c r="P7891" s="3337"/>
    </row>
    <row r="7892" spans="7:16" s="1634" customFormat="1">
      <c r="G7892" s="3336"/>
      <c r="P7892" s="3337"/>
    </row>
    <row r="7893" spans="7:16" s="1634" customFormat="1">
      <c r="G7893" s="3336"/>
      <c r="P7893" s="3337"/>
    </row>
    <row r="7894" spans="7:16" s="1634" customFormat="1">
      <c r="G7894" s="3336"/>
      <c r="P7894" s="3337"/>
    </row>
    <row r="7895" spans="7:16" s="1634" customFormat="1">
      <c r="G7895" s="3336"/>
      <c r="P7895" s="3337"/>
    </row>
    <row r="7896" spans="7:16" s="1634" customFormat="1">
      <c r="G7896" s="3336"/>
      <c r="P7896" s="3337"/>
    </row>
    <row r="7897" spans="7:16" s="1634" customFormat="1">
      <c r="G7897" s="3336"/>
      <c r="P7897" s="3337"/>
    </row>
    <row r="7898" spans="7:16" s="1634" customFormat="1">
      <c r="G7898" s="3336"/>
      <c r="P7898" s="3337"/>
    </row>
    <row r="7899" spans="7:16" s="1634" customFormat="1">
      <c r="G7899" s="3336"/>
      <c r="P7899" s="3337"/>
    </row>
    <row r="7900" spans="7:16" s="1634" customFormat="1">
      <c r="G7900" s="3336"/>
      <c r="P7900" s="3337"/>
    </row>
    <row r="7901" spans="7:16" s="1634" customFormat="1">
      <c r="G7901" s="3336"/>
      <c r="P7901" s="3337"/>
    </row>
    <row r="7902" spans="7:16" s="1634" customFormat="1">
      <c r="G7902" s="3336"/>
      <c r="P7902" s="3337"/>
    </row>
    <row r="7903" spans="7:16" s="1634" customFormat="1">
      <c r="G7903" s="3336"/>
      <c r="P7903" s="3337"/>
    </row>
    <row r="7904" spans="7:16" s="1634" customFormat="1">
      <c r="G7904" s="3336"/>
      <c r="P7904" s="3337"/>
    </row>
    <row r="7905" spans="7:16" s="1634" customFormat="1">
      <c r="G7905" s="3336"/>
      <c r="P7905" s="3337"/>
    </row>
    <row r="7906" spans="7:16" s="1634" customFormat="1">
      <c r="G7906" s="3336"/>
      <c r="P7906" s="3337"/>
    </row>
    <row r="7907" spans="7:16" s="1634" customFormat="1">
      <c r="G7907" s="3336"/>
      <c r="P7907" s="3337"/>
    </row>
    <row r="7908" spans="7:16" s="1634" customFormat="1">
      <c r="G7908" s="3336"/>
      <c r="P7908" s="3337"/>
    </row>
    <row r="7909" spans="7:16" s="1634" customFormat="1">
      <c r="G7909" s="3336"/>
      <c r="P7909" s="3337"/>
    </row>
    <row r="7910" spans="7:16" s="1634" customFormat="1">
      <c r="G7910" s="3336"/>
      <c r="P7910" s="3337"/>
    </row>
    <row r="7911" spans="7:16" s="1634" customFormat="1">
      <c r="G7911" s="3336"/>
      <c r="P7911" s="3337"/>
    </row>
    <row r="7912" spans="7:16" s="1634" customFormat="1">
      <c r="G7912" s="3336"/>
      <c r="P7912" s="3337"/>
    </row>
    <row r="7913" spans="7:16" s="1634" customFormat="1">
      <c r="G7913" s="3336"/>
      <c r="P7913" s="3337"/>
    </row>
    <row r="7914" spans="7:16" s="1634" customFormat="1">
      <c r="G7914" s="3336"/>
      <c r="P7914" s="3337"/>
    </row>
    <row r="7915" spans="7:16" s="1634" customFormat="1">
      <c r="G7915" s="3336"/>
      <c r="P7915" s="3337"/>
    </row>
    <row r="7916" spans="7:16" s="1634" customFormat="1">
      <c r="G7916" s="3336"/>
      <c r="P7916" s="3337"/>
    </row>
    <row r="7917" spans="7:16" s="1634" customFormat="1">
      <c r="G7917" s="3336"/>
      <c r="P7917" s="3337"/>
    </row>
    <row r="7918" spans="7:16" s="1634" customFormat="1">
      <c r="G7918" s="3336"/>
      <c r="P7918" s="3337"/>
    </row>
    <row r="7919" spans="7:16" s="1634" customFormat="1">
      <c r="G7919" s="3336"/>
      <c r="P7919" s="3337"/>
    </row>
    <row r="7920" spans="7:16" s="1634" customFormat="1">
      <c r="G7920" s="3336"/>
      <c r="P7920" s="3337"/>
    </row>
    <row r="7921" spans="7:16" s="1634" customFormat="1">
      <c r="G7921" s="3336"/>
      <c r="P7921" s="3337"/>
    </row>
    <row r="7922" spans="7:16" s="1634" customFormat="1">
      <c r="G7922" s="3336"/>
      <c r="P7922" s="3337"/>
    </row>
    <row r="7923" spans="7:16" s="1634" customFormat="1">
      <c r="G7923" s="3336"/>
      <c r="P7923" s="3337"/>
    </row>
    <row r="7924" spans="7:16" s="1634" customFormat="1">
      <c r="G7924" s="3336"/>
      <c r="P7924" s="3337"/>
    </row>
    <row r="7925" spans="7:16" s="1634" customFormat="1">
      <c r="G7925" s="3336"/>
      <c r="P7925" s="3337"/>
    </row>
    <row r="7926" spans="7:16" s="1634" customFormat="1">
      <c r="G7926" s="3336"/>
      <c r="P7926" s="3337"/>
    </row>
    <row r="7927" spans="7:16" s="1634" customFormat="1">
      <c r="G7927" s="3336"/>
      <c r="P7927" s="3337"/>
    </row>
    <row r="7928" spans="7:16" s="1634" customFormat="1">
      <c r="G7928" s="3336"/>
      <c r="P7928" s="3337"/>
    </row>
    <row r="7929" spans="7:16" s="1634" customFormat="1">
      <c r="G7929" s="3336"/>
      <c r="P7929" s="3337"/>
    </row>
    <row r="7930" spans="7:16" s="1634" customFormat="1">
      <c r="G7930" s="3336"/>
      <c r="P7930" s="3337"/>
    </row>
    <row r="7931" spans="7:16" s="1634" customFormat="1">
      <c r="G7931" s="3336"/>
      <c r="P7931" s="3337"/>
    </row>
    <row r="7932" spans="7:16" s="1634" customFormat="1">
      <c r="G7932" s="3336"/>
      <c r="P7932" s="3337"/>
    </row>
    <row r="7933" spans="7:16" s="1634" customFormat="1">
      <c r="G7933" s="3336"/>
      <c r="P7933" s="3337"/>
    </row>
    <row r="7934" spans="7:16" s="1634" customFormat="1">
      <c r="G7934" s="3336"/>
      <c r="P7934" s="3337"/>
    </row>
    <row r="7935" spans="7:16" s="1634" customFormat="1">
      <c r="G7935" s="3336"/>
      <c r="P7935" s="3337"/>
    </row>
    <row r="7936" spans="7:16" s="1634" customFormat="1">
      <c r="G7936" s="3336"/>
      <c r="P7936" s="3337"/>
    </row>
    <row r="7937" spans="7:16" s="1634" customFormat="1">
      <c r="G7937" s="3336"/>
      <c r="P7937" s="3337"/>
    </row>
    <row r="7938" spans="7:16" s="1634" customFormat="1">
      <c r="G7938" s="3336"/>
      <c r="P7938" s="3337"/>
    </row>
    <row r="7939" spans="7:16" s="1634" customFormat="1">
      <c r="G7939" s="3336"/>
      <c r="P7939" s="3337"/>
    </row>
    <row r="7940" spans="7:16" s="1634" customFormat="1">
      <c r="G7940" s="3336"/>
      <c r="P7940" s="3337"/>
    </row>
    <row r="7941" spans="7:16" s="1634" customFormat="1">
      <c r="G7941" s="3336"/>
      <c r="P7941" s="3337"/>
    </row>
    <row r="7942" spans="7:16" s="1634" customFormat="1">
      <c r="G7942" s="3336"/>
      <c r="P7942" s="3337"/>
    </row>
    <row r="7943" spans="7:16" s="1634" customFormat="1">
      <c r="G7943" s="3336"/>
      <c r="P7943" s="3337"/>
    </row>
    <row r="7944" spans="7:16" s="1634" customFormat="1">
      <c r="G7944" s="3336"/>
      <c r="P7944" s="3337"/>
    </row>
    <row r="7945" spans="7:16" s="1634" customFormat="1">
      <c r="G7945" s="3336"/>
      <c r="P7945" s="3337"/>
    </row>
    <row r="7946" spans="7:16" s="1634" customFormat="1">
      <c r="G7946" s="3336"/>
      <c r="P7946" s="3337"/>
    </row>
    <row r="7947" spans="7:16" s="1634" customFormat="1">
      <c r="G7947" s="3336"/>
      <c r="P7947" s="3337"/>
    </row>
    <row r="7948" spans="7:16" s="1634" customFormat="1">
      <c r="G7948" s="3336"/>
      <c r="P7948" s="3337"/>
    </row>
    <row r="7949" spans="7:16" s="1634" customFormat="1">
      <c r="G7949" s="3336"/>
      <c r="P7949" s="3337"/>
    </row>
    <row r="7950" spans="7:16" s="1634" customFormat="1">
      <c r="G7950" s="3336"/>
      <c r="P7950" s="3337"/>
    </row>
    <row r="7951" spans="7:16" s="1634" customFormat="1">
      <c r="G7951" s="3336"/>
      <c r="P7951" s="3337"/>
    </row>
    <row r="7952" spans="7:16" s="1634" customFormat="1">
      <c r="G7952" s="3336"/>
      <c r="P7952" s="3337"/>
    </row>
    <row r="7953" spans="7:16" s="1634" customFormat="1">
      <c r="G7953" s="3336"/>
      <c r="P7953" s="3337"/>
    </row>
    <row r="7954" spans="7:16" s="1634" customFormat="1">
      <c r="G7954" s="3336"/>
      <c r="P7954" s="3337"/>
    </row>
    <row r="7955" spans="7:16" s="1634" customFormat="1">
      <c r="G7955" s="3336"/>
      <c r="P7955" s="3337"/>
    </row>
    <row r="7956" spans="7:16" s="1634" customFormat="1">
      <c r="G7956" s="3336"/>
      <c r="P7956" s="3337"/>
    </row>
    <row r="7957" spans="7:16" s="1634" customFormat="1">
      <c r="G7957" s="3336"/>
      <c r="P7957" s="3337"/>
    </row>
    <row r="7958" spans="7:16" s="1634" customFormat="1">
      <c r="G7958" s="3336"/>
      <c r="P7958" s="3337"/>
    </row>
    <row r="7959" spans="7:16" s="1634" customFormat="1">
      <c r="G7959" s="3336"/>
      <c r="P7959" s="3337"/>
    </row>
    <row r="7960" spans="7:16" s="1634" customFormat="1">
      <c r="G7960" s="3336"/>
      <c r="P7960" s="3337"/>
    </row>
    <row r="7961" spans="7:16" s="1634" customFormat="1">
      <c r="G7961" s="3336"/>
      <c r="P7961" s="3337"/>
    </row>
    <row r="7962" spans="7:16" s="1634" customFormat="1">
      <c r="G7962" s="3336"/>
      <c r="P7962" s="3337"/>
    </row>
    <row r="7963" spans="7:16" s="1634" customFormat="1">
      <c r="G7963" s="3336"/>
      <c r="P7963" s="3337"/>
    </row>
    <row r="7964" spans="7:16" s="1634" customFormat="1">
      <c r="G7964" s="3336"/>
      <c r="P7964" s="3337"/>
    </row>
    <row r="7965" spans="7:16" s="1634" customFormat="1">
      <c r="G7965" s="3336"/>
      <c r="P7965" s="3337"/>
    </row>
    <row r="7966" spans="7:16" s="1634" customFormat="1">
      <c r="G7966" s="3336"/>
      <c r="P7966" s="3337"/>
    </row>
    <row r="7967" spans="7:16" s="1634" customFormat="1">
      <c r="G7967" s="3336"/>
      <c r="P7967" s="3337"/>
    </row>
    <row r="7968" spans="7:16" s="1634" customFormat="1">
      <c r="G7968" s="3336"/>
      <c r="P7968" s="3337"/>
    </row>
    <row r="7969" spans="7:16" s="1634" customFormat="1">
      <c r="G7969" s="3336"/>
      <c r="P7969" s="3337"/>
    </row>
    <row r="7970" spans="7:16" s="1634" customFormat="1">
      <c r="G7970" s="3336"/>
      <c r="P7970" s="3337"/>
    </row>
    <row r="7971" spans="7:16" s="1634" customFormat="1">
      <c r="G7971" s="3336"/>
      <c r="P7971" s="3337"/>
    </row>
    <row r="7972" spans="7:16" s="1634" customFormat="1">
      <c r="G7972" s="3336"/>
      <c r="P7972" s="3337"/>
    </row>
    <row r="7973" spans="7:16" s="1634" customFormat="1">
      <c r="G7973" s="3336"/>
      <c r="P7973" s="3337"/>
    </row>
    <row r="7974" spans="7:16" s="1634" customFormat="1">
      <c r="G7974" s="3336"/>
      <c r="P7974" s="3337"/>
    </row>
    <row r="7975" spans="7:16" s="1634" customFormat="1">
      <c r="G7975" s="3336"/>
      <c r="P7975" s="3337"/>
    </row>
    <row r="7976" spans="7:16" s="1634" customFormat="1">
      <c r="G7976" s="3336"/>
      <c r="P7976" s="3337"/>
    </row>
    <row r="7977" spans="7:16" s="1634" customFormat="1">
      <c r="G7977" s="3336"/>
      <c r="P7977" s="3337"/>
    </row>
    <row r="7978" spans="7:16" s="1634" customFormat="1">
      <c r="G7978" s="3336"/>
      <c r="P7978" s="3337"/>
    </row>
    <row r="7979" spans="7:16" s="1634" customFormat="1">
      <c r="G7979" s="3336"/>
      <c r="P7979" s="3337"/>
    </row>
    <row r="7980" spans="7:16" s="1634" customFormat="1">
      <c r="G7980" s="3336"/>
      <c r="P7980" s="3337"/>
    </row>
    <row r="7981" spans="7:16" s="1634" customFormat="1">
      <c r="G7981" s="3336"/>
      <c r="P7981" s="3337"/>
    </row>
    <row r="7982" spans="7:16" s="1634" customFormat="1">
      <c r="G7982" s="3336"/>
      <c r="P7982" s="3337"/>
    </row>
    <row r="7983" spans="7:16" s="1634" customFormat="1">
      <c r="G7983" s="3336"/>
      <c r="P7983" s="3337"/>
    </row>
    <row r="7984" spans="7:16" s="1634" customFormat="1">
      <c r="G7984" s="3336"/>
      <c r="P7984" s="3337"/>
    </row>
    <row r="7985" spans="7:16" s="1634" customFormat="1">
      <c r="G7985" s="3336"/>
      <c r="P7985" s="3337"/>
    </row>
    <row r="7986" spans="7:16" s="1634" customFormat="1">
      <c r="G7986" s="3336"/>
      <c r="P7986" s="3337"/>
    </row>
    <row r="7987" spans="7:16" s="1634" customFormat="1">
      <c r="G7987" s="3336"/>
      <c r="P7987" s="3337"/>
    </row>
    <row r="7988" spans="7:16" s="1634" customFormat="1">
      <c r="G7988" s="3336"/>
      <c r="P7988" s="3337"/>
    </row>
    <row r="7989" spans="7:16" s="1634" customFormat="1">
      <c r="G7989" s="3336"/>
      <c r="P7989" s="3337"/>
    </row>
    <row r="7990" spans="7:16" s="1634" customFormat="1">
      <c r="G7990" s="3336"/>
      <c r="P7990" s="3337"/>
    </row>
    <row r="7991" spans="7:16" s="1634" customFormat="1">
      <c r="G7991" s="3336"/>
      <c r="P7991" s="3337"/>
    </row>
    <row r="7992" spans="7:16" s="1634" customFormat="1">
      <c r="G7992" s="3336"/>
      <c r="P7992" s="3337"/>
    </row>
    <row r="7993" spans="7:16" s="1634" customFormat="1">
      <c r="G7993" s="3336"/>
      <c r="P7993" s="3337"/>
    </row>
    <row r="7994" spans="7:16" s="1634" customFormat="1">
      <c r="G7994" s="3336"/>
      <c r="P7994" s="3337"/>
    </row>
    <row r="7995" spans="7:16" s="1634" customFormat="1">
      <c r="G7995" s="3336"/>
      <c r="P7995" s="3337"/>
    </row>
    <row r="7996" spans="7:16" s="1634" customFormat="1">
      <c r="G7996" s="3336"/>
      <c r="P7996" s="3337"/>
    </row>
    <row r="7997" spans="7:16" s="1634" customFormat="1">
      <c r="G7997" s="3336"/>
      <c r="P7997" s="3337"/>
    </row>
    <row r="7998" spans="7:16" s="1634" customFormat="1">
      <c r="G7998" s="3336"/>
      <c r="P7998" s="3337"/>
    </row>
    <row r="7999" spans="7:16" s="1634" customFormat="1">
      <c r="G7999" s="3336"/>
      <c r="P7999" s="3337"/>
    </row>
    <row r="8000" spans="7:16" s="1634" customFormat="1">
      <c r="G8000" s="3336"/>
      <c r="P8000" s="3337"/>
    </row>
    <row r="8001" spans="7:16" s="1634" customFormat="1">
      <c r="G8001" s="3336"/>
      <c r="P8001" s="3337"/>
    </row>
    <row r="8002" spans="7:16" s="1634" customFormat="1">
      <c r="G8002" s="3336"/>
      <c r="P8002" s="3337"/>
    </row>
    <row r="8003" spans="7:16" s="1634" customFormat="1">
      <c r="G8003" s="3336"/>
      <c r="P8003" s="3337"/>
    </row>
    <row r="8004" spans="7:16" s="1634" customFormat="1">
      <c r="G8004" s="3336"/>
      <c r="P8004" s="3337"/>
    </row>
    <row r="8005" spans="7:16" s="1634" customFormat="1">
      <c r="G8005" s="3336"/>
      <c r="P8005" s="3337"/>
    </row>
    <row r="8006" spans="7:16" s="1634" customFormat="1">
      <c r="G8006" s="3336"/>
      <c r="P8006" s="3337"/>
    </row>
    <row r="8007" spans="7:16" s="1634" customFormat="1">
      <c r="G8007" s="3336"/>
      <c r="P8007" s="3337"/>
    </row>
    <row r="8008" spans="7:16" s="1634" customFormat="1">
      <c r="G8008" s="3336"/>
      <c r="P8008" s="3337"/>
    </row>
    <row r="8009" spans="7:16" s="1634" customFormat="1">
      <c r="G8009" s="3336"/>
      <c r="P8009" s="3337"/>
    </row>
    <row r="8010" spans="7:16" s="1634" customFormat="1">
      <c r="G8010" s="3336"/>
      <c r="P8010" s="3337"/>
    </row>
    <row r="8011" spans="7:16" s="1634" customFormat="1">
      <c r="G8011" s="3336"/>
      <c r="P8011" s="3337"/>
    </row>
    <row r="8012" spans="7:16" s="1634" customFormat="1">
      <c r="G8012" s="3336"/>
      <c r="P8012" s="3337"/>
    </row>
    <row r="8013" spans="7:16" s="1634" customFormat="1">
      <c r="G8013" s="3336"/>
      <c r="P8013" s="3337"/>
    </row>
    <row r="8014" spans="7:16" s="1634" customFormat="1">
      <c r="G8014" s="3336"/>
      <c r="P8014" s="3337"/>
    </row>
    <row r="8015" spans="7:16" s="1634" customFormat="1">
      <c r="G8015" s="3336"/>
      <c r="P8015" s="3337"/>
    </row>
    <row r="8016" spans="7:16" s="1634" customFormat="1">
      <c r="G8016" s="3336"/>
      <c r="P8016" s="3337"/>
    </row>
    <row r="8017" spans="7:16" s="1634" customFormat="1">
      <c r="G8017" s="3336"/>
      <c r="P8017" s="3337"/>
    </row>
    <row r="8018" spans="7:16" s="1634" customFormat="1">
      <c r="G8018" s="3336"/>
      <c r="P8018" s="3337"/>
    </row>
    <row r="8019" spans="7:16" s="1634" customFormat="1">
      <c r="G8019" s="3336"/>
      <c r="P8019" s="3337"/>
    </row>
    <row r="8020" spans="7:16" s="1634" customFormat="1">
      <c r="G8020" s="3336"/>
      <c r="P8020" s="3337"/>
    </row>
    <row r="8021" spans="7:16" s="1634" customFormat="1">
      <c r="G8021" s="3336"/>
      <c r="P8021" s="3337"/>
    </row>
    <row r="8022" spans="7:16" s="1634" customFormat="1">
      <c r="G8022" s="3336"/>
      <c r="P8022" s="3337"/>
    </row>
    <row r="8023" spans="7:16" s="1634" customFormat="1">
      <c r="G8023" s="3336"/>
      <c r="P8023" s="3337"/>
    </row>
    <row r="8024" spans="7:16" s="1634" customFormat="1">
      <c r="G8024" s="3336"/>
      <c r="P8024" s="3337"/>
    </row>
    <row r="8025" spans="7:16" s="1634" customFormat="1">
      <c r="G8025" s="3336"/>
      <c r="P8025" s="3337"/>
    </row>
    <row r="8026" spans="7:16" s="1634" customFormat="1">
      <c r="G8026" s="3336"/>
      <c r="P8026" s="3337"/>
    </row>
    <row r="8027" spans="7:16" s="1634" customFormat="1">
      <c r="G8027" s="3336"/>
      <c r="P8027" s="3337"/>
    </row>
    <row r="8028" spans="7:16" s="1634" customFormat="1">
      <c r="G8028" s="3336"/>
      <c r="P8028" s="3337"/>
    </row>
    <row r="8029" spans="7:16" s="1634" customFormat="1">
      <c r="G8029" s="3336"/>
      <c r="P8029" s="3337"/>
    </row>
    <row r="8030" spans="7:16" s="1634" customFormat="1">
      <c r="G8030" s="3336"/>
      <c r="P8030" s="3337"/>
    </row>
    <row r="8031" spans="7:16" s="1634" customFormat="1">
      <c r="G8031" s="3336"/>
      <c r="P8031" s="3337"/>
    </row>
    <row r="8032" spans="7:16" s="1634" customFormat="1">
      <c r="G8032" s="3336"/>
      <c r="P8032" s="3337"/>
    </row>
    <row r="8033" spans="7:16" s="1634" customFormat="1">
      <c r="G8033" s="3336"/>
      <c r="P8033" s="3337"/>
    </row>
    <row r="8034" spans="7:16" s="1634" customFormat="1">
      <c r="G8034" s="3336"/>
      <c r="P8034" s="3337"/>
    </row>
    <row r="8035" spans="7:16" s="1634" customFormat="1">
      <c r="G8035" s="3336"/>
      <c r="P8035" s="3337"/>
    </row>
    <row r="8036" spans="7:16" s="1634" customFormat="1">
      <c r="G8036" s="3336"/>
      <c r="P8036" s="3337"/>
    </row>
    <row r="8037" spans="7:16" s="1634" customFormat="1">
      <c r="G8037" s="3336"/>
      <c r="P8037" s="3337"/>
    </row>
    <row r="8038" spans="7:16" s="1634" customFormat="1">
      <c r="G8038" s="3336"/>
      <c r="P8038" s="3337"/>
    </row>
    <row r="8039" spans="7:16" s="1634" customFormat="1">
      <c r="G8039" s="3336"/>
      <c r="P8039" s="3337"/>
    </row>
    <row r="8040" spans="7:16" s="1634" customFormat="1">
      <c r="G8040" s="3336"/>
      <c r="P8040" s="3337"/>
    </row>
    <row r="8041" spans="7:16" s="1634" customFormat="1">
      <c r="G8041" s="3336"/>
      <c r="P8041" s="3337"/>
    </row>
    <row r="8042" spans="7:16" s="1634" customFormat="1">
      <c r="G8042" s="3336"/>
      <c r="P8042" s="3337"/>
    </row>
    <row r="8043" spans="7:16" s="1634" customFormat="1">
      <c r="G8043" s="3336"/>
      <c r="P8043" s="3337"/>
    </row>
    <row r="8044" spans="7:16" s="1634" customFormat="1">
      <c r="G8044" s="3336"/>
      <c r="P8044" s="3337"/>
    </row>
    <row r="8045" spans="7:16" s="1634" customFormat="1">
      <c r="G8045" s="3336"/>
      <c r="P8045" s="3337"/>
    </row>
    <row r="8046" spans="7:16" s="1634" customFormat="1">
      <c r="G8046" s="3336"/>
      <c r="P8046" s="3337"/>
    </row>
    <row r="8047" spans="7:16" s="1634" customFormat="1">
      <c r="G8047" s="3336"/>
      <c r="P8047" s="3337"/>
    </row>
    <row r="8048" spans="7:16" s="1634" customFormat="1">
      <c r="G8048" s="3336"/>
      <c r="P8048" s="3337"/>
    </row>
    <row r="8049" spans="7:16" s="1634" customFormat="1">
      <c r="G8049" s="3336"/>
      <c r="P8049" s="3337"/>
    </row>
    <row r="8050" spans="7:16" s="1634" customFormat="1">
      <c r="G8050" s="3336"/>
      <c r="P8050" s="3337"/>
    </row>
    <row r="8051" spans="7:16" s="1634" customFormat="1">
      <c r="G8051" s="3336"/>
      <c r="P8051" s="3337"/>
    </row>
    <row r="8052" spans="7:16" s="1634" customFormat="1">
      <c r="G8052" s="3336"/>
      <c r="P8052" s="3337"/>
    </row>
    <row r="8053" spans="7:16" s="1634" customFormat="1">
      <c r="G8053" s="3336"/>
      <c r="P8053" s="3337"/>
    </row>
    <row r="8054" spans="7:16" s="1634" customFormat="1">
      <c r="G8054" s="3336"/>
      <c r="P8054" s="3337"/>
    </row>
    <row r="8055" spans="7:16" s="1634" customFormat="1">
      <c r="G8055" s="3336"/>
      <c r="P8055" s="3337"/>
    </row>
    <row r="8056" spans="7:16" s="1634" customFormat="1">
      <c r="G8056" s="3336"/>
      <c r="P8056" s="3337"/>
    </row>
    <row r="8057" spans="7:16" s="1634" customFormat="1">
      <c r="G8057" s="3336"/>
      <c r="P8057" s="3337"/>
    </row>
    <row r="8058" spans="7:16" s="1634" customFormat="1">
      <c r="G8058" s="3336"/>
      <c r="P8058" s="3337"/>
    </row>
    <row r="8059" spans="7:16" s="1634" customFormat="1">
      <c r="G8059" s="3336"/>
      <c r="P8059" s="3337"/>
    </row>
    <row r="8060" spans="7:16" s="1634" customFormat="1">
      <c r="G8060" s="3336"/>
      <c r="P8060" s="3337"/>
    </row>
    <row r="8061" spans="7:16" s="1634" customFormat="1">
      <c r="G8061" s="3336"/>
      <c r="P8061" s="3337"/>
    </row>
    <row r="8062" spans="7:16" s="1634" customFormat="1">
      <c r="G8062" s="3336"/>
      <c r="P8062" s="3337"/>
    </row>
    <row r="8063" spans="7:16" s="1634" customFormat="1">
      <c r="G8063" s="3336"/>
      <c r="P8063" s="3337"/>
    </row>
    <row r="8064" spans="7:16" s="1634" customFormat="1">
      <c r="G8064" s="3336"/>
      <c r="P8064" s="3337"/>
    </row>
    <row r="8065" spans="7:16" s="1634" customFormat="1">
      <c r="G8065" s="3336"/>
      <c r="P8065" s="3337"/>
    </row>
    <row r="8066" spans="7:16" s="1634" customFormat="1">
      <c r="G8066" s="3336"/>
      <c r="P8066" s="3337"/>
    </row>
    <row r="8067" spans="7:16" s="1634" customFormat="1">
      <c r="G8067" s="3336"/>
      <c r="P8067" s="3337"/>
    </row>
    <row r="8068" spans="7:16" s="1634" customFormat="1">
      <c r="G8068" s="3336"/>
      <c r="P8068" s="3337"/>
    </row>
    <row r="8069" spans="7:16" s="1634" customFormat="1">
      <c r="G8069" s="3336"/>
      <c r="P8069" s="3337"/>
    </row>
    <row r="8070" spans="7:16" s="1634" customFormat="1">
      <c r="G8070" s="3336"/>
      <c r="P8070" s="3337"/>
    </row>
    <row r="8071" spans="7:16" s="1634" customFormat="1">
      <c r="G8071" s="3336"/>
      <c r="P8071" s="3337"/>
    </row>
    <row r="8072" spans="7:16" s="1634" customFormat="1">
      <c r="G8072" s="3336"/>
      <c r="P8072" s="3337"/>
    </row>
    <row r="8073" spans="7:16" s="1634" customFormat="1">
      <c r="G8073" s="3336"/>
      <c r="P8073" s="3337"/>
    </row>
    <row r="8074" spans="7:16" s="1634" customFormat="1">
      <c r="G8074" s="3336"/>
      <c r="P8074" s="3337"/>
    </row>
    <row r="8075" spans="7:16" s="1634" customFormat="1">
      <c r="G8075" s="3336"/>
      <c r="P8075" s="3337"/>
    </row>
    <row r="8076" spans="7:16" s="1634" customFormat="1">
      <c r="G8076" s="3336"/>
      <c r="P8076" s="3337"/>
    </row>
    <row r="8077" spans="7:16" s="1634" customFormat="1">
      <c r="G8077" s="3336"/>
      <c r="P8077" s="3337"/>
    </row>
    <row r="8078" spans="7:16" s="1634" customFormat="1">
      <c r="G8078" s="3336"/>
      <c r="P8078" s="3337"/>
    </row>
    <row r="8079" spans="7:16" s="1634" customFormat="1">
      <c r="G8079" s="3336"/>
      <c r="P8079" s="3337"/>
    </row>
    <row r="8080" spans="7:16" s="1634" customFormat="1">
      <c r="G8080" s="3336"/>
      <c r="P8080" s="3337"/>
    </row>
    <row r="8081" spans="7:16" s="1634" customFormat="1">
      <c r="G8081" s="3336"/>
      <c r="P8081" s="3337"/>
    </row>
    <row r="8082" spans="7:16" s="1634" customFormat="1">
      <c r="G8082" s="3336"/>
      <c r="P8082" s="3337"/>
    </row>
    <row r="8083" spans="7:16" s="1634" customFormat="1">
      <c r="G8083" s="3336"/>
      <c r="P8083" s="3337"/>
    </row>
    <row r="8084" spans="7:16" s="1634" customFormat="1">
      <c r="G8084" s="3336"/>
      <c r="P8084" s="3337"/>
    </row>
    <row r="8085" spans="7:16" s="1634" customFormat="1">
      <c r="G8085" s="3336"/>
      <c r="P8085" s="3337"/>
    </row>
    <row r="8086" spans="7:16" s="1634" customFormat="1">
      <c r="G8086" s="3336"/>
      <c r="P8086" s="3337"/>
    </row>
    <row r="8087" spans="7:16" s="1634" customFormat="1">
      <c r="G8087" s="3336"/>
      <c r="P8087" s="3337"/>
    </row>
    <row r="8088" spans="7:16" s="1634" customFormat="1">
      <c r="G8088" s="3336"/>
      <c r="P8088" s="3337"/>
    </row>
    <row r="8089" spans="7:16" s="1634" customFormat="1">
      <c r="G8089" s="3336"/>
      <c r="P8089" s="3337"/>
    </row>
    <row r="8090" spans="7:16" s="1634" customFormat="1">
      <c r="G8090" s="3336"/>
      <c r="P8090" s="3337"/>
    </row>
    <row r="8091" spans="7:16" s="1634" customFormat="1">
      <c r="G8091" s="3336"/>
      <c r="P8091" s="3337"/>
    </row>
    <row r="8092" spans="7:16" s="1634" customFormat="1">
      <c r="G8092" s="3336"/>
      <c r="P8092" s="3337"/>
    </row>
    <row r="8093" spans="7:16" s="1634" customFormat="1">
      <c r="G8093" s="3336"/>
      <c r="P8093" s="3337"/>
    </row>
    <row r="8094" spans="7:16" s="1634" customFormat="1">
      <c r="G8094" s="3336"/>
      <c r="P8094" s="3337"/>
    </row>
    <row r="8095" spans="7:16" s="1634" customFormat="1">
      <c r="G8095" s="3336"/>
      <c r="P8095" s="3337"/>
    </row>
    <row r="8096" spans="7:16" s="1634" customFormat="1">
      <c r="G8096" s="3336"/>
      <c r="P8096" s="3337"/>
    </row>
    <row r="8097" spans="7:16" s="1634" customFormat="1">
      <c r="G8097" s="3336"/>
      <c r="P8097" s="3337"/>
    </row>
    <row r="8098" spans="7:16" s="1634" customFormat="1">
      <c r="G8098" s="3336"/>
      <c r="P8098" s="3337"/>
    </row>
    <row r="8099" spans="7:16" s="1634" customFormat="1">
      <c r="G8099" s="3336"/>
      <c r="P8099" s="3337"/>
    </row>
    <row r="8100" spans="7:16" s="1634" customFormat="1">
      <c r="G8100" s="3336"/>
      <c r="P8100" s="3337"/>
    </row>
    <row r="8101" spans="7:16" s="1634" customFormat="1">
      <c r="G8101" s="3336"/>
      <c r="P8101" s="3337"/>
    </row>
    <row r="8102" spans="7:16" s="1634" customFormat="1">
      <c r="G8102" s="3336"/>
      <c r="P8102" s="3337"/>
    </row>
    <row r="8103" spans="7:16" s="1634" customFormat="1">
      <c r="G8103" s="3336"/>
      <c r="P8103" s="3337"/>
    </row>
    <row r="8104" spans="7:16" s="1634" customFormat="1">
      <c r="G8104" s="3336"/>
      <c r="P8104" s="3337"/>
    </row>
    <row r="8105" spans="7:16" s="1634" customFormat="1">
      <c r="G8105" s="3336"/>
      <c r="P8105" s="3337"/>
    </row>
    <row r="8106" spans="7:16" s="1634" customFormat="1">
      <c r="G8106" s="3336"/>
      <c r="P8106" s="3337"/>
    </row>
    <row r="8107" spans="7:16" s="1634" customFormat="1">
      <c r="G8107" s="3336"/>
      <c r="P8107" s="3337"/>
    </row>
    <row r="8108" spans="7:16" s="1634" customFormat="1">
      <c r="G8108" s="3336"/>
      <c r="P8108" s="3337"/>
    </row>
    <row r="8109" spans="7:16" s="1634" customFormat="1">
      <c r="G8109" s="3336"/>
      <c r="P8109" s="3337"/>
    </row>
    <row r="8110" spans="7:16" s="1634" customFormat="1">
      <c r="G8110" s="3336"/>
      <c r="P8110" s="3337"/>
    </row>
    <row r="8111" spans="7:16" s="1634" customFormat="1">
      <c r="G8111" s="3336"/>
      <c r="P8111" s="3337"/>
    </row>
    <row r="8112" spans="7:16" s="1634" customFormat="1">
      <c r="G8112" s="3336"/>
      <c r="P8112" s="3337"/>
    </row>
    <row r="8113" spans="7:16" s="1634" customFormat="1">
      <c r="G8113" s="3336"/>
      <c r="P8113" s="3337"/>
    </row>
    <row r="8114" spans="7:16" s="1634" customFormat="1">
      <c r="G8114" s="3336"/>
      <c r="P8114" s="3337"/>
    </row>
    <row r="8115" spans="7:16" s="1634" customFormat="1">
      <c r="G8115" s="3336"/>
      <c r="P8115" s="3337"/>
    </row>
    <row r="8116" spans="7:16" s="1634" customFormat="1">
      <c r="G8116" s="3336"/>
      <c r="P8116" s="3337"/>
    </row>
    <row r="8117" spans="7:16" s="1634" customFormat="1">
      <c r="G8117" s="3336"/>
      <c r="P8117" s="3337"/>
    </row>
    <row r="8118" spans="7:16" s="1634" customFormat="1">
      <c r="G8118" s="3336"/>
      <c r="P8118" s="3337"/>
    </row>
    <row r="8119" spans="7:16" s="1634" customFormat="1">
      <c r="G8119" s="3336"/>
      <c r="P8119" s="3337"/>
    </row>
    <row r="8120" spans="7:16" s="1634" customFormat="1">
      <c r="G8120" s="3336"/>
      <c r="P8120" s="3337"/>
    </row>
    <row r="8121" spans="7:16" s="1634" customFormat="1">
      <c r="G8121" s="3336"/>
      <c r="P8121" s="3337"/>
    </row>
    <row r="8122" spans="7:16" s="1634" customFormat="1">
      <c r="G8122" s="3336"/>
      <c r="P8122" s="3337"/>
    </row>
    <row r="8123" spans="7:16" s="1634" customFormat="1">
      <c r="G8123" s="3336"/>
      <c r="P8123" s="3337"/>
    </row>
    <row r="8124" spans="7:16" s="1634" customFormat="1">
      <c r="G8124" s="3336"/>
      <c r="P8124" s="3337"/>
    </row>
    <row r="8125" spans="7:16" s="1634" customFormat="1">
      <c r="G8125" s="3336"/>
      <c r="P8125" s="3337"/>
    </row>
    <row r="8126" spans="7:16" s="1634" customFormat="1">
      <c r="G8126" s="3336"/>
      <c r="P8126" s="3337"/>
    </row>
    <row r="8127" spans="7:16" s="1634" customFormat="1">
      <c r="G8127" s="3336"/>
      <c r="P8127" s="3337"/>
    </row>
    <row r="8128" spans="7:16" s="1634" customFormat="1">
      <c r="G8128" s="3336"/>
      <c r="P8128" s="3337"/>
    </row>
    <row r="8129" spans="7:16" s="1634" customFormat="1">
      <c r="G8129" s="3336"/>
      <c r="P8129" s="3337"/>
    </row>
    <row r="8130" spans="7:16" s="1634" customFormat="1">
      <c r="G8130" s="3336"/>
      <c r="P8130" s="3337"/>
    </row>
    <row r="8131" spans="7:16" s="1634" customFormat="1">
      <c r="G8131" s="3336"/>
      <c r="P8131" s="3337"/>
    </row>
    <row r="8132" spans="7:16" s="1634" customFormat="1">
      <c r="G8132" s="3336"/>
      <c r="P8132" s="3337"/>
    </row>
    <row r="8133" spans="7:16" s="1634" customFormat="1">
      <c r="G8133" s="3336"/>
      <c r="P8133" s="3337"/>
    </row>
    <row r="8134" spans="7:16" s="1634" customFormat="1">
      <c r="G8134" s="3336"/>
      <c r="P8134" s="3337"/>
    </row>
    <row r="8135" spans="7:16" s="1634" customFormat="1">
      <c r="G8135" s="3336"/>
      <c r="P8135" s="3337"/>
    </row>
    <row r="8136" spans="7:16" s="1634" customFormat="1">
      <c r="G8136" s="3336"/>
      <c r="P8136" s="3337"/>
    </row>
    <row r="8137" spans="7:16" s="1634" customFormat="1">
      <c r="G8137" s="3336"/>
      <c r="P8137" s="3337"/>
    </row>
    <row r="8138" spans="7:16" s="1634" customFormat="1">
      <c r="G8138" s="3336"/>
      <c r="P8138" s="3337"/>
    </row>
    <row r="8139" spans="7:16" s="1634" customFormat="1">
      <c r="G8139" s="3336"/>
      <c r="P8139" s="3337"/>
    </row>
    <row r="8140" spans="7:16" s="1634" customFormat="1">
      <c r="G8140" s="3336"/>
      <c r="P8140" s="3337"/>
    </row>
    <row r="8141" spans="7:16" s="1634" customFormat="1">
      <c r="G8141" s="3336"/>
      <c r="P8141" s="3337"/>
    </row>
    <row r="8142" spans="7:16" s="1634" customFormat="1">
      <c r="G8142" s="3336"/>
      <c r="P8142" s="3337"/>
    </row>
    <row r="8143" spans="7:16" s="1634" customFormat="1">
      <c r="G8143" s="3336"/>
      <c r="P8143" s="3337"/>
    </row>
    <row r="8144" spans="7:16" s="1634" customFormat="1">
      <c r="G8144" s="3336"/>
      <c r="P8144" s="3337"/>
    </row>
    <row r="8145" spans="7:16" s="1634" customFormat="1">
      <c r="G8145" s="3336"/>
      <c r="P8145" s="3337"/>
    </row>
    <row r="8146" spans="7:16" s="1634" customFormat="1">
      <c r="G8146" s="3336"/>
      <c r="P8146" s="3337"/>
    </row>
    <row r="8147" spans="7:16" s="1634" customFormat="1">
      <c r="G8147" s="3336"/>
      <c r="P8147" s="3337"/>
    </row>
    <row r="8148" spans="7:16" s="1634" customFormat="1">
      <c r="G8148" s="3336"/>
      <c r="P8148" s="3337"/>
    </row>
    <row r="8149" spans="7:16" s="1634" customFormat="1">
      <c r="G8149" s="3336"/>
      <c r="P8149" s="3337"/>
    </row>
    <row r="8150" spans="7:16" s="1634" customFormat="1">
      <c r="G8150" s="3336"/>
      <c r="P8150" s="3337"/>
    </row>
    <row r="8151" spans="7:16" s="1634" customFormat="1">
      <c r="G8151" s="3336"/>
      <c r="P8151" s="3337"/>
    </row>
    <row r="8152" spans="7:16" s="1634" customFormat="1">
      <c r="G8152" s="3336"/>
      <c r="P8152" s="3337"/>
    </row>
    <row r="8153" spans="7:16" s="1634" customFormat="1">
      <c r="G8153" s="3336"/>
      <c r="P8153" s="3337"/>
    </row>
    <row r="8154" spans="7:16" s="1634" customFormat="1">
      <c r="G8154" s="3336"/>
      <c r="P8154" s="3337"/>
    </row>
    <row r="8155" spans="7:16" s="1634" customFormat="1">
      <c r="G8155" s="3336"/>
      <c r="P8155" s="3337"/>
    </row>
    <row r="8156" spans="7:16" s="1634" customFormat="1">
      <c r="G8156" s="3336"/>
      <c r="P8156" s="3337"/>
    </row>
    <row r="8157" spans="7:16" s="1634" customFormat="1">
      <c r="G8157" s="3336"/>
      <c r="P8157" s="3337"/>
    </row>
    <row r="8158" spans="7:16" s="1634" customFormat="1">
      <c r="G8158" s="3336"/>
      <c r="P8158" s="3337"/>
    </row>
    <row r="8159" spans="7:16" s="1634" customFormat="1">
      <c r="G8159" s="3336"/>
      <c r="P8159" s="3337"/>
    </row>
    <row r="8160" spans="7:16" s="1634" customFormat="1">
      <c r="G8160" s="3336"/>
      <c r="P8160" s="3337"/>
    </row>
    <row r="8161" spans="7:16" s="1634" customFormat="1">
      <c r="G8161" s="3336"/>
      <c r="P8161" s="3337"/>
    </row>
    <row r="8162" spans="7:16" s="1634" customFormat="1">
      <c r="G8162" s="3336"/>
      <c r="P8162" s="3337"/>
    </row>
    <row r="8163" spans="7:16" s="1634" customFormat="1">
      <c r="G8163" s="3336"/>
      <c r="P8163" s="3337"/>
    </row>
    <row r="8164" spans="7:16" s="1634" customFormat="1">
      <c r="G8164" s="3336"/>
      <c r="P8164" s="3337"/>
    </row>
    <row r="8165" spans="7:16" s="1634" customFormat="1">
      <c r="G8165" s="3336"/>
      <c r="P8165" s="3337"/>
    </row>
    <row r="8166" spans="7:16" s="1634" customFormat="1">
      <c r="G8166" s="3336"/>
      <c r="P8166" s="3337"/>
    </row>
    <row r="8167" spans="7:16" s="1634" customFormat="1">
      <c r="G8167" s="3336"/>
      <c r="P8167" s="3337"/>
    </row>
    <row r="8168" spans="7:16" s="1634" customFormat="1">
      <c r="G8168" s="3336"/>
      <c r="P8168" s="3337"/>
    </row>
    <row r="8169" spans="7:16" s="1634" customFormat="1">
      <c r="G8169" s="3336"/>
      <c r="P8169" s="3337"/>
    </row>
    <row r="8170" spans="7:16" s="1634" customFormat="1">
      <c r="G8170" s="3336"/>
      <c r="P8170" s="3337"/>
    </row>
    <row r="8171" spans="7:16" s="1634" customFormat="1">
      <c r="G8171" s="3336"/>
      <c r="P8171" s="3337"/>
    </row>
    <row r="8172" spans="7:16" s="1634" customFormat="1">
      <c r="G8172" s="3336"/>
      <c r="P8172" s="3337"/>
    </row>
    <row r="8173" spans="7:16" s="1634" customFormat="1">
      <c r="G8173" s="3336"/>
      <c r="P8173" s="3337"/>
    </row>
    <row r="8174" spans="7:16" s="1634" customFormat="1">
      <c r="G8174" s="3336"/>
      <c r="P8174" s="3337"/>
    </row>
    <row r="8175" spans="7:16" s="1634" customFormat="1">
      <c r="G8175" s="3336"/>
      <c r="P8175" s="3337"/>
    </row>
    <row r="8176" spans="7:16" s="1634" customFormat="1">
      <c r="G8176" s="3336"/>
      <c r="P8176" s="3337"/>
    </row>
    <row r="8177" spans="7:16" s="1634" customFormat="1">
      <c r="G8177" s="3336"/>
      <c r="P8177" s="3337"/>
    </row>
    <row r="8178" spans="7:16" s="1634" customFormat="1">
      <c r="G8178" s="3336"/>
      <c r="P8178" s="3337"/>
    </row>
    <row r="8179" spans="7:16" s="1634" customFormat="1">
      <c r="G8179" s="3336"/>
      <c r="P8179" s="3337"/>
    </row>
    <row r="8180" spans="7:16" s="1634" customFormat="1">
      <c r="G8180" s="3336"/>
      <c r="P8180" s="3337"/>
    </row>
    <row r="8181" spans="7:16" s="1634" customFormat="1">
      <c r="G8181" s="3336"/>
      <c r="P8181" s="3337"/>
    </row>
    <row r="8182" spans="7:16" s="1634" customFormat="1">
      <c r="G8182" s="3336"/>
      <c r="P8182" s="3337"/>
    </row>
    <row r="8183" spans="7:16" s="1634" customFormat="1">
      <c r="G8183" s="3336"/>
      <c r="P8183" s="3337"/>
    </row>
    <row r="8184" spans="7:16" s="1634" customFormat="1">
      <c r="G8184" s="3336"/>
      <c r="P8184" s="3337"/>
    </row>
    <row r="8185" spans="7:16" s="1634" customFormat="1">
      <c r="G8185" s="3336"/>
      <c r="P8185" s="3337"/>
    </row>
    <row r="8186" spans="7:16" s="1634" customFormat="1">
      <c r="G8186" s="3336"/>
      <c r="P8186" s="3337"/>
    </row>
    <row r="8187" spans="7:16" s="1634" customFormat="1">
      <c r="G8187" s="3336"/>
      <c r="P8187" s="3337"/>
    </row>
    <row r="8188" spans="7:16" s="1634" customFormat="1">
      <c r="G8188" s="3336"/>
      <c r="P8188" s="3337"/>
    </row>
    <row r="8189" spans="7:16" s="1634" customFormat="1">
      <c r="G8189" s="3336"/>
      <c r="P8189" s="3337"/>
    </row>
    <row r="8190" spans="7:16" s="1634" customFormat="1">
      <c r="G8190" s="3336"/>
      <c r="P8190" s="3337"/>
    </row>
    <row r="8191" spans="7:16" s="1634" customFormat="1">
      <c r="G8191" s="3336"/>
      <c r="P8191" s="3337"/>
    </row>
    <row r="8192" spans="7:16" s="1634" customFormat="1">
      <c r="G8192" s="3336"/>
      <c r="P8192" s="3337"/>
    </row>
    <row r="8193" spans="7:16" s="1634" customFormat="1">
      <c r="G8193" s="3336"/>
      <c r="P8193" s="3337"/>
    </row>
    <row r="8194" spans="7:16" s="1634" customFormat="1">
      <c r="G8194" s="3336"/>
      <c r="P8194" s="3337"/>
    </row>
    <row r="8195" spans="7:16" s="1634" customFormat="1">
      <c r="G8195" s="3336"/>
      <c r="P8195" s="3337"/>
    </row>
    <row r="8196" spans="7:16" s="1634" customFormat="1">
      <c r="G8196" s="3336"/>
      <c r="P8196" s="3337"/>
    </row>
    <row r="8197" spans="7:16" s="1634" customFormat="1">
      <c r="G8197" s="3336"/>
      <c r="P8197" s="3337"/>
    </row>
    <row r="8198" spans="7:16" s="1634" customFormat="1">
      <c r="G8198" s="3336"/>
      <c r="P8198" s="3337"/>
    </row>
    <row r="8199" spans="7:16" s="1634" customFormat="1">
      <c r="G8199" s="3336"/>
      <c r="P8199" s="3337"/>
    </row>
    <row r="8200" spans="7:16" s="1634" customFormat="1">
      <c r="G8200" s="3336"/>
      <c r="P8200" s="3337"/>
    </row>
    <row r="8201" spans="7:16" s="1634" customFormat="1">
      <c r="G8201" s="3336"/>
      <c r="P8201" s="3337"/>
    </row>
    <row r="8202" spans="7:16" s="1634" customFormat="1">
      <c r="G8202" s="3336"/>
      <c r="P8202" s="3337"/>
    </row>
    <row r="8203" spans="7:16" s="1634" customFormat="1">
      <c r="G8203" s="3336"/>
      <c r="P8203" s="3337"/>
    </row>
    <row r="8204" spans="7:16" s="1634" customFormat="1">
      <c r="G8204" s="3336"/>
      <c r="P8204" s="3337"/>
    </row>
    <row r="8205" spans="7:16" s="1634" customFormat="1">
      <c r="G8205" s="3336"/>
      <c r="P8205" s="3337"/>
    </row>
    <row r="8206" spans="7:16" s="1634" customFormat="1">
      <c r="G8206" s="3336"/>
      <c r="P8206" s="3337"/>
    </row>
    <row r="8207" spans="7:16" s="1634" customFormat="1">
      <c r="G8207" s="3336"/>
      <c r="P8207" s="3337"/>
    </row>
    <row r="8208" spans="7:16" s="1634" customFormat="1">
      <c r="G8208" s="3336"/>
      <c r="P8208" s="3337"/>
    </row>
    <row r="8209" spans="7:16" s="1634" customFormat="1">
      <c r="G8209" s="3336"/>
      <c r="P8209" s="3337"/>
    </row>
    <row r="8210" spans="7:16" s="1634" customFormat="1">
      <c r="G8210" s="3336"/>
      <c r="P8210" s="3337"/>
    </row>
    <row r="8211" spans="7:16" s="1634" customFormat="1">
      <c r="G8211" s="3336"/>
      <c r="P8211" s="3337"/>
    </row>
    <row r="8212" spans="7:16" s="1634" customFormat="1">
      <c r="G8212" s="3336"/>
      <c r="P8212" s="3337"/>
    </row>
    <row r="8213" spans="7:16" s="1634" customFormat="1">
      <c r="G8213" s="3336"/>
      <c r="P8213" s="3337"/>
    </row>
    <row r="8214" spans="7:16" s="1634" customFormat="1">
      <c r="G8214" s="3336"/>
      <c r="P8214" s="3337"/>
    </row>
    <row r="8215" spans="7:16" s="1634" customFormat="1">
      <c r="G8215" s="3336"/>
      <c r="P8215" s="3337"/>
    </row>
    <row r="8216" spans="7:16" s="1634" customFormat="1">
      <c r="G8216" s="3336"/>
      <c r="P8216" s="3337"/>
    </row>
    <row r="8217" spans="7:16" s="1634" customFormat="1">
      <c r="G8217" s="3336"/>
      <c r="P8217" s="3337"/>
    </row>
    <row r="8218" spans="7:16" s="1634" customFormat="1">
      <c r="G8218" s="3336"/>
      <c r="P8218" s="3337"/>
    </row>
    <row r="8219" spans="7:16" s="1634" customFormat="1">
      <c r="G8219" s="3336"/>
      <c r="P8219" s="3337"/>
    </row>
    <row r="8220" spans="7:16" s="1634" customFormat="1">
      <c r="G8220" s="3336"/>
      <c r="P8220" s="3337"/>
    </row>
    <row r="8221" spans="7:16" s="1634" customFormat="1">
      <c r="G8221" s="3336"/>
      <c r="P8221" s="3337"/>
    </row>
    <row r="8222" spans="7:16" s="1634" customFormat="1">
      <c r="G8222" s="3336"/>
      <c r="P8222" s="3337"/>
    </row>
    <row r="8223" spans="7:16" s="1634" customFormat="1">
      <c r="G8223" s="3336"/>
      <c r="P8223" s="3337"/>
    </row>
    <row r="8224" spans="7:16" s="1634" customFormat="1">
      <c r="G8224" s="3336"/>
      <c r="P8224" s="3337"/>
    </row>
    <row r="8225" spans="7:16" s="1634" customFormat="1">
      <c r="G8225" s="3336"/>
      <c r="P8225" s="3337"/>
    </row>
    <row r="8226" spans="7:16" s="1634" customFormat="1">
      <c r="G8226" s="3336"/>
      <c r="P8226" s="3337"/>
    </row>
    <row r="8227" spans="7:16" s="1634" customFormat="1">
      <c r="G8227" s="3336"/>
      <c r="P8227" s="3337"/>
    </row>
    <row r="8228" spans="7:16" s="1634" customFormat="1">
      <c r="G8228" s="3336"/>
      <c r="P8228" s="3337"/>
    </row>
    <row r="8229" spans="7:16" s="1634" customFormat="1">
      <c r="G8229" s="3336"/>
      <c r="P8229" s="3337"/>
    </row>
    <row r="8230" spans="7:16" s="1634" customFormat="1">
      <c r="G8230" s="3336"/>
      <c r="P8230" s="3337"/>
    </row>
    <row r="8231" spans="7:16" s="1634" customFormat="1">
      <c r="G8231" s="3336"/>
      <c r="P8231" s="3337"/>
    </row>
    <row r="8232" spans="7:16" s="1634" customFormat="1">
      <c r="G8232" s="3336"/>
      <c r="P8232" s="3337"/>
    </row>
    <row r="8233" spans="7:16" s="1634" customFormat="1">
      <c r="G8233" s="3336"/>
      <c r="P8233" s="3337"/>
    </row>
    <row r="8234" spans="7:16" s="1634" customFormat="1">
      <c r="G8234" s="3336"/>
      <c r="P8234" s="3337"/>
    </row>
    <row r="8235" spans="7:16" s="1634" customFormat="1">
      <c r="G8235" s="3336"/>
      <c r="P8235" s="3337"/>
    </row>
    <row r="8236" spans="7:16" s="1634" customFormat="1">
      <c r="G8236" s="3336"/>
      <c r="P8236" s="3337"/>
    </row>
    <row r="8237" spans="7:16" s="1634" customFormat="1">
      <c r="G8237" s="3336"/>
      <c r="P8237" s="3337"/>
    </row>
    <row r="8238" spans="7:16" s="1634" customFormat="1">
      <c r="G8238" s="3336"/>
      <c r="P8238" s="3337"/>
    </row>
    <row r="8239" spans="7:16" s="1634" customFormat="1">
      <c r="G8239" s="3336"/>
      <c r="P8239" s="3337"/>
    </row>
    <row r="8240" spans="7:16" s="1634" customFormat="1">
      <c r="G8240" s="3336"/>
      <c r="P8240" s="3337"/>
    </row>
    <row r="8241" spans="7:16" s="1634" customFormat="1">
      <c r="G8241" s="3336"/>
      <c r="P8241" s="3337"/>
    </row>
    <row r="8242" spans="7:16" s="1634" customFormat="1">
      <c r="G8242" s="3336"/>
      <c r="P8242" s="3337"/>
    </row>
    <row r="8243" spans="7:16" s="1634" customFormat="1">
      <c r="G8243" s="3336"/>
      <c r="P8243" s="3337"/>
    </row>
    <row r="8244" spans="7:16" s="1634" customFormat="1">
      <c r="G8244" s="3336"/>
      <c r="P8244" s="3337"/>
    </row>
    <row r="8245" spans="7:16" s="1634" customFormat="1">
      <c r="G8245" s="3336"/>
      <c r="P8245" s="3337"/>
    </row>
    <row r="8246" spans="7:16" s="1634" customFormat="1">
      <c r="G8246" s="3336"/>
      <c r="P8246" s="3337"/>
    </row>
    <row r="8247" spans="7:16" s="1634" customFormat="1">
      <c r="G8247" s="3336"/>
      <c r="P8247" s="3337"/>
    </row>
    <row r="8248" spans="7:16" s="1634" customFormat="1">
      <c r="G8248" s="3336"/>
      <c r="P8248" s="3337"/>
    </row>
    <row r="8249" spans="7:16" s="1634" customFormat="1">
      <c r="G8249" s="3336"/>
      <c r="P8249" s="3337"/>
    </row>
    <row r="8250" spans="7:16" s="1634" customFormat="1">
      <c r="G8250" s="3336"/>
      <c r="P8250" s="3337"/>
    </row>
    <row r="8251" spans="7:16" s="1634" customFormat="1">
      <c r="G8251" s="3336"/>
      <c r="P8251" s="3337"/>
    </row>
    <row r="8252" spans="7:16" s="1634" customFormat="1">
      <c r="G8252" s="3336"/>
      <c r="P8252" s="3337"/>
    </row>
    <row r="8253" spans="7:16" s="1634" customFormat="1">
      <c r="G8253" s="3336"/>
      <c r="P8253" s="3337"/>
    </row>
    <row r="8254" spans="7:16" s="1634" customFormat="1">
      <c r="G8254" s="3336"/>
      <c r="P8254" s="3337"/>
    </row>
    <row r="8255" spans="7:16" s="1634" customFormat="1">
      <c r="G8255" s="3336"/>
      <c r="P8255" s="3337"/>
    </row>
    <row r="8256" spans="7:16" s="1634" customFormat="1">
      <c r="G8256" s="3336"/>
      <c r="P8256" s="3337"/>
    </row>
    <row r="8257" spans="7:16" s="1634" customFormat="1">
      <c r="G8257" s="3336"/>
      <c r="P8257" s="3337"/>
    </row>
    <row r="8258" spans="7:16" s="1634" customFormat="1">
      <c r="G8258" s="3336"/>
      <c r="P8258" s="3337"/>
    </row>
    <row r="8259" spans="7:16" s="1634" customFormat="1">
      <c r="G8259" s="3336"/>
      <c r="P8259" s="3337"/>
    </row>
    <row r="8260" spans="7:16" s="1634" customFormat="1">
      <c r="G8260" s="3336"/>
      <c r="P8260" s="3337"/>
    </row>
    <row r="8261" spans="7:16" s="1634" customFormat="1">
      <c r="G8261" s="3336"/>
      <c r="P8261" s="3337"/>
    </row>
    <row r="8262" spans="7:16" s="1634" customFormat="1">
      <c r="G8262" s="3336"/>
      <c r="P8262" s="3337"/>
    </row>
    <row r="8263" spans="7:16" s="1634" customFormat="1">
      <c r="G8263" s="3336"/>
      <c r="P8263" s="3337"/>
    </row>
    <row r="8264" spans="7:16" s="1634" customFormat="1">
      <c r="G8264" s="3336"/>
      <c r="P8264" s="3337"/>
    </row>
    <row r="8265" spans="7:16" s="1634" customFormat="1">
      <c r="G8265" s="3336"/>
      <c r="P8265" s="3337"/>
    </row>
    <row r="8266" spans="7:16" s="1634" customFormat="1">
      <c r="G8266" s="3336"/>
      <c r="P8266" s="3337"/>
    </row>
    <row r="8267" spans="7:16" s="1634" customFormat="1">
      <c r="G8267" s="3336"/>
      <c r="P8267" s="3337"/>
    </row>
    <row r="8268" spans="7:16" s="1634" customFormat="1">
      <c r="G8268" s="3336"/>
      <c r="P8268" s="3337"/>
    </row>
    <row r="8269" spans="7:16" s="1634" customFormat="1">
      <c r="G8269" s="3336"/>
      <c r="P8269" s="3337"/>
    </row>
    <row r="8270" spans="7:16" s="1634" customFormat="1">
      <c r="G8270" s="3336"/>
      <c r="P8270" s="3337"/>
    </row>
    <row r="8271" spans="7:16" s="1634" customFormat="1">
      <c r="G8271" s="3336"/>
      <c r="P8271" s="3337"/>
    </row>
    <row r="8272" spans="7:16" s="1634" customFormat="1">
      <c r="G8272" s="3336"/>
      <c r="P8272" s="3337"/>
    </row>
    <row r="8273" spans="7:16" s="1634" customFormat="1">
      <c r="G8273" s="3336"/>
      <c r="P8273" s="3337"/>
    </row>
    <row r="8274" spans="7:16" s="1634" customFormat="1">
      <c r="G8274" s="3336"/>
      <c r="P8274" s="3337"/>
    </row>
    <row r="8275" spans="7:16" s="1634" customFormat="1">
      <c r="G8275" s="3336"/>
      <c r="P8275" s="3337"/>
    </row>
    <row r="8276" spans="7:16" s="1634" customFormat="1">
      <c r="G8276" s="3336"/>
      <c r="P8276" s="3337"/>
    </row>
    <row r="8277" spans="7:16" s="1634" customFormat="1">
      <c r="G8277" s="3336"/>
      <c r="P8277" s="3337"/>
    </row>
    <row r="8278" spans="7:16" s="1634" customFormat="1">
      <c r="G8278" s="3336"/>
      <c r="P8278" s="3337"/>
    </row>
    <row r="8279" spans="7:16" s="1634" customFormat="1">
      <c r="G8279" s="3336"/>
      <c r="P8279" s="3337"/>
    </row>
    <row r="8280" spans="7:16" s="1634" customFormat="1">
      <c r="G8280" s="3336"/>
      <c r="P8280" s="3337"/>
    </row>
    <row r="8281" spans="7:16" s="1634" customFormat="1">
      <c r="G8281" s="3336"/>
      <c r="P8281" s="3337"/>
    </row>
    <row r="8282" spans="7:16" s="1634" customFormat="1">
      <c r="G8282" s="3336"/>
      <c r="P8282" s="3337"/>
    </row>
    <row r="8283" spans="7:16" s="1634" customFormat="1">
      <c r="G8283" s="3336"/>
      <c r="P8283" s="3337"/>
    </row>
    <row r="8284" spans="7:16" s="1634" customFormat="1">
      <c r="G8284" s="3336"/>
      <c r="P8284" s="3337"/>
    </row>
    <row r="8285" spans="7:16" s="1634" customFormat="1">
      <c r="G8285" s="3336"/>
      <c r="P8285" s="3337"/>
    </row>
    <row r="8286" spans="7:16" s="1634" customFormat="1">
      <c r="G8286" s="3336"/>
      <c r="P8286" s="3337"/>
    </row>
    <row r="8287" spans="7:16" s="1634" customFormat="1">
      <c r="G8287" s="3336"/>
      <c r="P8287" s="3337"/>
    </row>
    <row r="8288" spans="7:16" s="1634" customFormat="1">
      <c r="G8288" s="3336"/>
      <c r="P8288" s="3337"/>
    </row>
    <row r="8289" spans="7:16" s="1634" customFormat="1">
      <c r="G8289" s="3336"/>
      <c r="P8289" s="3337"/>
    </row>
    <row r="8290" spans="7:16" s="1634" customFormat="1">
      <c r="G8290" s="3336"/>
      <c r="P8290" s="3337"/>
    </row>
    <row r="8291" spans="7:16" s="1634" customFormat="1">
      <c r="G8291" s="3336"/>
      <c r="P8291" s="3337"/>
    </row>
    <row r="8292" spans="7:16" s="1634" customFormat="1">
      <c r="G8292" s="3336"/>
      <c r="P8292" s="3337"/>
    </row>
    <row r="8293" spans="7:16" s="1634" customFormat="1">
      <c r="G8293" s="3336"/>
      <c r="P8293" s="3337"/>
    </row>
    <row r="8294" spans="7:16" s="1634" customFormat="1">
      <c r="G8294" s="3336"/>
      <c r="P8294" s="3337"/>
    </row>
    <row r="8295" spans="7:16" s="1634" customFormat="1">
      <c r="G8295" s="3336"/>
      <c r="P8295" s="3337"/>
    </row>
    <row r="8296" spans="7:16" s="1634" customFormat="1">
      <c r="G8296" s="3336"/>
      <c r="P8296" s="3337"/>
    </row>
    <row r="8297" spans="7:16" s="1634" customFormat="1">
      <c r="G8297" s="3336"/>
      <c r="P8297" s="3337"/>
    </row>
    <row r="8298" spans="7:16" s="1634" customFormat="1">
      <c r="G8298" s="3336"/>
      <c r="P8298" s="3337"/>
    </row>
    <row r="8299" spans="7:16" s="1634" customFormat="1">
      <c r="G8299" s="3336"/>
      <c r="P8299" s="3337"/>
    </row>
    <row r="8300" spans="7:16" s="1634" customFormat="1">
      <c r="G8300" s="3336"/>
      <c r="P8300" s="3337"/>
    </row>
    <row r="8301" spans="7:16" s="1634" customFormat="1">
      <c r="G8301" s="3336"/>
      <c r="P8301" s="3337"/>
    </row>
    <row r="8302" spans="7:16" s="1634" customFormat="1">
      <c r="G8302" s="3336"/>
      <c r="P8302" s="3337"/>
    </row>
    <row r="8303" spans="7:16" s="1634" customFormat="1">
      <c r="G8303" s="3336"/>
      <c r="P8303" s="3337"/>
    </row>
    <row r="8304" spans="7:16" s="1634" customFormat="1">
      <c r="G8304" s="3336"/>
      <c r="P8304" s="3337"/>
    </row>
    <row r="8305" spans="7:16" s="1634" customFormat="1">
      <c r="G8305" s="3336"/>
      <c r="P8305" s="3337"/>
    </row>
    <row r="8306" spans="7:16" s="1634" customFormat="1">
      <c r="G8306" s="3336"/>
      <c r="P8306" s="3337"/>
    </row>
    <row r="8307" spans="7:16" s="1634" customFormat="1">
      <c r="G8307" s="3336"/>
      <c r="P8307" s="3337"/>
    </row>
    <row r="8308" spans="7:16" s="1634" customFormat="1">
      <c r="G8308" s="3336"/>
      <c r="P8308" s="3337"/>
    </row>
    <row r="8309" spans="7:16" s="1634" customFormat="1">
      <c r="G8309" s="3336"/>
      <c r="P8309" s="3337"/>
    </row>
    <row r="8310" spans="7:16" s="1634" customFormat="1">
      <c r="G8310" s="3336"/>
      <c r="P8310" s="3337"/>
    </row>
    <row r="8311" spans="7:16" s="1634" customFormat="1">
      <c r="G8311" s="3336"/>
      <c r="P8311" s="3337"/>
    </row>
    <row r="8312" spans="7:16" s="1634" customFormat="1">
      <c r="G8312" s="3336"/>
      <c r="P8312" s="3337"/>
    </row>
    <row r="8313" spans="7:16" s="1634" customFormat="1">
      <c r="G8313" s="3336"/>
      <c r="P8313" s="3337"/>
    </row>
    <row r="8314" spans="7:16" s="1634" customFormat="1">
      <c r="G8314" s="3336"/>
      <c r="P8314" s="3337"/>
    </row>
    <row r="8315" spans="7:16" s="1634" customFormat="1">
      <c r="G8315" s="3336"/>
      <c r="P8315" s="3337"/>
    </row>
    <row r="8316" spans="7:16" s="1634" customFormat="1">
      <c r="G8316" s="3336"/>
      <c r="P8316" s="3337"/>
    </row>
    <row r="8317" spans="7:16" s="1634" customFormat="1">
      <c r="G8317" s="3336"/>
      <c r="P8317" s="3337"/>
    </row>
    <row r="8318" spans="7:16" s="1634" customFormat="1">
      <c r="G8318" s="3336"/>
      <c r="P8318" s="3337"/>
    </row>
    <row r="8319" spans="7:16" s="1634" customFormat="1">
      <c r="G8319" s="3336"/>
      <c r="P8319" s="3337"/>
    </row>
    <row r="8320" spans="7:16" s="1634" customFormat="1">
      <c r="G8320" s="3336"/>
      <c r="P8320" s="3337"/>
    </row>
    <row r="8321" spans="7:16" s="1634" customFormat="1">
      <c r="G8321" s="3336"/>
      <c r="P8321" s="3337"/>
    </row>
    <row r="8322" spans="7:16" s="1634" customFormat="1">
      <c r="G8322" s="3336"/>
      <c r="P8322" s="3337"/>
    </row>
    <row r="8323" spans="7:16" s="1634" customFormat="1">
      <c r="G8323" s="3336"/>
      <c r="P8323" s="3337"/>
    </row>
    <row r="8324" spans="7:16" s="1634" customFormat="1">
      <c r="G8324" s="3336"/>
      <c r="P8324" s="3337"/>
    </row>
    <row r="8325" spans="7:16" s="1634" customFormat="1">
      <c r="G8325" s="3336"/>
      <c r="P8325" s="3337"/>
    </row>
    <row r="8326" spans="7:16" s="1634" customFormat="1">
      <c r="G8326" s="3336"/>
      <c r="P8326" s="3337"/>
    </row>
    <row r="8327" spans="7:16" s="1634" customFormat="1">
      <c r="G8327" s="3336"/>
      <c r="P8327" s="3337"/>
    </row>
    <row r="8328" spans="7:16" s="1634" customFormat="1">
      <c r="G8328" s="3336"/>
      <c r="P8328" s="3337"/>
    </row>
    <row r="8329" spans="7:16" s="1634" customFormat="1">
      <c r="G8329" s="3336"/>
      <c r="P8329" s="3337"/>
    </row>
    <row r="8330" spans="7:16" s="1634" customFormat="1">
      <c r="G8330" s="3336"/>
      <c r="P8330" s="3337"/>
    </row>
    <row r="8331" spans="7:16" s="1634" customFormat="1">
      <c r="G8331" s="3336"/>
      <c r="P8331" s="3337"/>
    </row>
    <row r="8332" spans="7:16" s="1634" customFormat="1">
      <c r="G8332" s="3336"/>
      <c r="P8332" s="3337"/>
    </row>
    <row r="8333" spans="7:16" s="1634" customFormat="1">
      <c r="G8333" s="3336"/>
      <c r="P8333" s="3337"/>
    </row>
    <row r="8334" spans="7:16" s="1634" customFormat="1">
      <c r="G8334" s="3336"/>
      <c r="P8334" s="3337"/>
    </row>
    <row r="8335" spans="7:16" s="1634" customFormat="1">
      <c r="G8335" s="3336"/>
      <c r="P8335" s="3337"/>
    </row>
    <row r="8336" spans="7:16" s="1634" customFormat="1">
      <c r="G8336" s="3336"/>
      <c r="P8336" s="3337"/>
    </row>
    <row r="8337" spans="7:16" s="1634" customFormat="1">
      <c r="G8337" s="3336"/>
      <c r="P8337" s="3337"/>
    </row>
    <row r="8338" spans="7:16" s="1634" customFormat="1">
      <c r="G8338" s="3336"/>
      <c r="P8338" s="3337"/>
    </row>
    <row r="8339" spans="7:16" s="1634" customFormat="1">
      <c r="G8339" s="3336"/>
      <c r="P8339" s="3337"/>
    </row>
    <row r="8340" spans="7:16" s="1634" customFormat="1">
      <c r="G8340" s="3336"/>
      <c r="P8340" s="3337"/>
    </row>
    <row r="8341" spans="7:16" s="1634" customFormat="1">
      <c r="G8341" s="3336"/>
      <c r="P8341" s="3337"/>
    </row>
    <row r="8342" spans="7:16" s="1634" customFormat="1">
      <c r="G8342" s="3336"/>
      <c r="P8342" s="3337"/>
    </row>
    <row r="8343" spans="7:16" s="1634" customFormat="1">
      <c r="G8343" s="3336"/>
      <c r="P8343" s="3337"/>
    </row>
    <row r="8344" spans="7:16" s="1634" customFormat="1">
      <c r="G8344" s="3336"/>
      <c r="P8344" s="3337"/>
    </row>
    <row r="8345" spans="7:16" s="1634" customFormat="1">
      <c r="G8345" s="3336"/>
      <c r="P8345" s="3337"/>
    </row>
    <row r="8346" spans="7:16" s="1634" customFormat="1">
      <c r="G8346" s="3336"/>
      <c r="P8346" s="3337"/>
    </row>
    <row r="8347" spans="7:16" s="1634" customFormat="1">
      <c r="G8347" s="3336"/>
      <c r="P8347" s="3337"/>
    </row>
    <row r="8348" spans="7:16" s="1634" customFormat="1">
      <c r="G8348" s="3336"/>
      <c r="P8348" s="3337"/>
    </row>
    <row r="8349" spans="7:16" s="1634" customFormat="1">
      <c r="G8349" s="3336"/>
      <c r="P8349" s="3337"/>
    </row>
    <row r="8350" spans="7:16" s="1634" customFormat="1">
      <c r="G8350" s="3336"/>
      <c r="P8350" s="3337"/>
    </row>
    <row r="8351" spans="7:16" s="1634" customFormat="1">
      <c r="G8351" s="3336"/>
      <c r="P8351" s="3337"/>
    </row>
    <row r="8352" spans="7:16" s="1634" customFormat="1">
      <c r="G8352" s="3336"/>
      <c r="P8352" s="3337"/>
    </row>
    <row r="8353" spans="7:16" s="1634" customFormat="1">
      <c r="G8353" s="3336"/>
      <c r="P8353" s="3337"/>
    </row>
    <row r="8354" spans="7:16" s="1634" customFormat="1">
      <c r="G8354" s="3336"/>
      <c r="P8354" s="3337"/>
    </row>
    <row r="8355" spans="7:16" s="1634" customFormat="1">
      <c r="G8355" s="3336"/>
      <c r="P8355" s="3337"/>
    </row>
    <row r="8356" spans="7:16" s="1634" customFormat="1">
      <c r="G8356" s="3336"/>
      <c r="P8356" s="3337"/>
    </row>
    <row r="8357" spans="7:16" s="1634" customFormat="1">
      <c r="G8357" s="3336"/>
      <c r="P8357" s="3337"/>
    </row>
    <row r="8358" spans="7:16" s="1634" customFormat="1">
      <c r="G8358" s="3336"/>
      <c r="P8358" s="3337"/>
    </row>
    <row r="8359" spans="7:16" s="1634" customFormat="1">
      <c r="G8359" s="3336"/>
      <c r="P8359" s="3337"/>
    </row>
    <row r="8360" spans="7:16" s="1634" customFormat="1">
      <c r="G8360" s="3336"/>
      <c r="P8360" s="3337"/>
    </row>
    <row r="8361" spans="7:16" s="1634" customFormat="1">
      <c r="G8361" s="3336"/>
      <c r="P8361" s="3337"/>
    </row>
    <row r="8362" spans="7:16" s="1634" customFormat="1">
      <c r="G8362" s="3336"/>
      <c r="P8362" s="3337"/>
    </row>
    <row r="8363" spans="7:16" s="1634" customFormat="1">
      <c r="G8363" s="3336"/>
      <c r="P8363" s="3337"/>
    </row>
    <row r="8364" spans="7:16" s="1634" customFormat="1">
      <c r="G8364" s="3336"/>
      <c r="P8364" s="3337"/>
    </row>
    <row r="8365" spans="7:16" s="1634" customFormat="1">
      <c r="G8365" s="3336"/>
      <c r="P8365" s="3337"/>
    </row>
    <row r="8366" spans="7:16" s="1634" customFormat="1">
      <c r="G8366" s="3336"/>
      <c r="P8366" s="3337"/>
    </row>
    <row r="8367" spans="7:16" s="1634" customFormat="1">
      <c r="G8367" s="3336"/>
      <c r="P8367" s="3337"/>
    </row>
    <row r="8368" spans="7:16" s="1634" customFormat="1">
      <c r="G8368" s="3336"/>
      <c r="P8368" s="3337"/>
    </row>
    <row r="8369" spans="7:16" s="1634" customFormat="1">
      <c r="G8369" s="3336"/>
      <c r="P8369" s="3337"/>
    </row>
    <row r="8370" spans="7:16" s="1634" customFormat="1">
      <c r="G8370" s="3336"/>
      <c r="P8370" s="3337"/>
    </row>
    <row r="8371" spans="7:16" s="1634" customFormat="1">
      <c r="G8371" s="3336"/>
      <c r="P8371" s="3337"/>
    </row>
    <row r="8372" spans="7:16" s="1634" customFormat="1">
      <c r="G8372" s="3336"/>
      <c r="P8372" s="3337"/>
    </row>
    <row r="8373" spans="7:16" s="1634" customFormat="1">
      <c r="G8373" s="3336"/>
      <c r="P8373" s="3337"/>
    </row>
    <row r="8374" spans="7:16" s="1634" customFormat="1">
      <c r="G8374" s="3336"/>
      <c r="P8374" s="3337"/>
    </row>
    <row r="8375" spans="7:16" s="1634" customFormat="1">
      <c r="G8375" s="3336"/>
      <c r="P8375" s="3337"/>
    </row>
    <row r="8376" spans="7:16" s="1634" customFormat="1">
      <c r="G8376" s="3336"/>
      <c r="P8376" s="3337"/>
    </row>
    <row r="8377" spans="7:16" s="1634" customFormat="1">
      <c r="G8377" s="3336"/>
      <c r="P8377" s="3337"/>
    </row>
    <row r="8378" spans="7:16" s="1634" customFormat="1">
      <c r="G8378" s="3336"/>
      <c r="P8378" s="3337"/>
    </row>
    <row r="8379" spans="7:16" s="1634" customFormat="1">
      <c r="G8379" s="3336"/>
      <c r="P8379" s="3337"/>
    </row>
    <row r="8380" spans="7:16" s="1634" customFormat="1">
      <c r="G8380" s="3336"/>
      <c r="P8380" s="3337"/>
    </row>
    <row r="8381" spans="7:16" s="1634" customFormat="1">
      <c r="G8381" s="3336"/>
      <c r="P8381" s="3337"/>
    </row>
    <row r="8382" spans="7:16" s="1634" customFormat="1">
      <c r="G8382" s="3336"/>
      <c r="P8382" s="3337"/>
    </row>
    <row r="8383" spans="7:16" s="1634" customFormat="1">
      <c r="G8383" s="3336"/>
      <c r="P8383" s="3337"/>
    </row>
    <row r="8384" spans="7:16" s="1634" customFormat="1">
      <c r="G8384" s="3336"/>
      <c r="P8384" s="3337"/>
    </row>
    <row r="8385" spans="7:16" s="1634" customFormat="1">
      <c r="G8385" s="3336"/>
      <c r="P8385" s="3337"/>
    </row>
    <row r="8386" spans="7:16" s="1634" customFormat="1">
      <c r="G8386" s="3336"/>
      <c r="P8386" s="3337"/>
    </row>
    <row r="8387" spans="7:16" s="1634" customFormat="1">
      <c r="G8387" s="3336"/>
      <c r="P8387" s="3337"/>
    </row>
    <row r="8388" spans="7:16" s="1634" customFormat="1">
      <c r="G8388" s="3336"/>
      <c r="P8388" s="3337"/>
    </row>
    <row r="8389" spans="7:16" s="1634" customFormat="1">
      <c r="G8389" s="3336"/>
      <c r="P8389" s="3337"/>
    </row>
    <row r="8390" spans="7:16" s="1634" customFormat="1">
      <c r="G8390" s="3336"/>
      <c r="P8390" s="3337"/>
    </row>
    <row r="8391" spans="7:16" s="1634" customFormat="1">
      <c r="G8391" s="3336"/>
      <c r="P8391" s="3337"/>
    </row>
    <row r="8392" spans="7:16" s="1634" customFormat="1">
      <c r="G8392" s="3336"/>
      <c r="P8392" s="3337"/>
    </row>
    <row r="8393" spans="7:16" s="1634" customFormat="1">
      <c r="G8393" s="3336"/>
      <c r="P8393" s="3337"/>
    </row>
    <row r="8394" spans="7:16" s="1634" customFormat="1">
      <c r="G8394" s="3336"/>
      <c r="P8394" s="3337"/>
    </row>
    <row r="8395" spans="7:16" s="1634" customFormat="1">
      <c r="G8395" s="3336"/>
      <c r="P8395" s="3337"/>
    </row>
    <row r="8396" spans="7:16" s="1634" customFormat="1">
      <c r="G8396" s="3336"/>
      <c r="P8396" s="3337"/>
    </row>
    <row r="8397" spans="7:16" s="1634" customFormat="1">
      <c r="G8397" s="3336"/>
      <c r="P8397" s="3337"/>
    </row>
    <row r="8398" spans="7:16" s="1634" customFormat="1">
      <c r="G8398" s="3336"/>
      <c r="P8398" s="3337"/>
    </row>
    <row r="8399" spans="7:16" s="1634" customFormat="1">
      <c r="G8399" s="3336"/>
      <c r="P8399" s="3337"/>
    </row>
    <row r="8400" spans="7:16" s="1634" customFormat="1">
      <c r="G8400" s="3336"/>
      <c r="P8400" s="3337"/>
    </row>
    <row r="8401" spans="7:16" s="1634" customFormat="1">
      <c r="G8401" s="3336"/>
      <c r="P8401" s="3337"/>
    </row>
    <row r="8402" spans="7:16" s="1634" customFormat="1">
      <c r="G8402" s="3336"/>
      <c r="P8402" s="3337"/>
    </row>
    <row r="8403" spans="7:16" s="1634" customFormat="1">
      <c r="G8403" s="3336"/>
      <c r="P8403" s="3337"/>
    </row>
    <row r="8404" spans="7:16" s="1634" customFormat="1">
      <c r="G8404" s="3336"/>
      <c r="P8404" s="3337"/>
    </row>
    <row r="8405" spans="7:16" s="1634" customFormat="1">
      <c r="G8405" s="3336"/>
      <c r="P8405" s="3337"/>
    </row>
    <row r="8406" spans="7:16" s="1634" customFormat="1">
      <c r="G8406" s="3336"/>
      <c r="P8406" s="3337"/>
    </row>
    <row r="8407" spans="7:16" s="1634" customFormat="1">
      <c r="G8407" s="3336"/>
      <c r="P8407" s="3337"/>
    </row>
    <row r="8408" spans="7:16" s="1634" customFormat="1">
      <c r="G8408" s="3336"/>
      <c r="P8408" s="3337"/>
    </row>
    <row r="8409" spans="7:16" s="1634" customFormat="1">
      <c r="G8409" s="3336"/>
      <c r="P8409" s="3337"/>
    </row>
    <row r="8410" spans="7:16" s="1634" customFormat="1">
      <c r="G8410" s="3336"/>
      <c r="P8410" s="3337"/>
    </row>
    <row r="8411" spans="7:16" s="1634" customFormat="1">
      <c r="G8411" s="3336"/>
      <c r="P8411" s="3337"/>
    </row>
    <row r="8412" spans="7:16" s="1634" customFormat="1">
      <c r="G8412" s="3336"/>
      <c r="P8412" s="3337"/>
    </row>
    <row r="8413" spans="7:16" s="1634" customFormat="1">
      <c r="G8413" s="3336"/>
      <c r="P8413" s="3337"/>
    </row>
    <row r="8414" spans="7:16" s="1634" customFormat="1">
      <c r="G8414" s="3336"/>
      <c r="P8414" s="3337"/>
    </row>
    <row r="8415" spans="7:16" s="1634" customFormat="1">
      <c r="G8415" s="3336"/>
      <c r="P8415" s="3337"/>
    </row>
    <row r="8416" spans="7:16" s="1634" customFormat="1">
      <c r="G8416" s="3336"/>
      <c r="P8416" s="3337"/>
    </row>
    <row r="8417" spans="7:16" s="1634" customFormat="1">
      <c r="G8417" s="3336"/>
      <c r="P8417" s="3337"/>
    </row>
    <row r="8418" spans="7:16" s="1634" customFormat="1">
      <c r="G8418" s="3336"/>
      <c r="P8418" s="3337"/>
    </row>
    <row r="8419" spans="7:16" s="1634" customFormat="1">
      <c r="G8419" s="3336"/>
      <c r="P8419" s="3337"/>
    </row>
    <row r="8420" spans="7:16" s="1634" customFormat="1">
      <c r="G8420" s="3336"/>
      <c r="P8420" s="3337"/>
    </row>
    <row r="8421" spans="7:16" s="1634" customFormat="1">
      <c r="G8421" s="3336"/>
      <c r="P8421" s="3337"/>
    </row>
    <row r="8422" spans="7:16" s="1634" customFormat="1">
      <c r="G8422" s="3336"/>
      <c r="P8422" s="3337"/>
    </row>
    <row r="8423" spans="7:16" s="1634" customFormat="1">
      <c r="G8423" s="3336"/>
      <c r="P8423" s="3337"/>
    </row>
    <row r="8424" spans="7:16" s="1634" customFormat="1">
      <c r="G8424" s="3336"/>
      <c r="P8424" s="3337"/>
    </row>
    <row r="8425" spans="7:16" s="1634" customFormat="1">
      <c r="G8425" s="3336"/>
      <c r="P8425" s="3337"/>
    </row>
    <row r="8426" spans="7:16" s="1634" customFormat="1">
      <c r="G8426" s="3336"/>
      <c r="P8426" s="3337"/>
    </row>
    <row r="8427" spans="7:16" s="1634" customFormat="1">
      <c r="G8427" s="3336"/>
      <c r="P8427" s="3337"/>
    </row>
    <row r="8428" spans="7:16" s="1634" customFormat="1">
      <c r="G8428" s="3336"/>
      <c r="P8428" s="3337"/>
    </row>
    <row r="8429" spans="7:16" s="1634" customFormat="1">
      <c r="G8429" s="3336"/>
      <c r="P8429" s="3337"/>
    </row>
    <row r="8430" spans="7:16" s="1634" customFormat="1">
      <c r="G8430" s="3336"/>
      <c r="P8430" s="3337"/>
    </row>
    <row r="8431" spans="7:16" s="1634" customFormat="1">
      <c r="G8431" s="3336"/>
      <c r="P8431" s="3337"/>
    </row>
    <row r="8432" spans="7:16" s="1634" customFormat="1">
      <c r="G8432" s="3336"/>
      <c r="P8432" s="3337"/>
    </row>
    <row r="8433" spans="7:16" s="1634" customFormat="1">
      <c r="G8433" s="3336"/>
      <c r="P8433" s="3337"/>
    </row>
    <row r="8434" spans="7:16" s="1634" customFormat="1">
      <c r="G8434" s="3336"/>
      <c r="P8434" s="3337"/>
    </row>
    <row r="8435" spans="7:16" s="1634" customFormat="1">
      <c r="G8435" s="3336"/>
      <c r="P8435" s="3337"/>
    </row>
    <row r="8436" spans="7:16" s="1634" customFormat="1">
      <c r="G8436" s="3336"/>
      <c r="P8436" s="3337"/>
    </row>
    <row r="8437" spans="7:16" s="1634" customFormat="1">
      <c r="G8437" s="3336"/>
      <c r="P8437" s="3337"/>
    </row>
    <row r="8438" spans="7:16" s="1634" customFormat="1">
      <c r="G8438" s="3336"/>
      <c r="P8438" s="3337"/>
    </row>
    <row r="8439" spans="7:16" s="1634" customFormat="1">
      <c r="G8439" s="3336"/>
      <c r="P8439" s="3337"/>
    </row>
    <row r="8440" spans="7:16" s="1634" customFormat="1">
      <c r="G8440" s="3336"/>
      <c r="P8440" s="3337"/>
    </row>
    <row r="8441" spans="7:16" s="1634" customFormat="1">
      <c r="G8441" s="3336"/>
      <c r="P8441" s="3337"/>
    </row>
    <row r="8442" spans="7:16" s="1634" customFormat="1">
      <c r="G8442" s="3336"/>
      <c r="P8442" s="3337"/>
    </row>
    <row r="8443" spans="7:16" s="1634" customFormat="1">
      <c r="G8443" s="3336"/>
      <c r="P8443" s="3337"/>
    </row>
    <row r="8444" spans="7:16" s="1634" customFormat="1">
      <c r="G8444" s="3336"/>
      <c r="P8444" s="3337"/>
    </row>
    <row r="8445" spans="7:16" s="1634" customFormat="1">
      <c r="G8445" s="3336"/>
      <c r="P8445" s="3337"/>
    </row>
    <row r="8446" spans="7:16" s="1634" customFormat="1">
      <c r="G8446" s="3336"/>
      <c r="P8446" s="3337"/>
    </row>
    <row r="8447" spans="7:16" s="1634" customFormat="1">
      <c r="G8447" s="3336"/>
      <c r="P8447" s="3337"/>
    </row>
    <row r="8448" spans="7:16" s="1634" customFormat="1">
      <c r="G8448" s="3336"/>
      <c r="P8448" s="3337"/>
    </row>
    <row r="8449" spans="7:16" s="1634" customFormat="1">
      <c r="G8449" s="3336"/>
      <c r="P8449" s="3337"/>
    </row>
    <row r="8450" spans="7:16" s="1634" customFormat="1">
      <c r="G8450" s="3336"/>
      <c r="P8450" s="3337"/>
    </row>
    <row r="8451" spans="7:16" s="1634" customFormat="1">
      <c r="G8451" s="3336"/>
      <c r="P8451" s="3337"/>
    </row>
    <row r="8452" spans="7:16" s="1634" customFormat="1">
      <c r="G8452" s="3336"/>
      <c r="P8452" s="3337"/>
    </row>
    <row r="8453" spans="7:16" s="1634" customFormat="1">
      <c r="G8453" s="3336"/>
      <c r="P8453" s="3337"/>
    </row>
    <row r="8454" spans="7:16" s="1634" customFormat="1">
      <c r="G8454" s="3336"/>
      <c r="P8454" s="3337"/>
    </row>
    <row r="8455" spans="7:16" s="1634" customFormat="1">
      <c r="G8455" s="3336"/>
      <c r="P8455" s="3337"/>
    </row>
    <row r="8456" spans="7:16" s="1634" customFormat="1">
      <c r="G8456" s="3336"/>
      <c r="P8456" s="3337"/>
    </row>
    <row r="8457" spans="7:16" s="1634" customFormat="1">
      <c r="G8457" s="3336"/>
      <c r="P8457" s="3337"/>
    </row>
    <row r="8458" spans="7:16" s="1634" customFormat="1">
      <c r="G8458" s="3336"/>
      <c r="P8458" s="3337"/>
    </row>
    <row r="8459" spans="7:16" s="1634" customFormat="1">
      <c r="G8459" s="3336"/>
      <c r="P8459" s="3337"/>
    </row>
    <row r="8460" spans="7:16" s="1634" customFormat="1">
      <c r="G8460" s="3336"/>
      <c r="P8460" s="3337"/>
    </row>
    <row r="8461" spans="7:16" s="1634" customFormat="1">
      <c r="G8461" s="3336"/>
      <c r="P8461" s="3337"/>
    </row>
    <row r="8462" spans="7:16" s="1634" customFormat="1">
      <c r="G8462" s="3336"/>
      <c r="P8462" s="3337"/>
    </row>
    <row r="8463" spans="7:16" s="1634" customFormat="1">
      <c r="G8463" s="3336"/>
      <c r="P8463" s="3337"/>
    </row>
    <row r="8464" spans="7:16" s="1634" customFormat="1">
      <c r="G8464" s="3336"/>
      <c r="P8464" s="3337"/>
    </row>
    <row r="8465" spans="7:16" s="1634" customFormat="1">
      <c r="G8465" s="3336"/>
      <c r="P8465" s="3337"/>
    </row>
    <row r="8466" spans="7:16" s="1634" customFormat="1">
      <c r="G8466" s="3336"/>
      <c r="P8466" s="3337"/>
    </row>
    <row r="8467" spans="7:16" s="1634" customFormat="1">
      <c r="G8467" s="3336"/>
      <c r="P8467" s="3337"/>
    </row>
    <row r="8468" spans="7:16" s="1634" customFormat="1">
      <c r="G8468" s="3336"/>
      <c r="P8468" s="3337"/>
    </row>
    <row r="8469" spans="7:16" s="1634" customFormat="1">
      <c r="G8469" s="3336"/>
      <c r="P8469" s="3337"/>
    </row>
    <row r="8470" spans="7:16" s="1634" customFormat="1">
      <c r="G8470" s="3336"/>
      <c r="P8470" s="3337"/>
    </row>
    <row r="8471" spans="7:16" s="1634" customFormat="1">
      <c r="G8471" s="3336"/>
      <c r="P8471" s="3337"/>
    </row>
    <row r="8472" spans="7:16" s="1634" customFormat="1">
      <c r="G8472" s="3336"/>
      <c r="P8472" s="3337"/>
    </row>
    <row r="8473" spans="7:16" s="1634" customFormat="1">
      <c r="G8473" s="3336"/>
      <c r="P8473" s="3337"/>
    </row>
    <row r="8474" spans="7:16" s="1634" customFormat="1">
      <c r="G8474" s="3336"/>
      <c r="P8474" s="3337"/>
    </row>
    <row r="8475" spans="7:16" s="1634" customFormat="1">
      <c r="G8475" s="3336"/>
      <c r="P8475" s="3337"/>
    </row>
    <row r="8476" spans="7:16" s="1634" customFormat="1">
      <c r="G8476" s="3336"/>
      <c r="P8476" s="3337"/>
    </row>
    <row r="8477" spans="7:16" s="1634" customFormat="1">
      <c r="G8477" s="3336"/>
      <c r="P8477" s="3337"/>
    </row>
    <row r="8478" spans="7:16" s="1634" customFormat="1">
      <c r="G8478" s="3336"/>
      <c r="P8478" s="3337"/>
    </row>
    <row r="8479" spans="7:16" s="1634" customFormat="1">
      <c r="G8479" s="3336"/>
      <c r="P8479" s="3337"/>
    </row>
    <row r="8480" spans="7:16" s="1634" customFormat="1">
      <c r="G8480" s="3336"/>
      <c r="P8480" s="3337"/>
    </row>
    <row r="8481" spans="7:16" s="1634" customFormat="1">
      <c r="G8481" s="3336"/>
      <c r="P8481" s="3337"/>
    </row>
    <row r="8482" spans="7:16" s="1634" customFormat="1">
      <c r="G8482" s="3336"/>
      <c r="P8482" s="3337"/>
    </row>
    <row r="8483" spans="7:16" s="1634" customFormat="1">
      <c r="G8483" s="3336"/>
      <c r="P8483" s="3337"/>
    </row>
    <row r="8484" spans="7:16" s="1634" customFormat="1">
      <c r="G8484" s="3336"/>
      <c r="P8484" s="3337"/>
    </row>
    <row r="8485" spans="7:16" s="1634" customFormat="1">
      <c r="G8485" s="3336"/>
      <c r="P8485" s="3337"/>
    </row>
    <row r="8486" spans="7:16" s="1634" customFormat="1">
      <c r="G8486" s="3336"/>
      <c r="P8486" s="3337"/>
    </row>
    <row r="8487" spans="7:16" s="1634" customFormat="1">
      <c r="G8487" s="3336"/>
      <c r="P8487" s="3337"/>
    </row>
    <row r="8488" spans="7:16" s="1634" customFormat="1">
      <c r="G8488" s="3336"/>
      <c r="P8488" s="3337"/>
    </row>
    <row r="8489" spans="7:16" s="1634" customFormat="1">
      <c r="G8489" s="3336"/>
      <c r="P8489" s="3337"/>
    </row>
    <row r="8490" spans="7:16" s="1634" customFormat="1">
      <c r="G8490" s="3336"/>
      <c r="P8490" s="3337"/>
    </row>
    <row r="8491" spans="7:16" s="1634" customFormat="1">
      <c r="G8491" s="3336"/>
      <c r="P8491" s="3337"/>
    </row>
    <row r="8492" spans="7:16" s="1634" customFormat="1">
      <c r="G8492" s="3336"/>
      <c r="P8492" s="3337"/>
    </row>
    <row r="8493" spans="7:16" s="1634" customFormat="1">
      <c r="G8493" s="3336"/>
      <c r="P8493" s="3337"/>
    </row>
    <row r="8494" spans="7:16" s="1634" customFormat="1">
      <c r="G8494" s="3336"/>
      <c r="P8494" s="3337"/>
    </row>
    <row r="8495" spans="7:16" s="1634" customFormat="1">
      <c r="G8495" s="3336"/>
      <c r="P8495" s="3337"/>
    </row>
    <row r="8496" spans="7:16" s="1634" customFormat="1">
      <c r="G8496" s="3336"/>
      <c r="P8496" s="3337"/>
    </row>
    <row r="8497" spans="7:16" s="1634" customFormat="1">
      <c r="G8497" s="3336"/>
      <c r="P8497" s="3337"/>
    </row>
    <row r="8498" spans="7:16" s="1634" customFormat="1">
      <c r="G8498" s="3336"/>
      <c r="P8498" s="3337"/>
    </row>
    <row r="8499" spans="7:16" s="1634" customFormat="1">
      <c r="G8499" s="3336"/>
      <c r="P8499" s="3337"/>
    </row>
    <row r="8500" spans="7:16" s="1634" customFormat="1">
      <c r="G8500" s="3336"/>
      <c r="P8500" s="3337"/>
    </row>
    <row r="8501" spans="7:16" s="1634" customFormat="1">
      <c r="G8501" s="3336"/>
      <c r="P8501" s="3337"/>
    </row>
    <row r="8502" spans="7:16" s="1634" customFormat="1">
      <c r="G8502" s="3336"/>
      <c r="P8502" s="3337"/>
    </row>
    <row r="8503" spans="7:16" s="1634" customFormat="1">
      <c r="G8503" s="3336"/>
      <c r="P8503" s="3337"/>
    </row>
    <row r="8504" spans="7:16" s="1634" customFormat="1">
      <c r="G8504" s="3336"/>
      <c r="P8504" s="3337"/>
    </row>
    <row r="8505" spans="7:16" s="1634" customFormat="1">
      <c r="G8505" s="3336"/>
      <c r="P8505" s="3337"/>
    </row>
    <row r="8506" spans="7:16" s="1634" customFormat="1">
      <c r="G8506" s="3336"/>
      <c r="P8506" s="3337"/>
    </row>
    <row r="8507" spans="7:16" s="1634" customFormat="1">
      <c r="G8507" s="3336"/>
      <c r="P8507" s="3337"/>
    </row>
    <row r="8508" spans="7:16" s="1634" customFormat="1">
      <c r="G8508" s="3336"/>
      <c r="P8508" s="3337"/>
    </row>
    <row r="8509" spans="7:16" s="1634" customFormat="1">
      <c r="G8509" s="3336"/>
      <c r="P8509" s="3337"/>
    </row>
    <row r="8510" spans="7:16" s="1634" customFormat="1">
      <c r="G8510" s="3336"/>
      <c r="P8510" s="3337"/>
    </row>
    <row r="8511" spans="7:16" s="1634" customFormat="1">
      <c r="G8511" s="3336"/>
      <c r="P8511" s="3337"/>
    </row>
    <row r="8512" spans="7:16" s="1634" customFormat="1">
      <c r="G8512" s="3336"/>
      <c r="P8512" s="3337"/>
    </row>
    <row r="8513" spans="7:16" s="1634" customFormat="1">
      <c r="G8513" s="3336"/>
      <c r="P8513" s="3337"/>
    </row>
    <row r="8514" spans="7:16" s="1634" customFormat="1">
      <c r="G8514" s="3336"/>
      <c r="P8514" s="3337"/>
    </row>
    <row r="8515" spans="7:16" s="1634" customFormat="1">
      <c r="G8515" s="3336"/>
      <c r="P8515" s="3337"/>
    </row>
    <row r="8516" spans="7:16" s="1634" customFormat="1">
      <c r="G8516" s="3336"/>
      <c r="P8516" s="3337"/>
    </row>
    <row r="8517" spans="7:16" s="1634" customFormat="1">
      <c r="G8517" s="3336"/>
      <c r="P8517" s="3337"/>
    </row>
    <row r="8518" spans="7:16" s="1634" customFormat="1">
      <c r="G8518" s="3336"/>
      <c r="P8518" s="3337"/>
    </row>
    <row r="8519" spans="7:16" s="1634" customFormat="1">
      <c r="G8519" s="3336"/>
      <c r="P8519" s="3337"/>
    </row>
    <row r="8520" spans="7:16" s="1634" customFormat="1">
      <c r="G8520" s="3336"/>
      <c r="P8520" s="3337"/>
    </row>
    <row r="8521" spans="7:16" s="1634" customFormat="1">
      <c r="G8521" s="3336"/>
      <c r="P8521" s="3337"/>
    </row>
    <row r="8522" spans="7:16" s="1634" customFormat="1">
      <c r="G8522" s="3336"/>
      <c r="P8522" s="3337"/>
    </row>
    <row r="8523" spans="7:16" s="1634" customFormat="1">
      <c r="G8523" s="3336"/>
      <c r="P8523" s="3337"/>
    </row>
    <row r="8524" spans="7:16" s="1634" customFormat="1">
      <c r="G8524" s="3336"/>
      <c r="P8524" s="3337"/>
    </row>
    <row r="8525" spans="7:16" s="1634" customFormat="1">
      <c r="G8525" s="3336"/>
      <c r="P8525" s="3337"/>
    </row>
    <row r="8526" spans="7:16" s="1634" customFormat="1">
      <c r="G8526" s="3336"/>
      <c r="P8526" s="3337"/>
    </row>
    <row r="8527" spans="7:16" s="1634" customFormat="1">
      <c r="G8527" s="3336"/>
      <c r="P8527" s="3337"/>
    </row>
    <row r="8528" spans="7:16" s="1634" customFormat="1">
      <c r="G8528" s="3336"/>
      <c r="P8528" s="3337"/>
    </row>
    <row r="8529" spans="7:16" s="1634" customFormat="1">
      <c r="G8529" s="3336"/>
      <c r="P8529" s="3337"/>
    </row>
    <row r="8530" spans="7:16" s="1634" customFormat="1">
      <c r="G8530" s="3336"/>
      <c r="P8530" s="3337"/>
    </row>
    <row r="8531" spans="7:16" s="1634" customFormat="1">
      <c r="G8531" s="3336"/>
      <c r="P8531" s="3337"/>
    </row>
    <row r="8532" spans="7:16" s="1634" customFormat="1">
      <c r="G8532" s="3336"/>
      <c r="P8532" s="3337"/>
    </row>
    <row r="8533" spans="7:16" s="1634" customFormat="1">
      <c r="G8533" s="3336"/>
      <c r="P8533" s="3337"/>
    </row>
    <row r="8534" spans="7:16" s="1634" customFormat="1">
      <c r="G8534" s="3336"/>
      <c r="P8534" s="3337"/>
    </row>
    <row r="8535" spans="7:16" s="1634" customFormat="1">
      <c r="G8535" s="3336"/>
      <c r="P8535" s="3337"/>
    </row>
    <row r="8536" spans="7:16" s="1634" customFormat="1">
      <c r="G8536" s="3336"/>
      <c r="P8536" s="3337"/>
    </row>
    <row r="8537" spans="7:16" s="1634" customFormat="1">
      <c r="G8537" s="3336"/>
      <c r="P8537" s="3337"/>
    </row>
    <row r="8538" spans="7:16" s="1634" customFormat="1">
      <c r="G8538" s="3336"/>
      <c r="P8538" s="3337"/>
    </row>
    <row r="8539" spans="7:16" s="1634" customFormat="1">
      <c r="G8539" s="3336"/>
      <c r="P8539" s="3337"/>
    </row>
    <row r="8540" spans="7:16" s="1634" customFormat="1">
      <c r="G8540" s="3336"/>
      <c r="P8540" s="3337"/>
    </row>
    <row r="8541" spans="7:16" s="1634" customFormat="1">
      <c r="G8541" s="3336"/>
      <c r="P8541" s="3337"/>
    </row>
    <row r="8542" spans="7:16" s="1634" customFormat="1">
      <c r="G8542" s="3336"/>
      <c r="P8542" s="3337"/>
    </row>
    <row r="8543" spans="7:16" s="1634" customFormat="1">
      <c r="G8543" s="3336"/>
      <c r="P8543" s="3337"/>
    </row>
    <row r="8544" spans="7:16" s="1634" customFormat="1">
      <c r="G8544" s="3336"/>
      <c r="P8544" s="3337"/>
    </row>
    <row r="8545" spans="7:16" s="1634" customFormat="1">
      <c r="G8545" s="3336"/>
      <c r="P8545" s="3337"/>
    </row>
    <row r="8546" spans="7:16" s="1634" customFormat="1">
      <c r="G8546" s="3336"/>
      <c r="P8546" s="3337"/>
    </row>
    <row r="8547" spans="7:16" s="1634" customFormat="1">
      <c r="G8547" s="3336"/>
      <c r="P8547" s="3337"/>
    </row>
    <row r="8548" spans="7:16" s="1634" customFormat="1">
      <c r="G8548" s="3336"/>
      <c r="P8548" s="3337"/>
    </row>
    <row r="8549" spans="7:16" s="1634" customFormat="1">
      <c r="G8549" s="3336"/>
      <c r="P8549" s="3337"/>
    </row>
    <row r="8550" spans="7:16" s="1634" customFormat="1">
      <c r="G8550" s="3336"/>
      <c r="P8550" s="3337"/>
    </row>
    <row r="8551" spans="7:16" s="1634" customFormat="1">
      <c r="G8551" s="3336"/>
      <c r="P8551" s="3337"/>
    </row>
    <row r="8552" spans="7:16" s="1634" customFormat="1">
      <c r="G8552" s="3336"/>
      <c r="P8552" s="3337"/>
    </row>
    <row r="8553" spans="7:16" s="1634" customFormat="1">
      <c r="G8553" s="3336"/>
      <c r="P8553" s="3337"/>
    </row>
    <row r="8554" spans="7:16" s="1634" customFormat="1">
      <c r="G8554" s="3336"/>
      <c r="P8554" s="3337"/>
    </row>
    <row r="8555" spans="7:16" s="1634" customFormat="1">
      <c r="G8555" s="3336"/>
      <c r="P8555" s="3337"/>
    </row>
    <row r="8556" spans="7:16" s="1634" customFormat="1">
      <c r="G8556" s="3336"/>
      <c r="P8556" s="3337"/>
    </row>
    <row r="8557" spans="7:16" s="1634" customFormat="1">
      <c r="G8557" s="3336"/>
      <c r="P8557" s="3337"/>
    </row>
    <row r="8558" spans="7:16" s="1634" customFormat="1">
      <c r="G8558" s="3336"/>
      <c r="P8558" s="3337"/>
    </row>
    <row r="8559" spans="7:16" s="1634" customFormat="1">
      <c r="G8559" s="3336"/>
      <c r="P8559" s="3337"/>
    </row>
    <row r="8560" spans="7:16" s="1634" customFormat="1">
      <c r="G8560" s="3336"/>
      <c r="P8560" s="3337"/>
    </row>
    <row r="8561" spans="7:16" s="1634" customFormat="1">
      <c r="G8561" s="3336"/>
      <c r="P8561" s="3337"/>
    </row>
    <row r="8562" spans="7:16" s="1634" customFormat="1">
      <c r="G8562" s="3336"/>
      <c r="P8562" s="3337"/>
    </row>
    <row r="8563" spans="7:16" s="1634" customFormat="1">
      <c r="G8563" s="3336"/>
      <c r="P8563" s="3337"/>
    </row>
    <row r="8564" spans="7:16" s="1634" customFormat="1">
      <c r="G8564" s="3336"/>
      <c r="P8564" s="3337"/>
    </row>
    <row r="8565" spans="7:16" s="1634" customFormat="1">
      <c r="G8565" s="3336"/>
      <c r="P8565" s="3337"/>
    </row>
    <row r="8566" spans="7:16" s="1634" customFormat="1">
      <c r="G8566" s="3336"/>
      <c r="P8566" s="3337"/>
    </row>
    <row r="8567" spans="7:16" s="1634" customFormat="1">
      <c r="G8567" s="3336"/>
      <c r="P8567" s="3337"/>
    </row>
    <row r="8568" spans="7:16" s="1634" customFormat="1">
      <c r="G8568" s="3336"/>
      <c r="P8568" s="3337"/>
    </row>
    <row r="8569" spans="7:16" s="1634" customFormat="1">
      <c r="G8569" s="3336"/>
      <c r="P8569" s="3337"/>
    </row>
    <row r="8570" spans="7:16" s="1634" customFormat="1">
      <c r="G8570" s="3336"/>
      <c r="P8570" s="3337"/>
    </row>
    <row r="8571" spans="7:16" s="1634" customFormat="1">
      <c r="G8571" s="3336"/>
      <c r="P8571" s="3337"/>
    </row>
    <row r="8572" spans="7:16" s="1634" customFormat="1">
      <c r="G8572" s="3336"/>
      <c r="P8572" s="3337"/>
    </row>
    <row r="8573" spans="7:16" s="1634" customFormat="1">
      <c r="G8573" s="3336"/>
      <c r="P8573" s="3337"/>
    </row>
    <row r="8574" spans="7:16" s="1634" customFormat="1">
      <c r="G8574" s="3336"/>
      <c r="P8574" s="3337"/>
    </row>
    <row r="8575" spans="7:16" s="1634" customFormat="1">
      <c r="G8575" s="3336"/>
      <c r="P8575" s="3337"/>
    </row>
    <row r="8576" spans="7:16" s="1634" customFormat="1">
      <c r="G8576" s="3336"/>
      <c r="P8576" s="3337"/>
    </row>
    <row r="8577" spans="7:16" s="1634" customFormat="1">
      <c r="G8577" s="3336"/>
      <c r="P8577" s="3337"/>
    </row>
    <row r="8578" spans="7:16" s="1634" customFormat="1">
      <c r="G8578" s="3336"/>
      <c r="P8578" s="3337"/>
    </row>
    <row r="8579" spans="7:16" s="1634" customFormat="1">
      <c r="G8579" s="3336"/>
      <c r="P8579" s="3337"/>
    </row>
    <row r="8580" spans="7:16" s="1634" customFormat="1">
      <c r="G8580" s="3336"/>
      <c r="P8580" s="3337"/>
    </row>
    <row r="8581" spans="7:16" s="1634" customFormat="1">
      <c r="G8581" s="3336"/>
      <c r="P8581" s="3337"/>
    </row>
    <row r="8582" spans="7:16" s="1634" customFormat="1">
      <c r="G8582" s="3336"/>
      <c r="P8582" s="3337"/>
    </row>
    <row r="8583" spans="7:16" s="1634" customFormat="1">
      <c r="G8583" s="3336"/>
      <c r="P8583" s="3337"/>
    </row>
    <row r="8584" spans="7:16" s="1634" customFormat="1">
      <c r="G8584" s="3336"/>
      <c r="P8584" s="3337"/>
    </row>
    <row r="8585" spans="7:16" s="1634" customFormat="1">
      <c r="G8585" s="3336"/>
      <c r="P8585" s="3337"/>
    </row>
    <row r="8586" spans="7:16" s="1634" customFormat="1">
      <c r="G8586" s="3336"/>
      <c r="P8586" s="3337"/>
    </row>
    <row r="8587" spans="7:16" s="1634" customFormat="1">
      <c r="G8587" s="3336"/>
      <c r="P8587" s="3337"/>
    </row>
    <row r="8588" spans="7:16" s="1634" customFormat="1">
      <c r="G8588" s="3336"/>
      <c r="P8588" s="3337"/>
    </row>
    <row r="8589" spans="7:16" s="1634" customFormat="1">
      <c r="G8589" s="3336"/>
      <c r="P8589" s="3337"/>
    </row>
    <row r="8590" spans="7:16" s="1634" customFormat="1">
      <c r="G8590" s="3336"/>
      <c r="P8590" s="3337"/>
    </row>
    <row r="8591" spans="7:16" s="1634" customFormat="1">
      <c r="G8591" s="3336"/>
      <c r="P8591" s="3337"/>
    </row>
    <row r="8592" spans="7:16" s="1634" customFormat="1">
      <c r="G8592" s="3336"/>
      <c r="P8592" s="3337"/>
    </row>
    <row r="8593" spans="7:16" s="1634" customFormat="1">
      <c r="G8593" s="3336"/>
      <c r="P8593" s="3337"/>
    </row>
    <row r="8594" spans="7:16" s="1634" customFormat="1">
      <c r="G8594" s="3336"/>
      <c r="P8594" s="3337"/>
    </row>
    <row r="8595" spans="7:16" s="1634" customFormat="1">
      <c r="G8595" s="3336"/>
      <c r="P8595" s="3337"/>
    </row>
    <row r="8596" spans="7:16" s="1634" customFormat="1">
      <c r="G8596" s="3336"/>
      <c r="P8596" s="3337"/>
    </row>
    <row r="8597" spans="7:16" s="1634" customFormat="1">
      <c r="G8597" s="3336"/>
      <c r="P8597" s="3337"/>
    </row>
    <row r="8598" spans="7:16" s="1634" customFormat="1">
      <c r="G8598" s="3336"/>
      <c r="P8598" s="3337"/>
    </row>
    <row r="8599" spans="7:16" s="1634" customFormat="1">
      <c r="G8599" s="3336"/>
      <c r="P8599" s="3337"/>
    </row>
    <row r="8600" spans="7:16" s="1634" customFormat="1">
      <c r="G8600" s="3336"/>
      <c r="P8600" s="3337"/>
    </row>
    <row r="8601" spans="7:16" s="1634" customFormat="1">
      <c r="G8601" s="3336"/>
      <c r="P8601" s="3337"/>
    </row>
    <row r="8602" spans="7:16" s="1634" customFormat="1">
      <c r="G8602" s="3336"/>
      <c r="P8602" s="3337"/>
    </row>
    <row r="8603" spans="7:16" s="1634" customFormat="1">
      <c r="G8603" s="3336"/>
      <c r="P8603" s="3337"/>
    </row>
    <row r="8604" spans="7:16" s="1634" customFormat="1">
      <c r="G8604" s="3336"/>
      <c r="P8604" s="3337"/>
    </row>
    <row r="8605" spans="7:16" s="1634" customFormat="1">
      <c r="G8605" s="3336"/>
      <c r="P8605" s="3337"/>
    </row>
    <row r="8606" spans="7:16" s="1634" customFormat="1">
      <c r="G8606" s="3336"/>
      <c r="P8606" s="3337"/>
    </row>
    <row r="8607" spans="7:16" s="1634" customFormat="1">
      <c r="G8607" s="3336"/>
      <c r="P8607" s="3337"/>
    </row>
    <row r="8608" spans="7:16" s="1634" customFormat="1">
      <c r="G8608" s="3336"/>
      <c r="P8608" s="3337"/>
    </row>
    <row r="8609" spans="7:16" s="1634" customFormat="1">
      <c r="G8609" s="3336"/>
      <c r="P8609" s="3337"/>
    </row>
    <row r="8610" spans="7:16" s="1634" customFormat="1">
      <c r="G8610" s="3336"/>
      <c r="P8610" s="3337"/>
    </row>
    <row r="8611" spans="7:16" s="1634" customFormat="1">
      <c r="G8611" s="3336"/>
      <c r="P8611" s="3337"/>
    </row>
    <row r="8612" spans="7:16" s="1634" customFormat="1">
      <c r="G8612" s="3336"/>
      <c r="P8612" s="3337"/>
    </row>
    <row r="8613" spans="7:16" s="1634" customFormat="1">
      <c r="G8613" s="3336"/>
      <c r="P8613" s="3337"/>
    </row>
    <row r="8614" spans="7:16" s="1634" customFormat="1">
      <c r="G8614" s="3336"/>
      <c r="P8614" s="3337"/>
    </row>
    <row r="8615" spans="7:16" s="1634" customFormat="1">
      <c r="G8615" s="3336"/>
      <c r="P8615" s="3337"/>
    </row>
    <row r="8616" spans="7:16" s="1634" customFormat="1">
      <c r="G8616" s="3336"/>
      <c r="P8616" s="3337"/>
    </row>
    <row r="8617" spans="7:16" s="1634" customFormat="1">
      <c r="G8617" s="3336"/>
      <c r="P8617" s="3337"/>
    </row>
    <row r="8618" spans="7:16" s="1634" customFormat="1">
      <c r="G8618" s="3336"/>
      <c r="P8618" s="3337"/>
    </row>
    <row r="8619" spans="7:16" s="1634" customFormat="1">
      <c r="G8619" s="3336"/>
      <c r="P8619" s="3337"/>
    </row>
    <row r="8620" spans="7:16" s="1634" customFormat="1">
      <c r="G8620" s="3336"/>
      <c r="P8620" s="3337"/>
    </row>
    <row r="8621" spans="7:16" s="1634" customFormat="1">
      <c r="G8621" s="3336"/>
      <c r="P8621" s="3337"/>
    </row>
    <row r="8622" spans="7:16" s="1634" customFormat="1">
      <c r="G8622" s="3336"/>
      <c r="P8622" s="3337"/>
    </row>
    <row r="8623" spans="7:16" s="1634" customFormat="1">
      <c r="G8623" s="3336"/>
      <c r="P8623" s="3337"/>
    </row>
    <row r="8624" spans="7:16" s="1634" customFormat="1">
      <c r="G8624" s="3336"/>
      <c r="P8624" s="3337"/>
    </row>
    <row r="8625" spans="7:16" s="1634" customFormat="1">
      <c r="G8625" s="3336"/>
      <c r="P8625" s="3337"/>
    </row>
    <row r="8626" spans="7:16" s="1634" customFormat="1">
      <c r="G8626" s="3336"/>
      <c r="P8626" s="3337"/>
    </row>
    <row r="8627" spans="7:16" s="1634" customFormat="1">
      <c r="G8627" s="3336"/>
      <c r="P8627" s="3337"/>
    </row>
    <row r="8628" spans="7:16" s="1634" customFormat="1">
      <c r="G8628" s="3336"/>
      <c r="P8628" s="3337"/>
    </row>
    <row r="8629" spans="7:16" s="1634" customFormat="1">
      <c r="G8629" s="3336"/>
      <c r="P8629" s="3337"/>
    </row>
    <row r="8630" spans="7:16" s="1634" customFormat="1">
      <c r="G8630" s="3336"/>
      <c r="P8630" s="3337"/>
    </row>
    <row r="8631" spans="7:16" s="1634" customFormat="1">
      <c r="G8631" s="3336"/>
      <c r="P8631" s="3337"/>
    </row>
    <row r="8632" spans="7:16" s="1634" customFormat="1">
      <c r="G8632" s="3336"/>
      <c r="P8632" s="3337"/>
    </row>
    <row r="8633" spans="7:16" s="1634" customFormat="1">
      <c r="G8633" s="3336"/>
      <c r="P8633" s="3337"/>
    </row>
    <row r="8634" spans="7:16" s="1634" customFormat="1">
      <c r="G8634" s="3336"/>
      <c r="P8634" s="3337"/>
    </row>
    <row r="8635" spans="7:16" s="1634" customFormat="1">
      <c r="G8635" s="3336"/>
      <c r="P8635" s="3337"/>
    </row>
    <row r="8636" spans="7:16" s="1634" customFormat="1">
      <c r="G8636" s="3336"/>
      <c r="P8636" s="3337"/>
    </row>
    <row r="8637" spans="7:16" s="1634" customFormat="1">
      <c r="G8637" s="3336"/>
      <c r="P8637" s="3337"/>
    </row>
    <row r="8638" spans="7:16" s="1634" customFormat="1">
      <c r="G8638" s="3336"/>
      <c r="P8638" s="3337"/>
    </row>
    <row r="8639" spans="7:16" s="1634" customFormat="1">
      <c r="G8639" s="3336"/>
      <c r="P8639" s="3337"/>
    </row>
    <row r="8640" spans="7:16" s="1634" customFormat="1">
      <c r="G8640" s="3336"/>
      <c r="P8640" s="3337"/>
    </row>
    <row r="8641" spans="7:16" s="1634" customFormat="1">
      <c r="G8641" s="3336"/>
      <c r="P8641" s="3337"/>
    </row>
    <row r="8642" spans="7:16" s="1634" customFormat="1">
      <c r="G8642" s="3336"/>
      <c r="P8642" s="3337"/>
    </row>
    <row r="8643" spans="7:16" s="1634" customFormat="1">
      <c r="G8643" s="3336"/>
      <c r="P8643" s="3337"/>
    </row>
    <row r="8644" spans="7:16" s="1634" customFormat="1">
      <c r="G8644" s="3336"/>
      <c r="P8644" s="3337"/>
    </row>
    <row r="8645" spans="7:16" s="1634" customFormat="1">
      <c r="G8645" s="3336"/>
      <c r="P8645" s="3337"/>
    </row>
    <row r="8646" spans="7:16" s="1634" customFormat="1">
      <c r="G8646" s="3336"/>
      <c r="P8646" s="3337"/>
    </row>
    <row r="8647" spans="7:16" s="1634" customFormat="1">
      <c r="G8647" s="3336"/>
      <c r="P8647" s="3337"/>
    </row>
    <row r="8648" spans="7:16" s="1634" customFormat="1">
      <c r="G8648" s="3336"/>
      <c r="P8648" s="3337"/>
    </row>
    <row r="8649" spans="7:16" s="1634" customFormat="1">
      <c r="G8649" s="3336"/>
      <c r="P8649" s="3337"/>
    </row>
    <row r="8650" spans="7:16" s="1634" customFormat="1">
      <c r="G8650" s="3336"/>
      <c r="P8650" s="3337"/>
    </row>
    <row r="8651" spans="7:16" s="1634" customFormat="1">
      <c r="G8651" s="3336"/>
      <c r="P8651" s="3337"/>
    </row>
    <row r="8652" spans="7:16" s="1634" customFormat="1">
      <c r="G8652" s="3336"/>
      <c r="P8652" s="3337"/>
    </row>
    <row r="8653" spans="7:16" s="1634" customFormat="1">
      <c r="G8653" s="3336"/>
      <c r="P8653" s="3337"/>
    </row>
    <row r="8654" spans="7:16" s="1634" customFormat="1">
      <c r="G8654" s="3336"/>
      <c r="P8654" s="3337"/>
    </row>
    <row r="8655" spans="7:16" s="1634" customFormat="1">
      <c r="G8655" s="3336"/>
      <c r="P8655" s="3337"/>
    </row>
    <row r="8656" spans="7:16" s="1634" customFormat="1">
      <c r="G8656" s="3336"/>
      <c r="P8656" s="3337"/>
    </row>
    <row r="8657" spans="7:16" s="1634" customFormat="1">
      <c r="G8657" s="3336"/>
      <c r="P8657" s="3337"/>
    </row>
    <row r="8658" spans="7:16" s="1634" customFormat="1">
      <c r="G8658" s="3336"/>
      <c r="P8658" s="3337"/>
    </row>
    <row r="8659" spans="7:16" s="1634" customFormat="1">
      <c r="G8659" s="3336"/>
      <c r="P8659" s="3337"/>
    </row>
    <row r="8660" spans="7:16" s="1634" customFormat="1">
      <c r="G8660" s="3336"/>
      <c r="P8660" s="3337"/>
    </row>
    <row r="8661" spans="7:16" s="1634" customFormat="1">
      <c r="G8661" s="3336"/>
      <c r="P8661" s="3337"/>
    </row>
    <row r="8662" spans="7:16" s="1634" customFormat="1">
      <c r="G8662" s="3336"/>
      <c r="P8662" s="3337"/>
    </row>
    <row r="8663" spans="7:16" s="1634" customFormat="1">
      <c r="G8663" s="3336"/>
      <c r="P8663" s="3337"/>
    </row>
    <row r="8664" spans="7:16" s="1634" customFormat="1">
      <c r="G8664" s="3336"/>
      <c r="P8664" s="3337"/>
    </row>
    <row r="8665" spans="7:16" s="1634" customFormat="1">
      <c r="G8665" s="3336"/>
      <c r="P8665" s="3337"/>
    </row>
    <row r="8666" spans="7:16" s="1634" customFormat="1">
      <c r="G8666" s="3336"/>
      <c r="P8666" s="3337"/>
    </row>
    <row r="8667" spans="7:16" s="1634" customFormat="1">
      <c r="G8667" s="3336"/>
      <c r="P8667" s="3337"/>
    </row>
    <row r="8668" spans="7:16" s="1634" customFormat="1">
      <c r="G8668" s="3336"/>
      <c r="P8668" s="3337"/>
    </row>
    <row r="8669" spans="7:16" s="1634" customFormat="1">
      <c r="G8669" s="3336"/>
      <c r="P8669" s="3337"/>
    </row>
    <row r="8670" spans="7:16" s="1634" customFormat="1">
      <c r="G8670" s="3336"/>
      <c r="P8670" s="3337"/>
    </row>
    <row r="8671" spans="7:16" s="1634" customFormat="1">
      <c r="G8671" s="3336"/>
      <c r="P8671" s="3337"/>
    </row>
    <row r="8672" spans="7:16" s="1634" customFormat="1">
      <c r="G8672" s="3336"/>
      <c r="P8672" s="3337"/>
    </row>
    <row r="8673" spans="7:16" s="1634" customFormat="1">
      <c r="G8673" s="3336"/>
      <c r="P8673" s="3337"/>
    </row>
    <row r="8674" spans="7:16" s="1634" customFormat="1">
      <c r="G8674" s="3336"/>
      <c r="P8674" s="3337"/>
    </row>
    <row r="8675" spans="7:16" s="1634" customFormat="1">
      <c r="G8675" s="3336"/>
      <c r="P8675" s="3337"/>
    </row>
    <row r="8676" spans="7:16" s="1634" customFormat="1">
      <c r="G8676" s="3336"/>
      <c r="P8676" s="3337"/>
    </row>
    <row r="8677" spans="7:16" s="1634" customFormat="1">
      <c r="G8677" s="3336"/>
      <c r="P8677" s="3337"/>
    </row>
    <row r="8678" spans="7:16" s="1634" customFormat="1">
      <c r="G8678" s="3336"/>
      <c r="P8678" s="3337"/>
    </row>
    <row r="8679" spans="7:16" s="1634" customFormat="1">
      <c r="G8679" s="3336"/>
      <c r="P8679" s="3337"/>
    </row>
    <row r="8680" spans="7:16" s="1634" customFormat="1">
      <c r="G8680" s="3336"/>
      <c r="P8680" s="3337"/>
    </row>
    <row r="8681" spans="7:16" s="1634" customFormat="1">
      <c r="G8681" s="3336"/>
      <c r="P8681" s="3337"/>
    </row>
    <row r="8682" spans="7:16" s="1634" customFormat="1">
      <c r="G8682" s="3336"/>
      <c r="P8682" s="3337"/>
    </row>
    <row r="8683" spans="7:16" s="1634" customFormat="1">
      <c r="G8683" s="3336"/>
      <c r="P8683" s="3337"/>
    </row>
    <row r="8684" spans="7:16" s="1634" customFormat="1">
      <c r="G8684" s="3336"/>
      <c r="P8684" s="3337"/>
    </row>
    <row r="8685" spans="7:16" s="1634" customFormat="1">
      <c r="G8685" s="3336"/>
      <c r="P8685" s="3337"/>
    </row>
    <row r="8686" spans="7:16" s="1634" customFormat="1">
      <c r="G8686" s="3336"/>
      <c r="P8686" s="3337"/>
    </row>
    <row r="8687" spans="7:16" s="1634" customFormat="1">
      <c r="G8687" s="3336"/>
      <c r="P8687" s="3337"/>
    </row>
    <row r="8688" spans="7:16" s="1634" customFormat="1">
      <c r="G8688" s="3336"/>
      <c r="P8688" s="3337"/>
    </row>
    <row r="8689" spans="7:16" s="1634" customFormat="1">
      <c r="G8689" s="3336"/>
      <c r="P8689" s="3337"/>
    </row>
    <row r="8690" spans="7:16" s="1634" customFormat="1">
      <c r="G8690" s="3336"/>
      <c r="P8690" s="3337"/>
    </row>
    <row r="8691" spans="7:16" s="1634" customFormat="1">
      <c r="G8691" s="3336"/>
      <c r="P8691" s="3337"/>
    </row>
    <row r="8692" spans="7:16" s="1634" customFormat="1">
      <c r="G8692" s="3336"/>
      <c r="P8692" s="3337"/>
    </row>
    <row r="8693" spans="7:16" s="1634" customFormat="1">
      <c r="G8693" s="3336"/>
      <c r="P8693" s="3337"/>
    </row>
    <row r="8694" spans="7:16" s="1634" customFormat="1">
      <c r="G8694" s="3336"/>
      <c r="P8694" s="3337"/>
    </row>
    <row r="8695" spans="7:16" s="1634" customFormat="1">
      <c r="G8695" s="3336"/>
      <c r="P8695" s="3337"/>
    </row>
    <row r="8696" spans="7:16" s="1634" customFormat="1">
      <c r="G8696" s="3336"/>
      <c r="P8696" s="3337"/>
    </row>
    <row r="8697" spans="7:16" s="1634" customFormat="1">
      <c r="G8697" s="3336"/>
      <c r="P8697" s="3337"/>
    </row>
    <row r="8698" spans="7:16" s="1634" customFormat="1">
      <c r="G8698" s="3336"/>
      <c r="P8698" s="3337"/>
    </row>
    <row r="8699" spans="7:16" s="1634" customFormat="1">
      <c r="G8699" s="3336"/>
      <c r="P8699" s="3337"/>
    </row>
    <row r="8700" spans="7:16" s="1634" customFormat="1">
      <c r="G8700" s="3336"/>
      <c r="P8700" s="3337"/>
    </row>
    <row r="8701" spans="7:16" s="1634" customFormat="1">
      <c r="G8701" s="3336"/>
      <c r="P8701" s="3337"/>
    </row>
    <row r="8702" spans="7:16" s="1634" customFormat="1">
      <c r="G8702" s="3336"/>
      <c r="P8702" s="3337"/>
    </row>
    <row r="8703" spans="7:16" s="1634" customFormat="1">
      <c r="G8703" s="3336"/>
      <c r="P8703" s="3337"/>
    </row>
    <row r="8704" spans="7:16" s="1634" customFormat="1">
      <c r="G8704" s="3336"/>
      <c r="P8704" s="3337"/>
    </row>
    <row r="8705" spans="7:16" s="1634" customFormat="1">
      <c r="G8705" s="3336"/>
      <c r="P8705" s="3337"/>
    </row>
    <row r="8706" spans="7:16" s="1634" customFormat="1">
      <c r="G8706" s="3336"/>
      <c r="P8706" s="3337"/>
    </row>
    <row r="8707" spans="7:16" s="1634" customFormat="1">
      <c r="G8707" s="3336"/>
      <c r="P8707" s="3337"/>
    </row>
    <row r="8708" spans="7:16" s="1634" customFormat="1">
      <c r="G8708" s="3336"/>
      <c r="P8708" s="3337"/>
    </row>
    <row r="8709" spans="7:16" s="1634" customFormat="1">
      <c r="G8709" s="3336"/>
      <c r="P8709" s="3337"/>
    </row>
    <row r="8710" spans="7:16" s="1634" customFormat="1">
      <c r="G8710" s="3336"/>
      <c r="P8710" s="3337"/>
    </row>
    <row r="8711" spans="7:16" s="1634" customFormat="1">
      <c r="G8711" s="3336"/>
      <c r="P8711" s="3337"/>
    </row>
    <row r="8712" spans="7:16" s="1634" customFormat="1">
      <c r="G8712" s="3336"/>
      <c r="P8712" s="3337"/>
    </row>
    <row r="8713" spans="7:16" s="1634" customFormat="1">
      <c r="G8713" s="3336"/>
      <c r="P8713" s="3337"/>
    </row>
    <row r="8714" spans="7:16" s="1634" customFormat="1">
      <c r="G8714" s="3336"/>
      <c r="P8714" s="3337"/>
    </row>
    <row r="8715" spans="7:16" s="1634" customFormat="1">
      <c r="G8715" s="3336"/>
      <c r="P8715" s="3337"/>
    </row>
    <row r="8716" spans="7:16" s="1634" customFormat="1">
      <c r="G8716" s="3336"/>
      <c r="P8716" s="3337"/>
    </row>
    <row r="8717" spans="7:16" s="1634" customFormat="1">
      <c r="G8717" s="3336"/>
      <c r="P8717" s="3337"/>
    </row>
    <row r="8718" spans="7:16" s="1634" customFormat="1">
      <c r="G8718" s="3336"/>
      <c r="P8718" s="3337"/>
    </row>
    <row r="8719" spans="7:16" s="1634" customFormat="1">
      <c r="G8719" s="3336"/>
      <c r="P8719" s="3337"/>
    </row>
    <row r="8720" spans="7:16" s="1634" customFormat="1">
      <c r="G8720" s="3336"/>
      <c r="P8720" s="3337"/>
    </row>
    <row r="8721" spans="7:16" s="1634" customFormat="1">
      <c r="G8721" s="3336"/>
      <c r="P8721" s="3337"/>
    </row>
    <row r="8722" spans="7:16" s="1634" customFormat="1">
      <c r="G8722" s="3336"/>
      <c r="P8722" s="3337"/>
    </row>
    <row r="8723" spans="7:16" s="1634" customFormat="1">
      <c r="G8723" s="3336"/>
      <c r="P8723" s="3337"/>
    </row>
    <row r="8724" spans="7:16" s="1634" customFormat="1">
      <c r="G8724" s="3336"/>
      <c r="P8724" s="3337"/>
    </row>
    <row r="8725" spans="7:16" s="1634" customFormat="1">
      <c r="G8725" s="3336"/>
      <c r="P8725" s="3337"/>
    </row>
    <row r="8726" spans="7:16" s="1634" customFormat="1">
      <c r="G8726" s="3336"/>
      <c r="P8726" s="3337"/>
    </row>
    <row r="8727" spans="7:16" s="1634" customFormat="1">
      <c r="G8727" s="3336"/>
      <c r="P8727" s="3337"/>
    </row>
    <row r="8728" spans="7:16" s="1634" customFormat="1">
      <c r="G8728" s="3336"/>
      <c r="P8728" s="3337"/>
    </row>
    <row r="8729" spans="7:16" s="1634" customFormat="1">
      <c r="G8729" s="3336"/>
      <c r="P8729" s="3337"/>
    </row>
    <row r="8730" spans="7:16" s="1634" customFormat="1">
      <c r="G8730" s="3336"/>
      <c r="P8730" s="3337"/>
    </row>
    <row r="8731" spans="7:16" s="1634" customFormat="1">
      <c r="G8731" s="3336"/>
      <c r="P8731" s="3337"/>
    </row>
    <row r="8732" spans="7:16" s="1634" customFormat="1">
      <c r="G8732" s="3336"/>
      <c r="P8732" s="3337"/>
    </row>
    <row r="8733" spans="7:16" s="1634" customFormat="1">
      <c r="G8733" s="3336"/>
      <c r="P8733" s="3337"/>
    </row>
    <row r="8734" spans="7:16" s="1634" customFormat="1">
      <c r="G8734" s="3336"/>
      <c r="P8734" s="3337"/>
    </row>
    <row r="8735" spans="7:16" s="1634" customFormat="1">
      <c r="G8735" s="3336"/>
      <c r="P8735" s="3337"/>
    </row>
    <row r="8736" spans="7:16" s="1634" customFormat="1">
      <c r="G8736" s="3336"/>
      <c r="P8736" s="3337"/>
    </row>
    <row r="8737" spans="7:16" s="1634" customFormat="1">
      <c r="G8737" s="3336"/>
      <c r="P8737" s="3337"/>
    </row>
    <row r="8738" spans="7:16" s="1634" customFormat="1">
      <c r="G8738" s="3336"/>
      <c r="P8738" s="3337"/>
    </row>
    <row r="8739" spans="7:16" s="1634" customFormat="1">
      <c r="G8739" s="3336"/>
      <c r="P8739" s="3337"/>
    </row>
    <row r="8740" spans="7:16" s="1634" customFormat="1">
      <c r="G8740" s="3336"/>
      <c r="P8740" s="3337"/>
    </row>
    <row r="8741" spans="7:16" s="1634" customFormat="1">
      <c r="G8741" s="3336"/>
      <c r="P8741" s="3337"/>
    </row>
    <row r="8742" spans="7:16" s="1634" customFormat="1">
      <c r="G8742" s="3336"/>
      <c r="P8742" s="3337"/>
    </row>
    <row r="8743" spans="7:16" s="1634" customFormat="1">
      <c r="G8743" s="3336"/>
      <c r="P8743" s="3337"/>
    </row>
    <row r="8744" spans="7:16" s="1634" customFormat="1">
      <c r="G8744" s="3336"/>
      <c r="P8744" s="3337"/>
    </row>
    <row r="8745" spans="7:16" s="1634" customFormat="1">
      <c r="G8745" s="3336"/>
      <c r="P8745" s="3337"/>
    </row>
    <row r="8746" spans="7:16" s="1634" customFormat="1">
      <c r="G8746" s="3336"/>
      <c r="P8746" s="3337"/>
    </row>
    <row r="8747" spans="7:16" s="1634" customFormat="1">
      <c r="G8747" s="3336"/>
      <c r="P8747" s="3337"/>
    </row>
    <row r="8748" spans="7:16" s="1634" customFormat="1">
      <c r="G8748" s="3336"/>
      <c r="P8748" s="3337"/>
    </row>
    <row r="8749" spans="7:16" s="1634" customFormat="1">
      <c r="G8749" s="3336"/>
      <c r="P8749" s="3337"/>
    </row>
    <row r="8750" spans="7:16" s="1634" customFormat="1">
      <c r="G8750" s="3336"/>
      <c r="P8750" s="3337"/>
    </row>
    <row r="8751" spans="7:16" s="1634" customFormat="1">
      <c r="G8751" s="3336"/>
      <c r="P8751" s="3337"/>
    </row>
    <row r="8752" spans="7:16" s="1634" customFormat="1">
      <c r="G8752" s="3336"/>
      <c r="P8752" s="3337"/>
    </row>
    <row r="8753" spans="7:16" s="1634" customFormat="1">
      <c r="G8753" s="3336"/>
      <c r="P8753" s="3337"/>
    </row>
    <row r="8754" spans="7:16" s="1634" customFormat="1">
      <c r="G8754" s="3336"/>
      <c r="P8754" s="3337"/>
    </row>
    <row r="8755" spans="7:16" s="1634" customFormat="1">
      <c r="G8755" s="3336"/>
      <c r="P8755" s="3337"/>
    </row>
    <row r="8756" spans="7:16" s="1634" customFormat="1">
      <c r="G8756" s="3336"/>
      <c r="P8756" s="3337"/>
    </row>
    <row r="8757" spans="7:16" s="1634" customFormat="1">
      <c r="G8757" s="3336"/>
      <c r="P8757" s="3337"/>
    </row>
    <row r="8758" spans="7:16" s="1634" customFormat="1">
      <c r="G8758" s="3336"/>
      <c r="P8758" s="3337"/>
    </row>
    <row r="8759" spans="7:16" s="1634" customFormat="1">
      <c r="G8759" s="3336"/>
      <c r="P8759" s="3337"/>
    </row>
    <row r="8760" spans="7:16" s="1634" customFormat="1">
      <c r="G8760" s="3336"/>
      <c r="P8760" s="3337"/>
    </row>
    <row r="8761" spans="7:16" s="1634" customFormat="1">
      <c r="G8761" s="3336"/>
      <c r="P8761" s="3337"/>
    </row>
    <row r="8762" spans="7:16" s="1634" customFormat="1">
      <c r="G8762" s="3336"/>
      <c r="P8762" s="3337"/>
    </row>
    <row r="8763" spans="7:16" s="1634" customFormat="1">
      <c r="G8763" s="3336"/>
      <c r="P8763" s="3337"/>
    </row>
    <row r="8764" spans="7:16" s="1634" customFormat="1">
      <c r="G8764" s="3336"/>
      <c r="P8764" s="3337"/>
    </row>
    <row r="8765" spans="7:16" s="1634" customFormat="1">
      <c r="G8765" s="3336"/>
      <c r="P8765" s="3337"/>
    </row>
    <row r="8766" spans="7:16" s="1634" customFormat="1">
      <c r="G8766" s="3336"/>
      <c r="P8766" s="3337"/>
    </row>
    <row r="8767" spans="7:16" s="1634" customFormat="1">
      <c r="G8767" s="3336"/>
      <c r="P8767" s="3337"/>
    </row>
    <row r="8768" spans="7:16" s="1634" customFormat="1">
      <c r="G8768" s="3336"/>
      <c r="P8768" s="3337"/>
    </row>
    <row r="8769" spans="7:16" s="1634" customFormat="1">
      <c r="G8769" s="3336"/>
      <c r="P8769" s="3337"/>
    </row>
    <row r="8770" spans="7:16" s="1634" customFormat="1">
      <c r="G8770" s="3336"/>
      <c r="P8770" s="3337"/>
    </row>
    <row r="8771" spans="7:16" s="1634" customFormat="1">
      <c r="G8771" s="3336"/>
      <c r="P8771" s="3337"/>
    </row>
    <row r="8772" spans="7:16" s="1634" customFormat="1">
      <c r="G8772" s="3336"/>
      <c r="P8772" s="3337"/>
    </row>
    <row r="8773" spans="7:16" s="1634" customFormat="1">
      <c r="G8773" s="3336"/>
      <c r="P8773" s="3337"/>
    </row>
    <row r="8774" spans="7:16" s="1634" customFormat="1">
      <c r="G8774" s="3336"/>
      <c r="P8774" s="3337"/>
    </row>
    <row r="8775" spans="7:16" s="1634" customFormat="1">
      <c r="G8775" s="3336"/>
      <c r="P8775" s="3337"/>
    </row>
    <row r="8776" spans="7:16" s="1634" customFormat="1">
      <c r="G8776" s="3336"/>
      <c r="P8776" s="3337"/>
    </row>
    <row r="8777" spans="7:16" s="1634" customFormat="1">
      <c r="G8777" s="3336"/>
      <c r="P8777" s="3337"/>
    </row>
    <row r="8778" spans="7:16" s="1634" customFormat="1">
      <c r="G8778" s="3336"/>
      <c r="P8778" s="3337"/>
    </row>
    <row r="8779" spans="7:16" s="1634" customFormat="1">
      <c r="G8779" s="3336"/>
      <c r="P8779" s="3337"/>
    </row>
    <row r="8780" spans="7:16" s="1634" customFormat="1">
      <c r="G8780" s="3336"/>
      <c r="P8780" s="3337"/>
    </row>
    <row r="8781" spans="7:16" s="1634" customFormat="1">
      <c r="G8781" s="3336"/>
      <c r="P8781" s="3337"/>
    </row>
    <row r="8782" spans="7:16" s="1634" customFormat="1">
      <c r="G8782" s="3336"/>
      <c r="P8782" s="3337"/>
    </row>
    <row r="8783" spans="7:16" s="1634" customFormat="1">
      <c r="G8783" s="3336"/>
      <c r="P8783" s="3337"/>
    </row>
    <row r="8784" spans="7:16" s="1634" customFormat="1">
      <c r="G8784" s="3336"/>
      <c r="P8784" s="3337"/>
    </row>
    <row r="8785" spans="7:16" s="1634" customFormat="1">
      <c r="G8785" s="3336"/>
      <c r="P8785" s="3337"/>
    </row>
    <row r="8786" spans="7:16" s="1634" customFormat="1">
      <c r="G8786" s="3336"/>
      <c r="P8786" s="3337"/>
    </row>
    <row r="8787" spans="7:16" s="1634" customFormat="1">
      <c r="G8787" s="3336"/>
      <c r="P8787" s="3337"/>
    </row>
    <row r="8788" spans="7:16" s="1634" customFormat="1">
      <c r="G8788" s="3336"/>
      <c r="P8788" s="3337"/>
    </row>
    <row r="8789" spans="7:16" s="1634" customFormat="1">
      <c r="G8789" s="3336"/>
      <c r="P8789" s="3337"/>
    </row>
    <row r="8790" spans="7:16" s="1634" customFormat="1">
      <c r="G8790" s="3336"/>
      <c r="P8790" s="3337"/>
    </row>
    <row r="8791" spans="7:16" s="1634" customFormat="1">
      <c r="G8791" s="3336"/>
      <c r="P8791" s="3337"/>
    </row>
    <row r="8792" spans="7:16" s="1634" customFormat="1">
      <c r="G8792" s="3336"/>
      <c r="P8792" s="3337"/>
    </row>
    <row r="8793" spans="7:16" s="1634" customFormat="1">
      <c r="G8793" s="3336"/>
      <c r="P8793" s="3337"/>
    </row>
    <row r="8794" spans="7:16" s="1634" customFormat="1">
      <c r="G8794" s="3336"/>
      <c r="P8794" s="3337"/>
    </row>
    <row r="8795" spans="7:16" s="1634" customFormat="1">
      <c r="G8795" s="3336"/>
      <c r="P8795" s="3337"/>
    </row>
    <row r="8796" spans="7:16" s="1634" customFormat="1">
      <c r="G8796" s="3336"/>
      <c r="P8796" s="3337"/>
    </row>
    <row r="8797" spans="7:16" s="1634" customFormat="1">
      <c r="G8797" s="3336"/>
      <c r="P8797" s="3337"/>
    </row>
    <row r="8798" spans="7:16" s="1634" customFormat="1">
      <c r="G8798" s="3336"/>
      <c r="P8798" s="3337"/>
    </row>
    <row r="8799" spans="7:16" s="1634" customFormat="1">
      <c r="G8799" s="3336"/>
      <c r="P8799" s="3337"/>
    </row>
    <row r="8800" spans="7:16" s="1634" customFormat="1">
      <c r="G8800" s="3336"/>
      <c r="P8800" s="3337"/>
    </row>
    <row r="8801" spans="7:16" s="1634" customFormat="1">
      <c r="G8801" s="3336"/>
      <c r="P8801" s="3337"/>
    </row>
    <row r="8802" spans="7:16" s="1634" customFormat="1">
      <c r="G8802" s="3336"/>
      <c r="P8802" s="3337"/>
    </row>
    <row r="8803" spans="7:16" s="1634" customFormat="1">
      <c r="G8803" s="3336"/>
      <c r="P8803" s="3337"/>
    </row>
    <row r="8804" spans="7:16" s="1634" customFormat="1">
      <c r="G8804" s="3336"/>
      <c r="P8804" s="3337"/>
    </row>
    <row r="8805" spans="7:16" s="1634" customFormat="1">
      <c r="G8805" s="3336"/>
      <c r="P8805" s="3337"/>
    </row>
    <row r="8806" spans="7:16" s="1634" customFormat="1">
      <c r="G8806" s="3336"/>
      <c r="P8806" s="3337"/>
    </row>
    <row r="8807" spans="7:16" s="1634" customFormat="1">
      <c r="G8807" s="3336"/>
      <c r="P8807" s="3337"/>
    </row>
    <row r="8808" spans="7:16" s="1634" customFormat="1">
      <c r="G8808" s="3336"/>
      <c r="P8808" s="3337"/>
    </row>
    <row r="8809" spans="7:16" s="1634" customFormat="1">
      <c r="G8809" s="3336"/>
      <c r="P8809" s="3337"/>
    </row>
    <row r="8810" spans="7:16" s="1634" customFormat="1">
      <c r="G8810" s="3336"/>
      <c r="P8810" s="3337"/>
    </row>
    <row r="8811" spans="7:16" s="1634" customFormat="1">
      <c r="G8811" s="3336"/>
      <c r="P8811" s="3337"/>
    </row>
    <row r="8812" spans="7:16" s="1634" customFormat="1">
      <c r="G8812" s="3336"/>
      <c r="P8812" s="3337"/>
    </row>
    <row r="8813" spans="7:16" s="1634" customFormat="1">
      <c r="G8813" s="3336"/>
      <c r="P8813" s="3337"/>
    </row>
    <row r="8814" spans="7:16" s="1634" customFormat="1">
      <c r="G8814" s="3336"/>
      <c r="P8814" s="3337"/>
    </row>
    <row r="8815" spans="7:16" s="1634" customFormat="1">
      <c r="G8815" s="3336"/>
      <c r="P8815" s="3337"/>
    </row>
    <row r="8816" spans="7:16" s="1634" customFormat="1">
      <c r="G8816" s="3336"/>
      <c r="P8816" s="3337"/>
    </row>
    <row r="8817" spans="7:16" s="1634" customFormat="1">
      <c r="G8817" s="3336"/>
      <c r="P8817" s="3337"/>
    </row>
    <row r="8818" spans="7:16" s="1634" customFormat="1">
      <c r="G8818" s="3336"/>
      <c r="P8818" s="3337"/>
    </row>
    <row r="8819" spans="7:16" s="1634" customFormat="1">
      <c r="G8819" s="3336"/>
      <c r="P8819" s="3337"/>
    </row>
    <row r="8820" spans="7:16" s="1634" customFormat="1">
      <c r="G8820" s="3336"/>
      <c r="P8820" s="3337"/>
    </row>
    <row r="8821" spans="7:16" s="1634" customFormat="1">
      <c r="G8821" s="3336"/>
      <c r="P8821" s="3337"/>
    </row>
    <row r="8822" spans="7:16" s="1634" customFormat="1">
      <c r="G8822" s="3336"/>
      <c r="P8822" s="3337"/>
    </row>
    <row r="8823" spans="7:16" s="1634" customFormat="1">
      <c r="G8823" s="3336"/>
      <c r="P8823" s="3337"/>
    </row>
    <row r="8824" spans="7:16" s="1634" customFormat="1">
      <c r="G8824" s="3336"/>
      <c r="P8824" s="3337"/>
    </row>
    <row r="8825" spans="7:16" s="1634" customFormat="1">
      <c r="G8825" s="3336"/>
      <c r="P8825" s="3337"/>
    </row>
    <row r="8826" spans="7:16" s="1634" customFormat="1">
      <c r="G8826" s="3336"/>
      <c r="P8826" s="3337"/>
    </row>
    <row r="8827" spans="7:16" s="1634" customFormat="1">
      <c r="G8827" s="3336"/>
      <c r="P8827" s="3337"/>
    </row>
    <row r="8828" spans="7:16" s="1634" customFormat="1">
      <c r="G8828" s="3336"/>
      <c r="P8828" s="3337"/>
    </row>
    <row r="8829" spans="7:16" s="1634" customFormat="1">
      <c r="G8829" s="3336"/>
      <c r="P8829" s="3337"/>
    </row>
    <row r="8830" spans="7:16" s="1634" customFormat="1">
      <c r="G8830" s="3336"/>
      <c r="P8830" s="3337"/>
    </row>
    <row r="8831" spans="7:16" s="1634" customFormat="1">
      <c r="G8831" s="3336"/>
      <c r="P8831" s="3337"/>
    </row>
    <row r="8832" spans="7:16" s="1634" customFormat="1">
      <c r="G8832" s="3336"/>
      <c r="P8832" s="3337"/>
    </row>
    <row r="8833" spans="7:16" s="1634" customFormat="1">
      <c r="G8833" s="3336"/>
      <c r="P8833" s="3337"/>
    </row>
    <row r="8834" spans="7:16" s="1634" customFormat="1">
      <c r="G8834" s="3336"/>
      <c r="P8834" s="3337"/>
    </row>
    <row r="8835" spans="7:16" s="1634" customFormat="1">
      <c r="G8835" s="3336"/>
      <c r="P8835" s="3337"/>
    </row>
    <row r="8836" spans="7:16" s="1634" customFormat="1">
      <c r="G8836" s="3336"/>
      <c r="P8836" s="3337"/>
    </row>
    <row r="8837" spans="7:16" s="1634" customFormat="1">
      <c r="G8837" s="3336"/>
      <c r="P8837" s="3337"/>
    </row>
    <row r="8838" spans="7:16" s="1634" customFormat="1">
      <c r="G8838" s="3336"/>
      <c r="P8838" s="3337"/>
    </row>
    <row r="8839" spans="7:16" s="1634" customFormat="1">
      <c r="G8839" s="3336"/>
      <c r="P8839" s="3337"/>
    </row>
    <row r="8840" spans="7:16" s="1634" customFormat="1">
      <c r="G8840" s="3336"/>
      <c r="P8840" s="3337"/>
    </row>
    <row r="8841" spans="7:16" s="1634" customFormat="1">
      <c r="G8841" s="3336"/>
      <c r="P8841" s="3337"/>
    </row>
    <row r="8842" spans="7:16" s="1634" customFormat="1">
      <c r="G8842" s="3336"/>
      <c r="P8842" s="3337"/>
    </row>
    <row r="8843" spans="7:16" s="1634" customFormat="1">
      <c r="G8843" s="3336"/>
      <c r="P8843" s="3337"/>
    </row>
    <row r="8844" spans="7:16" s="1634" customFormat="1">
      <c r="G8844" s="3336"/>
      <c r="P8844" s="3337"/>
    </row>
    <row r="8845" spans="7:16" s="1634" customFormat="1">
      <c r="G8845" s="3336"/>
      <c r="P8845" s="3337"/>
    </row>
    <row r="8846" spans="7:16" s="1634" customFormat="1">
      <c r="G8846" s="3336"/>
      <c r="P8846" s="3337"/>
    </row>
    <row r="8847" spans="7:16" s="1634" customFormat="1">
      <c r="G8847" s="3336"/>
      <c r="P8847" s="3337"/>
    </row>
    <row r="8848" spans="7:16" s="1634" customFormat="1">
      <c r="G8848" s="3336"/>
      <c r="P8848" s="3337"/>
    </row>
    <row r="8849" spans="7:16" s="1634" customFormat="1">
      <c r="G8849" s="3336"/>
      <c r="P8849" s="3337"/>
    </row>
    <row r="8850" spans="7:16" s="1634" customFormat="1">
      <c r="G8850" s="3336"/>
      <c r="P8850" s="3337"/>
    </row>
    <row r="8851" spans="7:16" s="1634" customFormat="1">
      <c r="G8851" s="3336"/>
      <c r="P8851" s="3337"/>
    </row>
    <row r="8852" spans="7:16" s="1634" customFormat="1">
      <c r="G8852" s="3336"/>
      <c r="P8852" s="3337"/>
    </row>
    <row r="8853" spans="7:16" s="1634" customFormat="1">
      <c r="G8853" s="3336"/>
      <c r="P8853" s="3337"/>
    </row>
    <row r="8854" spans="7:16" s="1634" customFormat="1">
      <c r="G8854" s="3336"/>
      <c r="P8854" s="3337"/>
    </row>
    <row r="8855" spans="7:16" s="1634" customFormat="1">
      <c r="G8855" s="3336"/>
      <c r="P8855" s="3337"/>
    </row>
    <row r="8856" spans="7:16" s="1634" customFormat="1">
      <c r="G8856" s="3336"/>
      <c r="P8856" s="3337"/>
    </row>
    <row r="8857" spans="7:16" s="1634" customFormat="1">
      <c r="G8857" s="3336"/>
      <c r="P8857" s="3337"/>
    </row>
    <row r="8858" spans="7:16" s="1634" customFormat="1">
      <c r="G8858" s="3336"/>
      <c r="P8858" s="3337"/>
    </row>
    <row r="8859" spans="7:16" s="1634" customFormat="1">
      <c r="G8859" s="3336"/>
      <c r="P8859" s="3337"/>
    </row>
    <row r="8860" spans="7:16" s="1634" customFormat="1">
      <c r="G8860" s="3336"/>
      <c r="P8860" s="3337"/>
    </row>
    <row r="8861" spans="7:16" s="1634" customFormat="1">
      <c r="G8861" s="3336"/>
      <c r="P8861" s="3337"/>
    </row>
    <row r="8862" spans="7:16" s="1634" customFormat="1">
      <c r="G8862" s="3336"/>
      <c r="P8862" s="3337"/>
    </row>
    <row r="8863" spans="7:16" s="1634" customFormat="1">
      <c r="G8863" s="3336"/>
      <c r="P8863" s="3337"/>
    </row>
    <row r="8864" spans="7:16" s="1634" customFormat="1">
      <c r="G8864" s="3336"/>
      <c r="P8864" s="3337"/>
    </row>
    <row r="8865" spans="7:16" s="1634" customFormat="1">
      <c r="G8865" s="3336"/>
      <c r="P8865" s="3337"/>
    </row>
    <row r="8866" spans="7:16" s="1634" customFormat="1">
      <c r="G8866" s="3336"/>
      <c r="P8866" s="3337"/>
    </row>
    <row r="8867" spans="7:16" s="1634" customFormat="1">
      <c r="G8867" s="3336"/>
      <c r="P8867" s="3337"/>
    </row>
    <row r="8868" spans="7:16" s="1634" customFormat="1">
      <c r="G8868" s="3336"/>
      <c r="P8868" s="3337"/>
    </row>
    <row r="8869" spans="7:16" s="1634" customFormat="1">
      <c r="G8869" s="3336"/>
      <c r="P8869" s="3337"/>
    </row>
    <row r="8870" spans="7:16" s="1634" customFormat="1">
      <c r="G8870" s="3336"/>
      <c r="P8870" s="3337"/>
    </row>
    <row r="8871" spans="7:16" s="1634" customFormat="1">
      <c r="G8871" s="3336"/>
      <c r="P8871" s="3337"/>
    </row>
    <row r="8872" spans="7:16" s="1634" customFormat="1">
      <c r="G8872" s="3336"/>
      <c r="P8872" s="3337"/>
    </row>
    <row r="8873" spans="7:16" s="1634" customFormat="1">
      <c r="G8873" s="3336"/>
      <c r="P8873" s="3337"/>
    </row>
    <row r="8874" spans="7:16" s="1634" customFormat="1">
      <c r="G8874" s="3336"/>
      <c r="P8874" s="3337"/>
    </row>
    <row r="8875" spans="7:16" s="1634" customFormat="1">
      <c r="G8875" s="3336"/>
      <c r="P8875" s="3337"/>
    </row>
    <row r="8876" spans="7:16" s="1634" customFormat="1">
      <c r="G8876" s="3336"/>
      <c r="P8876" s="3337"/>
    </row>
    <row r="8877" spans="7:16" s="1634" customFormat="1">
      <c r="G8877" s="3336"/>
      <c r="P8877" s="3337"/>
    </row>
    <row r="8878" spans="7:16" s="1634" customFormat="1">
      <c r="G8878" s="3336"/>
      <c r="P8878" s="3337"/>
    </row>
    <row r="8879" spans="7:16" s="1634" customFormat="1">
      <c r="G8879" s="3336"/>
      <c r="P8879" s="3337"/>
    </row>
    <row r="8880" spans="7:16" s="1634" customFormat="1">
      <c r="G8880" s="3336"/>
      <c r="P8880" s="3337"/>
    </row>
    <row r="8881" spans="7:16" s="1634" customFormat="1">
      <c r="G8881" s="3336"/>
      <c r="P8881" s="3337"/>
    </row>
    <row r="8882" spans="7:16" s="1634" customFormat="1">
      <c r="G8882" s="3336"/>
      <c r="P8882" s="3337"/>
    </row>
    <row r="8883" spans="7:16" s="1634" customFormat="1">
      <c r="G8883" s="3336"/>
      <c r="P8883" s="3337"/>
    </row>
    <row r="8884" spans="7:16" s="1634" customFormat="1">
      <c r="G8884" s="3336"/>
      <c r="P8884" s="3337"/>
    </row>
    <row r="8885" spans="7:16" s="1634" customFormat="1">
      <c r="G8885" s="3336"/>
      <c r="P8885" s="3337"/>
    </row>
    <row r="8886" spans="7:16" s="1634" customFormat="1">
      <c r="G8886" s="3336"/>
      <c r="P8886" s="3337"/>
    </row>
    <row r="8887" spans="7:16" s="1634" customFormat="1">
      <c r="G8887" s="3336"/>
      <c r="P8887" s="3337"/>
    </row>
    <row r="8888" spans="7:16" s="1634" customFormat="1">
      <c r="G8888" s="3336"/>
      <c r="P8888" s="3337"/>
    </row>
    <row r="8889" spans="7:16" s="1634" customFormat="1">
      <c r="G8889" s="3336"/>
      <c r="P8889" s="3337"/>
    </row>
    <row r="8890" spans="7:16" s="1634" customFormat="1">
      <c r="G8890" s="3336"/>
      <c r="P8890" s="3337"/>
    </row>
    <row r="8891" spans="7:16" s="1634" customFormat="1">
      <c r="G8891" s="3336"/>
      <c r="P8891" s="3337"/>
    </row>
    <row r="8892" spans="7:16" s="1634" customFormat="1">
      <c r="G8892" s="3336"/>
      <c r="P8892" s="3337"/>
    </row>
    <row r="8893" spans="7:16" s="1634" customFormat="1">
      <c r="G8893" s="3336"/>
      <c r="P8893" s="3337"/>
    </row>
    <row r="8894" spans="7:16" s="1634" customFormat="1">
      <c r="G8894" s="3336"/>
      <c r="P8894" s="3337"/>
    </row>
    <row r="8895" spans="7:16" s="1634" customFormat="1">
      <c r="G8895" s="3336"/>
      <c r="P8895" s="3337"/>
    </row>
    <row r="8896" spans="7:16" s="1634" customFormat="1">
      <c r="G8896" s="3336"/>
      <c r="P8896" s="3337"/>
    </row>
    <row r="8897" spans="7:16" s="1634" customFormat="1">
      <c r="G8897" s="3336"/>
      <c r="P8897" s="3337"/>
    </row>
    <row r="8898" spans="7:16" s="1634" customFormat="1">
      <c r="G8898" s="3336"/>
      <c r="P8898" s="3337"/>
    </row>
    <row r="8899" spans="7:16" s="1634" customFormat="1">
      <c r="G8899" s="3336"/>
      <c r="P8899" s="3337"/>
    </row>
    <row r="8900" spans="7:16" s="1634" customFormat="1">
      <c r="G8900" s="3336"/>
      <c r="P8900" s="3337"/>
    </row>
    <row r="8901" spans="7:16" s="1634" customFormat="1">
      <c r="G8901" s="3336"/>
      <c r="P8901" s="3337"/>
    </row>
    <row r="8902" spans="7:16" s="1634" customFormat="1">
      <c r="G8902" s="3336"/>
      <c r="P8902" s="3337"/>
    </row>
    <row r="8903" spans="7:16" s="1634" customFormat="1">
      <c r="G8903" s="3336"/>
      <c r="P8903" s="3337"/>
    </row>
    <row r="8904" spans="7:16" s="1634" customFormat="1">
      <c r="G8904" s="3336"/>
      <c r="P8904" s="3337"/>
    </row>
    <row r="8905" spans="7:16" s="1634" customFormat="1">
      <c r="G8905" s="3336"/>
      <c r="P8905" s="3337"/>
    </row>
    <row r="8906" spans="7:16" s="1634" customFormat="1">
      <c r="G8906" s="3336"/>
      <c r="P8906" s="3337"/>
    </row>
    <row r="8907" spans="7:16" s="1634" customFormat="1">
      <c r="G8907" s="3336"/>
      <c r="P8907" s="3337"/>
    </row>
    <row r="8908" spans="7:16" s="1634" customFormat="1">
      <c r="G8908" s="3336"/>
      <c r="P8908" s="3337"/>
    </row>
    <row r="8909" spans="7:16" s="1634" customFormat="1">
      <c r="G8909" s="3336"/>
      <c r="P8909" s="3337"/>
    </row>
    <row r="8910" spans="7:16" s="1634" customFormat="1">
      <c r="G8910" s="3336"/>
      <c r="P8910" s="3337"/>
    </row>
    <row r="8911" spans="7:16" s="1634" customFormat="1">
      <c r="G8911" s="3336"/>
      <c r="P8911" s="3337"/>
    </row>
    <row r="8912" spans="7:16" s="1634" customFormat="1">
      <c r="G8912" s="3336"/>
      <c r="P8912" s="3337"/>
    </row>
    <row r="8913" spans="7:16" s="1634" customFormat="1">
      <c r="G8913" s="3336"/>
      <c r="P8913" s="3337"/>
    </row>
    <row r="8914" spans="7:16" s="1634" customFormat="1">
      <c r="G8914" s="3336"/>
      <c r="P8914" s="3337"/>
    </row>
    <row r="8915" spans="7:16" s="1634" customFormat="1">
      <c r="G8915" s="3336"/>
      <c r="P8915" s="3337"/>
    </row>
    <row r="8916" spans="7:16" s="1634" customFormat="1">
      <c r="G8916" s="3336"/>
      <c r="P8916" s="3337"/>
    </row>
    <row r="8917" spans="7:16" s="1634" customFormat="1">
      <c r="G8917" s="3336"/>
      <c r="P8917" s="3337"/>
    </row>
    <row r="8918" spans="7:16" s="1634" customFormat="1">
      <c r="G8918" s="3336"/>
      <c r="P8918" s="3337"/>
    </row>
    <row r="8919" spans="7:16" s="1634" customFormat="1">
      <c r="G8919" s="3336"/>
      <c r="P8919" s="3337"/>
    </row>
    <row r="8920" spans="7:16" s="1634" customFormat="1">
      <c r="G8920" s="3336"/>
      <c r="P8920" s="3337"/>
    </row>
    <row r="8921" spans="7:16" s="1634" customFormat="1">
      <c r="G8921" s="3336"/>
      <c r="P8921" s="3337"/>
    </row>
    <row r="8922" spans="7:16" s="1634" customFormat="1">
      <c r="G8922" s="3336"/>
      <c r="P8922" s="3337"/>
    </row>
    <row r="8923" spans="7:16" s="1634" customFormat="1">
      <c r="G8923" s="3336"/>
      <c r="P8923" s="3337"/>
    </row>
    <row r="8924" spans="7:16" s="1634" customFormat="1">
      <c r="G8924" s="3336"/>
      <c r="P8924" s="3337"/>
    </row>
    <row r="8925" spans="7:16" s="1634" customFormat="1">
      <c r="G8925" s="3336"/>
      <c r="P8925" s="3337"/>
    </row>
    <row r="8926" spans="7:16" s="1634" customFormat="1">
      <c r="G8926" s="3336"/>
      <c r="P8926" s="3337"/>
    </row>
    <row r="8927" spans="7:16" s="1634" customFormat="1">
      <c r="G8927" s="3336"/>
      <c r="P8927" s="3337"/>
    </row>
    <row r="8928" spans="7:16" s="1634" customFormat="1">
      <c r="G8928" s="3336"/>
      <c r="P8928" s="3337"/>
    </row>
    <row r="8929" spans="7:16" s="1634" customFormat="1">
      <c r="G8929" s="3336"/>
      <c r="P8929" s="3337"/>
    </row>
    <row r="8930" spans="7:16" s="1634" customFormat="1">
      <c r="G8930" s="3336"/>
      <c r="P8930" s="3337"/>
    </row>
    <row r="8931" spans="7:16" s="1634" customFormat="1">
      <c r="G8931" s="3336"/>
      <c r="P8931" s="3337"/>
    </row>
    <row r="8932" spans="7:16" s="1634" customFormat="1">
      <c r="G8932" s="3336"/>
      <c r="P8932" s="3337"/>
    </row>
    <row r="8933" spans="7:16" s="1634" customFormat="1">
      <c r="G8933" s="3336"/>
      <c r="P8933" s="3337"/>
    </row>
    <row r="8934" spans="7:16" s="1634" customFormat="1">
      <c r="G8934" s="3336"/>
      <c r="P8934" s="3337"/>
    </row>
    <row r="8935" spans="7:16" s="1634" customFormat="1">
      <c r="G8935" s="3336"/>
      <c r="P8935" s="3337"/>
    </row>
    <row r="8936" spans="7:16" s="1634" customFormat="1">
      <c r="G8936" s="3336"/>
      <c r="P8936" s="3337"/>
    </row>
    <row r="8937" spans="7:16" s="1634" customFormat="1">
      <c r="G8937" s="3336"/>
      <c r="P8937" s="3337"/>
    </row>
    <row r="8938" spans="7:16" s="1634" customFormat="1">
      <c r="G8938" s="3336"/>
      <c r="P8938" s="3337"/>
    </row>
    <row r="8939" spans="7:16" s="1634" customFormat="1">
      <c r="G8939" s="3336"/>
      <c r="P8939" s="3337"/>
    </row>
    <row r="8940" spans="7:16" s="1634" customFormat="1">
      <c r="G8940" s="3336"/>
      <c r="P8940" s="3337"/>
    </row>
    <row r="8941" spans="7:16" s="1634" customFormat="1">
      <c r="G8941" s="3336"/>
      <c r="P8941" s="3337"/>
    </row>
    <row r="8942" spans="7:16" s="1634" customFormat="1">
      <c r="G8942" s="3336"/>
      <c r="P8942" s="3337"/>
    </row>
    <row r="8943" spans="7:16" s="1634" customFormat="1">
      <c r="G8943" s="3336"/>
      <c r="P8943" s="3337"/>
    </row>
    <row r="8944" spans="7:16" s="1634" customFormat="1">
      <c r="G8944" s="3336"/>
      <c r="P8944" s="3337"/>
    </row>
    <row r="8945" spans="7:16" s="1634" customFormat="1">
      <c r="G8945" s="3336"/>
      <c r="P8945" s="3337"/>
    </row>
    <row r="8946" spans="7:16" s="1634" customFormat="1">
      <c r="G8946" s="3336"/>
      <c r="P8946" s="3337"/>
    </row>
    <row r="8947" spans="7:16" s="1634" customFormat="1">
      <c r="G8947" s="3336"/>
      <c r="P8947" s="3337"/>
    </row>
    <row r="8948" spans="7:16" s="1634" customFormat="1">
      <c r="G8948" s="3336"/>
      <c r="P8948" s="3337"/>
    </row>
    <row r="8949" spans="7:16" s="1634" customFormat="1">
      <c r="G8949" s="3336"/>
      <c r="P8949" s="3337"/>
    </row>
    <row r="8950" spans="7:16" s="1634" customFormat="1">
      <c r="G8950" s="3336"/>
      <c r="P8950" s="3337"/>
    </row>
    <row r="8951" spans="7:16" s="1634" customFormat="1">
      <c r="G8951" s="3336"/>
      <c r="P8951" s="3337"/>
    </row>
    <row r="8952" spans="7:16" s="1634" customFormat="1">
      <c r="G8952" s="3336"/>
      <c r="P8952" s="3337"/>
    </row>
    <row r="8953" spans="7:16" s="1634" customFormat="1">
      <c r="G8953" s="3336"/>
      <c r="P8953" s="3337"/>
    </row>
    <row r="8954" spans="7:16" s="1634" customFormat="1">
      <c r="G8954" s="3336"/>
      <c r="P8954" s="3337"/>
    </row>
    <row r="8955" spans="7:16" s="1634" customFormat="1">
      <c r="G8955" s="3336"/>
      <c r="P8955" s="3337"/>
    </row>
    <row r="8956" spans="7:16" s="1634" customFormat="1">
      <c r="G8956" s="3336"/>
      <c r="P8956" s="3337"/>
    </row>
    <row r="8957" spans="7:16" s="1634" customFormat="1">
      <c r="G8957" s="3336"/>
      <c r="P8957" s="3337"/>
    </row>
    <row r="8958" spans="7:16" s="1634" customFormat="1">
      <c r="G8958" s="3336"/>
      <c r="P8958" s="3337"/>
    </row>
    <row r="8959" spans="7:16" s="1634" customFormat="1">
      <c r="G8959" s="3336"/>
      <c r="P8959" s="3337"/>
    </row>
    <row r="8960" spans="7:16" s="1634" customFormat="1">
      <c r="G8960" s="3336"/>
      <c r="P8960" s="3337"/>
    </row>
    <row r="8961" spans="7:16" s="1634" customFormat="1">
      <c r="G8961" s="3336"/>
      <c r="P8961" s="3337"/>
    </row>
    <row r="8962" spans="7:16" s="1634" customFormat="1">
      <c r="G8962" s="3336"/>
      <c r="P8962" s="3337"/>
    </row>
    <row r="8963" spans="7:16" s="1634" customFormat="1">
      <c r="G8963" s="3336"/>
      <c r="P8963" s="3337"/>
    </row>
    <row r="8964" spans="7:16" s="1634" customFormat="1">
      <c r="G8964" s="3336"/>
      <c r="P8964" s="3337"/>
    </row>
    <row r="8965" spans="7:16" s="1634" customFormat="1">
      <c r="G8965" s="3336"/>
      <c r="P8965" s="3337"/>
    </row>
    <row r="8966" spans="7:16" s="1634" customFormat="1">
      <c r="G8966" s="3336"/>
      <c r="P8966" s="3337"/>
    </row>
    <row r="8967" spans="7:16" s="1634" customFormat="1">
      <c r="G8967" s="3336"/>
      <c r="P8967" s="3337"/>
    </row>
    <row r="8968" spans="7:16" s="1634" customFormat="1">
      <c r="G8968" s="3336"/>
      <c r="P8968" s="3337"/>
    </row>
    <row r="8969" spans="7:16" s="1634" customFormat="1">
      <c r="G8969" s="3336"/>
      <c r="P8969" s="3337"/>
    </row>
    <row r="8970" spans="7:16" s="1634" customFormat="1">
      <c r="G8970" s="3336"/>
      <c r="P8970" s="3337"/>
    </row>
    <row r="8971" spans="7:16" s="1634" customFormat="1">
      <c r="G8971" s="3336"/>
      <c r="P8971" s="3337"/>
    </row>
    <row r="8972" spans="7:16" s="1634" customFormat="1">
      <c r="G8972" s="3336"/>
      <c r="P8972" s="3337"/>
    </row>
    <row r="8973" spans="7:16" s="1634" customFormat="1">
      <c r="G8973" s="3336"/>
      <c r="P8973" s="3337"/>
    </row>
    <row r="8974" spans="7:16" s="1634" customFormat="1">
      <c r="G8974" s="3336"/>
      <c r="P8974" s="3337"/>
    </row>
    <row r="8975" spans="7:16" s="1634" customFormat="1">
      <c r="G8975" s="3336"/>
      <c r="P8975" s="3337"/>
    </row>
    <row r="8976" spans="7:16" s="1634" customFormat="1">
      <c r="G8976" s="3336"/>
      <c r="P8976" s="3337"/>
    </row>
    <row r="8977" spans="7:16" s="1634" customFormat="1">
      <c r="G8977" s="3336"/>
      <c r="P8977" s="3337"/>
    </row>
    <row r="8978" spans="7:16" s="1634" customFormat="1">
      <c r="G8978" s="3336"/>
      <c r="P8978" s="3337"/>
    </row>
    <row r="8979" spans="7:16" s="1634" customFormat="1">
      <c r="G8979" s="3336"/>
      <c r="P8979" s="3337"/>
    </row>
    <row r="8980" spans="7:16" s="1634" customFormat="1">
      <c r="G8980" s="3336"/>
      <c r="P8980" s="3337"/>
    </row>
    <row r="8981" spans="7:16" s="1634" customFormat="1">
      <c r="G8981" s="3336"/>
      <c r="P8981" s="3337"/>
    </row>
    <row r="8982" spans="7:16" s="1634" customFormat="1">
      <c r="G8982" s="3336"/>
      <c r="P8982" s="3337"/>
    </row>
    <row r="8983" spans="7:16" s="1634" customFormat="1">
      <c r="G8983" s="3336"/>
      <c r="P8983" s="3337"/>
    </row>
    <row r="8984" spans="7:16" s="1634" customFormat="1">
      <c r="G8984" s="3336"/>
      <c r="P8984" s="3337"/>
    </row>
    <row r="8985" spans="7:16" s="1634" customFormat="1">
      <c r="G8985" s="3336"/>
      <c r="P8985" s="3337"/>
    </row>
    <row r="8986" spans="7:16" s="1634" customFormat="1">
      <c r="G8986" s="3336"/>
      <c r="P8986" s="3337"/>
    </row>
    <row r="8987" spans="7:16" s="1634" customFormat="1">
      <c r="G8987" s="3336"/>
      <c r="P8987" s="3337"/>
    </row>
    <row r="8988" spans="7:16" s="1634" customFormat="1">
      <c r="G8988" s="3336"/>
      <c r="P8988" s="3337"/>
    </row>
    <row r="8989" spans="7:16" s="1634" customFormat="1">
      <c r="G8989" s="3336"/>
      <c r="P8989" s="3337"/>
    </row>
    <row r="8990" spans="7:16" s="1634" customFormat="1">
      <c r="G8990" s="3336"/>
      <c r="P8990" s="3337"/>
    </row>
    <row r="8991" spans="7:16" s="1634" customFormat="1">
      <c r="G8991" s="3336"/>
      <c r="P8991" s="3337"/>
    </row>
    <row r="8992" spans="7:16" s="1634" customFormat="1">
      <c r="G8992" s="3336"/>
      <c r="P8992" s="3337"/>
    </row>
    <row r="8993" spans="7:16" s="1634" customFormat="1">
      <c r="G8993" s="3336"/>
      <c r="P8993" s="3337"/>
    </row>
    <row r="8994" spans="7:16" s="1634" customFormat="1">
      <c r="G8994" s="3336"/>
      <c r="P8994" s="3337"/>
    </row>
    <row r="8995" spans="7:16" s="1634" customFormat="1">
      <c r="G8995" s="3336"/>
      <c r="P8995" s="3337"/>
    </row>
    <row r="8996" spans="7:16" s="1634" customFormat="1">
      <c r="G8996" s="3336"/>
      <c r="P8996" s="3337"/>
    </row>
    <row r="8997" spans="7:16" s="1634" customFormat="1">
      <c r="G8997" s="3336"/>
      <c r="P8997" s="3337"/>
    </row>
    <row r="8998" spans="7:16" s="1634" customFormat="1">
      <c r="G8998" s="3336"/>
      <c r="P8998" s="3337"/>
    </row>
    <row r="8999" spans="7:16" s="1634" customFormat="1">
      <c r="G8999" s="3336"/>
      <c r="P8999" s="3337"/>
    </row>
    <row r="9000" spans="7:16" s="1634" customFormat="1">
      <c r="G9000" s="3336"/>
      <c r="P9000" s="3337"/>
    </row>
    <row r="9001" spans="7:16" s="1634" customFormat="1">
      <c r="G9001" s="3336"/>
      <c r="P9001" s="3337"/>
    </row>
    <row r="9002" spans="7:16" s="1634" customFormat="1">
      <c r="G9002" s="3336"/>
      <c r="P9002" s="3337"/>
    </row>
    <row r="9003" spans="7:16" s="1634" customFormat="1">
      <c r="G9003" s="3336"/>
      <c r="P9003" s="3337"/>
    </row>
    <row r="9004" spans="7:16" s="1634" customFormat="1">
      <c r="G9004" s="3336"/>
      <c r="P9004" s="3337"/>
    </row>
    <row r="9005" spans="7:16" s="1634" customFormat="1">
      <c r="G9005" s="3336"/>
      <c r="P9005" s="3337"/>
    </row>
    <row r="9006" spans="7:16" s="1634" customFormat="1">
      <c r="G9006" s="3336"/>
      <c r="P9006" s="3337"/>
    </row>
    <row r="9007" spans="7:16" s="1634" customFormat="1">
      <c r="G9007" s="3336"/>
      <c r="P9007" s="3337"/>
    </row>
    <row r="9008" spans="7:16" s="1634" customFormat="1">
      <c r="G9008" s="3336"/>
      <c r="P9008" s="3337"/>
    </row>
    <row r="9009" spans="7:16" s="1634" customFormat="1">
      <c r="G9009" s="3336"/>
      <c r="P9009" s="3337"/>
    </row>
    <row r="9010" spans="7:16" s="1634" customFormat="1">
      <c r="G9010" s="3336"/>
      <c r="P9010" s="3337"/>
    </row>
    <row r="9011" spans="7:16" s="1634" customFormat="1">
      <c r="G9011" s="3336"/>
      <c r="P9011" s="3337"/>
    </row>
    <row r="9012" spans="7:16" s="1634" customFormat="1">
      <c r="G9012" s="3336"/>
      <c r="P9012" s="3337"/>
    </row>
    <row r="9013" spans="7:16" s="1634" customFormat="1">
      <c r="G9013" s="3336"/>
      <c r="P9013" s="3337"/>
    </row>
    <row r="9014" spans="7:16" s="1634" customFormat="1">
      <c r="G9014" s="3336"/>
      <c r="P9014" s="3337"/>
    </row>
    <row r="9015" spans="7:16" s="1634" customFormat="1">
      <c r="G9015" s="3336"/>
      <c r="P9015" s="3337"/>
    </row>
    <row r="9016" spans="7:16" s="1634" customFormat="1">
      <c r="G9016" s="3336"/>
      <c r="P9016" s="3337"/>
    </row>
    <row r="9017" spans="7:16" s="1634" customFormat="1">
      <c r="G9017" s="3336"/>
      <c r="P9017" s="3337"/>
    </row>
    <row r="9018" spans="7:16" s="1634" customFormat="1">
      <c r="G9018" s="3336"/>
      <c r="P9018" s="3337"/>
    </row>
    <row r="9019" spans="7:16" s="1634" customFormat="1">
      <c r="G9019" s="3336"/>
      <c r="P9019" s="3337"/>
    </row>
    <row r="9020" spans="7:16" s="1634" customFormat="1">
      <c r="G9020" s="3336"/>
      <c r="P9020" s="3337"/>
    </row>
    <row r="9021" spans="7:16" s="1634" customFormat="1">
      <c r="G9021" s="3336"/>
      <c r="P9021" s="3337"/>
    </row>
    <row r="9022" spans="7:16" s="1634" customFormat="1">
      <c r="G9022" s="3336"/>
      <c r="P9022" s="3337"/>
    </row>
    <row r="9023" spans="7:16" s="1634" customFormat="1">
      <c r="G9023" s="3336"/>
      <c r="P9023" s="3337"/>
    </row>
    <row r="9024" spans="7:16" s="1634" customFormat="1">
      <c r="G9024" s="3336"/>
      <c r="P9024" s="3337"/>
    </row>
    <row r="9025" spans="7:16" s="1634" customFormat="1">
      <c r="G9025" s="3336"/>
      <c r="P9025" s="3337"/>
    </row>
    <row r="9026" spans="7:16" s="1634" customFormat="1">
      <c r="G9026" s="3336"/>
      <c r="P9026" s="3337"/>
    </row>
    <row r="9027" spans="7:16" s="1634" customFormat="1">
      <c r="G9027" s="3336"/>
      <c r="P9027" s="3337"/>
    </row>
    <row r="9028" spans="7:16" s="1634" customFormat="1">
      <c r="G9028" s="3336"/>
      <c r="P9028" s="3337"/>
    </row>
    <row r="9029" spans="7:16" s="1634" customFormat="1">
      <c r="G9029" s="3336"/>
      <c r="P9029" s="3337"/>
    </row>
    <row r="9030" spans="7:16" s="1634" customFormat="1">
      <c r="G9030" s="3336"/>
      <c r="P9030" s="3337"/>
    </row>
    <row r="9031" spans="7:16" s="1634" customFormat="1">
      <c r="G9031" s="3336"/>
      <c r="P9031" s="3337"/>
    </row>
    <row r="9032" spans="7:16" s="1634" customFormat="1">
      <c r="G9032" s="3336"/>
      <c r="P9032" s="3337"/>
    </row>
    <row r="9033" spans="7:16" s="1634" customFormat="1">
      <c r="G9033" s="3336"/>
      <c r="P9033" s="3337"/>
    </row>
    <row r="9034" spans="7:16" s="1634" customFormat="1">
      <c r="G9034" s="3336"/>
      <c r="P9034" s="3337"/>
    </row>
    <row r="9035" spans="7:16" s="1634" customFormat="1">
      <c r="G9035" s="3336"/>
      <c r="P9035" s="3337"/>
    </row>
    <row r="9036" spans="7:16" s="1634" customFormat="1">
      <c r="G9036" s="3336"/>
      <c r="P9036" s="3337"/>
    </row>
    <row r="9037" spans="7:16" s="1634" customFormat="1">
      <c r="G9037" s="3336"/>
      <c r="P9037" s="3337"/>
    </row>
    <row r="9038" spans="7:16" s="1634" customFormat="1">
      <c r="G9038" s="3336"/>
      <c r="P9038" s="3337"/>
    </row>
    <row r="9039" spans="7:16" s="1634" customFormat="1">
      <c r="G9039" s="3336"/>
      <c r="P9039" s="3337"/>
    </row>
    <row r="9040" spans="7:16" s="1634" customFormat="1">
      <c r="G9040" s="3336"/>
      <c r="P9040" s="3337"/>
    </row>
    <row r="9041" spans="7:16" s="1634" customFormat="1">
      <c r="G9041" s="3336"/>
      <c r="P9041" s="3337"/>
    </row>
    <row r="9042" spans="7:16" s="1634" customFormat="1">
      <c r="G9042" s="3336"/>
      <c r="P9042" s="3337"/>
    </row>
    <row r="9043" spans="7:16" s="1634" customFormat="1">
      <c r="G9043" s="3336"/>
      <c r="P9043" s="3337"/>
    </row>
    <row r="9044" spans="7:16" s="1634" customFormat="1">
      <c r="G9044" s="3336"/>
      <c r="P9044" s="3337"/>
    </row>
    <row r="9045" spans="7:16" s="1634" customFormat="1">
      <c r="G9045" s="3336"/>
      <c r="P9045" s="3337"/>
    </row>
    <row r="9046" spans="7:16" s="1634" customFormat="1">
      <c r="G9046" s="3336"/>
      <c r="P9046" s="3337"/>
    </row>
    <row r="9047" spans="7:16" s="1634" customFormat="1">
      <c r="G9047" s="3336"/>
      <c r="P9047" s="3337"/>
    </row>
    <row r="9048" spans="7:16" s="1634" customFormat="1">
      <c r="G9048" s="3336"/>
      <c r="P9048" s="3337"/>
    </row>
    <row r="9049" spans="7:16" s="1634" customFormat="1">
      <c r="G9049" s="3336"/>
      <c r="P9049" s="3337"/>
    </row>
    <row r="9050" spans="7:16" s="1634" customFormat="1">
      <c r="G9050" s="3336"/>
      <c r="P9050" s="3337"/>
    </row>
    <row r="9051" spans="7:16" s="1634" customFormat="1">
      <c r="G9051" s="3336"/>
      <c r="P9051" s="3337"/>
    </row>
    <row r="9052" spans="7:16" s="1634" customFormat="1">
      <c r="G9052" s="3336"/>
      <c r="P9052" s="3337"/>
    </row>
    <row r="9053" spans="7:16" s="1634" customFormat="1">
      <c r="G9053" s="3336"/>
      <c r="P9053" s="3337"/>
    </row>
    <row r="9054" spans="7:16" s="1634" customFormat="1">
      <c r="G9054" s="3336"/>
      <c r="P9054" s="3337"/>
    </row>
    <row r="9055" spans="7:16" s="1634" customFormat="1">
      <c r="G9055" s="3336"/>
      <c r="P9055" s="3337"/>
    </row>
    <row r="9056" spans="7:16" s="1634" customFormat="1">
      <c r="G9056" s="3336"/>
      <c r="P9056" s="3337"/>
    </row>
    <row r="9057" spans="7:16" s="1634" customFormat="1">
      <c r="G9057" s="3336"/>
      <c r="P9057" s="3337"/>
    </row>
    <row r="9058" spans="7:16" s="1634" customFormat="1">
      <c r="G9058" s="3336"/>
      <c r="P9058" s="3337"/>
    </row>
    <row r="9059" spans="7:16" s="1634" customFormat="1">
      <c r="G9059" s="3336"/>
      <c r="P9059" s="3337"/>
    </row>
    <row r="9060" spans="7:16" s="1634" customFormat="1">
      <c r="G9060" s="3336"/>
      <c r="P9060" s="3337"/>
    </row>
    <row r="9061" spans="7:16" s="1634" customFormat="1">
      <c r="G9061" s="3336"/>
      <c r="P9061" s="3337"/>
    </row>
    <row r="9062" spans="7:16" s="1634" customFormat="1">
      <c r="G9062" s="3336"/>
      <c r="P9062" s="3337"/>
    </row>
    <row r="9063" spans="7:16" s="1634" customFormat="1">
      <c r="G9063" s="3336"/>
      <c r="P9063" s="3337"/>
    </row>
    <row r="9064" spans="7:16" s="1634" customFormat="1">
      <c r="G9064" s="3336"/>
      <c r="P9064" s="3337"/>
    </row>
    <row r="9065" spans="7:16" s="1634" customFormat="1">
      <c r="G9065" s="3336"/>
      <c r="P9065" s="3337"/>
    </row>
    <row r="9066" spans="7:16" s="1634" customFormat="1">
      <c r="G9066" s="3336"/>
      <c r="P9066" s="3337"/>
    </row>
    <row r="9067" spans="7:16" s="1634" customFormat="1">
      <c r="G9067" s="3336"/>
      <c r="P9067" s="3337"/>
    </row>
    <row r="9068" spans="7:16" s="1634" customFormat="1">
      <c r="G9068" s="3336"/>
      <c r="P9068" s="3337"/>
    </row>
    <row r="9069" spans="7:16" s="1634" customFormat="1">
      <c r="G9069" s="3336"/>
      <c r="P9069" s="3337"/>
    </row>
    <row r="9070" spans="7:16" s="1634" customFormat="1">
      <c r="G9070" s="3336"/>
      <c r="P9070" s="3337"/>
    </row>
    <row r="9071" spans="7:16" s="1634" customFormat="1">
      <c r="G9071" s="3336"/>
      <c r="P9071" s="3337"/>
    </row>
    <row r="9072" spans="7:16" s="1634" customFormat="1">
      <c r="G9072" s="3336"/>
      <c r="P9072" s="3337"/>
    </row>
    <row r="9073" spans="7:16" s="1634" customFormat="1">
      <c r="G9073" s="3336"/>
      <c r="P9073" s="3337"/>
    </row>
    <row r="9074" spans="7:16" s="1634" customFormat="1">
      <c r="G9074" s="3336"/>
      <c r="P9074" s="3337"/>
    </row>
    <row r="9075" spans="7:16" s="1634" customFormat="1">
      <c r="G9075" s="3336"/>
      <c r="P9075" s="3337"/>
    </row>
    <row r="9076" spans="7:16" s="1634" customFormat="1">
      <c r="G9076" s="3336"/>
      <c r="P9076" s="3337"/>
    </row>
    <row r="9077" spans="7:16" s="1634" customFormat="1">
      <c r="G9077" s="3336"/>
      <c r="P9077" s="3337"/>
    </row>
    <row r="9078" spans="7:16" s="1634" customFormat="1">
      <c r="G9078" s="3336"/>
      <c r="P9078" s="3337"/>
    </row>
    <row r="9079" spans="7:16" s="1634" customFormat="1">
      <c r="G9079" s="3336"/>
      <c r="P9079" s="3337"/>
    </row>
    <row r="9080" spans="7:16" s="1634" customFormat="1">
      <c r="G9080" s="3336"/>
      <c r="P9080" s="3337"/>
    </row>
    <row r="9081" spans="7:16" s="1634" customFormat="1">
      <c r="G9081" s="3336"/>
      <c r="P9081" s="3337"/>
    </row>
    <row r="9082" spans="7:16" s="1634" customFormat="1">
      <c r="G9082" s="3336"/>
      <c r="P9082" s="3337"/>
    </row>
    <row r="9083" spans="7:16" s="1634" customFormat="1">
      <c r="G9083" s="3336"/>
      <c r="P9083" s="3337"/>
    </row>
    <row r="9084" spans="7:16" s="1634" customFormat="1">
      <c r="G9084" s="3336"/>
      <c r="P9084" s="3337"/>
    </row>
    <row r="9085" spans="7:16" s="1634" customFormat="1">
      <c r="G9085" s="3336"/>
      <c r="P9085" s="3337"/>
    </row>
    <row r="9086" spans="7:16" s="1634" customFormat="1">
      <c r="G9086" s="3336"/>
      <c r="P9086" s="3337"/>
    </row>
    <row r="9087" spans="7:16" s="1634" customFormat="1">
      <c r="G9087" s="3336"/>
      <c r="P9087" s="3337"/>
    </row>
    <row r="9088" spans="7:16" s="1634" customFormat="1">
      <c r="G9088" s="3336"/>
      <c r="P9088" s="3337"/>
    </row>
    <row r="9089" spans="7:16" s="1634" customFormat="1">
      <c r="G9089" s="3336"/>
      <c r="P9089" s="3337"/>
    </row>
    <row r="9090" spans="7:16" s="1634" customFormat="1">
      <c r="G9090" s="3336"/>
      <c r="P9090" s="3337"/>
    </row>
    <row r="9091" spans="7:16" s="1634" customFormat="1">
      <c r="G9091" s="3336"/>
      <c r="P9091" s="3337"/>
    </row>
    <row r="9092" spans="7:16" s="1634" customFormat="1">
      <c r="G9092" s="3336"/>
      <c r="P9092" s="3337"/>
    </row>
    <row r="9093" spans="7:16" s="1634" customFormat="1">
      <c r="G9093" s="3336"/>
      <c r="P9093" s="3337"/>
    </row>
    <row r="9094" spans="7:16" s="1634" customFormat="1">
      <c r="G9094" s="3336"/>
      <c r="P9094" s="3337"/>
    </row>
    <row r="9095" spans="7:16" s="1634" customFormat="1">
      <c r="G9095" s="3336"/>
      <c r="P9095" s="3337"/>
    </row>
    <row r="9096" spans="7:16" s="1634" customFormat="1">
      <c r="G9096" s="3336"/>
      <c r="P9096" s="3337"/>
    </row>
    <row r="9097" spans="7:16" s="1634" customFormat="1">
      <c r="G9097" s="3336"/>
      <c r="P9097" s="3337"/>
    </row>
    <row r="9098" spans="7:16" s="1634" customFormat="1">
      <c r="G9098" s="3336"/>
      <c r="P9098" s="3337"/>
    </row>
    <row r="9099" spans="7:16" s="1634" customFormat="1">
      <c r="G9099" s="3336"/>
      <c r="P9099" s="3337"/>
    </row>
    <row r="9100" spans="7:16" s="1634" customFormat="1">
      <c r="G9100" s="3336"/>
      <c r="P9100" s="3337"/>
    </row>
    <row r="9101" spans="7:16" s="1634" customFormat="1">
      <c r="G9101" s="3336"/>
      <c r="P9101" s="3337"/>
    </row>
    <row r="9102" spans="7:16" s="1634" customFormat="1">
      <c r="G9102" s="3336"/>
      <c r="P9102" s="3337"/>
    </row>
    <row r="9103" spans="7:16" s="1634" customFormat="1">
      <c r="G9103" s="3336"/>
      <c r="P9103" s="3337"/>
    </row>
    <row r="9104" spans="7:16" s="1634" customFormat="1">
      <c r="G9104" s="3336"/>
      <c r="P9104" s="3337"/>
    </row>
    <row r="9105" spans="7:16" s="1634" customFormat="1">
      <c r="G9105" s="3336"/>
      <c r="P9105" s="3337"/>
    </row>
    <row r="9106" spans="7:16" s="1634" customFormat="1">
      <c r="G9106" s="3336"/>
      <c r="P9106" s="3337"/>
    </row>
    <row r="9107" spans="7:16" s="1634" customFormat="1">
      <c r="G9107" s="3336"/>
      <c r="P9107" s="3337"/>
    </row>
    <row r="9108" spans="7:16" s="1634" customFormat="1">
      <c r="G9108" s="3336"/>
      <c r="P9108" s="3337"/>
    </row>
    <row r="9109" spans="7:16" s="1634" customFormat="1">
      <c r="G9109" s="3336"/>
      <c r="P9109" s="3337"/>
    </row>
    <row r="9110" spans="7:16" s="1634" customFormat="1">
      <c r="G9110" s="3336"/>
      <c r="P9110" s="3337"/>
    </row>
    <row r="9111" spans="7:16" s="1634" customFormat="1">
      <c r="G9111" s="3336"/>
      <c r="P9111" s="3337"/>
    </row>
    <row r="9112" spans="7:16" s="1634" customFormat="1">
      <c r="G9112" s="3336"/>
      <c r="P9112" s="3337"/>
    </row>
    <row r="9113" spans="7:16" s="1634" customFormat="1">
      <c r="G9113" s="3336"/>
      <c r="P9113" s="3337"/>
    </row>
    <row r="9114" spans="7:16" s="1634" customFormat="1">
      <c r="G9114" s="3336"/>
      <c r="P9114" s="3337"/>
    </row>
    <row r="9115" spans="7:16" s="1634" customFormat="1">
      <c r="G9115" s="3336"/>
      <c r="P9115" s="3337"/>
    </row>
    <row r="9116" spans="7:16" s="1634" customFormat="1">
      <c r="G9116" s="3336"/>
      <c r="P9116" s="3337"/>
    </row>
    <row r="9117" spans="7:16" s="1634" customFormat="1">
      <c r="G9117" s="3336"/>
      <c r="P9117" s="3337"/>
    </row>
    <row r="9118" spans="7:16" s="1634" customFormat="1">
      <c r="G9118" s="3336"/>
      <c r="P9118" s="3337"/>
    </row>
    <row r="9119" spans="7:16" s="1634" customFormat="1">
      <c r="G9119" s="3336"/>
      <c r="P9119" s="3337"/>
    </row>
    <row r="9120" spans="7:16" s="1634" customFormat="1">
      <c r="G9120" s="3336"/>
      <c r="P9120" s="3337"/>
    </row>
    <row r="9121" spans="7:16" s="1634" customFormat="1">
      <c r="G9121" s="3336"/>
      <c r="P9121" s="3337"/>
    </row>
    <row r="9122" spans="7:16" s="1634" customFormat="1">
      <c r="G9122" s="3336"/>
      <c r="P9122" s="3337"/>
    </row>
    <row r="9123" spans="7:16" s="1634" customFormat="1">
      <c r="G9123" s="3336"/>
      <c r="P9123" s="3337"/>
    </row>
    <row r="9124" spans="7:16" s="1634" customFormat="1">
      <c r="G9124" s="3336"/>
      <c r="P9124" s="3337"/>
    </row>
    <row r="9125" spans="7:16" s="1634" customFormat="1">
      <c r="G9125" s="3336"/>
      <c r="P9125" s="3337"/>
    </row>
    <row r="9126" spans="7:16" s="1634" customFormat="1">
      <c r="G9126" s="3336"/>
      <c r="P9126" s="3337"/>
    </row>
    <row r="9127" spans="7:16" s="1634" customFormat="1">
      <c r="G9127" s="3336"/>
      <c r="P9127" s="3337"/>
    </row>
    <row r="9128" spans="7:16" s="1634" customFormat="1">
      <c r="G9128" s="3336"/>
      <c r="P9128" s="3337"/>
    </row>
    <row r="9129" spans="7:16" s="1634" customFormat="1">
      <c r="G9129" s="3336"/>
      <c r="P9129" s="3337"/>
    </row>
    <row r="9130" spans="7:16" s="1634" customFormat="1">
      <c r="G9130" s="3336"/>
      <c r="P9130" s="3337"/>
    </row>
    <row r="9131" spans="7:16" s="1634" customFormat="1">
      <c r="G9131" s="3336"/>
      <c r="P9131" s="3337"/>
    </row>
    <row r="9132" spans="7:16" s="1634" customFormat="1">
      <c r="G9132" s="3336"/>
      <c r="P9132" s="3337"/>
    </row>
    <row r="9133" spans="7:16" s="1634" customFormat="1">
      <c r="G9133" s="3336"/>
      <c r="P9133" s="3337"/>
    </row>
    <row r="9134" spans="7:16" s="1634" customFormat="1">
      <c r="G9134" s="3336"/>
      <c r="P9134" s="3337"/>
    </row>
    <row r="9135" spans="7:16" s="1634" customFormat="1">
      <c r="G9135" s="3336"/>
      <c r="P9135" s="3337"/>
    </row>
    <row r="9136" spans="7:16" s="1634" customFormat="1">
      <c r="G9136" s="3336"/>
      <c r="P9136" s="3337"/>
    </row>
    <row r="9137" spans="7:16" s="1634" customFormat="1">
      <c r="G9137" s="3336"/>
      <c r="P9137" s="3337"/>
    </row>
    <row r="9138" spans="7:16" s="1634" customFormat="1">
      <c r="G9138" s="3336"/>
      <c r="P9138" s="3337"/>
    </row>
    <row r="9139" spans="7:16" s="1634" customFormat="1">
      <c r="G9139" s="3336"/>
      <c r="P9139" s="3337"/>
    </row>
    <row r="9140" spans="7:16" s="1634" customFormat="1">
      <c r="G9140" s="3336"/>
      <c r="P9140" s="3337"/>
    </row>
    <row r="9141" spans="7:16" s="1634" customFormat="1">
      <c r="G9141" s="3336"/>
      <c r="P9141" s="3337"/>
    </row>
    <row r="9142" spans="7:16" s="1634" customFormat="1">
      <c r="G9142" s="3336"/>
      <c r="P9142" s="3337"/>
    </row>
    <row r="9143" spans="7:16" s="1634" customFormat="1">
      <c r="G9143" s="3336"/>
      <c r="P9143" s="3337"/>
    </row>
    <row r="9144" spans="7:16" s="1634" customFormat="1">
      <c r="G9144" s="3336"/>
      <c r="P9144" s="3337"/>
    </row>
    <row r="9145" spans="7:16" s="1634" customFormat="1">
      <c r="G9145" s="3336"/>
      <c r="P9145" s="3337"/>
    </row>
    <row r="9146" spans="7:16" s="1634" customFormat="1">
      <c r="G9146" s="3336"/>
      <c r="P9146" s="3337"/>
    </row>
    <row r="9147" spans="7:16" s="1634" customFormat="1">
      <c r="G9147" s="3336"/>
      <c r="P9147" s="3337"/>
    </row>
    <row r="9148" spans="7:16" s="1634" customFormat="1">
      <c r="G9148" s="3336"/>
      <c r="P9148" s="3337"/>
    </row>
    <row r="9149" spans="7:16" s="1634" customFormat="1">
      <c r="G9149" s="3336"/>
      <c r="P9149" s="3337"/>
    </row>
    <row r="9150" spans="7:16" s="1634" customFormat="1">
      <c r="G9150" s="3336"/>
      <c r="P9150" s="3337"/>
    </row>
    <row r="9151" spans="7:16" s="1634" customFormat="1">
      <c r="G9151" s="3336"/>
      <c r="P9151" s="3337"/>
    </row>
    <row r="9152" spans="7:16" s="1634" customFormat="1">
      <c r="G9152" s="3336"/>
      <c r="P9152" s="3337"/>
    </row>
    <row r="9153" spans="7:16" s="1634" customFormat="1">
      <c r="G9153" s="3336"/>
      <c r="P9153" s="3337"/>
    </row>
    <row r="9154" spans="7:16" s="1634" customFormat="1">
      <c r="G9154" s="3336"/>
      <c r="P9154" s="3337"/>
    </row>
    <row r="9155" spans="7:16" s="1634" customFormat="1">
      <c r="G9155" s="3336"/>
      <c r="P9155" s="3337"/>
    </row>
    <row r="9156" spans="7:16" s="1634" customFormat="1">
      <c r="G9156" s="3336"/>
      <c r="P9156" s="3337"/>
    </row>
    <row r="9157" spans="7:16" s="1634" customFormat="1">
      <c r="G9157" s="3336"/>
      <c r="P9157" s="3337"/>
    </row>
    <row r="9158" spans="7:16" s="1634" customFormat="1">
      <c r="G9158" s="3336"/>
      <c r="P9158" s="3337"/>
    </row>
    <row r="9159" spans="7:16" s="1634" customFormat="1">
      <c r="G9159" s="3336"/>
      <c r="P9159" s="3337"/>
    </row>
    <row r="9160" spans="7:16" s="1634" customFormat="1">
      <c r="G9160" s="3336"/>
      <c r="P9160" s="3337"/>
    </row>
    <row r="9161" spans="7:16" s="1634" customFormat="1">
      <c r="G9161" s="3336"/>
      <c r="P9161" s="3337"/>
    </row>
    <row r="9162" spans="7:16" s="1634" customFormat="1">
      <c r="G9162" s="3336"/>
      <c r="P9162" s="3337"/>
    </row>
    <row r="9163" spans="7:16" s="1634" customFormat="1">
      <c r="G9163" s="3336"/>
      <c r="P9163" s="3337"/>
    </row>
    <row r="9164" spans="7:16" s="1634" customFormat="1">
      <c r="G9164" s="3336"/>
      <c r="P9164" s="3337"/>
    </row>
    <row r="9165" spans="7:16" s="1634" customFormat="1">
      <c r="G9165" s="3336"/>
      <c r="P9165" s="3337"/>
    </row>
    <row r="9166" spans="7:16" s="1634" customFormat="1">
      <c r="G9166" s="3336"/>
      <c r="P9166" s="3337"/>
    </row>
    <row r="9167" spans="7:16" s="1634" customFormat="1">
      <c r="G9167" s="3336"/>
      <c r="P9167" s="3337"/>
    </row>
    <row r="9168" spans="7:16" s="1634" customFormat="1">
      <c r="G9168" s="3336"/>
      <c r="P9168" s="3337"/>
    </row>
    <row r="9169" spans="7:16" s="1634" customFormat="1">
      <c r="G9169" s="3336"/>
      <c r="P9169" s="3337"/>
    </row>
    <row r="9170" spans="7:16" s="1634" customFormat="1">
      <c r="G9170" s="3336"/>
      <c r="P9170" s="3337"/>
    </row>
    <row r="9171" spans="7:16" s="1634" customFormat="1">
      <c r="G9171" s="3336"/>
      <c r="P9171" s="3337"/>
    </row>
    <row r="9172" spans="7:16" s="1634" customFormat="1">
      <c r="G9172" s="3336"/>
      <c r="P9172" s="3337"/>
    </row>
    <row r="9173" spans="7:16" s="1634" customFormat="1">
      <c r="G9173" s="3336"/>
      <c r="P9173" s="3337"/>
    </row>
    <row r="9174" spans="7:16" s="1634" customFormat="1">
      <c r="G9174" s="3336"/>
      <c r="P9174" s="3337"/>
    </row>
    <row r="9175" spans="7:16" s="1634" customFormat="1">
      <c r="G9175" s="3336"/>
      <c r="P9175" s="3337"/>
    </row>
    <row r="9176" spans="7:16" s="1634" customFormat="1">
      <c r="G9176" s="3336"/>
      <c r="P9176" s="3337"/>
    </row>
    <row r="9177" spans="7:16" s="1634" customFormat="1">
      <c r="G9177" s="3336"/>
      <c r="P9177" s="3337"/>
    </row>
    <row r="9178" spans="7:16" s="1634" customFormat="1">
      <c r="G9178" s="3336"/>
      <c r="P9178" s="3337"/>
    </row>
    <row r="9179" spans="7:16" s="1634" customFormat="1">
      <c r="G9179" s="3336"/>
      <c r="P9179" s="3337"/>
    </row>
    <row r="9180" spans="7:16" s="1634" customFormat="1">
      <c r="G9180" s="3336"/>
      <c r="P9180" s="3337"/>
    </row>
    <row r="9181" spans="7:16" s="1634" customFormat="1">
      <c r="G9181" s="3336"/>
      <c r="P9181" s="3337"/>
    </row>
    <row r="9182" spans="7:16" s="1634" customFormat="1">
      <c r="G9182" s="3336"/>
      <c r="P9182" s="3337"/>
    </row>
    <row r="9183" spans="7:16" s="1634" customFormat="1">
      <c r="G9183" s="3336"/>
      <c r="P9183" s="3337"/>
    </row>
    <row r="9184" spans="7:16" s="1634" customFormat="1">
      <c r="G9184" s="3336"/>
      <c r="P9184" s="3337"/>
    </row>
    <row r="9185" spans="7:16" s="1634" customFormat="1">
      <c r="G9185" s="3336"/>
      <c r="P9185" s="3337"/>
    </row>
    <row r="9186" spans="7:16" s="1634" customFormat="1">
      <c r="G9186" s="3336"/>
      <c r="P9186" s="3337"/>
    </row>
    <row r="9187" spans="7:16" s="1634" customFormat="1">
      <c r="G9187" s="3336"/>
      <c r="P9187" s="3337"/>
    </row>
    <row r="9188" spans="7:16" s="1634" customFormat="1">
      <c r="G9188" s="3336"/>
      <c r="P9188" s="3337"/>
    </row>
    <row r="9189" spans="7:16" s="1634" customFormat="1">
      <c r="G9189" s="3336"/>
      <c r="P9189" s="3337"/>
    </row>
    <row r="9190" spans="7:16" s="1634" customFormat="1">
      <c r="G9190" s="3336"/>
      <c r="P9190" s="3337"/>
    </row>
    <row r="9191" spans="7:16" s="1634" customFormat="1">
      <c r="G9191" s="3336"/>
      <c r="P9191" s="3337"/>
    </row>
    <row r="9192" spans="7:16" s="1634" customFormat="1">
      <c r="G9192" s="3336"/>
      <c r="P9192" s="3337"/>
    </row>
    <row r="9193" spans="7:16" s="1634" customFormat="1">
      <c r="G9193" s="3336"/>
      <c r="P9193" s="3337"/>
    </row>
    <row r="9194" spans="7:16" s="1634" customFormat="1">
      <c r="G9194" s="3336"/>
      <c r="P9194" s="3337"/>
    </row>
    <row r="9195" spans="7:16" s="1634" customFormat="1">
      <c r="G9195" s="3336"/>
      <c r="P9195" s="3337"/>
    </row>
    <row r="9196" spans="7:16" s="1634" customFormat="1">
      <c r="G9196" s="3336"/>
      <c r="P9196" s="3337"/>
    </row>
    <row r="9197" spans="7:16" s="1634" customFormat="1">
      <c r="G9197" s="3336"/>
      <c r="P9197" s="3337"/>
    </row>
    <row r="9198" spans="7:16" s="1634" customFormat="1">
      <c r="G9198" s="3336"/>
      <c r="P9198" s="3337"/>
    </row>
    <row r="9199" spans="7:16" s="1634" customFormat="1">
      <c r="G9199" s="3336"/>
      <c r="P9199" s="3337"/>
    </row>
    <row r="9200" spans="7:16" s="1634" customFormat="1">
      <c r="G9200" s="3336"/>
      <c r="P9200" s="3337"/>
    </row>
    <row r="9201" spans="7:16" s="1634" customFormat="1">
      <c r="G9201" s="3336"/>
      <c r="P9201" s="3337"/>
    </row>
    <row r="9202" spans="7:16" s="1634" customFormat="1">
      <c r="G9202" s="3336"/>
      <c r="P9202" s="3337"/>
    </row>
    <row r="9203" spans="7:16" s="1634" customFormat="1">
      <c r="G9203" s="3336"/>
      <c r="P9203" s="3337"/>
    </row>
    <row r="9204" spans="7:16" s="1634" customFormat="1">
      <c r="G9204" s="3336"/>
      <c r="P9204" s="3337"/>
    </row>
    <row r="9205" spans="7:16" s="1634" customFormat="1">
      <c r="G9205" s="3336"/>
      <c r="P9205" s="3337"/>
    </row>
    <row r="9206" spans="7:16" s="1634" customFormat="1">
      <c r="G9206" s="3336"/>
      <c r="P9206" s="3337"/>
    </row>
    <row r="9207" spans="7:16" s="1634" customFormat="1">
      <c r="G9207" s="3336"/>
      <c r="P9207" s="3337"/>
    </row>
    <row r="9208" spans="7:16" s="1634" customFormat="1">
      <c r="G9208" s="3336"/>
      <c r="P9208" s="3337"/>
    </row>
    <row r="9209" spans="7:16" s="1634" customFormat="1">
      <c r="G9209" s="3336"/>
      <c r="P9209" s="3337"/>
    </row>
    <row r="9210" spans="7:16" s="1634" customFormat="1">
      <c r="G9210" s="3336"/>
      <c r="P9210" s="3337"/>
    </row>
    <row r="9211" spans="7:16" s="1634" customFormat="1">
      <c r="G9211" s="3336"/>
      <c r="P9211" s="3337"/>
    </row>
    <row r="9212" spans="7:16" s="1634" customFormat="1">
      <c r="G9212" s="3336"/>
      <c r="P9212" s="3337"/>
    </row>
    <row r="9213" spans="7:16" s="1634" customFormat="1">
      <c r="G9213" s="3336"/>
      <c r="P9213" s="3337"/>
    </row>
    <row r="9214" spans="7:16" s="1634" customFormat="1">
      <c r="G9214" s="3336"/>
      <c r="P9214" s="3337"/>
    </row>
    <row r="9215" spans="7:16" s="1634" customFormat="1">
      <c r="G9215" s="3336"/>
      <c r="P9215" s="3337"/>
    </row>
    <row r="9216" spans="7:16" s="1634" customFormat="1">
      <c r="G9216" s="3336"/>
      <c r="P9216" s="3337"/>
    </row>
    <row r="9217" spans="7:16" s="1634" customFormat="1">
      <c r="G9217" s="3336"/>
      <c r="P9217" s="3337"/>
    </row>
    <row r="9218" spans="7:16" s="1634" customFormat="1">
      <c r="G9218" s="3336"/>
      <c r="P9218" s="3337"/>
    </row>
    <row r="9219" spans="7:16" s="1634" customFormat="1">
      <c r="G9219" s="3336"/>
      <c r="P9219" s="3337"/>
    </row>
    <row r="9220" spans="7:16" s="1634" customFormat="1">
      <c r="G9220" s="3336"/>
      <c r="P9220" s="3337"/>
    </row>
    <row r="9221" spans="7:16" s="1634" customFormat="1">
      <c r="G9221" s="3336"/>
      <c r="P9221" s="3337"/>
    </row>
    <row r="9222" spans="7:16" s="1634" customFormat="1">
      <c r="G9222" s="3336"/>
      <c r="P9222" s="3337"/>
    </row>
    <row r="9223" spans="7:16" s="1634" customFormat="1">
      <c r="G9223" s="3336"/>
      <c r="P9223" s="3337"/>
    </row>
    <row r="9224" spans="7:16" s="1634" customFormat="1">
      <c r="G9224" s="3336"/>
      <c r="P9224" s="3337"/>
    </row>
    <row r="9225" spans="7:16" s="1634" customFormat="1">
      <c r="G9225" s="3336"/>
      <c r="P9225" s="3337"/>
    </row>
    <row r="9226" spans="7:16" s="1634" customFormat="1">
      <c r="G9226" s="3336"/>
      <c r="P9226" s="3337"/>
    </row>
    <row r="9227" spans="7:16" s="1634" customFormat="1">
      <c r="G9227" s="3336"/>
      <c r="P9227" s="3337"/>
    </row>
    <row r="9228" spans="7:16" s="1634" customFormat="1">
      <c r="G9228" s="3336"/>
      <c r="P9228" s="3337"/>
    </row>
    <row r="9229" spans="7:16" s="1634" customFormat="1">
      <c r="G9229" s="3336"/>
      <c r="P9229" s="3337"/>
    </row>
    <row r="9230" spans="7:16" s="1634" customFormat="1">
      <c r="G9230" s="3336"/>
      <c r="P9230" s="3337"/>
    </row>
    <row r="9231" spans="7:16" s="1634" customFormat="1">
      <c r="G9231" s="3336"/>
      <c r="P9231" s="3337"/>
    </row>
    <row r="9232" spans="7:16" s="1634" customFormat="1">
      <c r="G9232" s="3336"/>
      <c r="P9232" s="3337"/>
    </row>
    <row r="9233" spans="7:16" s="1634" customFormat="1">
      <c r="G9233" s="3336"/>
      <c r="P9233" s="3337"/>
    </row>
    <row r="9234" spans="7:16" s="1634" customFormat="1">
      <c r="G9234" s="3336"/>
      <c r="P9234" s="3337"/>
    </row>
    <row r="9235" spans="7:16" s="1634" customFormat="1">
      <c r="G9235" s="3336"/>
      <c r="P9235" s="3337"/>
    </row>
    <row r="9236" spans="7:16" s="1634" customFormat="1">
      <c r="G9236" s="3336"/>
      <c r="P9236" s="3337"/>
    </row>
    <row r="9237" spans="7:16" s="1634" customFormat="1">
      <c r="G9237" s="3336"/>
      <c r="P9237" s="3337"/>
    </row>
    <row r="9238" spans="7:16" s="1634" customFormat="1">
      <c r="G9238" s="3336"/>
      <c r="P9238" s="3337"/>
    </row>
    <row r="9239" spans="7:16" s="1634" customFormat="1">
      <c r="G9239" s="3336"/>
      <c r="P9239" s="3337"/>
    </row>
    <row r="9240" spans="7:16" s="1634" customFormat="1">
      <c r="G9240" s="3336"/>
      <c r="P9240" s="3337"/>
    </row>
    <row r="9241" spans="7:16" s="1634" customFormat="1">
      <c r="G9241" s="3336"/>
      <c r="P9241" s="3337"/>
    </row>
    <row r="9242" spans="7:16" s="1634" customFormat="1">
      <c r="G9242" s="3336"/>
      <c r="P9242" s="3337"/>
    </row>
    <row r="9243" spans="7:16" s="1634" customFormat="1">
      <c r="G9243" s="3336"/>
      <c r="P9243" s="3337"/>
    </row>
    <row r="9244" spans="7:16" s="1634" customFormat="1">
      <c r="G9244" s="3336"/>
      <c r="P9244" s="3337"/>
    </row>
    <row r="9245" spans="7:16" s="1634" customFormat="1">
      <c r="G9245" s="3336"/>
      <c r="P9245" s="3337"/>
    </row>
    <row r="9246" spans="7:16" s="1634" customFormat="1">
      <c r="G9246" s="3336"/>
      <c r="P9246" s="3337"/>
    </row>
    <row r="9247" spans="7:16" s="1634" customFormat="1">
      <c r="G9247" s="3336"/>
      <c r="P9247" s="3337"/>
    </row>
    <row r="9248" spans="7:16" s="1634" customFormat="1">
      <c r="G9248" s="3336"/>
      <c r="P9248" s="3337"/>
    </row>
    <row r="9249" spans="7:16" s="1634" customFormat="1">
      <c r="G9249" s="3336"/>
      <c r="P9249" s="3337"/>
    </row>
    <row r="9250" spans="7:16" s="1634" customFormat="1">
      <c r="G9250" s="3336"/>
      <c r="P9250" s="3337"/>
    </row>
    <row r="9251" spans="7:16" s="1634" customFormat="1">
      <c r="G9251" s="3336"/>
      <c r="P9251" s="3337"/>
    </row>
    <row r="9252" spans="7:16" s="1634" customFormat="1">
      <c r="G9252" s="3336"/>
      <c r="P9252" s="3337"/>
    </row>
    <row r="9253" spans="7:16" s="1634" customFormat="1">
      <c r="G9253" s="3336"/>
      <c r="P9253" s="3337"/>
    </row>
    <row r="9254" spans="7:16" s="1634" customFormat="1">
      <c r="G9254" s="3336"/>
      <c r="P9254" s="3337"/>
    </row>
    <row r="9255" spans="7:16" s="1634" customFormat="1">
      <c r="G9255" s="3336"/>
      <c r="P9255" s="3337"/>
    </row>
    <row r="9256" spans="7:16" s="1634" customFormat="1">
      <c r="G9256" s="3336"/>
      <c r="P9256" s="3337"/>
    </row>
    <row r="9257" spans="7:16" s="1634" customFormat="1">
      <c r="G9257" s="3336"/>
      <c r="P9257" s="3337"/>
    </row>
    <row r="9258" spans="7:16" s="1634" customFormat="1">
      <c r="G9258" s="3336"/>
      <c r="P9258" s="3337"/>
    </row>
    <row r="9259" spans="7:16" s="1634" customFormat="1">
      <c r="G9259" s="3336"/>
      <c r="P9259" s="3337"/>
    </row>
    <row r="9260" spans="7:16" s="1634" customFormat="1">
      <c r="G9260" s="3336"/>
      <c r="P9260" s="3337"/>
    </row>
    <row r="9261" spans="7:16" s="1634" customFormat="1">
      <c r="G9261" s="3336"/>
      <c r="P9261" s="3337"/>
    </row>
    <row r="9262" spans="7:16" s="1634" customFormat="1">
      <c r="G9262" s="3336"/>
      <c r="P9262" s="3337"/>
    </row>
    <row r="9263" spans="7:16" s="1634" customFormat="1">
      <c r="G9263" s="3336"/>
      <c r="P9263" s="3337"/>
    </row>
    <row r="9264" spans="7:16" s="1634" customFormat="1">
      <c r="G9264" s="3336"/>
      <c r="P9264" s="3337"/>
    </row>
    <row r="9265" spans="7:16" s="1634" customFormat="1">
      <c r="G9265" s="3336"/>
      <c r="P9265" s="3337"/>
    </row>
    <row r="9266" spans="7:16" s="1634" customFormat="1">
      <c r="G9266" s="3336"/>
      <c r="P9266" s="3337"/>
    </row>
    <row r="9267" spans="7:16" s="1634" customFormat="1">
      <c r="G9267" s="3336"/>
      <c r="P9267" s="3337"/>
    </row>
    <row r="9268" spans="7:16" s="1634" customFormat="1">
      <c r="G9268" s="3336"/>
      <c r="P9268" s="3337"/>
    </row>
    <row r="9269" spans="7:16" s="1634" customFormat="1">
      <c r="G9269" s="3336"/>
      <c r="P9269" s="3337"/>
    </row>
    <row r="9270" spans="7:16" s="1634" customFormat="1">
      <c r="G9270" s="3336"/>
      <c r="P9270" s="3337"/>
    </row>
    <row r="9271" spans="7:16" s="1634" customFormat="1">
      <c r="G9271" s="3336"/>
      <c r="P9271" s="3337"/>
    </row>
    <row r="9272" spans="7:16" s="1634" customFormat="1">
      <c r="G9272" s="3336"/>
      <c r="P9272" s="3337"/>
    </row>
    <row r="9273" spans="7:16" s="1634" customFormat="1">
      <c r="G9273" s="3336"/>
      <c r="P9273" s="3337"/>
    </row>
    <row r="9274" spans="7:16" s="1634" customFormat="1">
      <c r="G9274" s="3336"/>
      <c r="P9274" s="3337"/>
    </row>
    <row r="9275" spans="7:16" s="1634" customFormat="1">
      <c r="G9275" s="3336"/>
      <c r="P9275" s="3337"/>
    </row>
    <row r="9276" spans="7:16" s="1634" customFormat="1">
      <c r="G9276" s="3336"/>
      <c r="P9276" s="3337"/>
    </row>
    <row r="9277" spans="7:16" s="1634" customFormat="1">
      <c r="G9277" s="3336"/>
      <c r="P9277" s="3337"/>
    </row>
    <row r="9278" spans="7:16" s="1634" customFormat="1">
      <c r="G9278" s="3336"/>
      <c r="P9278" s="3337"/>
    </row>
    <row r="9279" spans="7:16" s="1634" customFormat="1">
      <c r="G9279" s="3336"/>
      <c r="P9279" s="3337"/>
    </row>
    <row r="9280" spans="7:16" s="1634" customFormat="1">
      <c r="G9280" s="3336"/>
      <c r="P9280" s="3337"/>
    </row>
    <row r="9281" spans="7:16" s="1634" customFormat="1">
      <c r="G9281" s="3336"/>
      <c r="P9281" s="3337"/>
    </row>
    <row r="9282" spans="7:16" s="1634" customFormat="1">
      <c r="G9282" s="3336"/>
      <c r="P9282" s="3337"/>
    </row>
    <row r="9283" spans="7:16" s="1634" customFormat="1">
      <c r="G9283" s="3336"/>
      <c r="P9283" s="3337"/>
    </row>
    <row r="9284" spans="7:16" s="1634" customFormat="1">
      <c r="G9284" s="3336"/>
      <c r="P9284" s="3337"/>
    </row>
    <row r="9285" spans="7:16" s="1634" customFormat="1">
      <c r="G9285" s="3336"/>
      <c r="P9285" s="3337"/>
    </row>
    <row r="9286" spans="7:16" s="1634" customFormat="1">
      <c r="G9286" s="3336"/>
      <c r="P9286" s="3337"/>
    </row>
    <row r="9287" spans="7:16" s="1634" customFormat="1">
      <c r="G9287" s="3336"/>
      <c r="P9287" s="3337"/>
    </row>
    <row r="9288" spans="7:16" s="1634" customFormat="1">
      <c r="G9288" s="3336"/>
      <c r="P9288" s="3337"/>
    </row>
    <row r="9289" spans="7:16" s="1634" customFormat="1">
      <c r="G9289" s="3336"/>
      <c r="P9289" s="3337"/>
    </row>
    <row r="9290" spans="7:16" s="1634" customFormat="1">
      <c r="G9290" s="3336"/>
      <c r="P9290" s="3337"/>
    </row>
    <row r="9291" spans="7:16" s="1634" customFormat="1">
      <c r="G9291" s="3336"/>
      <c r="P9291" s="3337"/>
    </row>
    <row r="9292" spans="7:16" s="1634" customFormat="1">
      <c r="G9292" s="3336"/>
      <c r="P9292" s="3337"/>
    </row>
    <row r="9293" spans="7:16" s="1634" customFormat="1">
      <c r="G9293" s="3336"/>
      <c r="P9293" s="3337"/>
    </row>
    <row r="9294" spans="7:16" s="1634" customFormat="1">
      <c r="G9294" s="3336"/>
      <c r="P9294" s="3337"/>
    </row>
    <row r="9295" spans="7:16" s="1634" customFormat="1">
      <c r="G9295" s="3336"/>
      <c r="P9295" s="3337"/>
    </row>
    <row r="9296" spans="7:16" s="1634" customFormat="1">
      <c r="G9296" s="3336"/>
      <c r="P9296" s="3337"/>
    </row>
    <row r="9297" spans="7:16" s="1634" customFormat="1">
      <c r="G9297" s="3336"/>
      <c r="P9297" s="3337"/>
    </row>
    <row r="9298" spans="7:16" s="1634" customFormat="1">
      <c r="G9298" s="3336"/>
      <c r="P9298" s="3337"/>
    </row>
    <row r="9299" spans="7:16" s="1634" customFormat="1">
      <c r="G9299" s="3336"/>
      <c r="P9299" s="3337"/>
    </row>
    <row r="9300" spans="7:16" s="1634" customFormat="1">
      <c r="G9300" s="3336"/>
      <c r="P9300" s="3337"/>
    </row>
    <row r="9301" spans="7:16" s="1634" customFormat="1">
      <c r="G9301" s="3336"/>
      <c r="P9301" s="3337"/>
    </row>
    <row r="9302" spans="7:16" s="1634" customFormat="1">
      <c r="G9302" s="3336"/>
      <c r="P9302" s="3337"/>
    </row>
    <row r="9303" spans="7:16" s="1634" customFormat="1">
      <c r="G9303" s="3336"/>
      <c r="P9303" s="3337"/>
    </row>
    <row r="9304" spans="7:16" s="1634" customFormat="1">
      <c r="G9304" s="3336"/>
      <c r="P9304" s="3337"/>
    </row>
    <row r="9305" spans="7:16" s="1634" customFormat="1">
      <c r="G9305" s="3336"/>
      <c r="P9305" s="3337"/>
    </row>
    <row r="9306" spans="7:16" s="1634" customFormat="1">
      <c r="G9306" s="3336"/>
      <c r="P9306" s="3337"/>
    </row>
    <row r="9307" spans="7:16" s="1634" customFormat="1">
      <c r="G9307" s="3336"/>
      <c r="P9307" s="3337"/>
    </row>
    <row r="9308" spans="7:16" s="1634" customFormat="1">
      <c r="G9308" s="3336"/>
      <c r="P9308" s="3337"/>
    </row>
    <row r="9309" spans="7:16" s="1634" customFormat="1">
      <c r="G9309" s="3336"/>
      <c r="P9309" s="3337"/>
    </row>
    <row r="9310" spans="7:16" s="1634" customFormat="1">
      <c r="G9310" s="3336"/>
      <c r="P9310" s="3337"/>
    </row>
    <row r="9311" spans="7:16" s="1634" customFormat="1">
      <c r="G9311" s="3336"/>
      <c r="P9311" s="3337"/>
    </row>
    <row r="9312" spans="7:16" s="1634" customFormat="1">
      <c r="G9312" s="3336"/>
      <c r="P9312" s="3337"/>
    </row>
    <row r="9313" spans="7:16" s="1634" customFormat="1">
      <c r="G9313" s="3336"/>
      <c r="P9313" s="3337"/>
    </row>
    <row r="9314" spans="7:16" s="1634" customFormat="1">
      <c r="G9314" s="3336"/>
      <c r="P9314" s="3337"/>
    </row>
    <row r="9315" spans="7:16" s="1634" customFormat="1">
      <c r="G9315" s="3336"/>
      <c r="P9315" s="3337"/>
    </row>
    <row r="9316" spans="7:16" s="1634" customFormat="1">
      <c r="G9316" s="3336"/>
      <c r="P9316" s="3337"/>
    </row>
    <row r="9317" spans="7:16" s="1634" customFormat="1">
      <c r="G9317" s="3336"/>
      <c r="P9317" s="3337"/>
    </row>
    <row r="9318" spans="7:16" s="1634" customFormat="1">
      <c r="G9318" s="3336"/>
      <c r="P9318" s="3337"/>
    </row>
    <row r="9319" spans="7:16" s="1634" customFormat="1">
      <c r="G9319" s="3336"/>
      <c r="P9319" s="3337"/>
    </row>
    <row r="9320" spans="7:16" s="1634" customFormat="1">
      <c r="G9320" s="3336"/>
      <c r="P9320" s="3337"/>
    </row>
    <row r="9321" spans="7:16" s="1634" customFormat="1">
      <c r="G9321" s="3336"/>
      <c r="P9321" s="3337"/>
    </row>
    <row r="9322" spans="7:16" s="1634" customFormat="1">
      <c r="G9322" s="3336"/>
      <c r="P9322" s="3337"/>
    </row>
    <row r="9323" spans="7:16" s="1634" customFormat="1">
      <c r="G9323" s="3336"/>
      <c r="P9323" s="3337"/>
    </row>
    <row r="9324" spans="7:16" s="1634" customFormat="1">
      <c r="G9324" s="3336"/>
      <c r="P9324" s="3337"/>
    </row>
    <row r="9325" spans="7:16" s="1634" customFormat="1">
      <c r="G9325" s="3336"/>
      <c r="P9325" s="3337"/>
    </row>
    <row r="9326" spans="7:16" s="1634" customFormat="1">
      <c r="G9326" s="3336"/>
      <c r="P9326" s="3337"/>
    </row>
    <row r="9327" spans="7:16" s="1634" customFormat="1">
      <c r="G9327" s="3336"/>
      <c r="P9327" s="3337"/>
    </row>
    <row r="9328" spans="7:16" s="1634" customFormat="1">
      <c r="G9328" s="3336"/>
      <c r="P9328" s="3337"/>
    </row>
    <row r="9329" spans="7:16" s="1634" customFormat="1">
      <c r="G9329" s="3336"/>
      <c r="P9329" s="3337"/>
    </row>
    <row r="9330" spans="7:16" s="1634" customFormat="1">
      <c r="G9330" s="3336"/>
      <c r="P9330" s="3337"/>
    </row>
    <row r="9331" spans="7:16" s="1634" customFormat="1">
      <c r="G9331" s="3336"/>
      <c r="P9331" s="3337"/>
    </row>
    <row r="9332" spans="7:16" s="1634" customFormat="1">
      <c r="G9332" s="3336"/>
      <c r="P9332" s="3337"/>
    </row>
    <row r="9333" spans="7:16" s="1634" customFormat="1">
      <c r="G9333" s="3336"/>
      <c r="P9333" s="3337"/>
    </row>
    <row r="9334" spans="7:16" s="1634" customFormat="1">
      <c r="G9334" s="3336"/>
      <c r="P9334" s="3337"/>
    </row>
    <row r="9335" spans="7:16" s="1634" customFormat="1">
      <c r="G9335" s="3336"/>
      <c r="P9335" s="3337"/>
    </row>
    <row r="9336" spans="7:16" s="1634" customFormat="1">
      <c r="G9336" s="3336"/>
      <c r="P9336" s="3337"/>
    </row>
    <row r="9337" spans="7:16" s="1634" customFormat="1">
      <c r="G9337" s="3336"/>
      <c r="P9337" s="3337"/>
    </row>
    <row r="9338" spans="7:16" s="1634" customFormat="1">
      <c r="G9338" s="3336"/>
      <c r="P9338" s="3337"/>
    </row>
    <row r="9339" spans="7:16" s="1634" customFormat="1">
      <c r="G9339" s="3336"/>
      <c r="P9339" s="3337"/>
    </row>
    <row r="9340" spans="7:16" s="1634" customFormat="1">
      <c r="G9340" s="3336"/>
      <c r="P9340" s="3337"/>
    </row>
    <row r="9341" spans="7:16" s="1634" customFormat="1">
      <c r="G9341" s="3336"/>
      <c r="P9341" s="3337"/>
    </row>
    <row r="9342" spans="7:16" s="1634" customFormat="1">
      <c r="G9342" s="3336"/>
      <c r="P9342" s="3337"/>
    </row>
    <row r="9343" spans="7:16" s="1634" customFormat="1">
      <c r="G9343" s="3336"/>
      <c r="P9343" s="3337"/>
    </row>
    <row r="9344" spans="7:16" s="1634" customFormat="1">
      <c r="G9344" s="3336"/>
      <c r="P9344" s="3337"/>
    </row>
    <row r="9345" spans="7:16" s="1634" customFormat="1">
      <c r="G9345" s="3336"/>
      <c r="P9345" s="3337"/>
    </row>
    <row r="9346" spans="7:16" s="1634" customFormat="1">
      <c r="G9346" s="3336"/>
      <c r="P9346" s="3337"/>
    </row>
    <row r="9347" spans="7:16" s="1634" customFormat="1">
      <c r="G9347" s="3336"/>
      <c r="P9347" s="3337"/>
    </row>
    <row r="9348" spans="7:16" s="1634" customFormat="1">
      <c r="G9348" s="3336"/>
      <c r="P9348" s="3337"/>
    </row>
    <row r="9349" spans="7:16" s="1634" customFormat="1">
      <c r="G9349" s="3336"/>
      <c r="P9349" s="3337"/>
    </row>
    <row r="9350" spans="7:16" s="1634" customFormat="1">
      <c r="G9350" s="3336"/>
      <c r="P9350" s="3337"/>
    </row>
    <row r="9351" spans="7:16" s="1634" customFormat="1">
      <c r="G9351" s="3336"/>
      <c r="P9351" s="3337"/>
    </row>
    <row r="9352" spans="7:16" s="1634" customFormat="1">
      <c r="G9352" s="3336"/>
      <c r="P9352" s="3337"/>
    </row>
    <row r="9353" spans="7:16" s="1634" customFormat="1">
      <c r="G9353" s="3336"/>
      <c r="P9353" s="3337"/>
    </row>
    <row r="9354" spans="7:16" s="1634" customFormat="1">
      <c r="G9354" s="3336"/>
      <c r="P9354" s="3337"/>
    </row>
    <row r="9355" spans="7:16" s="1634" customFormat="1">
      <c r="G9355" s="3336"/>
      <c r="P9355" s="3337"/>
    </row>
    <row r="9356" spans="7:16" s="1634" customFormat="1">
      <c r="G9356" s="3336"/>
      <c r="P9356" s="3337"/>
    </row>
    <row r="9357" spans="7:16" s="1634" customFormat="1">
      <c r="G9357" s="3336"/>
      <c r="P9357" s="3337"/>
    </row>
    <row r="9358" spans="7:16" s="1634" customFormat="1">
      <c r="G9358" s="3336"/>
      <c r="P9358" s="3337"/>
    </row>
    <row r="9359" spans="7:16" s="1634" customFormat="1">
      <c r="G9359" s="3336"/>
      <c r="P9359" s="3337"/>
    </row>
    <row r="9360" spans="7:16" s="1634" customFormat="1">
      <c r="G9360" s="3336"/>
      <c r="P9360" s="3337"/>
    </row>
    <row r="9361" spans="7:16" s="1634" customFormat="1">
      <c r="G9361" s="3336"/>
      <c r="P9361" s="3337"/>
    </row>
    <row r="9362" spans="7:16" s="1634" customFormat="1">
      <c r="G9362" s="3336"/>
      <c r="P9362" s="3337"/>
    </row>
    <row r="9363" spans="7:16" s="1634" customFormat="1">
      <c r="G9363" s="3336"/>
      <c r="P9363" s="3337"/>
    </row>
    <row r="9364" spans="7:16" s="1634" customFormat="1">
      <c r="G9364" s="3336"/>
      <c r="P9364" s="3337"/>
    </row>
    <row r="9365" spans="7:16" s="1634" customFormat="1">
      <c r="G9365" s="3336"/>
      <c r="P9365" s="3337"/>
    </row>
    <row r="9366" spans="7:16" s="1634" customFormat="1">
      <c r="G9366" s="3336"/>
      <c r="P9366" s="3337"/>
    </row>
    <row r="9367" spans="7:16" s="1634" customFormat="1">
      <c r="G9367" s="3336"/>
      <c r="P9367" s="3337"/>
    </row>
    <row r="9368" spans="7:16" s="1634" customFormat="1">
      <c r="G9368" s="3336"/>
      <c r="P9368" s="3337"/>
    </row>
    <row r="9369" spans="7:16" s="1634" customFormat="1">
      <c r="G9369" s="3336"/>
      <c r="P9369" s="3337"/>
    </row>
    <row r="9370" spans="7:16" s="1634" customFormat="1">
      <c r="G9370" s="3336"/>
      <c r="P9370" s="3337"/>
    </row>
    <row r="9371" spans="7:16" s="1634" customFormat="1">
      <c r="G9371" s="3336"/>
      <c r="P9371" s="3337"/>
    </row>
    <row r="9372" spans="7:16" s="1634" customFormat="1">
      <c r="G9372" s="3336"/>
      <c r="P9372" s="3337"/>
    </row>
    <row r="9373" spans="7:16" s="1634" customFormat="1">
      <c r="G9373" s="3336"/>
      <c r="P9373" s="3337"/>
    </row>
    <row r="9374" spans="7:16" s="1634" customFormat="1">
      <c r="G9374" s="3336"/>
      <c r="P9374" s="3337"/>
    </row>
    <row r="9375" spans="7:16" s="1634" customFormat="1">
      <c r="G9375" s="3336"/>
      <c r="P9375" s="3337"/>
    </row>
    <row r="9376" spans="7:16" s="1634" customFormat="1">
      <c r="G9376" s="3336"/>
      <c r="P9376" s="3337"/>
    </row>
    <row r="9377" spans="7:16" s="1634" customFormat="1">
      <c r="G9377" s="3336"/>
      <c r="P9377" s="3337"/>
    </row>
    <row r="9378" spans="7:16" s="1634" customFormat="1">
      <c r="G9378" s="3336"/>
      <c r="P9378" s="3337"/>
    </row>
    <row r="9379" spans="7:16" s="1634" customFormat="1">
      <c r="G9379" s="3336"/>
      <c r="P9379" s="3337"/>
    </row>
    <row r="9380" spans="7:16" s="1634" customFormat="1">
      <c r="G9380" s="3336"/>
      <c r="P9380" s="3337"/>
    </row>
    <row r="9381" spans="7:16" s="1634" customFormat="1">
      <c r="G9381" s="3336"/>
      <c r="P9381" s="3337"/>
    </row>
    <row r="9382" spans="7:16" s="1634" customFormat="1">
      <c r="G9382" s="3336"/>
      <c r="P9382" s="3337"/>
    </row>
    <row r="9383" spans="7:16" s="1634" customFormat="1">
      <c r="G9383" s="3336"/>
      <c r="P9383" s="3337"/>
    </row>
    <row r="9384" spans="7:16" s="1634" customFormat="1">
      <c r="G9384" s="3336"/>
      <c r="P9384" s="3337"/>
    </row>
    <row r="9385" spans="7:16" s="1634" customFormat="1">
      <c r="G9385" s="3336"/>
      <c r="P9385" s="3337"/>
    </row>
    <row r="9386" spans="7:16" s="1634" customFormat="1">
      <c r="G9386" s="3336"/>
      <c r="P9386" s="3337"/>
    </row>
    <row r="9387" spans="7:16" s="1634" customFormat="1">
      <c r="G9387" s="3336"/>
      <c r="P9387" s="3337"/>
    </row>
    <row r="9388" spans="7:16" s="1634" customFormat="1">
      <c r="G9388" s="3336"/>
      <c r="P9388" s="3337"/>
    </row>
    <row r="9389" spans="7:16" s="1634" customFormat="1">
      <c r="G9389" s="3336"/>
      <c r="P9389" s="3337"/>
    </row>
    <row r="9390" spans="7:16" s="1634" customFormat="1">
      <c r="G9390" s="3336"/>
      <c r="P9390" s="3337"/>
    </row>
    <row r="9391" spans="7:16" s="1634" customFormat="1">
      <c r="G9391" s="3336"/>
      <c r="P9391" s="3337"/>
    </row>
    <row r="9392" spans="7:16" s="1634" customFormat="1">
      <c r="G9392" s="3336"/>
      <c r="P9392" s="3337"/>
    </row>
    <row r="9393" spans="7:16" s="1634" customFormat="1">
      <c r="G9393" s="3336"/>
      <c r="P9393" s="3337"/>
    </row>
    <row r="9394" spans="7:16" s="1634" customFormat="1">
      <c r="G9394" s="3336"/>
      <c r="P9394" s="3337"/>
    </row>
    <row r="9395" spans="7:16" s="1634" customFormat="1">
      <c r="G9395" s="3336"/>
      <c r="P9395" s="3337"/>
    </row>
    <row r="9396" spans="7:16" s="1634" customFormat="1">
      <c r="G9396" s="3336"/>
      <c r="P9396" s="3337"/>
    </row>
    <row r="9397" spans="7:16" s="1634" customFormat="1">
      <c r="G9397" s="3336"/>
      <c r="P9397" s="3337"/>
    </row>
    <row r="9398" spans="7:16" s="1634" customFormat="1">
      <c r="G9398" s="3336"/>
      <c r="P9398" s="3337"/>
    </row>
    <row r="9399" spans="7:16" s="1634" customFormat="1">
      <c r="G9399" s="3336"/>
      <c r="P9399" s="3337"/>
    </row>
    <row r="9400" spans="7:16" s="1634" customFormat="1">
      <c r="G9400" s="3336"/>
      <c r="P9400" s="3337"/>
    </row>
    <row r="9401" spans="7:16" s="1634" customFormat="1">
      <c r="G9401" s="3336"/>
      <c r="P9401" s="3337"/>
    </row>
    <row r="9402" spans="7:16" s="1634" customFormat="1">
      <c r="G9402" s="3336"/>
      <c r="P9402" s="3337"/>
    </row>
    <row r="9403" spans="7:16" s="1634" customFormat="1">
      <c r="G9403" s="3336"/>
      <c r="P9403" s="3337"/>
    </row>
    <row r="9404" spans="7:16" s="1634" customFormat="1">
      <c r="G9404" s="3336"/>
      <c r="P9404" s="3337"/>
    </row>
    <row r="9405" spans="7:16" s="1634" customFormat="1">
      <c r="G9405" s="3336"/>
      <c r="P9405" s="3337"/>
    </row>
    <row r="9406" spans="7:16" s="1634" customFormat="1">
      <c r="G9406" s="3336"/>
      <c r="P9406" s="3337"/>
    </row>
    <row r="9407" spans="7:16" s="1634" customFormat="1">
      <c r="G9407" s="3336"/>
      <c r="P9407" s="3337"/>
    </row>
    <row r="9408" spans="7:16" s="1634" customFormat="1">
      <c r="G9408" s="3336"/>
      <c r="P9408" s="3337"/>
    </row>
    <row r="9409" spans="7:16" s="1634" customFormat="1">
      <c r="G9409" s="3336"/>
      <c r="P9409" s="3337"/>
    </row>
    <row r="9410" spans="7:16" s="1634" customFormat="1">
      <c r="G9410" s="3336"/>
      <c r="P9410" s="3337"/>
    </row>
    <row r="9411" spans="7:16" s="1634" customFormat="1">
      <c r="G9411" s="3336"/>
      <c r="P9411" s="3337"/>
    </row>
    <row r="9412" spans="7:16" s="1634" customFormat="1">
      <c r="G9412" s="3336"/>
      <c r="P9412" s="3337"/>
    </row>
    <row r="9413" spans="7:16" s="1634" customFormat="1">
      <c r="G9413" s="3336"/>
      <c r="P9413" s="3337"/>
    </row>
    <row r="9414" spans="7:16" s="1634" customFormat="1">
      <c r="G9414" s="3336"/>
      <c r="P9414" s="3337"/>
    </row>
    <row r="9415" spans="7:16" s="1634" customFormat="1">
      <c r="G9415" s="3336"/>
      <c r="P9415" s="3337"/>
    </row>
    <row r="9416" spans="7:16" s="1634" customFormat="1">
      <c r="G9416" s="3336"/>
      <c r="P9416" s="3337"/>
    </row>
    <row r="9417" spans="7:16" s="1634" customFormat="1">
      <c r="G9417" s="3336"/>
      <c r="P9417" s="3337"/>
    </row>
    <row r="9418" spans="7:16" s="1634" customFormat="1">
      <c r="G9418" s="3336"/>
      <c r="P9418" s="3337"/>
    </row>
    <row r="9419" spans="7:16" s="1634" customFormat="1">
      <c r="G9419" s="3336"/>
      <c r="P9419" s="3337"/>
    </row>
    <row r="9420" spans="7:16" s="1634" customFormat="1">
      <c r="G9420" s="3336"/>
      <c r="P9420" s="3337"/>
    </row>
    <row r="9421" spans="7:16" s="1634" customFormat="1">
      <c r="G9421" s="3336"/>
      <c r="P9421" s="3337"/>
    </row>
    <row r="9422" spans="7:16" s="1634" customFormat="1">
      <c r="G9422" s="3336"/>
      <c r="P9422" s="3337"/>
    </row>
    <row r="9423" spans="7:16" s="1634" customFormat="1">
      <c r="G9423" s="3336"/>
      <c r="P9423" s="3337"/>
    </row>
    <row r="9424" spans="7:16" s="1634" customFormat="1">
      <c r="G9424" s="3336"/>
      <c r="P9424" s="3337"/>
    </row>
    <row r="9425" spans="7:16" s="1634" customFormat="1">
      <c r="G9425" s="3336"/>
      <c r="P9425" s="3337"/>
    </row>
    <row r="9426" spans="7:16" s="1634" customFormat="1">
      <c r="G9426" s="3336"/>
      <c r="P9426" s="3337"/>
    </row>
    <row r="9427" spans="7:16" s="1634" customFormat="1">
      <c r="G9427" s="3336"/>
      <c r="P9427" s="3337"/>
    </row>
    <row r="9428" spans="7:16" s="1634" customFormat="1">
      <c r="G9428" s="3336"/>
      <c r="P9428" s="3337"/>
    </row>
    <row r="9429" spans="7:16" s="1634" customFormat="1">
      <c r="G9429" s="3336"/>
      <c r="P9429" s="3337"/>
    </row>
    <row r="9430" spans="7:16" s="1634" customFormat="1">
      <c r="G9430" s="3336"/>
      <c r="P9430" s="3337"/>
    </row>
    <row r="9431" spans="7:16" s="1634" customFormat="1">
      <c r="G9431" s="3336"/>
      <c r="P9431" s="3337"/>
    </row>
    <row r="9432" spans="7:16" s="1634" customFormat="1">
      <c r="G9432" s="3336"/>
      <c r="P9432" s="3337"/>
    </row>
    <row r="9433" spans="7:16" s="1634" customFormat="1">
      <c r="G9433" s="3336"/>
      <c r="P9433" s="3337"/>
    </row>
    <row r="9434" spans="7:16" s="1634" customFormat="1">
      <c r="G9434" s="3336"/>
      <c r="P9434" s="3337"/>
    </row>
    <row r="9435" spans="7:16" s="1634" customFormat="1">
      <c r="G9435" s="3336"/>
      <c r="P9435" s="3337"/>
    </row>
    <row r="9436" spans="7:16" s="1634" customFormat="1">
      <c r="G9436" s="3336"/>
      <c r="P9436" s="3337"/>
    </row>
    <row r="9437" spans="7:16" s="1634" customFormat="1">
      <c r="G9437" s="3336"/>
      <c r="P9437" s="3337"/>
    </row>
    <row r="9438" spans="7:16" s="1634" customFormat="1">
      <c r="G9438" s="3336"/>
      <c r="P9438" s="3337"/>
    </row>
    <row r="9439" spans="7:16" s="1634" customFormat="1">
      <c r="G9439" s="3336"/>
      <c r="P9439" s="3337"/>
    </row>
    <row r="9440" spans="7:16" s="1634" customFormat="1">
      <c r="G9440" s="3336"/>
      <c r="P9440" s="3337"/>
    </row>
    <row r="9441" spans="7:16" s="1634" customFormat="1">
      <c r="G9441" s="3336"/>
      <c r="P9441" s="3337"/>
    </row>
    <row r="9442" spans="7:16" s="1634" customFormat="1">
      <c r="G9442" s="3336"/>
      <c r="P9442" s="3337"/>
    </row>
    <row r="9443" spans="7:16" s="1634" customFormat="1">
      <c r="G9443" s="3336"/>
      <c r="P9443" s="3337"/>
    </row>
    <row r="9444" spans="7:16" s="1634" customFormat="1">
      <c r="G9444" s="3336"/>
      <c r="P9444" s="3337"/>
    </row>
    <row r="9445" spans="7:16" s="1634" customFormat="1">
      <c r="G9445" s="3336"/>
      <c r="P9445" s="3337"/>
    </row>
    <row r="9446" spans="7:16" s="1634" customFormat="1">
      <c r="G9446" s="3336"/>
      <c r="P9446" s="3337"/>
    </row>
    <row r="9447" spans="7:16" s="1634" customFormat="1">
      <c r="G9447" s="3336"/>
      <c r="P9447" s="3337"/>
    </row>
    <row r="9448" spans="7:16" s="1634" customFormat="1">
      <c r="G9448" s="3336"/>
      <c r="P9448" s="3337"/>
    </row>
    <row r="9449" spans="7:16" s="1634" customFormat="1">
      <c r="G9449" s="3336"/>
      <c r="P9449" s="3337"/>
    </row>
    <row r="9450" spans="7:16" s="1634" customFormat="1">
      <c r="G9450" s="3336"/>
      <c r="P9450" s="3337"/>
    </row>
    <row r="9451" spans="7:16" s="1634" customFormat="1">
      <c r="G9451" s="3336"/>
      <c r="P9451" s="3337"/>
    </row>
    <row r="9452" spans="7:16" s="1634" customFormat="1">
      <c r="G9452" s="3336"/>
      <c r="P9452" s="3337"/>
    </row>
    <row r="9453" spans="7:16" s="1634" customFormat="1">
      <c r="G9453" s="3336"/>
      <c r="P9453" s="3337"/>
    </row>
    <row r="9454" spans="7:16" s="1634" customFormat="1">
      <c r="G9454" s="3336"/>
      <c r="P9454" s="3337"/>
    </row>
    <row r="9455" spans="7:16" s="1634" customFormat="1">
      <c r="G9455" s="3336"/>
      <c r="P9455" s="3337"/>
    </row>
    <row r="9456" spans="7:16" s="1634" customFormat="1">
      <c r="G9456" s="3336"/>
      <c r="P9456" s="3337"/>
    </row>
    <row r="9457" spans="7:16" s="1634" customFormat="1">
      <c r="G9457" s="3336"/>
      <c r="P9457" s="3337"/>
    </row>
    <row r="9458" spans="7:16" s="1634" customFormat="1">
      <c r="G9458" s="3336"/>
      <c r="P9458" s="3337"/>
    </row>
    <row r="9459" spans="7:16" s="1634" customFormat="1">
      <c r="G9459" s="3336"/>
      <c r="P9459" s="3337"/>
    </row>
    <row r="9460" spans="7:16" s="1634" customFormat="1">
      <c r="G9460" s="3336"/>
      <c r="P9460" s="3337"/>
    </row>
    <row r="9461" spans="7:16" s="1634" customFormat="1">
      <c r="G9461" s="3336"/>
      <c r="P9461" s="3337"/>
    </row>
    <row r="9462" spans="7:16" s="1634" customFormat="1">
      <c r="G9462" s="3336"/>
      <c r="P9462" s="3337"/>
    </row>
    <row r="9463" spans="7:16" s="1634" customFormat="1">
      <c r="G9463" s="3336"/>
      <c r="P9463" s="3337"/>
    </row>
    <row r="9464" spans="7:16" s="1634" customFormat="1">
      <c r="G9464" s="3336"/>
      <c r="P9464" s="3337"/>
    </row>
    <row r="9465" spans="7:16" s="1634" customFormat="1">
      <c r="G9465" s="3336"/>
      <c r="P9465" s="3337"/>
    </row>
    <row r="9466" spans="7:16" s="1634" customFormat="1">
      <c r="G9466" s="3336"/>
      <c r="P9466" s="3337"/>
    </row>
    <row r="9467" spans="7:16" s="1634" customFormat="1">
      <c r="G9467" s="3336"/>
      <c r="P9467" s="3337"/>
    </row>
    <row r="9468" spans="7:16" s="1634" customFormat="1">
      <c r="G9468" s="3336"/>
      <c r="P9468" s="3337"/>
    </row>
    <row r="9469" spans="7:16" s="1634" customFormat="1">
      <c r="G9469" s="3336"/>
      <c r="P9469" s="3337"/>
    </row>
    <row r="9470" spans="7:16" s="1634" customFormat="1">
      <c r="G9470" s="3336"/>
      <c r="P9470" s="3337"/>
    </row>
    <row r="9471" spans="7:16" s="1634" customFormat="1">
      <c r="G9471" s="3336"/>
      <c r="P9471" s="3337"/>
    </row>
    <row r="9472" spans="7:16" s="1634" customFormat="1">
      <c r="G9472" s="3336"/>
      <c r="P9472" s="3337"/>
    </row>
    <row r="9473" spans="7:16" s="1634" customFormat="1">
      <c r="G9473" s="3336"/>
      <c r="P9473" s="3337"/>
    </row>
    <row r="9474" spans="7:16" s="1634" customFormat="1">
      <c r="G9474" s="3336"/>
      <c r="P9474" s="3337"/>
    </row>
    <row r="9475" spans="7:16" s="1634" customFormat="1">
      <c r="G9475" s="3336"/>
      <c r="P9475" s="3337"/>
    </row>
    <row r="9476" spans="7:16" s="1634" customFormat="1">
      <c r="G9476" s="3336"/>
      <c r="P9476" s="3337"/>
    </row>
    <row r="9477" spans="7:16" s="1634" customFormat="1">
      <c r="G9477" s="3336"/>
      <c r="P9477" s="3337"/>
    </row>
    <row r="9478" spans="7:16" s="1634" customFormat="1">
      <c r="G9478" s="3336"/>
      <c r="P9478" s="3337"/>
    </row>
    <row r="9479" spans="7:16" s="1634" customFormat="1">
      <c r="G9479" s="3336"/>
      <c r="P9479" s="3337"/>
    </row>
    <row r="9480" spans="7:16" s="1634" customFormat="1">
      <c r="G9480" s="3336"/>
      <c r="P9480" s="3337"/>
    </row>
    <row r="9481" spans="7:16" s="1634" customFormat="1">
      <c r="G9481" s="3336"/>
      <c r="P9481" s="3337"/>
    </row>
    <row r="9482" spans="7:16" s="1634" customFormat="1">
      <c r="G9482" s="3336"/>
      <c r="P9482" s="3337"/>
    </row>
    <row r="9483" spans="7:16" s="1634" customFormat="1">
      <c r="G9483" s="3336"/>
      <c r="P9483" s="3337"/>
    </row>
    <row r="9484" spans="7:16" s="1634" customFormat="1">
      <c r="G9484" s="3336"/>
      <c r="P9484" s="3337"/>
    </row>
    <row r="9485" spans="7:16" s="1634" customFormat="1">
      <c r="G9485" s="3336"/>
      <c r="P9485" s="3337"/>
    </row>
    <row r="9486" spans="7:16" s="1634" customFormat="1">
      <c r="G9486" s="3336"/>
      <c r="P9486" s="3337"/>
    </row>
    <row r="9487" spans="7:16" s="1634" customFormat="1">
      <c r="G9487" s="3336"/>
      <c r="P9487" s="3337"/>
    </row>
    <row r="9488" spans="7:16" s="1634" customFormat="1">
      <c r="G9488" s="3336"/>
      <c r="P9488" s="3337"/>
    </row>
    <row r="9489" spans="7:16" s="1634" customFormat="1">
      <c r="G9489" s="3336"/>
      <c r="P9489" s="3337"/>
    </row>
    <row r="9490" spans="7:16" s="1634" customFormat="1">
      <c r="G9490" s="3336"/>
      <c r="P9490" s="3337"/>
    </row>
    <row r="9491" spans="7:16" s="1634" customFormat="1">
      <c r="G9491" s="3336"/>
      <c r="P9491" s="3337"/>
    </row>
    <row r="9492" spans="7:16" s="1634" customFormat="1">
      <c r="G9492" s="3336"/>
      <c r="P9492" s="3337"/>
    </row>
    <row r="9493" spans="7:16" s="1634" customFormat="1">
      <c r="G9493" s="3336"/>
      <c r="P9493" s="3337"/>
    </row>
    <row r="9494" spans="7:16" s="1634" customFormat="1">
      <c r="G9494" s="3336"/>
      <c r="P9494" s="3337"/>
    </row>
    <row r="9495" spans="7:16" s="1634" customFormat="1">
      <c r="G9495" s="3336"/>
      <c r="P9495" s="3337"/>
    </row>
    <row r="9496" spans="7:16" s="1634" customFormat="1">
      <c r="G9496" s="3336"/>
      <c r="P9496" s="3337"/>
    </row>
    <row r="9497" spans="7:16" s="1634" customFormat="1">
      <c r="G9497" s="3336"/>
      <c r="P9497" s="3337"/>
    </row>
    <row r="9498" spans="7:16" s="1634" customFormat="1">
      <c r="G9498" s="3336"/>
      <c r="P9498" s="3337"/>
    </row>
    <row r="9499" spans="7:16" s="1634" customFormat="1">
      <c r="G9499" s="3336"/>
      <c r="P9499" s="3337"/>
    </row>
    <row r="9500" spans="7:16" s="1634" customFormat="1">
      <c r="G9500" s="3336"/>
      <c r="P9500" s="3337"/>
    </row>
    <row r="9501" spans="7:16" s="1634" customFormat="1">
      <c r="G9501" s="3336"/>
      <c r="P9501" s="3337"/>
    </row>
    <row r="9502" spans="7:16" s="1634" customFormat="1">
      <c r="G9502" s="3336"/>
      <c r="P9502" s="3337"/>
    </row>
    <row r="9503" spans="7:16" s="1634" customFormat="1">
      <c r="G9503" s="3336"/>
      <c r="P9503" s="3337"/>
    </row>
    <row r="9504" spans="7:16" s="1634" customFormat="1">
      <c r="G9504" s="3336"/>
      <c r="P9504" s="3337"/>
    </row>
    <row r="9505" spans="7:16" s="1634" customFormat="1">
      <c r="G9505" s="3336"/>
      <c r="P9505" s="3337"/>
    </row>
    <row r="9506" spans="7:16" s="1634" customFormat="1">
      <c r="G9506" s="3336"/>
      <c r="P9506" s="3337"/>
    </row>
    <row r="9507" spans="7:16" s="1634" customFormat="1">
      <c r="G9507" s="3336"/>
      <c r="P9507" s="3337"/>
    </row>
    <row r="9508" spans="7:16" s="1634" customFormat="1">
      <c r="G9508" s="3336"/>
      <c r="P9508" s="3337"/>
    </row>
    <row r="9509" spans="7:16" s="1634" customFormat="1">
      <c r="G9509" s="3336"/>
      <c r="P9509" s="3337"/>
    </row>
    <row r="9510" spans="7:16" s="1634" customFormat="1">
      <c r="G9510" s="3336"/>
      <c r="P9510" s="3337"/>
    </row>
    <row r="9511" spans="7:16" s="1634" customFormat="1">
      <c r="G9511" s="3336"/>
      <c r="P9511" s="3337"/>
    </row>
    <row r="9512" spans="7:16" s="1634" customFormat="1">
      <c r="G9512" s="3336"/>
      <c r="P9512" s="3337"/>
    </row>
    <row r="9513" spans="7:16" s="1634" customFormat="1">
      <c r="G9513" s="3336"/>
      <c r="P9513" s="3337"/>
    </row>
    <row r="9514" spans="7:16" s="1634" customFormat="1">
      <c r="G9514" s="3336"/>
      <c r="P9514" s="3337"/>
    </row>
    <row r="9515" spans="7:16" s="1634" customFormat="1">
      <c r="G9515" s="3336"/>
      <c r="P9515" s="3337"/>
    </row>
    <row r="9516" spans="7:16" s="1634" customFormat="1">
      <c r="G9516" s="3336"/>
      <c r="P9516" s="3337"/>
    </row>
    <row r="9517" spans="7:16" s="1634" customFormat="1">
      <c r="G9517" s="3336"/>
      <c r="P9517" s="3337"/>
    </row>
    <row r="9518" spans="7:16" s="1634" customFormat="1">
      <c r="G9518" s="3336"/>
      <c r="P9518" s="3337"/>
    </row>
    <row r="9519" spans="7:16" s="1634" customFormat="1">
      <c r="G9519" s="3336"/>
      <c r="P9519" s="3337"/>
    </row>
    <row r="9520" spans="7:16" s="1634" customFormat="1">
      <c r="G9520" s="3336"/>
      <c r="P9520" s="3337"/>
    </row>
    <row r="9521" spans="7:16" s="1634" customFormat="1">
      <c r="G9521" s="3336"/>
      <c r="P9521" s="3337"/>
    </row>
    <row r="9522" spans="7:16" s="1634" customFormat="1">
      <c r="G9522" s="3336"/>
      <c r="P9522" s="3337"/>
    </row>
    <row r="9523" spans="7:16" s="1634" customFormat="1">
      <c r="G9523" s="3336"/>
      <c r="P9523" s="3337"/>
    </row>
    <row r="9524" spans="7:16" s="1634" customFormat="1">
      <c r="G9524" s="3336"/>
      <c r="P9524" s="3337"/>
    </row>
    <row r="9525" spans="7:16" s="1634" customFormat="1">
      <c r="G9525" s="3336"/>
      <c r="P9525" s="3337"/>
    </row>
    <row r="9526" spans="7:16" s="1634" customFormat="1">
      <c r="G9526" s="3336"/>
      <c r="P9526" s="3337"/>
    </row>
    <row r="9527" spans="7:16" s="1634" customFormat="1">
      <c r="G9527" s="3336"/>
      <c r="P9527" s="3337"/>
    </row>
    <row r="9528" spans="7:16" s="1634" customFormat="1">
      <c r="G9528" s="3336"/>
      <c r="P9528" s="3337"/>
    </row>
    <row r="9529" spans="7:16" s="1634" customFormat="1">
      <c r="G9529" s="3336"/>
      <c r="P9529" s="3337"/>
    </row>
    <row r="9530" spans="7:16" s="1634" customFormat="1">
      <c r="G9530" s="3336"/>
      <c r="P9530" s="3337"/>
    </row>
    <row r="9531" spans="7:16" s="1634" customFormat="1">
      <c r="G9531" s="3336"/>
      <c r="P9531" s="3337"/>
    </row>
    <row r="9532" spans="7:16" s="1634" customFormat="1">
      <c r="G9532" s="3336"/>
      <c r="P9532" s="3337"/>
    </row>
    <row r="9533" spans="7:16" s="1634" customFormat="1">
      <c r="G9533" s="3336"/>
      <c r="P9533" s="3337"/>
    </row>
    <row r="9534" spans="7:16" s="1634" customFormat="1">
      <c r="G9534" s="3336"/>
      <c r="P9534" s="3337"/>
    </row>
    <row r="9535" spans="7:16" s="1634" customFormat="1">
      <c r="G9535" s="3336"/>
      <c r="P9535" s="3337"/>
    </row>
    <row r="9536" spans="7:16" s="1634" customFormat="1">
      <c r="G9536" s="3336"/>
      <c r="P9536" s="3337"/>
    </row>
    <row r="9537" spans="7:16" s="1634" customFormat="1">
      <c r="G9537" s="3336"/>
      <c r="P9537" s="3337"/>
    </row>
    <row r="9538" spans="7:16" s="1634" customFormat="1">
      <c r="G9538" s="3336"/>
      <c r="P9538" s="3337"/>
    </row>
    <row r="9539" spans="7:16" s="1634" customFormat="1">
      <c r="G9539" s="3336"/>
      <c r="P9539" s="3337"/>
    </row>
    <row r="9540" spans="7:16" s="1634" customFormat="1">
      <c r="G9540" s="3336"/>
      <c r="P9540" s="3337"/>
    </row>
    <row r="9541" spans="7:16" s="1634" customFormat="1">
      <c r="G9541" s="3336"/>
      <c r="P9541" s="3337"/>
    </row>
    <row r="9542" spans="7:16" s="1634" customFormat="1">
      <c r="G9542" s="3336"/>
      <c r="P9542" s="3337"/>
    </row>
    <row r="9543" spans="7:16" s="1634" customFormat="1">
      <c r="G9543" s="3336"/>
      <c r="P9543" s="3337"/>
    </row>
    <row r="9544" spans="7:16" s="1634" customFormat="1">
      <c r="G9544" s="3336"/>
      <c r="P9544" s="3337"/>
    </row>
    <row r="9545" spans="7:16" s="1634" customFormat="1">
      <c r="G9545" s="3336"/>
      <c r="P9545" s="3337"/>
    </row>
    <row r="9546" spans="7:16" s="1634" customFormat="1">
      <c r="G9546" s="3336"/>
      <c r="P9546" s="3337"/>
    </row>
    <row r="9547" spans="7:16" s="1634" customFormat="1">
      <c r="G9547" s="3336"/>
      <c r="P9547" s="3337"/>
    </row>
    <row r="9548" spans="7:16" s="1634" customFormat="1">
      <c r="G9548" s="3336"/>
      <c r="P9548" s="3337"/>
    </row>
    <row r="9549" spans="7:16" s="1634" customFormat="1">
      <c r="G9549" s="3336"/>
      <c r="P9549" s="3337"/>
    </row>
    <row r="9550" spans="7:16" s="1634" customFormat="1">
      <c r="G9550" s="3336"/>
      <c r="P9550" s="3337"/>
    </row>
    <row r="9551" spans="7:16" s="1634" customFormat="1">
      <c r="G9551" s="3336"/>
      <c r="P9551" s="3337"/>
    </row>
    <row r="9552" spans="7:16" s="1634" customFormat="1">
      <c r="G9552" s="3336"/>
      <c r="P9552" s="3337"/>
    </row>
    <row r="9553" spans="7:16" s="1634" customFormat="1">
      <c r="G9553" s="3336"/>
      <c r="P9553" s="3337"/>
    </row>
    <row r="9554" spans="7:16" s="1634" customFormat="1">
      <c r="G9554" s="3336"/>
      <c r="P9554" s="3337"/>
    </row>
    <row r="9555" spans="7:16" s="1634" customFormat="1">
      <c r="G9555" s="3336"/>
      <c r="P9555" s="3337"/>
    </row>
    <row r="9556" spans="7:16" s="1634" customFormat="1">
      <c r="G9556" s="3336"/>
      <c r="P9556" s="3337"/>
    </row>
    <row r="9557" spans="7:16" s="1634" customFormat="1">
      <c r="G9557" s="3336"/>
      <c r="P9557" s="3337"/>
    </row>
    <row r="9558" spans="7:16" s="1634" customFormat="1">
      <c r="G9558" s="3336"/>
      <c r="P9558" s="3337"/>
    </row>
    <row r="9559" spans="7:16" s="1634" customFormat="1">
      <c r="G9559" s="3336"/>
      <c r="P9559" s="3337"/>
    </row>
    <row r="9560" spans="7:16" s="1634" customFormat="1">
      <c r="G9560" s="3336"/>
      <c r="P9560" s="3337"/>
    </row>
    <row r="9561" spans="7:16" s="1634" customFormat="1">
      <c r="G9561" s="3336"/>
      <c r="P9561" s="3337"/>
    </row>
    <row r="9562" spans="7:16" s="1634" customFormat="1">
      <c r="G9562" s="3336"/>
      <c r="P9562" s="3337"/>
    </row>
    <row r="9563" spans="7:16" s="1634" customFormat="1">
      <c r="G9563" s="3336"/>
      <c r="P9563" s="3337"/>
    </row>
    <row r="9564" spans="7:16" s="1634" customFormat="1">
      <c r="G9564" s="3336"/>
      <c r="P9564" s="3337"/>
    </row>
    <row r="9565" spans="7:16" s="1634" customFormat="1">
      <c r="G9565" s="3336"/>
      <c r="P9565" s="3337"/>
    </row>
    <row r="9566" spans="7:16" s="1634" customFormat="1">
      <c r="G9566" s="3336"/>
      <c r="P9566" s="3337"/>
    </row>
    <row r="9567" spans="7:16" s="1634" customFormat="1">
      <c r="G9567" s="3336"/>
      <c r="P9567" s="3337"/>
    </row>
    <row r="9568" spans="7:16" s="1634" customFormat="1">
      <c r="G9568" s="3336"/>
      <c r="P9568" s="3337"/>
    </row>
    <row r="9569" spans="7:16" s="1634" customFormat="1">
      <c r="G9569" s="3336"/>
      <c r="P9569" s="3337"/>
    </row>
    <row r="9570" spans="7:16" s="1634" customFormat="1">
      <c r="G9570" s="3336"/>
      <c r="P9570" s="3337"/>
    </row>
    <row r="9571" spans="7:16" s="1634" customFormat="1">
      <c r="G9571" s="3336"/>
      <c r="P9571" s="3337"/>
    </row>
    <row r="9572" spans="7:16" s="1634" customFormat="1">
      <c r="G9572" s="3336"/>
      <c r="P9572" s="3337"/>
    </row>
    <row r="9573" spans="7:16" s="1634" customFormat="1">
      <c r="G9573" s="3336"/>
      <c r="P9573" s="3337"/>
    </row>
    <row r="9574" spans="7:16" s="1634" customFormat="1">
      <c r="G9574" s="3336"/>
      <c r="P9574" s="3337"/>
    </row>
    <row r="9575" spans="7:16" s="1634" customFormat="1">
      <c r="G9575" s="3336"/>
      <c r="P9575" s="3337"/>
    </row>
    <row r="9576" spans="7:16" s="1634" customFormat="1">
      <c r="G9576" s="3336"/>
      <c r="P9576" s="3337"/>
    </row>
    <row r="9577" spans="7:16" s="1634" customFormat="1">
      <c r="G9577" s="3336"/>
      <c r="P9577" s="3337"/>
    </row>
    <row r="9578" spans="7:16" s="1634" customFormat="1">
      <c r="G9578" s="3336"/>
      <c r="P9578" s="3337"/>
    </row>
    <row r="9579" spans="7:16" s="1634" customFormat="1">
      <c r="G9579" s="3336"/>
      <c r="P9579" s="3337"/>
    </row>
    <row r="9580" spans="7:16" s="1634" customFormat="1">
      <c r="G9580" s="3336"/>
      <c r="P9580" s="3337"/>
    </row>
    <row r="9581" spans="7:16" s="1634" customFormat="1">
      <c r="G9581" s="3336"/>
      <c r="P9581" s="3337"/>
    </row>
    <row r="9582" spans="7:16" s="1634" customFormat="1">
      <c r="G9582" s="3336"/>
      <c r="P9582" s="3337"/>
    </row>
    <row r="9583" spans="7:16" s="1634" customFormat="1">
      <c r="G9583" s="3336"/>
      <c r="P9583" s="3337"/>
    </row>
    <row r="9584" spans="7:16" s="1634" customFormat="1">
      <c r="G9584" s="3336"/>
      <c r="P9584" s="3337"/>
    </row>
    <row r="9585" spans="7:16" s="1634" customFormat="1">
      <c r="G9585" s="3336"/>
      <c r="P9585" s="3337"/>
    </row>
    <row r="9586" spans="7:16" s="1634" customFormat="1">
      <c r="G9586" s="3336"/>
      <c r="P9586" s="3337"/>
    </row>
    <row r="9587" spans="7:16" s="1634" customFormat="1">
      <c r="G9587" s="3336"/>
      <c r="P9587" s="3337"/>
    </row>
    <row r="9588" spans="7:16" s="1634" customFormat="1">
      <c r="G9588" s="3336"/>
      <c r="P9588" s="3337"/>
    </row>
    <row r="9589" spans="7:16" s="1634" customFormat="1">
      <c r="G9589" s="3336"/>
      <c r="P9589" s="3337"/>
    </row>
    <row r="9590" spans="7:16" s="1634" customFormat="1">
      <c r="G9590" s="3336"/>
      <c r="P9590" s="3337"/>
    </row>
    <row r="9591" spans="7:16" s="1634" customFormat="1">
      <c r="G9591" s="3336"/>
      <c r="P9591" s="3337"/>
    </row>
    <row r="9592" spans="7:16" s="1634" customFormat="1">
      <c r="G9592" s="3336"/>
      <c r="P9592" s="3337"/>
    </row>
    <row r="9593" spans="7:16" s="1634" customFormat="1">
      <c r="G9593" s="3336"/>
      <c r="P9593" s="3337"/>
    </row>
    <row r="9594" spans="7:16" s="1634" customFormat="1">
      <c r="G9594" s="3336"/>
      <c r="P9594" s="3337"/>
    </row>
    <row r="9595" spans="7:16" s="1634" customFormat="1">
      <c r="G9595" s="3336"/>
      <c r="P9595" s="3337"/>
    </row>
    <row r="9596" spans="7:16" s="1634" customFormat="1">
      <c r="G9596" s="3336"/>
      <c r="P9596" s="3337"/>
    </row>
    <row r="9597" spans="7:16" s="1634" customFormat="1">
      <c r="G9597" s="3336"/>
      <c r="P9597" s="3337"/>
    </row>
    <row r="9598" spans="7:16" s="1634" customFormat="1">
      <c r="G9598" s="3336"/>
      <c r="P9598" s="3337"/>
    </row>
    <row r="9599" spans="7:16" s="1634" customFormat="1">
      <c r="G9599" s="3336"/>
      <c r="P9599" s="3337"/>
    </row>
    <row r="9600" spans="7:16" s="1634" customFormat="1">
      <c r="G9600" s="3336"/>
      <c r="P9600" s="3337"/>
    </row>
    <row r="9601" spans="7:16" s="1634" customFormat="1">
      <c r="G9601" s="3336"/>
      <c r="P9601" s="3337"/>
    </row>
    <row r="9602" spans="7:16" s="1634" customFormat="1">
      <c r="G9602" s="3336"/>
      <c r="P9602" s="3337"/>
    </row>
    <row r="9603" spans="7:16" s="1634" customFormat="1">
      <c r="G9603" s="3336"/>
      <c r="P9603" s="3337"/>
    </row>
    <row r="9604" spans="7:16" s="1634" customFormat="1">
      <c r="G9604" s="3336"/>
      <c r="P9604" s="3337"/>
    </row>
    <row r="9605" spans="7:16" s="1634" customFormat="1">
      <c r="G9605" s="3336"/>
      <c r="P9605" s="3337"/>
    </row>
    <row r="9606" spans="7:16" s="1634" customFormat="1">
      <c r="G9606" s="3336"/>
      <c r="P9606" s="3337"/>
    </row>
    <row r="9607" spans="7:16" s="1634" customFormat="1">
      <c r="G9607" s="3336"/>
      <c r="P9607" s="3337"/>
    </row>
    <row r="9608" spans="7:16" s="1634" customFormat="1">
      <c r="G9608" s="3336"/>
      <c r="P9608" s="3337"/>
    </row>
    <row r="9609" spans="7:16" s="1634" customFormat="1">
      <c r="G9609" s="3336"/>
      <c r="P9609" s="3337"/>
    </row>
    <row r="9610" spans="7:16" s="1634" customFormat="1">
      <c r="G9610" s="3336"/>
      <c r="P9610" s="3337"/>
    </row>
    <row r="9611" spans="7:16" s="1634" customFormat="1">
      <c r="G9611" s="3336"/>
      <c r="P9611" s="3337"/>
    </row>
    <row r="9612" spans="7:16" s="1634" customFormat="1">
      <c r="G9612" s="3336"/>
      <c r="P9612" s="3337"/>
    </row>
    <row r="9613" spans="7:16" s="1634" customFormat="1">
      <c r="G9613" s="3336"/>
      <c r="P9613" s="3337"/>
    </row>
    <row r="9614" spans="7:16" s="1634" customFormat="1">
      <c r="G9614" s="3336"/>
      <c r="P9614" s="3337"/>
    </row>
    <row r="9615" spans="7:16" s="1634" customFormat="1">
      <c r="G9615" s="3336"/>
      <c r="P9615" s="3337"/>
    </row>
    <row r="9616" spans="7:16" s="1634" customFormat="1">
      <c r="G9616" s="3336"/>
      <c r="P9616" s="3337"/>
    </row>
    <row r="9617" spans="7:16" s="1634" customFormat="1">
      <c r="G9617" s="3336"/>
      <c r="P9617" s="3337"/>
    </row>
    <row r="9618" spans="7:16" s="1634" customFormat="1">
      <c r="G9618" s="3336"/>
      <c r="P9618" s="3337"/>
    </row>
    <row r="9619" spans="7:16" s="1634" customFormat="1">
      <c r="G9619" s="3336"/>
      <c r="P9619" s="3337"/>
    </row>
    <row r="9620" spans="7:16" s="1634" customFormat="1">
      <c r="G9620" s="3336"/>
      <c r="P9620" s="3337"/>
    </row>
    <row r="9621" spans="7:16" s="1634" customFormat="1">
      <c r="G9621" s="3336"/>
      <c r="P9621" s="3337"/>
    </row>
    <row r="9622" spans="7:16" s="1634" customFormat="1">
      <c r="G9622" s="3336"/>
      <c r="P9622" s="3337"/>
    </row>
    <row r="9623" spans="7:16" s="1634" customFormat="1">
      <c r="G9623" s="3336"/>
      <c r="P9623" s="3337"/>
    </row>
    <row r="9624" spans="7:16" s="1634" customFormat="1">
      <c r="G9624" s="3336"/>
      <c r="P9624" s="3337"/>
    </row>
    <row r="9625" spans="7:16" s="1634" customFormat="1">
      <c r="G9625" s="3336"/>
      <c r="P9625" s="3337"/>
    </row>
    <row r="9626" spans="7:16" s="1634" customFormat="1">
      <c r="G9626" s="3336"/>
      <c r="P9626" s="3337"/>
    </row>
    <row r="9627" spans="7:16" s="1634" customFormat="1">
      <c r="G9627" s="3336"/>
      <c r="P9627" s="3337"/>
    </row>
    <row r="9628" spans="7:16" s="1634" customFormat="1">
      <c r="G9628" s="3336"/>
      <c r="P9628" s="3337"/>
    </row>
    <row r="9629" spans="7:16" s="1634" customFormat="1">
      <c r="G9629" s="3336"/>
      <c r="P9629" s="3337"/>
    </row>
    <row r="9630" spans="7:16" s="1634" customFormat="1">
      <c r="G9630" s="3336"/>
      <c r="P9630" s="3337"/>
    </row>
    <row r="9631" spans="7:16" s="1634" customFormat="1">
      <c r="G9631" s="3336"/>
      <c r="P9631" s="3337"/>
    </row>
    <row r="9632" spans="7:16" s="1634" customFormat="1">
      <c r="G9632" s="3336"/>
      <c r="P9632" s="3337"/>
    </row>
    <row r="9633" spans="7:16" s="1634" customFormat="1">
      <c r="G9633" s="3336"/>
      <c r="P9633" s="3337"/>
    </row>
    <row r="9634" spans="7:16" s="1634" customFormat="1">
      <c r="G9634" s="3336"/>
      <c r="P9634" s="3337"/>
    </row>
    <row r="9635" spans="7:16" s="1634" customFormat="1">
      <c r="G9635" s="3336"/>
      <c r="P9635" s="3337"/>
    </row>
    <row r="9636" spans="7:16" s="1634" customFormat="1">
      <c r="G9636" s="3336"/>
      <c r="P9636" s="3337"/>
    </row>
    <row r="9637" spans="7:16" s="1634" customFormat="1">
      <c r="G9637" s="3336"/>
      <c r="P9637" s="3337"/>
    </row>
    <row r="9638" spans="7:16" s="1634" customFormat="1">
      <c r="G9638" s="3336"/>
      <c r="P9638" s="3337"/>
    </row>
    <row r="9639" spans="7:16" s="1634" customFormat="1">
      <c r="G9639" s="3336"/>
      <c r="P9639" s="3337"/>
    </row>
    <row r="9640" spans="7:16" s="1634" customFormat="1">
      <c r="G9640" s="3336"/>
      <c r="P9640" s="3337"/>
    </row>
    <row r="9641" spans="7:16" s="1634" customFormat="1">
      <c r="G9641" s="3336"/>
      <c r="P9641" s="3337"/>
    </row>
    <row r="9642" spans="7:16" s="1634" customFormat="1">
      <c r="G9642" s="3336"/>
      <c r="P9642" s="3337"/>
    </row>
    <row r="9643" spans="7:16" s="1634" customFormat="1">
      <c r="G9643" s="3336"/>
      <c r="P9643" s="3337"/>
    </row>
    <row r="9644" spans="7:16" s="1634" customFormat="1">
      <c r="G9644" s="3336"/>
      <c r="P9644" s="3337"/>
    </row>
    <row r="9645" spans="7:16" s="1634" customFormat="1">
      <c r="G9645" s="3336"/>
      <c r="P9645" s="3337"/>
    </row>
    <row r="9646" spans="7:16" s="1634" customFormat="1">
      <c r="G9646" s="3336"/>
      <c r="P9646" s="3337"/>
    </row>
    <row r="9647" spans="7:16" s="1634" customFormat="1">
      <c r="G9647" s="3336"/>
      <c r="P9647" s="3337"/>
    </row>
    <row r="9648" spans="7:16" s="1634" customFormat="1">
      <c r="G9648" s="3336"/>
      <c r="P9648" s="3337"/>
    </row>
    <row r="9649" spans="7:16" s="1634" customFormat="1">
      <c r="G9649" s="3336"/>
      <c r="P9649" s="3337"/>
    </row>
    <row r="9650" spans="7:16" s="1634" customFormat="1">
      <c r="G9650" s="3336"/>
      <c r="P9650" s="3337"/>
    </row>
    <row r="9651" spans="7:16" s="1634" customFormat="1">
      <c r="G9651" s="3336"/>
      <c r="P9651" s="3337"/>
    </row>
    <row r="9652" spans="7:16" s="1634" customFormat="1">
      <c r="G9652" s="3336"/>
      <c r="P9652" s="3337"/>
    </row>
    <row r="9653" spans="7:16" s="1634" customFormat="1">
      <c r="G9653" s="3336"/>
      <c r="P9653" s="3337"/>
    </row>
    <row r="9654" spans="7:16" s="1634" customFormat="1">
      <c r="G9654" s="3336"/>
      <c r="P9654" s="3337"/>
    </row>
    <row r="9655" spans="7:16" s="1634" customFormat="1">
      <c r="G9655" s="3336"/>
      <c r="P9655" s="3337"/>
    </row>
    <row r="9656" spans="7:16" s="1634" customFormat="1">
      <c r="G9656" s="3336"/>
      <c r="P9656" s="3337"/>
    </row>
    <row r="9657" spans="7:16" s="1634" customFormat="1">
      <c r="G9657" s="3336"/>
      <c r="P9657" s="3337"/>
    </row>
    <row r="9658" spans="7:16" s="1634" customFormat="1">
      <c r="G9658" s="3336"/>
      <c r="P9658" s="3337"/>
    </row>
    <row r="9659" spans="7:16" s="1634" customFormat="1">
      <c r="G9659" s="3336"/>
      <c r="P9659" s="3337"/>
    </row>
    <row r="9660" spans="7:16" s="1634" customFormat="1">
      <c r="G9660" s="3336"/>
      <c r="P9660" s="3337"/>
    </row>
    <row r="9661" spans="7:16" s="1634" customFormat="1">
      <c r="G9661" s="3336"/>
      <c r="P9661" s="3337"/>
    </row>
    <row r="9662" spans="7:16" s="1634" customFormat="1">
      <c r="G9662" s="3336"/>
      <c r="P9662" s="3337"/>
    </row>
    <row r="9663" spans="7:16" s="1634" customFormat="1">
      <c r="G9663" s="3336"/>
      <c r="P9663" s="3337"/>
    </row>
    <row r="9664" spans="7:16" s="1634" customFormat="1">
      <c r="G9664" s="3336"/>
      <c r="P9664" s="3337"/>
    </row>
    <row r="9665" spans="7:16" s="1634" customFormat="1">
      <c r="G9665" s="3336"/>
      <c r="P9665" s="3337"/>
    </row>
    <row r="9666" spans="7:16" s="1634" customFormat="1">
      <c r="G9666" s="3336"/>
      <c r="P9666" s="3337"/>
    </row>
    <row r="9667" spans="7:16" s="1634" customFormat="1">
      <c r="G9667" s="3336"/>
      <c r="P9667" s="3337"/>
    </row>
    <row r="9668" spans="7:16" s="1634" customFormat="1">
      <c r="G9668" s="3336"/>
      <c r="P9668" s="3337"/>
    </row>
    <row r="9669" spans="7:16" s="1634" customFormat="1">
      <c r="G9669" s="3336"/>
      <c r="P9669" s="3337"/>
    </row>
    <row r="9670" spans="7:16" s="1634" customFormat="1">
      <c r="G9670" s="3336"/>
      <c r="P9670" s="3337"/>
    </row>
    <row r="9671" spans="7:16" s="1634" customFormat="1">
      <c r="G9671" s="3336"/>
      <c r="P9671" s="3337"/>
    </row>
    <row r="9672" spans="7:16" s="1634" customFormat="1">
      <c r="G9672" s="3336"/>
      <c r="P9672" s="3337"/>
    </row>
    <row r="9673" spans="7:16" s="1634" customFormat="1">
      <c r="G9673" s="3336"/>
      <c r="P9673" s="3337"/>
    </row>
    <row r="9674" spans="7:16" s="1634" customFormat="1">
      <c r="G9674" s="3336"/>
      <c r="P9674" s="3337"/>
    </row>
    <row r="9675" spans="7:16" s="1634" customFormat="1">
      <c r="G9675" s="3336"/>
      <c r="P9675" s="3337"/>
    </row>
    <row r="9676" spans="7:16" s="1634" customFormat="1">
      <c r="G9676" s="3336"/>
      <c r="P9676" s="3337"/>
    </row>
    <row r="9677" spans="7:16" s="1634" customFormat="1">
      <c r="G9677" s="3336"/>
      <c r="P9677" s="3337"/>
    </row>
    <row r="9678" spans="7:16" s="1634" customFormat="1">
      <c r="G9678" s="3336"/>
      <c r="P9678" s="3337"/>
    </row>
    <row r="9679" spans="7:16" s="1634" customFormat="1">
      <c r="G9679" s="3336"/>
      <c r="P9679" s="3337"/>
    </row>
    <row r="9680" spans="7:16" s="1634" customFormat="1">
      <c r="G9680" s="3336"/>
      <c r="P9680" s="3337"/>
    </row>
    <row r="9681" spans="7:16" s="1634" customFormat="1">
      <c r="G9681" s="3336"/>
      <c r="P9681" s="3337"/>
    </row>
    <row r="9682" spans="7:16" s="1634" customFormat="1">
      <c r="G9682" s="3336"/>
      <c r="P9682" s="3337"/>
    </row>
    <row r="9683" spans="7:16" s="1634" customFormat="1">
      <c r="G9683" s="3336"/>
      <c r="P9683" s="3337"/>
    </row>
    <row r="9684" spans="7:16" s="1634" customFormat="1">
      <c r="G9684" s="3336"/>
      <c r="P9684" s="3337"/>
    </row>
    <row r="9685" spans="7:16" s="1634" customFormat="1">
      <c r="G9685" s="3336"/>
      <c r="P9685" s="3337"/>
    </row>
    <row r="9686" spans="7:16" s="1634" customFormat="1">
      <c r="G9686" s="3336"/>
      <c r="P9686" s="3337"/>
    </row>
    <row r="9687" spans="7:16" s="1634" customFormat="1">
      <c r="G9687" s="3336"/>
      <c r="P9687" s="3337"/>
    </row>
    <row r="9688" spans="7:16" s="1634" customFormat="1">
      <c r="G9688" s="3336"/>
      <c r="P9688" s="3337"/>
    </row>
    <row r="9689" spans="7:16" s="1634" customFormat="1">
      <c r="G9689" s="3336"/>
      <c r="P9689" s="3337"/>
    </row>
    <row r="9690" spans="7:16" s="1634" customFormat="1">
      <c r="G9690" s="3336"/>
      <c r="P9690" s="3337"/>
    </row>
    <row r="9691" spans="7:16" s="1634" customFormat="1">
      <c r="G9691" s="3336"/>
      <c r="P9691" s="3337"/>
    </row>
    <row r="9692" spans="7:16" s="1634" customFormat="1">
      <c r="G9692" s="3336"/>
      <c r="P9692" s="3337"/>
    </row>
    <row r="9693" spans="7:16" s="1634" customFormat="1">
      <c r="G9693" s="3336"/>
      <c r="P9693" s="3337"/>
    </row>
    <row r="9694" spans="7:16" s="1634" customFormat="1">
      <c r="G9694" s="3336"/>
      <c r="P9694" s="3337"/>
    </row>
    <row r="9695" spans="7:16" s="1634" customFormat="1">
      <c r="G9695" s="3336"/>
      <c r="P9695" s="3337"/>
    </row>
    <row r="9696" spans="7:16" s="1634" customFormat="1">
      <c r="G9696" s="3336"/>
      <c r="P9696" s="3337"/>
    </row>
    <row r="9697" spans="7:16" s="1634" customFormat="1">
      <c r="G9697" s="3336"/>
      <c r="P9697" s="3337"/>
    </row>
    <row r="9698" spans="7:16" s="1634" customFormat="1">
      <c r="G9698" s="3336"/>
      <c r="P9698" s="3337"/>
    </row>
    <row r="9699" spans="7:16" s="1634" customFormat="1">
      <c r="G9699" s="3336"/>
      <c r="P9699" s="3337"/>
    </row>
    <row r="9700" spans="7:16" s="1634" customFormat="1">
      <c r="G9700" s="3336"/>
      <c r="P9700" s="3337"/>
    </row>
    <row r="9701" spans="7:16" s="1634" customFormat="1">
      <c r="G9701" s="3336"/>
      <c r="P9701" s="3337"/>
    </row>
    <row r="9702" spans="7:16" s="1634" customFormat="1">
      <c r="G9702" s="3336"/>
      <c r="P9702" s="3337"/>
    </row>
    <row r="9703" spans="7:16" s="1634" customFormat="1">
      <c r="G9703" s="3336"/>
      <c r="P9703" s="3337"/>
    </row>
    <row r="9704" spans="7:16" s="1634" customFormat="1">
      <c r="G9704" s="3336"/>
      <c r="P9704" s="3337"/>
    </row>
    <row r="9705" spans="7:16" s="1634" customFormat="1">
      <c r="G9705" s="3336"/>
      <c r="P9705" s="3337"/>
    </row>
    <row r="9706" spans="7:16" s="1634" customFormat="1">
      <c r="G9706" s="3336"/>
      <c r="P9706" s="3337"/>
    </row>
    <row r="9707" spans="7:16" s="1634" customFormat="1">
      <c r="G9707" s="3336"/>
      <c r="P9707" s="3337"/>
    </row>
    <row r="9708" spans="7:16" s="1634" customFormat="1">
      <c r="G9708" s="3336"/>
      <c r="P9708" s="3337"/>
    </row>
    <row r="9709" spans="7:16" s="1634" customFormat="1">
      <c r="G9709" s="3336"/>
      <c r="P9709" s="3337"/>
    </row>
    <row r="9710" spans="7:16" s="1634" customFormat="1">
      <c r="G9710" s="3336"/>
      <c r="P9710" s="3337"/>
    </row>
    <row r="9711" spans="7:16" s="1634" customFormat="1">
      <c r="G9711" s="3336"/>
      <c r="P9711" s="3337"/>
    </row>
    <row r="9712" spans="7:16" s="1634" customFormat="1">
      <c r="G9712" s="3336"/>
      <c r="P9712" s="3337"/>
    </row>
    <row r="9713" spans="7:16" s="1634" customFormat="1">
      <c r="G9713" s="3336"/>
      <c r="P9713" s="3337"/>
    </row>
    <row r="9714" spans="7:16" s="1634" customFormat="1">
      <c r="G9714" s="3336"/>
      <c r="P9714" s="3337"/>
    </row>
    <row r="9715" spans="7:16" s="1634" customFormat="1">
      <c r="G9715" s="3336"/>
      <c r="P9715" s="3337"/>
    </row>
    <row r="9716" spans="7:16" s="1634" customFormat="1">
      <c r="G9716" s="3336"/>
      <c r="P9716" s="3337"/>
    </row>
    <row r="9717" spans="7:16" s="1634" customFormat="1">
      <c r="G9717" s="3336"/>
      <c r="P9717" s="3337"/>
    </row>
    <row r="9718" spans="7:16" s="1634" customFormat="1">
      <c r="G9718" s="3336"/>
      <c r="P9718" s="3337"/>
    </row>
    <row r="9719" spans="7:16" s="1634" customFormat="1">
      <c r="G9719" s="3336"/>
      <c r="P9719" s="3337"/>
    </row>
    <row r="9720" spans="7:16" s="1634" customFormat="1">
      <c r="G9720" s="3336"/>
      <c r="P9720" s="3337"/>
    </row>
    <row r="9721" spans="7:16" s="1634" customFormat="1">
      <c r="G9721" s="3336"/>
      <c r="P9721" s="3337"/>
    </row>
    <row r="9722" spans="7:16" s="1634" customFormat="1">
      <c r="G9722" s="3336"/>
      <c r="P9722" s="3337"/>
    </row>
    <row r="9723" spans="7:16" s="1634" customFormat="1">
      <c r="G9723" s="3336"/>
      <c r="P9723" s="3337"/>
    </row>
    <row r="9724" spans="7:16" s="1634" customFormat="1">
      <c r="G9724" s="3336"/>
      <c r="P9724" s="3337"/>
    </row>
    <row r="9725" spans="7:16" s="1634" customFormat="1">
      <c r="G9725" s="3336"/>
      <c r="P9725" s="3337"/>
    </row>
    <row r="9726" spans="7:16" s="1634" customFormat="1">
      <c r="G9726" s="3336"/>
      <c r="P9726" s="3337"/>
    </row>
    <row r="9727" spans="7:16" s="1634" customFormat="1">
      <c r="G9727" s="3336"/>
      <c r="P9727" s="3337"/>
    </row>
    <row r="9728" spans="7:16" s="1634" customFormat="1">
      <c r="G9728" s="3336"/>
      <c r="P9728" s="3337"/>
    </row>
    <row r="9729" spans="7:16" s="1634" customFormat="1">
      <c r="G9729" s="3336"/>
      <c r="P9729" s="3337"/>
    </row>
    <row r="9730" spans="7:16" s="1634" customFormat="1">
      <c r="G9730" s="3336"/>
      <c r="P9730" s="3337"/>
    </row>
    <row r="9731" spans="7:16" s="1634" customFormat="1">
      <c r="G9731" s="3336"/>
      <c r="P9731" s="3337"/>
    </row>
    <row r="9732" spans="7:16" s="1634" customFormat="1">
      <c r="G9732" s="3336"/>
      <c r="P9732" s="3337"/>
    </row>
    <row r="9733" spans="7:16" s="1634" customFormat="1">
      <c r="G9733" s="3336"/>
      <c r="P9733" s="3337"/>
    </row>
    <row r="9734" spans="7:16" s="1634" customFormat="1">
      <c r="G9734" s="3336"/>
      <c r="P9734" s="3337"/>
    </row>
    <row r="9735" spans="7:16" s="1634" customFormat="1">
      <c r="G9735" s="3336"/>
      <c r="P9735" s="3337"/>
    </row>
    <row r="9736" spans="7:16" s="1634" customFormat="1">
      <c r="G9736" s="3336"/>
      <c r="P9736" s="3337"/>
    </row>
    <row r="9737" spans="7:16" s="1634" customFormat="1">
      <c r="G9737" s="3336"/>
      <c r="P9737" s="3337"/>
    </row>
    <row r="9738" spans="7:16" s="1634" customFormat="1">
      <c r="G9738" s="3336"/>
      <c r="P9738" s="3337"/>
    </row>
    <row r="9739" spans="7:16" s="1634" customFormat="1">
      <c r="G9739" s="3336"/>
      <c r="P9739" s="3337"/>
    </row>
    <row r="9740" spans="7:16" s="1634" customFormat="1">
      <c r="G9740" s="3336"/>
      <c r="P9740" s="3337"/>
    </row>
    <row r="9741" spans="7:16" s="1634" customFormat="1">
      <c r="G9741" s="3336"/>
      <c r="P9741" s="3337"/>
    </row>
    <row r="9742" spans="7:16" s="1634" customFormat="1">
      <c r="G9742" s="3336"/>
      <c r="P9742" s="3337"/>
    </row>
    <row r="9743" spans="7:16" s="1634" customFormat="1">
      <c r="G9743" s="3336"/>
      <c r="P9743" s="3337"/>
    </row>
    <row r="9744" spans="7:16" s="1634" customFormat="1">
      <c r="G9744" s="3336"/>
      <c r="P9744" s="3337"/>
    </row>
    <row r="9745" spans="7:16" s="1634" customFormat="1">
      <c r="G9745" s="3336"/>
      <c r="P9745" s="3337"/>
    </row>
    <row r="9746" spans="7:16" s="1634" customFormat="1">
      <c r="G9746" s="3336"/>
      <c r="P9746" s="3337"/>
    </row>
    <row r="9747" spans="7:16" s="1634" customFormat="1">
      <c r="G9747" s="3336"/>
      <c r="P9747" s="3337"/>
    </row>
    <row r="9748" spans="7:16" s="1634" customFormat="1">
      <c r="G9748" s="3336"/>
      <c r="P9748" s="3337"/>
    </row>
    <row r="9749" spans="7:16" s="1634" customFormat="1">
      <c r="G9749" s="3336"/>
      <c r="P9749" s="3337"/>
    </row>
    <row r="9750" spans="7:16" s="1634" customFormat="1">
      <c r="G9750" s="3336"/>
      <c r="P9750" s="3337"/>
    </row>
    <row r="9751" spans="7:16" s="1634" customFormat="1">
      <c r="G9751" s="3336"/>
      <c r="P9751" s="3337"/>
    </row>
    <row r="9752" spans="7:16" s="1634" customFormat="1">
      <c r="G9752" s="3336"/>
      <c r="P9752" s="3337"/>
    </row>
    <row r="9753" spans="7:16" s="1634" customFormat="1">
      <c r="G9753" s="3336"/>
      <c r="P9753" s="3337"/>
    </row>
    <row r="9754" spans="7:16" s="1634" customFormat="1">
      <c r="G9754" s="3336"/>
      <c r="P9754" s="3337"/>
    </row>
    <row r="9755" spans="7:16" s="1634" customFormat="1">
      <c r="G9755" s="3336"/>
      <c r="P9755" s="3337"/>
    </row>
    <row r="9756" spans="7:16" s="1634" customFormat="1">
      <c r="G9756" s="3336"/>
      <c r="P9756" s="3337"/>
    </row>
    <row r="9757" spans="7:16" s="1634" customFormat="1">
      <c r="G9757" s="3336"/>
      <c r="P9757" s="3337"/>
    </row>
    <row r="9758" spans="7:16" s="1634" customFormat="1">
      <c r="G9758" s="3336"/>
      <c r="P9758" s="3337"/>
    </row>
    <row r="9759" spans="7:16" s="1634" customFormat="1">
      <c r="G9759" s="3336"/>
      <c r="P9759" s="3337"/>
    </row>
    <row r="9760" spans="7:16" s="1634" customFormat="1">
      <c r="G9760" s="3336"/>
      <c r="P9760" s="3337"/>
    </row>
    <row r="9761" spans="7:16" s="1634" customFormat="1">
      <c r="G9761" s="3336"/>
      <c r="P9761" s="3337"/>
    </row>
    <row r="9762" spans="7:16" s="1634" customFormat="1">
      <c r="G9762" s="3336"/>
      <c r="P9762" s="3337"/>
    </row>
    <row r="9763" spans="7:16" s="1634" customFormat="1">
      <c r="G9763" s="3336"/>
      <c r="P9763" s="3337"/>
    </row>
    <row r="9764" spans="7:16" s="1634" customFormat="1">
      <c r="G9764" s="3336"/>
      <c r="P9764" s="3337"/>
    </row>
    <row r="9765" spans="7:16" s="1634" customFormat="1">
      <c r="G9765" s="3336"/>
      <c r="P9765" s="3337"/>
    </row>
    <row r="9766" spans="7:16" s="1634" customFormat="1">
      <c r="G9766" s="3336"/>
      <c r="P9766" s="3337"/>
    </row>
    <row r="9767" spans="7:16" s="1634" customFormat="1">
      <c r="G9767" s="3336"/>
      <c r="P9767" s="3337"/>
    </row>
    <row r="9768" spans="7:16" s="1634" customFormat="1">
      <c r="G9768" s="3336"/>
      <c r="P9768" s="3337"/>
    </row>
    <row r="9769" spans="7:16" s="1634" customFormat="1">
      <c r="G9769" s="3336"/>
      <c r="P9769" s="3337"/>
    </row>
    <row r="9770" spans="7:16" s="1634" customFormat="1">
      <c r="G9770" s="3336"/>
      <c r="P9770" s="3337"/>
    </row>
    <row r="9771" spans="7:16" s="1634" customFormat="1">
      <c r="G9771" s="3336"/>
      <c r="P9771" s="3337"/>
    </row>
    <row r="9772" spans="7:16" s="1634" customFormat="1">
      <c r="G9772" s="3336"/>
      <c r="P9772" s="3337"/>
    </row>
    <row r="9773" spans="7:16" s="1634" customFormat="1">
      <c r="G9773" s="3336"/>
      <c r="P9773" s="3337"/>
    </row>
    <row r="9774" spans="7:16" s="1634" customFormat="1">
      <c r="G9774" s="3336"/>
      <c r="P9774" s="3337"/>
    </row>
    <row r="9775" spans="7:16" s="1634" customFormat="1">
      <c r="G9775" s="3336"/>
      <c r="P9775" s="3337"/>
    </row>
    <row r="9776" spans="7:16" s="1634" customFormat="1">
      <c r="G9776" s="3336"/>
      <c r="P9776" s="3337"/>
    </row>
    <row r="9777" spans="7:16" s="1634" customFormat="1">
      <c r="G9777" s="3336"/>
      <c r="P9777" s="3337"/>
    </row>
    <row r="9778" spans="7:16" s="1634" customFormat="1">
      <c r="G9778" s="3336"/>
      <c r="P9778" s="3337"/>
    </row>
    <row r="9779" spans="7:16" s="1634" customFormat="1">
      <c r="G9779" s="3336"/>
      <c r="P9779" s="3337"/>
    </row>
    <row r="9780" spans="7:16" s="1634" customFormat="1">
      <c r="G9780" s="3336"/>
      <c r="P9780" s="3337"/>
    </row>
    <row r="9781" spans="7:16" s="1634" customFormat="1">
      <c r="G9781" s="3336"/>
      <c r="P9781" s="3337"/>
    </row>
    <row r="9782" spans="7:16" s="1634" customFormat="1">
      <c r="G9782" s="3336"/>
      <c r="P9782" s="3337"/>
    </row>
    <row r="9783" spans="7:16" s="1634" customFormat="1">
      <c r="G9783" s="3336"/>
      <c r="P9783" s="3337"/>
    </row>
    <row r="9784" spans="7:16" s="1634" customFormat="1">
      <c r="G9784" s="3336"/>
      <c r="P9784" s="3337"/>
    </row>
    <row r="9785" spans="7:16" s="1634" customFormat="1">
      <c r="G9785" s="3336"/>
      <c r="P9785" s="3337"/>
    </row>
    <row r="9786" spans="7:16" s="1634" customFormat="1">
      <c r="G9786" s="3336"/>
      <c r="P9786" s="3337"/>
    </row>
    <row r="9787" spans="7:16" s="1634" customFormat="1">
      <c r="G9787" s="3336"/>
      <c r="P9787" s="3337"/>
    </row>
    <row r="9788" spans="7:16" s="1634" customFormat="1">
      <c r="G9788" s="3336"/>
      <c r="P9788" s="3337"/>
    </row>
    <row r="9789" spans="7:16" s="1634" customFormat="1">
      <c r="G9789" s="3336"/>
      <c r="P9789" s="3337"/>
    </row>
    <row r="9790" spans="7:16" s="1634" customFormat="1">
      <c r="G9790" s="3336"/>
      <c r="P9790" s="3337"/>
    </row>
    <row r="9791" spans="7:16" s="1634" customFormat="1">
      <c r="G9791" s="3336"/>
      <c r="P9791" s="3337"/>
    </row>
    <row r="9792" spans="7:16" s="1634" customFormat="1">
      <c r="G9792" s="3336"/>
      <c r="P9792" s="3337"/>
    </row>
    <row r="9793" spans="7:16" s="1634" customFormat="1">
      <c r="G9793" s="3336"/>
      <c r="P9793" s="3337"/>
    </row>
    <row r="9794" spans="7:16" s="1634" customFormat="1">
      <c r="G9794" s="3336"/>
      <c r="P9794" s="3337"/>
    </row>
    <row r="9795" spans="7:16" s="1634" customFormat="1">
      <c r="G9795" s="3336"/>
      <c r="P9795" s="3337"/>
    </row>
    <row r="9796" spans="7:16" s="1634" customFormat="1">
      <c r="G9796" s="3336"/>
      <c r="P9796" s="3337"/>
    </row>
    <row r="9797" spans="7:16" s="1634" customFormat="1">
      <c r="G9797" s="3336"/>
      <c r="P9797" s="3337"/>
    </row>
    <row r="9798" spans="7:16" s="1634" customFormat="1">
      <c r="G9798" s="3336"/>
      <c r="P9798" s="3337"/>
    </row>
    <row r="9799" spans="7:16" s="1634" customFormat="1">
      <c r="G9799" s="3336"/>
      <c r="P9799" s="3337"/>
    </row>
    <row r="9800" spans="7:16" s="1634" customFormat="1">
      <c r="G9800" s="3336"/>
      <c r="P9800" s="3337"/>
    </row>
    <row r="9801" spans="7:16" s="1634" customFormat="1">
      <c r="G9801" s="3336"/>
      <c r="P9801" s="3337"/>
    </row>
    <row r="9802" spans="7:16" s="1634" customFormat="1">
      <c r="G9802" s="3336"/>
      <c r="P9802" s="3337"/>
    </row>
    <row r="9803" spans="7:16" s="1634" customFormat="1">
      <c r="G9803" s="3336"/>
      <c r="P9803" s="3337"/>
    </row>
    <row r="9804" spans="7:16" s="1634" customFormat="1">
      <c r="G9804" s="3336"/>
      <c r="P9804" s="3337"/>
    </row>
    <row r="9805" spans="7:16" s="1634" customFormat="1">
      <c r="G9805" s="3336"/>
      <c r="P9805" s="3337"/>
    </row>
    <row r="9806" spans="7:16" s="1634" customFormat="1">
      <c r="G9806" s="3336"/>
      <c r="P9806" s="3337"/>
    </row>
    <row r="9807" spans="7:16" s="1634" customFormat="1">
      <c r="G9807" s="3336"/>
      <c r="P9807" s="3337"/>
    </row>
    <row r="9808" spans="7:16" s="1634" customFormat="1">
      <c r="G9808" s="3336"/>
      <c r="P9808" s="3337"/>
    </row>
    <row r="9809" spans="7:16" s="1634" customFormat="1">
      <c r="G9809" s="3336"/>
      <c r="P9809" s="3337"/>
    </row>
    <row r="9810" spans="7:16" s="1634" customFormat="1">
      <c r="G9810" s="3336"/>
      <c r="P9810" s="3337"/>
    </row>
    <row r="9811" spans="7:16" s="1634" customFormat="1">
      <c r="G9811" s="3336"/>
      <c r="P9811" s="3337"/>
    </row>
    <row r="9812" spans="7:16" s="1634" customFormat="1">
      <c r="G9812" s="3336"/>
      <c r="P9812" s="3337"/>
    </row>
    <row r="9813" spans="7:16" s="1634" customFormat="1">
      <c r="G9813" s="3336"/>
      <c r="P9813" s="3337"/>
    </row>
    <row r="9814" spans="7:16" s="1634" customFormat="1">
      <c r="G9814" s="3336"/>
      <c r="P9814" s="3337"/>
    </row>
    <row r="9815" spans="7:16" s="1634" customFormat="1">
      <c r="G9815" s="3336"/>
      <c r="P9815" s="3337"/>
    </row>
    <row r="9816" spans="7:16" s="1634" customFormat="1">
      <c r="G9816" s="3336"/>
      <c r="P9816" s="3337"/>
    </row>
    <row r="9817" spans="7:16" s="1634" customFormat="1">
      <c r="G9817" s="3336"/>
      <c r="P9817" s="3337"/>
    </row>
    <row r="9818" spans="7:16" s="1634" customFormat="1">
      <c r="G9818" s="3336"/>
      <c r="P9818" s="3337"/>
    </row>
    <row r="9819" spans="7:16" s="1634" customFormat="1">
      <c r="G9819" s="3336"/>
      <c r="P9819" s="3337"/>
    </row>
    <row r="9820" spans="7:16" s="1634" customFormat="1">
      <c r="G9820" s="3336"/>
      <c r="P9820" s="3337"/>
    </row>
    <row r="9821" spans="7:16" s="1634" customFormat="1">
      <c r="G9821" s="3336"/>
      <c r="P9821" s="3337"/>
    </row>
    <row r="9822" spans="7:16" s="1634" customFormat="1">
      <c r="G9822" s="3336"/>
      <c r="P9822" s="3337"/>
    </row>
    <row r="9823" spans="7:16" s="1634" customFormat="1">
      <c r="G9823" s="3336"/>
      <c r="P9823" s="3337"/>
    </row>
    <row r="9824" spans="7:16" s="1634" customFormat="1">
      <c r="G9824" s="3336"/>
      <c r="P9824" s="3337"/>
    </row>
    <row r="9825" spans="7:16" s="1634" customFormat="1">
      <c r="G9825" s="3336"/>
      <c r="P9825" s="3337"/>
    </row>
    <row r="9826" spans="7:16" s="1634" customFormat="1">
      <c r="G9826" s="3336"/>
      <c r="P9826" s="3337"/>
    </row>
    <row r="9827" spans="7:16" s="1634" customFormat="1">
      <c r="G9827" s="3336"/>
      <c r="P9827" s="3337"/>
    </row>
    <row r="9828" spans="7:16" s="1634" customFormat="1">
      <c r="G9828" s="3336"/>
      <c r="P9828" s="3337"/>
    </row>
    <row r="9829" spans="7:16" s="1634" customFormat="1">
      <c r="G9829" s="3336"/>
      <c r="P9829" s="3337"/>
    </row>
    <row r="9830" spans="7:16" s="1634" customFormat="1">
      <c r="G9830" s="3336"/>
      <c r="P9830" s="3337"/>
    </row>
    <row r="9831" spans="7:16" s="1634" customFormat="1">
      <c r="G9831" s="3336"/>
      <c r="P9831" s="3337"/>
    </row>
    <row r="9832" spans="7:16" s="1634" customFormat="1">
      <c r="G9832" s="3336"/>
      <c r="P9832" s="3337"/>
    </row>
    <row r="9833" spans="7:16" s="1634" customFormat="1">
      <c r="G9833" s="3336"/>
      <c r="P9833" s="3337"/>
    </row>
    <row r="9834" spans="7:16" s="1634" customFormat="1">
      <c r="G9834" s="3336"/>
      <c r="P9834" s="3337"/>
    </row>
    <row r="9835" spans="7:16" s="1634" customFormat="1">
      <c r="G9835" s="3336"/>
      <c r="P9835" s="3337"/>
    </row>
    <row r="9836" spans="7:16" s="1634" customFormat="1">
      <c r="G9836" s="3336"/>
      <c r="P9836" s="3337"/>
    </row>
    <row r="9837" spans="7:16" s="1634" customFormat="1">
      <c r="G9837" s="3336"/>
      <c r="P9837" s="3337"/>
    </row>
    <row r="9838" spans="7:16" s="1634" customFormat="1">
      <c r="G9838" s="3336"/>
      <c r="P9838" s="3337"/>
    </row>
    <row r="9839" spans="7:16" s="1634" customFormat="1">
      <c r="G9839" s="3336"/>
      <c r="P9839" s="3337"/>
    </row>
    <row r="9840" spans="7:16" s="1634" customFormat="1">
      <c r="G9840" s="3336"/>
      <c r="P9840" s="3337"/>
    </row>
    <row r="9841" spans="7:16" s="1634" customFormat="1">
      <c r="G9841" s="3336"/>
      <c r="P9841" s="3337"/>
    </row>
    <row r="9842" spans="7:16" s="1634" customFormat="1">
      <c r="G9842" s="3336"/>
      <c r="P9842" s="3337"/>
    </row>
    <row r="9843" spans="7:16" s="1634" customFormat="1">
      <c r="G9843" s="3336"/>
      <c r="P9843" s="3337"/>
    </row>
    <row r="9844" spans="7:16" s="1634" customFormat="1">
      <c r="G9844" s="3336"/>
      <c r="P9844" s="3337"/>
    </row>
    <row r="9845" spans="7:16" s="1634" customFormat="1">
      <c r="G9845" s="3336"/>
      <c r="P9845" s="3337"/>
    </row>
    <row r="9846" spans="7:16" s="1634" customFormat="1">
      <c r="G9846" s="3336"/>
      <c r="P9846" s="3337"/>
    </row>
    <row r="9847" spans="7:16" s="1634" customFormat="1">
      <c r="G9847" s="3336"/>
      <c r="P9847" s="3337"/>
    </row>
    <row r="9848" spans="7:16" s="1634" customFormat="1">
      <c r="G9848" s="3336"/>
      <c r="P9848" s="3337"/>
    </row>
    <row r="9849" spans="7:16" s="1634" customFormat="1">
      <c r="G9849" s="3336"/>
      <c r="P9849" s="3337"/>
    </row>
    <row r="9850" spans="7:16" s="1634" customFormat="1">
      <c r="G9850" s="3336"/>
      <c r="P9850" s="3337"/>
    </row>
    <row r="9851" spans="7:16" s="1634" customFormat="1">
      <c r="G9851" s="3336"/>
      <c r="P9851" s="3337"/>
    </row>
    <row r="9852" spans="7:16" s="1634" customFormat="1">
      <c r="G9852" s="3336"/>
      <c r="P9852" s="3337"/>
    </row>
    <row r="9853" spans="7:16" s="1634" customFormat="1">
      <c r="G9853" s="3336"/>
      <c r="P9853" s="3337"/>
    </row>
    <row r="9854" spans="7:16" s="1634" customFormat="1">
      <c r="G9854" s="3336"/>
      <c r="P9854" s="3337"/>
    </row>
    <row r="9855" spans="7:16" s="1634" customFormat="1">
      <c r="G9855" s="3336"/>
      <c r="P9855" s="3337"/>
    </row>
    <row r="9856" spans="7:16" s="1634" customFormat="1">
      <c r="G9856" s="3336"/>
      <c r="P9856" s="3337"/>
    </row>
    <row r="9857" spans="7:16" s="1634" customFormat="1">
      <c r="G9857" s="3336"/>
      <c r="P9857" s="3337"/>
    </row>
    <row r="9858" spans="7:16" s="1634" customFormat="1">
      <c r="G9858" s="3336"/>
      <c r="P9858" s="3337"/>
    </row>
    <row r="9859" spans="7:16" s="1634" customFormat="1">
      <c r="G9859" s="3336"/>
      <c r="P9859" s="3337"/>
    </row>
    <row r="9860" spans="7:16" s="1634" customFormat="1">
      <c r="G9860" s="3336"/>
      <c r="P9860" s="3337"/>
    </row>
    <row r="9861" spans="7:16" s="1634" customFormat="1">
      <c r="G9861" s="3336"/>
      <c r="P9861" s="3337"/>
    </row>
    <row r="9862" spans="7:16" s="1634" customFormat="1">
      <c r="G9862" s="3336"/>
      <c r="P9862" s="3337"/>
    </row>
    <row r="9863" spans="7:16" s="1634" customFormat="1">
      <c r="G9863" s="3336"/>
      <c r="P9863" s="3337"/>
    </row>
    <row r="9864" spans="7:16" s="1634" customFormat="1">
      <c r="G9864" s="3336"/>
      <c r="P9864" s="3337"/>
    </row>
    <row r="9865" spans="7:16" s="1634" customFormat="1">
      <c r="G9865" s="3336"/>
      <c r="P9865" s="3337"/>
    </row>
    <row r="9866" spans="7:16" s="1634" customFormat="1">
      <c r="G9866" s="3336"/>
      <c r="P9866" s="3337"/>
    </row>
    <row r="9867" spans="7:16" s="1634" customFormat="1">
      <c r="G9867" s="3336"/>
      <c r="P9867" s="3337"/>
    </row>
    <row r="9868" spans="7:16" s="1634" customFormat="1">
      <c r="G9868" s="3336"/>
      <c r="P9868" s="3337"/>
    </row>
    <row r="9869" spans="7:16" s="1634" customFormat="1">
      <c r="G9869" s="3336"/>
      <c r="P9869" s="3337"/>
    </row>
    <row r="9870" spans="7:16" s="1634" customFormat="1">
      <c r="G9870" s="3336"/>
      <c r="P9870" s="3337"/>
    </row>
    <row r="9871" spans="7:16" s="1634" customFormat="1">
      <c r="G9871" s="3336"/>
      <c r="P9871" s="3337"/>
    </row>
    <row r="9872" spans="7:16" s="1634" customFormat="1">
      <c r="G9872" s="3336"/>
      <c r="P9872" s="3337"/>
    </row>
    <row r="9873" spans="7:16" s="1634" customFormat="1">
      <c r="G9873" s="3336"/>
      <c r="P9873" s="3337"/>
    </row>
    <row r="9874" spans="7:16" s="1634" customFormat="1">
      <c r="G9874" s="3336"/>
      <c r="P9874" s="3337"/>
    </row>
    <row r="9875" spans="7:16" s="1634" customFormat="1">
      <c r="G9875" s="3336"/>
      <c r="P9875" s="3337"/>
    </row>
    <row r="9876" spans="7:16" s="1634" customFormat="1">
      <c r="G9876" s="3336"/>
      <c r="P9876" s="3337"/>
    </row>
    <row r="9877" spans="7:16" s="1634" customFormat="1">
      <c r="G9877" s="3336"/>
      <c r="P9877" s="3337"/>
    </row>
    <row r="9878" spans="7:16" s="1634" customFormat="1">
      <c r="G9878" s="3336"/>
      <c r="P9878" s="3337"/>
    </row>
    <row r="9879" spans="7:16" s="1634" customFormat="1">
      <c r="G9879" s="3336"/>
      <c r="P9879" s="3337"/>
    </row>
    <row r="9880" spans="7:16" s="1634" customFormat="1">
      <c r="G9880" s="3336"/>
      <c r="P9880" s="3337"/>
    </row>
    <row r="9881" spans="7:16" s="1634" customFormat="1">
      <c r="G9881" s="3336"/>
      <c r="P9881" s="3337"/>
    </row>
    <row r="9882" spans="7:16" s="1634" customFormat="1">
      <c r="G9882" s="3336"/>
      <c r="P9882" s="3337"/>
    </row>
    <row r="9883" spans="7:16" s="1634" customFormat="1">
      <c r="G9883" s="3336"/>
      <c r="P9883" s="3337"/>
    </row>
    <row r="9884" spans="7:16" s="1634" customFormat="1">
      <c r="G9884" s="3336"/>
      <c r="P9884" s="3337"/>
    </row>
    <row r="9885" spans="7:16" s="1634" customFormat="1">
      <c r="G9885" s="3336"/>
      <c r="P9885" s="3337"/>
    </row>
    <row r="9886" spans="7:16" s="1634" customFormat="1">
      <c r="G9886" s="3336"/>
      <c r="P9886" s="3337"/>
    </row>
    <row r="9887" spans="7:16" s="1634" customFormat="1">
      <c r="G9887" s="3336"/>
      <c r="P9887" s="3337"/>
    </row>
    <row r="9888" spans="7:16" s="1634" customFormat="1">
      <c r="G9888" s="3336"/>
      <c r="P9888" s="3337"/>
    </row>
    <row r="9889" spans="7:16" s="1634" customFormat="1">
      <c r="G9889" s="3336"/>
      <c r="P9889" s="3337"/>
    </row>
    <row r="9890" spans="7:16" s="1634" customFormat="1">
      <c r="G9890" s="3336"/>
      <c r="P9890" s="3337"/>
    </row>
    <row r="9891" spans="7:16" s="1634" customFormat="1">
      <c r="G9891" s="3336"/>
      <c r="P9891" s="3337"/>
    </row>
    <row r="9892" spans="7:16" s="1634" customFormat="1">
      <c r="G9892" s="3336"/>
      <c r="P9892" s="3337"/>
    </row>
    <row r="9893" spans="7:16" s="1634" customFormat="1">
      <c r="G9893" s="3336"/>
      <c r="P9893" s="3337"/>
    </row>
    <row r="9894" spans="7:16" s="1634" customFormat="1">
      <c r="G9894" s="3336"/>
      <c r="P9894" s="3337"/>
    </row>
    <row r="9895" spans="7:16" s="1634" customFormat="1">
      <c r="G9895" s="3336"/>
      <c r="P9895" s="3337"/>
    </row>
    <row r="9896" spans="7:16" s="1634" customFormat="1">
      <c r="G9896" s="3336"/>
      <c r="P9896" s="3337"/>
    </row>
    <row r="9897" spans="7:16" s="1634" customFormat="1">
      <c r="G9897" s="3336"/>
      <c r="P9897" s="3337"/>
    </row>
    <row r="9898" spans="7:16" s="1634" customFormat="1">
      <c r="G9898" s="3336"/>
      <c r="P9898" s="3337"/>
    </row>
    <row r="9899" spans="7:16" s="1634" customFormat="1">
      <c r="G9899" s="3336"/>
      <c r="P9899" s="3337"/>
    </row>
    <row r="9900" spans="7:16" s="1634" customFormat="1">
      <c r="G9900" s="3336"/>
      <c r="P9900" s="3337"/>
    </row>
    <row r="9901" spans="7:16" s="1634" customFormat="1">
      <c r="G9901" s="3336"/>
      <c r="P9901" s="3337"/>
    </row>
    <row r="9902" spans="7:16" s="1634" customFormat="1">
      <c r="G9902" s="3336"/>
      <c r="P9902" s="3337"/>
    </row>
    <row r="9903" spans="7:16" s="1634" customFormat="1">
      <c r="G9903" s="3336"/>
      <c r="P9903" s="3337"/>
    </row>
    <row r="9904" spans="7:16" s="1634" customFormat="1">
      <c r="G9904" s="3336"/>
      <c r="P9904" s="3337"/>
    </row>
    <row r="9905" spans="7:16" s="1634" customFormat="1">
      <c r="G9905" s="3336"/>
      <c r="P9905" s="3337"/>
    </row>
    <row r="9906" spans="7:16" s="1634" customFormat="1">
      <c r="G9906" s="3336"/>
      <c r="P9906" s="3337"/>
    </row>
    <row r="9907" spans="7:16" s="1634" customFormat="1">
      <c r="G9907" s="3336"/>
      <c r="P9907" s="3337"/>
    </row>
    <row r="9908" spans="7:16" s="1634" customFormat="1">
      <c r="G9908" s="3336"/>
      <c r="P9908" s="3337"/>
    </row>
    <row r="9909" spans="7:16" s="1634" customFormat="1">
      <c r="G9909" s="3336"/>
      <c r="P9909" s="3337"/>
    </row>
    <row r="9910" spans="7:16" s="1634" customFormat="1">
      <c r="G9910" s="3336"/>
      <c r="P9910" s="3337"/>
    </row>
    <row r="9911" spans="7:16" s="1634" customFormat="1">
      <c r="G9911" s="3336"/>
      <c r="P9911" s="3337"/>
    </row>
    <row r="9912" spans="7:16" s="1634" customFormat="1">
      <c r="G9912" s="3336"/>
      <c r="P9912" s="3337"/>
    </row>
    <row r="9913" spans="7:16" s="1634" customFormat="1">
      <c r="G9913" s="3336"/>
      <c r="P9913" s="3337"/>
    </row>
    <row r="9914" spans="7:16" s="1634" customFormat="1">
      <c r="G9914" s="3336"/>
      <c r="P9914" s="3337"/>
    </row>
    <row r="9915" spans="7:16" s="1634" customFormat="1">
      <c r="G9915" s="3336"/>
      <c r="P9915" s="3337"/>
    </row>
    <row r="9916" spans="7:16" s="1634" customFormat="1">
      <c r="G9916" s="3336"/>
      <c r="P9916" s="3337"/>
    </row>
    <row r="9917" spans="7:16" s="1634" customFormat="1">
      <c r="G9917" s="3336"/>
      <c r="P9917" s="3337"/>
    </row>
    <row r="9918" spans="7:16" s="1634" customFormat="1">
      <c r="G9918" s="3336"/>
      <c r="P9918" s="3337"/>
    </row>
    <row r="9919" spans="7:16" s="1634" customFormat="1">
      <c r="G9919" s="3336"/>
      <c r="P9919" s="3337"/>
    </row>
    <row r="9920" spans="7:16" s="1634" customFormat="1">
      <c r="G9920" s="3336"/>
      <c r="P9920" s="3337"/>
    </row>
    <row r="9921" spans="7:16" s="1634" customFormat="1">
      <c r="G9921" s="3336"/>
      <c r="P9921" s="3337"/>
    </row>
    <row r="9922" spans="7:16" s="1634" customFormat="1">
      <c r="G9922" s="3336"/>
      <c r="P9922" s="3337"/>
    </row>
    <row r="9923" spans="7:16" s="1634" customFormat="1">
      <c r="G9923" s="3336"/>
      <c r="P9923" s="3337"/>
    </row>
    <row r="9924" spans="7:16" s="1634" customFormat="1">
      <c r="G9924" s="3336"/>
      <c r="P9924" s="3337"/>
    </row>
    <row r="9925" spans="7:16" s="1634" customFormat="1">
      <c r="G9925" s="3336"/>
      <c r="P9925" s="3337"/>
    </row>
    <row r="9926" spans="7:16" s="1634" customFormat="1">
      <c r="G9926" s="3336"/>
      <c r="P9926" s="3337"/>
    </row>
    <row r="9927" spans="7:16" s="1634" customFormat="1">
      <c r="G9927" s="3336"/>
      <c r="P9927" s="3337"/>
    </row>
    <row r="9928" spans="7:16" s="1634" customFormat="1">
      <c r="G9928" s="3336"/>
      <c r="P9928" s="3337"/>
    </row>
    <row r="9929" spans="7:16" s="1634" customFormat="1">
      <c r="G9929" s="3336"/>
      <c r="P9929" s="3337"/>
    </row>
    <row r="9930" spans="7:16" s="1634" customFormat="1">
      <c r="G9930" s="3336"/>
      <c r="P9930" s="3337"/>
    </row>
    <row r="9931" spans="7:16" s="1634" customFormat="1">
      <c r="G9931" s="3336"/>
      <c r="P9931" s="3337"/>
    </row>
    <row r="9932" spans="7:16" s="1634" customFormat="1">
      <c r="G9932" s="3336"/>
      <c r="P9932" s="3337"/>
    </row>
    <row r="9933" spans="7:16" s="1634" customFormat="1">
      <c r="G9933" s="3336"/>
      <c r="P9933" s="3337"/>
    </row>
    <row r="9934" spans="7:16" s="1634" customFormat="1">
      <c r="G9934" s="3336"/>
      <c r="P9934" s="3337"/>
    </row>
    <row r="9935" spans="7:16" s="1634" customFormat="1">
      <c r="G9935" s="3336"/>
      <c r="P9935" s="3337"/>
    </row>
    <row r="9936" spans="7:16" s="1634" customFormat="1">
      <c r="G9936" s="3336"/>
      <c r="P9936" s="3337"/>
    </row>
    <row r="9937" spans="7:16" s="1634" customFormat="1">
      <c r="G9937" s="3336"/>
      <c r="P9937" s="3337"/>
    </row>
    <row r="9938" spans="7:16" s="1634" customFormat="1">
      <c r="G9938" s="3336"/>
      <c r="P9938" s="3337"/>
    </row>
    <row r="9939" spans="7:16" s="1634" customFormat="1">
      <c r="G9939" s="3336"/>
      <c r="P9939" s="3337"/>
    </row>
    <row r="9940" spans="7:16" s="1634" customFormat="1">
      <c r="G9940" s="3336"/>
      <c r="P9940" s="3337"/>
    </row>
    <row r="9941" spans="7:16" s="1634" customFormat="1">
      <c r="G9941" s="3336"/>
      <c r="P9941" s="3337"/>
    </row>
    <row r="9942" spans="7:16" s="1634" customFormat="1">
      <c r="G9942" s="3336"/>
      <c r="P9942" s="3337"/>
    </row>
    <row r="9943" spans="7:16" s="1634" customFormat="1">
      <c r="G9943" s="3336"/>
      <c r="P9943" s="3337"/>
    </row>
    <row r="9944" spans="7:16" s="1634" customFormat="1">
      <c r="G9944" s="3336"/>
      <c r="P9944" s="3337"/>
    </row>
    <row r="9945" spans="7:16" s="1634" customFormat="1">
      <c r="G9945" s="3336"/>
      <c r="P9945" s="3337"/>
    </row>
    <row r="9946" spans="7:16" s="1634" customFormat="1">
      <c r="G9946" s="3336"/>
      <c r="P9946" s="3337"/>
    </row>
    <row r="9947" spans="7:16" s="1634" customFormat="1">
      <c r="G9947" s="3336"/>
      <c r="P9947" s="3337"/>
    </row>
    <row r="9948" spans="7:16" s="1634" customFormat="1">
      <c r="G9948" s="3336"/>
      <c r="P9948" s="3337"/>
    </row>
    <row r="9949" spans="7:16" s="1634" customFormat="1">
      <c r="G9949" s="3336"/>
      <c r="P9949" s="3337"/>
    </row>
    <row r="9950" spans="7:16" s="1634" customFormat="1">
      <c r="G9950" s="3336"/>
      <c r="P9950" s="3337"/>
    </row>
    <row r="9951" spans="7:16" s="1634" customFormat="1">
      <c r="G9951" s="3336"/>
      <c r="P9951" s="3337"/>
    </row>
    <row r="9952" spans="7:16" s="1634" customFormat="1">
      <c r="G9952" s="3336"/>
      <c r="P9952" s="3337"/>
    </row>
    <row r="9953" spans="7:16" s="1634" customFormat="1">
      <c r="G9953" s="3336"/>
      <c r="P9953" s="3337"/>
    </row>
    <row r="9954" spans="7:16" s="1634" customFormat="1">
      <c r="G9954" s="3336"/>
      <c r="P9954" s="3337"/>
    </row>
    <row r="9955" spans="7:16" s="1634" customFormat="1">
      <c r="G9955" s="3336"/>
      <c r="P9955" s="3337"/>
    </row>
    <row r="9956" spans="7:16" s="1634" customFormat="1">
      <c r="G9956" s="3336"/>
      <c r="P9956" s="3337"/>
    </row>
    <row r="9957" spans="7:16" s="1634" customFormat="1">
      <c r="G9957" s="3336"/>
      <c r="P9957" s="3337"/>
    </row>
    <row r="9958" spans="7:16" s="1634" customFormat="1">
      <c r="G9958" s="3336"/>
      <c r="P9958" s="3337"/>
    </row>
    <row r="9959" spans="7:16" s="1634" customFormat="1">
      <c r="G9959" s="3336"/>
      <c r="P9959" s="3337"/>
    </row>
    <row r="9960" spans="7:16" s="1634" customFormat="1">
      <c r="G9960" s="3336"/>
      <c r="P9960" s="3337"/>
    </row>
    <row r="9961" spans="7:16" s="1634" customFormat="1">
      <c r="G9961" s="3336"/>
      <c r="P9961" s="3337"/>
    </row>
    <row r="9962" spans="7:16" s="1634" customFormat="1">
      <c r="G9962" s="3336"/>
      <c r="P9962" s="3337"/>
    </row>
    <row r="9963" spans="7:16" s="1634" customFormat="1">
      <c r="G9963" s="3336"/>
      <c r="P9963" s="3337"/>
    </row>
    <row r="9964" spans="7:16" s="1634" customFormat="1">
      <c r="G9964" s="3336"/>
      <c r="P9964" s="3337"/>
    </row>
    <row r="9965" spans="7:16" s="1634" customFormat="1">
      <c r="G9965" s="3336"/>
      <c r="P9965" s="3337"/>
    </row>
    <row r="9966" spans="7:16" s="1634" customFormat="1">
      <c r="G9966" s="3336"/>
      <c r="P9966" s="3337"/>
    </row>
    <row r="9967" spans="7:16" s="1634" customFormat="1">
      <c r="G9967" s="3336"/>
      <c r="P9967" s="3337"/>
    </row>
    <row r="9968" spans="7:16" s="1634" customFormat="1">
      <c r="G9968" s="3336"/>
      <c r="P9968" s="3337"/>
    </row>
    <row r="9969" spans="7:16" s="1634" customFormat="1">
      <c r="G9969" s="3336"/>
      <c r="P9969" s="3337"/>
    </row>
    <row r="9970" spans="7:16" s="1634" customFormat="1">
      <c r="G9970" s="3336"/>
      <c r="P9970" s="3337"/>
    </row>
    <row r="9971" spans="7:16" s="1634" customFormat="1">
      <c r="G9971" s="3336"/>
      <c r="P9971" s="3337"/>
    </row>
    <row r="9972" spans="7:16" s="1634" customFormat="1">
      <c r="G9972" s="3336"/>
      <c r="P9972" s="3337"/>
    </row>
    <row r="9973" spans="7:16" s="1634" customFormat="1">
      <c r="G9973" s="3336"/>
      <c r="P9973" s="3337"/>
    </row>
    <row r="9974" spans="7:16" s="1634" customFormat="1">
      <c r="G9974" s="3336"/>
      <c r="P9974" s="3337"/>
    </row>
    <row r="9975" spans="7:16" s="1634" customFormat="1">
      <c r="G9975" s="3336"/>
      <c r="P9975" s="3337"/>
    </row>
    <row r="9976" spans="7:16" s="1634" customFormat="1">
      <c r="G9976" s="3336"/>
      <c r="P9976" s="3337"/>
    </row>
    <row r="9977" spans="7:16" s="1634" customFormat="1">
      <c r="G9977" s="3336"/>
      <c r="P9977" s="3337"/>
    </row>
    <row r="9978" spans="7:16" s="1634" customFormat="1">
      <c r="G9978" s="3336"/>
      <c r="P9978" s="3337"/>
    </row>
    <row r="9979" spans="7:16" s="1634" customFormat="1">
      <c r="G9979" s="3336"/>
      <c r="P9979" s="3337"/>
    </row>
    <row r="9980" spans="7:16" s="1634" customFormat="1">
      <c r="G9980" s="3336"/>
      <c r="P9980" s="3337"/>
    </row>
    <row r="9981" spans="7:16" s="1634" customFormat="1">
      <c r="G9981" s="3336"/>
      <c r="P9981" s="3337"/>
    </row>
    <row r="9982" spans="7:16" s="1634" customFormat="1">
      <c r="G9982" s="3336"/>
      <c r="P9982" s="3337"/>
    </row>
    <row r="9983" spans="7:16" s="1634" customFormat="1">
      <c r="G9983" s="3336"/>
      <c r="P9983" s="3337"/>
    </row>
    <row r="9984" spans="7:16" s="1634" customFormat="1">
      <c r="G9984" s="3336"/>
      <c r="P9984" s="3337"/>
    </row>
    <row r="9985" spans="7:16" s="1634" customFormat="1">
      <c r="G9985" s="3336"/>
      <c r="P9985" s="3337"/>
    </row>
    <row r="9986" spans="7:16" s="1634" customFormat="1">
      <c r="G9986" s="3336"/>
      <c r="P9986" s="3337"/>
    </row>
    <row r="9987" spans="7:16" s="1634" customFormat="1">
      <c r="G9987" s="3336"/>
      <c r="P9987" s="3337"/>
    </row>
    <row r="9988" spans="7:16" s="1634" customFormat="1">
      <c r="G9988" s="3336"/>
      <c r="P9988" s="3337"/>
    </row>
    <row r="9989" spans="7:16" s="1634" customFormat="1">
      <c r="G9989" s="3336"/>
      <c r="P9989" s="3337"/>
    </row>
    <row r="9990" spans="7:16" s="1634" customFormat="1">
      <c r="G9990" s="3336"/>
      <c r="P9990" s="3337"/>
    </row>
    <row r="9991" spans="7:16" s="1634" customFormat="1">
      <c r="G9991" s="3336"/>
      <c r="P9991" s="3337"/>
    </row>
    <row r="9992" spans="7:16" s="1634" customFormat="1">
      <c r="G9992" s="3336"/>
      <c r="P9992" s="3337"/>
    </row>
    <row r="9993" spans="7:16" s="1634" customFormat="1">
      <c r="G9993" s="3336"/>
      <c r="P9993" s="3337"/>
    </row>
    <row r="9994" spans="7:16" s="1634" customFormat="1">
      <c r="G9994" s="3336"/>
      <c r="P9994" s="3337"/>
    </row>
    <row r="9995" spans="7:16" s="1634" customFormat="1">
      <c r="G9995" s="3336"/>
      <c r="P9995" s="3337"/>
    </row>
    <row r="9996" spans="7:16" s="1634" customFormat="1">
      <c r="G9996" s="3336"/>
      <c r="P9996" s="3337"/>
    </row>
    <row r="9997" spans="7:16" s="1634" customFormat="1">
      <c r="G9997" s="3336"/>
      <c r="P9997" s="3337"/>
    </row>
    <row r="9998" spans="7:16" s="1634" customFormat="1">
      <c r="G9998" s="3336"/>
      <c r="P9998" s="3337"/>
    </row>
    <row r="9999" spans="7:16" s="1634" customFormat="1">
      <c r="G9999" s="3336"/>
      <c r="P9999" s="3337"/>
    </row>
    <row r="10000" spans="7:16" s="1634" customFormat="1">
      <c r="G10000" s="3336"/>
      <c r="P10000" s="3337"/>
    </row>
    <row r="10001" spans="7:16" s="1634" customFormat="1">
      <c r="G10001" s="3336"/>
      <c r="P10001" s="3337"/>
    </row>
    <row r="10002" spans="7:16" s="1634" customFormat="1">
      <c r="G10002" s="3336"/>
      <c r="P10002" s="3337"/>
    </row>
    <row r="10003" spans="7:16" s="1634" customFormat="1">
      <c r="G10003" s="3336"/>
      <c r="P10003" s="3337"/>
    </row>
    <row r="10004" spans="7:16" s="1634" customFormat="1">
      <c r="G10004" s="3336"/>
      <c r="P10004" s="3337"/>
    </row>
    <row r="10005" spans="7:16" s="1634" customFormat="1">
      <c r="G10005" s="3336"/>
      <c r="P10005" s="3337"/>
    </row>
    <row r="10006" spans="7:16" s="1634" customFormat="1">
      <c r="G10006" s="3336"/>
      <c r="P10006" s="3337"/>
    </row>
    <row r="10007" spans="7:16" s="1634" customFormat="1">
      <c r="G10007" s="3336"/>
      <c r="P10007" s="3337"/>
    </row>
    <row r="10008" spans="7:16" s="1634" customFormat="1">
      <c r="G10008" s="3336"/>
      <c r="P10008" s="3337"/>
    </row>
    <row r="10009" spans="7:16" s="1634" customFormat="1">
      <c r="G10009" s="3336"/>
      <c r="P10009" s="3337"/>
    </row>
    <row r="10010" spans="7:16" s="1634" customFormat="1">
      <c r="G10010" s="3336"/>
      <c r="P10010" s="3337"/>
    </row>
    <row r="10011" spans="7:16" s="1634" customFormat="1">
      <c r="G10011" s="3336"/>
      <c r="P10011" s="3337"/>
    </row>
    <row r="10012" spans="7:16" s="1634" customFormat="1">
      <c r="G10012" s="3336"/>
      <c r="P10012" s="3337"/>
    </row>
    <row r="10013" spans="7:16" s="1634" customFormat="1">
      <c r="G10013" s="3336"/>
      <c r="P10013" s="3337"/>
    </row>
    <row r="10014" spans="7:16" s="1634" customFormat="1">
      <c r="G10014" s="3336"/>
      <c r="P10014" s="3337"/>
    </row>
    <row r="10015" spans="7:16" s="1634" customFormat="1">
      <c r="G10015" s="3336"/>
      <c r="P10015" s="3337"/>
    </row>
    <row r="10016" spans="7:16" s="1634" customFormat="1">
      <c r="G10016" s="3336"/>
      <c r="P10016" s="3337"/>
    </row>
    <row r="10017" spans="7:16" s="1634" customFormat="1">
      <c r="G10017" s="3336"/>
      <c r="P10017" s="3337"/>
    </row>
    <row r="10018" spans="7:16" s="1634" customFormat="1">
      <c r="G10018" s="3336"/>
      <c r="P10018" s="3337"/>
    </row>
    <row r="10019" spans="7:16" s="1634" customFormat="1">
      <c r="G10019" s="3336"/>
      <c r="P10019" s="3337"/>
    </row>
    <row r="10020" spans="7:16" s="1634" customFormat="1">
      <c r="G10020" s="3336"/>
      <c r="P10020" s="3337"/>
    </row>
    <row r="10021" spans="7:16" s="1634" customFormat="1">
      <c r="G10021" s="3336"/>
      <c r="P10021" s="3337"/>
    </row>
    <row r="10022" spans="7:16" s="1634" customFormat="1">
      <c r="G10022" s="3336"/>
      <c r="P10022" s="3337"/>
    </row>
    <row r="10023" spans="7:16" s="1634" customFormat="1">
      <c r="G10023" s="3336"/>
      <c r="P10023" s="3337"/>
    </row>
    <row r="10024" spans="7:16" s="1634" customFormat="1">
      <c r="G10024" s="3336"/>
      <c r="P10024" s="3337"/>
    </row>
    <row r="10025" spans="7:16" s="1634" customFormat="1">
      <c r="G10025" s="3336"/>
      <c r="P10025" s="3337"/>
    </row>
    <row r="10026" spans="7:16" s="1634" customFormat="1">
      <c r="G10026" s="3336"/>
      <c r="P10026" s="3337"/>
    </row>
    <row r="10027" spans="7:16" s="1634" customFormat="1">
      <c r="G10027" s="3336"/>
      <c r="P10027" s="3337"/>
    </row>
    <row r="10028" spans="7:16" s="1634" customFormat="1">
      <c r="G10028" s="3336"/>
      <c r="P10028" s="3337"/>
    </row>
    <row r="10029" spans="7:16" s="1634" customFormat="1">
      <c r="G10029" s="3336"/>
      <c r="P10029" s="3337"/>
    </row>
    <row r="10030" spans="7:16" s="1634" customFormat="1">
      <c r="G10030" s="3336"/>
      <c r="P10030" s="3337"/>
    </row>
    <row r="10031" spans="7:16" s="1634" customFormat="1">
      <c r="G10031" s="3336"/>
      <c r="P10031" s="3337"/>
    </row>
    <row r="10032" spans="7:16" s="1634" customFormat="1">
      <c r="G10032" s="3336"/>
      <c r="P10032" s="3337"/>
    </row>
    <row r="10033" spans="7:16" s="1634" customFormat="1">
      <c r="G10033" s="3336"/>
      <c r="P10033" s="3337"/>
    </row>
    <row r="10034" spans="7:16" s="1634" customFormat="1">
      <c r="G10034" s="3336"/>
      <c r="P10034" s="3337"/>
    </row>
    <row r="10035" spans="7:16" s="1634" customFormat="1">
      <c r="G10035" s="3336"/>
      <c r="P10035" s="3337"/>
    </row>
    <row r="10036" spans="7:16" s="1634" customFormat="1">
      <c r="G10036" s="3336"/>
      <c r="P10036" s="3337"/>
    </row>
    <row r="10037" spans="7:16" s="1634" customFormat="1">
      <c r="G10037" s="3336"/>
      <c r="P10037" s="3337"/>
    </row>
    <row r="10038" spans="7:16" s="1634" customFormat="1">
      <c r="G10038" s="3336"/>
      <c r="P10038" s="3337"/>
    </row>
    <row r="10039" spans="7:16" s="1634" customFormat="1">
      <c r="G10039" s="3336"/>
      <c r="P10039" s="3337"/>
    </row>
    <row r="10040" spans="7:16" s="1634" customFormat="1">
      <c r="G10040" s="3336"/>
      <c r="P10040" s="3337"/>
    </row>
    <row r="10041" spans="7:16" s="1634" customFormat="1">
      <c r="G10041" s="3336"/>
      <c r="P10041" s="3337"/>
    </row>
    <row r="10042" spans="7:16" s="1634" customFormat="1">
      <c r="G10042" s="3336"/>
      <c r="P10042" s="3337"/>
    </row>
    <row r="10043" spans="7:16" s="1634" customFormat="1">
      <c r="G10043" s="3336"/>
      <c r="P10043" s="3337"/>
    </row>
    <row r="10044" spans="7:16" s="1634" customFormat="1">
      <c r="G10044" s="3336"/>
      <c r="P10044" s="3337"/>
    </row>
    <row r="10045" spans="7:16" s="1634" customFormat="1">
      <c r="G10045" s="3336"/>
      <c r="P10045" s="3337"/>
    </row>
    <row r="10046" spans="7:16" s="1634" customFormat="1">
      <c r="G10046" s="3336"/>
      <c r="P10046" s="3337"/>
    </row>
    <row r="10047" spans="7:16" s="1634" customFormat="1">
      <c r="G10047" s="3336"/>
      <c r="P10047" s="3337"/>
    </row>
    <row r="10048" spans="7:16" s="1634" customFormat="1">
      <c r="G10048" s="3336"/>
      <c r="P10048" s="3337"/>
    </row>
    <row r="10049" spans="7:16" s="1634" customFormat="1">
      <c r="G10049" s="3336"/>
      <c r="P10049" s="3337"/>
    </row>
    <row r="10050" spans="7:16" s="1634" customFormat="1">
      <c r="G10050" s="3336"/>
      <c r="P10050" s="3337"/>
    </row>
    <row r="10051" spans="7:16" s="1634" customFormat="1">
      <c r="G10051" s="3336"/>
      <c r="P10051" s="3337"/>
    </row>
    <row r="10052" spans="7:16" s="1634" customFormat="1">
      <c r="G10052" s="3336"/>
      <c r="P10052" s="3337"/>
    </row>
    <row r="10053" spans="7:16" s="1634" customFormat="1">
      <c r="G10053" s="3336"/>
      <c r="P10053" s="3337"/>
    </row>
    <row r="10054" spans="7:16" s="1634" customFormat="1">
      <c r="G10054" s="3336"/>
      <c r="P10054" s="3337"/>
    </row>
    <row r="10055" spans="7:16" s="1634" customFormat="1">
      <c r="G10055" s="3336"/>
      <c r="P10055" s="3337"/>
    </row>
    <row r="10056" spans="7:16" s="1634" customFormat="1">
      <c r="G10056" s="3336"/>
      <c r="P10056" s="3337"/>
    </row>
    <row r="10057" spans="7:16" s="1634" customFormat="1">
      <c r="G10057" s="3336"/>
      <c r="P10057" s="3337"/>
    </row>
    <row r="10058" spans="7:16" s="1634" customFormat="1">
      <c r="G10058" s="3336"/>
      <c r="P10058" s="3337"/>
    </row>
    <row r="10059" spans="7:16" s="1634" customFormat="1">
      <c r="G10059" s="3336"/>
      <c r="P10059" s="3337"/>
    </row>
    <row r="10060" spans="7:16" s="1634" customFormat="1">
      <c r="G10060" s="3336"/>
      <c r="P10060" s="3337"/>
    </row>
    <row r="10061" spans="7:16" s="1634" customFormat="1">
      <c r="G10061" s="3336"/>
      <c r="P10061" s="3337"/>
    </row>
    <row r="10062" spans="7:16" s="1634" customFormat="1">
      <c r="G10062" s="3336"/>
      <c r="P10062" s="3337"/>
    </row>
    <row r="10063" spans="7:16" s="1634" customFormat="1">
      <c r="G10063" s="3336"/>
      <c r="P10063" s="3337"/>
    </row>
    <row r="10064" spans="7:16" s="1634" customFormat="1">
      <c r="G10064" s="3336"/>
      <c r="P10064" s="3337"/>
    </row>
    <row r="10065" spans="7:16" s="1634" customFormat="1">
      <c r="G10065" s="3336"/>
      <c r="P10065" s="3337"/>
    </row>
    <row r="10066" spans="7:16" s="1634" customFormat="1">
      <c r="G10066" s="3336"/>
      <c r="P10066" s="3337"/>
    </row>
    <row r="10067" spans="7:16" s="1634" customFormat="1">
      <c r="G10067" s="3336"/>
      <c r="P10067" s="3337"/>
    </row>
    <row r="10068" spans="7:16" s="1634" customFormat="1">
      <c r="G10068" s="3336"/>
      <c r="P10068" s="3337"/>
    </row>
    <row r="10069" spans="7:16" s="1634" customFormat="1">
      <c r="G10069" s="3336"/>
      <c r="P10069" s="3337"/>
    </row>
    <row r="10070" spans="7:16" s="1634" customFormat="1">
      <c r="G10070" s="3336"/>
      <c r="P10070" s="3337"/>
    </row>
    <row r="10071" spans="7:16" s="1634" customFormat="1">
      <c r="G10071" s="3336"/>
      <c r="P10071" s="3337"/>
    </row>
    <row r="10072" spans="7:16" s="1634" customFormat="1">
      <c r="G10072" s="3336"/>
      <c r="P10072" s="3337"/>
    </row>
    <row r="10073" spans="7:16" s="1634" customFormat="1">
      <c r="G10073" s="3336"/>
      <c r="P10073" s="3337"/>
    </row>
    <row r="10074" spans="7:16" s="1634" customFormat="1">
      <c r="G10074" s="3336"/>
      <c r="P10074" s="3337"/>
    </row>
    <row r="10075" spans="7:16" s="1634" customFormat="1">
      <c r="G10075" s="3336"/>
      <c r="P10075" s="3337"/>
    </row>
    <row r="10076" spans="7:16" s="1634" customFormat="1">
      <c r="G10076" s="3336"/>
      <c r="P10076" s="3337"/>
    </row>
    <row r="10077" spans="7:16" s="1634" customFormat="1">
      <c r="G10077" s="3336"/>
      <c r="P10077" s="3337"/>
    </row>
    <row r="10078" spans="7:16" s="1634" customFormat="1">
      <c r="G10078" s="3336"/>
      <c r="P10078" s="3337"/>
    </row>
    <row r="10079" spans="7:16" s="1634" customFormat="1">
      <c r="G10079" s="3336"/>
      <c r="P10079" s="3337"/>
    </row>
    <row r="10080" spans="7:16" s="1634" customFormat="1">
      <c r="G10080" s="3336"/>
      <c r="P10080" s="3337"/>
    </row>
    <row r="10081" spans="7:16" s="1634" customFormat="1">
      <c r="G10081" s="3336"/>
      <c r="P10081" s="3337"/>
    </row>
    <row r="10082" spans="7:16" s="1634" customFormat="1">
      <c r="G10082" s="3336"/>
      <c r="P10082" s="3337"/>
    </row>
    <row r="10083" spans="7:16" s="1634" customFormat="1">
      <c r="G10083" s="3336"/>
      <c r="P10083" s="3337"/>
    </row>
    <row r="10084" spans="7:16" s="1634" customFormat="1">
      <c r="G10084" s="3336"/>
      <c r="P10084" s="3337"/>
    </row>
    <row r="10085" spans="7:16" s="1634" customFormat="1">
      <c r="G10085" s="3336"/>
      <c r="P10085" s="3337"/>
    </row>
    <row r="10086" spans="7:16" s="1634" customFormat="1">
      <c r="G10086" s="3336"/>
      <c r="P10086" s="3337"/>
    </row>
    <row r="10087" spans="7:16" s="1634" customFormat="1">
      <c r="G10087" s="3336"/>
      <c r="P10087" s="3337"/>
    </row>
    <row r="10088" spans="7:16" s="1634" customFormat="1">
      <c r="G10088" s="3336"/>
      <c r="P10088" s="3337"/>
    </row>
    <row r="10089" spans="7:16" s="1634" customFormat="1">
      <c r="G10089" s="3336"/>
      <c r="P10089" s="3337"/>
    </row>
    <row r="10090" spans="7:16" s="1634" customFormat="1">
      <c r="G10090" s="3336"/>
      <c r="P10090" s="3337"/>
    </row>
    <row r="10091" spans="7:16" s="1634" customFormat="1">
      <c r="G10091" s="3336"/>
      <c r="P10091" s="3337"/>
    </row>
    <row r="10092" spans="7:16" s="1634" customFormat="1">
      <c r="G10092" s="3336"/>
      <c r="P10092" s="3337"/>
    </row>
    <row r="10093" spans="7:16" s="1634" customFormat="1">
      <c r="G10093" s="3336"/>
      <c r="P10093" s="3337"/>
    </row>
    <row r="10094" spans="7:16" s="1634" customFormat="1">
      <c r="G10094" s="3336"/>
      <c r="P10094" s="3337"/>
    </row>
    <row r="10095" spans="7:16" s="1634" customFormat="1">
      <c r="G10095" s="3336"/>
      <c r="P10095" s="3337"/>
    </row>
    <row r="10096" spans="7:16" s="1634" customFormat="1">
      <c r="G10096" s="3336"/>
      <c r="P10096" s="3337"/>
    </row>
    <row r="10097" spans="7:16" s="1634" customFormat="1">
      <c r="G10097" s="3336"/>
      <c r="P10097" s="3337"/>
    </row>
    <row r="10098" spans="7:16" s="1634" customFormat="1">
      <c r="G10098" s="3336"/>
      <c r="P10098" s="3337"/>
    </row>
    <row r="10099" spans="7:16" s="1634" customFormat="1">
      <c r="G10099" s="3336"/>
      <c r="P10099" s="3337"/>
    </row>
    <row r="10100" spans="7:16" s="1634" customFormat="1">
      <c r="G10100" s="3336"/>
      <c r="P10100" s="3337"/>
    </row>
    <row r="10101" spans="7:16" s="1634" customFormat="1">
      <c r="G10101" s="3336"/>
      <c r="P10101" s="3337"/>
    </row>
    <row r="10102" spans="7:16" s="1634" customFormat="1">
      <c r="G10102" s="3336"/>
      <c r="P10102" s="3337"/>
    </row>
    <row r="10103" spans="7:16" s="1634" customFormat="1">
      <c r="G10103" s="3336"/>
      <c r="P10103" s="3337"/>
    </row>
    <row r="10104" spans="7:16" s="1634" customFormat="1">
      <c r="G10104" s="3336"/>
      <c r="P10104" s="3337"/>
    </row>
    <row r="10105" spans="7:16" s="1634" customFormat="1">
      <c r="G10105" s="3336"/>
      <c r="P10105" s="3337"/>
    </row>
    <row r="10106" spans="7:16" s="1634" customFormat="1">
      <c r="G10106" s="3336"/>
      <c r="P10106" s="3337"/>
    </row>
    <row r="10107" spans="7:16" s="1634" customFormat="1">
      <c r="G10107" s="3336"/>
      <c r="P10107" s="3337"/>
    </row>
    <row r="10108" spans="7:16" s="1634" customFormat="1">
      <c r="G10108" s="3336"/>
      <c r="P10108" s="3337"/>
    </row>
    <row r="10109" spans="7:16" s="1634" customFormat="1">
      <c r="G10109" s="3336"/>
      <c r="P10109" s="3337"/>
    </row>
    <row r="10110" spans="7:16" s="1634" customFormat="1">
      <c r="G10110" s="3336"/>
      <c r="P10110" s="3337"/>
    </row>
    <row r="10111" spans="7:16" s="1634" customFormat="1">
      <c r="G10111" s="3336"/>
      <c r="P10111" s="3337"/>
    </row>
    <row r="10112" spans="7:16" s="1634" customFormat="1">
      <c r="G10112" s="3336"/>
      <c r="P10112" s="3337"/>
    </row>
    <row r="10113" spans="7:16" s="1634" customFormat="1">
      <c r="G10113" s="3336"/>
      <c r="P10113" s="3337"/>
    </row>
    <row r="10114" spans="7:16" s="1634" customFormat="1">
      <c r="G10114" s="3336"/>
      <c r="P10114" s="3337"/>
    </row>
    <row r="10115" spans="7:16" s="1634" customFormat="1">
      <c r="G10115" s="3336"/>
      <c r="P10115" s="3337"/>
    </row>
    <row r="10116" spans="7:16" s="1634" customFormat="1">
      <c r="G10116" s="3336"/>
      <c r="P10116" s="3337"/>
    </row>
    <row r="10117" spans="7:16" s="1634" customFormat="1">
      <c r="G10117" s="3336"/>
      <c r="P10117" s="3337"/>
    </row>
    <row r="10118" spans="7:16" s="1634" customFormat="1">
      <c r="G10118" s="3336"/>
      <c r="P10118" s="3337"/>
    </row>
    <row r="10119" spans="7:16" s="1634" customFormat="1">
      <c r="G10119" s="3336"/>
      <c r="P10119" s="3337"/>
    </row>
    <row r="10120" spans="7:16" s="1634" customFormat="1">
      <c r="G10120" s="3336"/>
      <c r="P10120" s="3337"/>
    </row>
    <row r="10121" spans="7:16" s="1634" customFormat="1">
      <c r="G10121" s="3336"/>
      <c r="P10121" s="3337"/>
    </row>
    <row r="10122" spans="7:16" s="1634" customFormat="1">
      <c r="G10122" s="3336"/>
      <c r="P10122" s="3337"/>
    </row>
    <row r="10123" spans="7:16" s="1634" customFormat="1">
      <c r="G10123" s="3336"/>
      <c r="P10123" s="3337"/>
    </row>
    <row r="10124" spans="7:16" s="1634" customFormat="1">
      <c r="G10124" s="3336"/>
      <c r="P10124" s="3337"/>
    </row>
    <row r="10125" spans="7:16" s="1634" customFormat="1">
      <c r="G10125" s="3336"/>
      <c r="P10125" s="3337"/>
    </row>
    <row r="10126" spans="7:16" s="1634" customFormat="1">
      <c r="G10126" s="3336"/>
      <c r="P10126" s="3337"/>
    </row>
    <row r="10127" spans="7:16" s="1634" customFormat="1">
      <c r="G10127" s="3336"/>
      <c r="P10127" s="3337"/>
    </row>
    <row r="10128" spans="7:16" s="1634" customFormat="1">
      <c r="G10128" s="3336"/>
      <c r="P10128" s="3337"/>
    </row>
    <row r="10129" spans="7:16" s="1634" customFormat="1">
      <c r="G10129" s="3336"/>
      <c r="P10129" s="3337"/>
    </row>
    <row r="10130" spans="7:16" s="1634" customFormat="1">
      <c r="G10130" s="3336"/>
      <c r="P10130" s="3337"/>
    </row>
    <row r="10131" spans="7:16" s="1634" customFormat="1">
      <c r="G10131" s="3336"/>
      <c r="P10131" s="3337"/>
    </row>
    <row r="10132" spans="7:16" s="1634" customFormat="1">
      <c r="G10132" s="3336"/>
      <c r="P10132" s="3337"/>
    </row>
    <row r="10133" spans="7:16" s="1634" customFormat="1">
      <c r="G10133" s="3336"/>
      <c r="P10133" s="3337"/>
    </row>
    <row r="10134" spans="7:16" s="1634" customFormat="1">
      <c r="G10134" s="3336"/>
      <c r="P10134" s="3337"/>
    </row>
    <row r="10135" spans="7:16" s="1634" customFormat="1">
      <c r="G10135" s="3336"/>
      <c r="P10135" s="3337"/>
    </row>
    <row r="10136" spans="7:16" s="1634" customFormat="1">
      <c r="G10136" s="3336"/>
      <c r="P10136" s="3337"/>
    </row>
    <row r="10137" spans="7:16" s="1634" customFormat="1">
      <c r="G10137" s="3336"/>
      <c r="P10137" s="3337"/>
    </row>
    <row r="10138" spans="7:16" s="1634" customFormat="1">
      <c r="G10138" s="3336"/>
      <c r="P10138" s="3337"/>
    </row>
    <row r="10139" spans="7:16" s="1634" customFormat="1">
      <c r="G10139" s="3336"/>
      <c r="P10139" s="3337"/>
    </row>
    <row r="10140" spans="7:16" s="1634" customFormat="1">
      <c r="G10140" s="3336"/>
      <c r="P10140" s="3337"/>
    </row>
    <row r="10141" spans="7:16" s="1634" customFormat="1">
      <c r="G10141" s="3336"/>
      <c r="P10141" s="3337"/>
    </row>
    <row r="10142" spans="7:16" s="1634" customFormat="1">
      <c r="G10142" s="3336"/>
      <c r="P10142" s="3337"/>
    </row>
    <row r="10143" spans="7:16" s="1634" customFormat="1">
      <c r="G10143" s="3336"/>
      <c r="P10143" s="3337"/>
    </row>
    <row r="10144" spans="7:16" s="1634" customFormat="1">
      <c r="G10144" s="3336"/>
      <c r="P10144" s="3337"/>
    </row>
    <row r="10145" spans="7:16" s="1634" customFormat="1">
      <c r="G10145" s="3336"/>
      <c r="P10145" s="3337"/>
    </row>
    <row r="10146" spans="7:16" s="1634" customFormat="1">
      <c r="G10146" s="3336"/>
      <c r="P10146" s="3337"/>
    </row>
    <row r="10147" spans="7:16" s="1634" customFormat="1">
      <c r="G10147" s="3336"/>
      <c r="P10147" s="3337"/>
    </row>
    <row r="10148" spans="7:16" s="1634" customFormat="1">
      <c r="G10148" s="3336"/>
      <c r="P10148" s="3337"/>
    </row>
    <row r="10149" spans="7:16" s="1634" customFormat="1">
      <c r="G10149" s="3336"/>
      <c r="P10149" s="3337"/>
    </row>
    <row r="10150" spans="7:16" s="1634" customFormat="1">
      <c r="G10150" s="3336"/>
      <c r="P10150" s="3337"/>
    </row>
    <row r="10151" spans="7:16" s="1634" customFormat="1">
      <c r="G10151" s="3336"/>
      <c r="P10151" s="3337"/>
    </row>
    <row r="10152" spans="7:16" s="1634" customFormat="1">
      <c r="G10152" s="3336"/>
      <c r="P10152" s="3337"/>
    </row>
    <row r="10153" spans="7:16" s="1634" customFormat="1">
      <c r="G10153" s="3336"/>
      <c r="P10153" s="3337"/>
    </row>
    <row r="10154" spans="7:16" s="1634" customFormat="1">
      <c r="G10154" s="3336"/>
      <c r="P10154" s="3337"/>
    </row>
    <row r="10155" spans="7:16" s="1634" customFormat="1">
      <c r="G10155" s="3336"/>
      <c r="P10155" s="3337"/>
    </row>
    <row r="10156" spans="7:16" s="1634" customFormat="1">
      <c r="G10156" s="3336"/>
      <c r="P10156" s="3337"/>
    </row>
    <row r="10157" spans="7:16" s="1634" customFormat="1">
      <c r="G10157" s="3336"/>
      <c r="P10157" s="3337"/>
    </row>
    <row r="10158" spans="7:16" s="1634" customFormat="1">
      <c r="G10158" s="3336"/>
      <c r="P10158" s="3337"/>
    </row>
    <row r="10159" spans="7:16" s="1634" customFormat="1">
      <c r="G10159" s="3336"/>
      <c r="P10159" s="3337"/>
    </row>
    <row r="10160" spans="7:16" s="1634" customFormat="1">
      <c r="G10160" s="3336"/>
      <c r="P10160" s="3337"/>
    </row>
    <row r="10161" spans="7:16" s="1634" customFormat="1">
      <c r="G10161" s="3336"/>
      <c r="P10161" s="3337"/>
    </row>
    <row r="10162" spans="7:16" s="1634" customFormat="1">
      <c r="G10162" s="3336"/>
      <c r="P10162" s="3337"/>
    </row>
    <row r="10163" spans="7:16" s="1634" customFormat="1">
      <c r="G10163" s="3336"/>
      <c r="P10163" s="3337"/>
    </row>
    <row r="10164" spans="7:16" s="1634" customFormat="1">
      <c r="G10164" s="3336"/>
      <c r="P10164" s="3337"/>
    </row>
    <row r="10165" spans="7:16" s="1634" customFormat="1">
      <c r="G10165" s="3336"/>
      <c r="P10165" s="3337"/>
    </row>
    <row r="10166" spans="7:16" s="1634" customFormat="1">
      <c r="G10166" s="3336"/>
      <c r="P10166" s="3337"/>
    </row>
    <row r="10167" spans="7:16" s="1634" customFormat="1">
      <c r="G10167" s="3336"/>
      <c r="P10167" s="3337"/>
    </row>
    <row r="10168" spans="7:16" s="1634" customFormat="1">
      <c r="G10168" s="3336"/>
      <c r="P10168" s="3337"/>
    </row>
    <row r="10169" spans="7:16" s="1634" customFormat="1">
      <c r="G10169" s="3336"/>
      <c r="P10169" s="3337"/>
    </row>
    <row r="10170" spans="7:16" s="1634" customFormat="1">
      <c r="G10170" s="3336"/>
      <c r="P10170" s="3337"/>
    </row>
    <row r="10171" spans="7:16" s="1634" customFormat="1">
      <c r="G10171" s="3336"/>
      <c r="P10171" s="3337"/>
    </row>
    <row r="10172" spans="7:16" s="1634" customFormat="1">
      <c r="G10172" s="3336"/>
      <c r="P10172" s="3337"/>
    </row>
    <row r="10173" spans="7:16" s="1634" customFormat="1">
      <c r="G10173" s="3336"/>
      <c r="P10173" s="3337"/>
    </row>
    <row r="10174" spans="7:16" s="1634" customFormat="1">
      <c r="G10174" s="3336"/>
      <c r="P10174" s="3337"/>
    </row>
    <row r="10175" spans="7:16" s="1634" customFormat="1">
      <c r="G10175" s="3336"/>
      <c r="P10175" s="3337"/>
    </row>
    <row r="10176" spans="7:16" s="1634" customFormat="1">
      <c r="G10176" s="3336"/>
      <c r="P10176" s="3337"/>
    </row>
    <row r="10177" spans="7:16" s="1634" customFormat="1">
      <c r="G10177" s="3336"/>
      <c r="P10177" s="3337"/>
    </row>
    <row r="10178" spans="7:16" s="1634" customFormat="1">
      <c r="G10178" s="3336"/>
      <c r="P10178" s="3337"/>
    </row>
    <row r="10179" spans="7:16" s="1634" customFormat="1">
      <c r="G10179" s="3336"/>
      <c r="P10179" s="3337"/>
    </row>
    <row r="10180" spans="7:16" s="1634" customFormat="1">
      <c r="G10180" s="3336"/>
      <c r="P10180" s="3337"/>
    </row>
    <row r="10181" spans="7:16" s="1634" customFormat="1">
      <c r="G10181" s="3336"/>
      <c r="P10181" s="3337"/>
    </row>
    <row r="10182" spans="7:16" s="1634" customFormat="1">
      <c r="G10182" s="3336"/>
      <c r="P10182" s="3337"/>
    </row>
    <row r="10183" spans="7:16" s="1634" customFormat="1">
      <c r="G10183" s="3336"/>
      <c r="P10183" s="3337"/>
    </row>
    <row r="10184" spans="7:16" s="1634" customFormat="1">
      <c r="G10184" s="3336"/>
      <c r="P10184" s="3337"/>
    </row>
    <row r="10185" spans="7:16" s="1634" customFormat="1">
      <c r="G10185" s="3336"/>
      <c r="P10185" s="3337"/>
    </row>
    <row r="10186" spans="7:16" s="1634" customFormat="1">
      <c r="G10186" s="3336"/>
      <c r="P10186" s="3337"/>
    </row>
    <row r="10187" spans="7:16" s="1634" customFormat="1">
      <c r="G10187" s="3336"/>
      <c r="P10187" s="3337"/>
    </row>
    <row r="10188" spans="7:16" s="1634" customFormat="1">
      <c r="G10188" s="3336"/>
      <c r="P10188" s="3337"/>
    </row>
    <row r="10189" spans="7:16" s="1634" customFormat="1">
      <c r="G10189" s="3336"/>
      <c r="P10189" s="3337"/>
    </row>
    <row r="10190" spans="7:16" s="1634" customFormat="1">
      <c r="G10190" s="3336"/>
      <c r="P10190" s="3337"/>
    </row>
    <row r="10191" spans="7:16" s="1634" customFormat="1">
      <c r="G10191" s="3336"/>
      <c r="P10191" s="3337"/>
    </row>
    <row r="10192" spans="7:16" s="1634" customFormat="1">
      <c r="G10192" s="3336"/>
      <c r="P10192" s="3337"/>
    </row>
    <row r="10193" spans="7:16" s="1634" customFormat="1">
      <c r="G10193" s="3336"/>
      <c r="P10193" s="3337"/>
    </row>
    <row r="10194" spans="7:16" s="1634" customFormat="1">
      <c r="G10194" s="3336"/>
      <c r="P10194" s="3337"/>
    </row>
    <row r="10195" spans="7:16" s="1634" customFormat="1">
      <c r="G10195" s="3336"/>
      <c r="P10195" s="3337"/>
    </row>
    <row r="10196" spans="7:16" s="1634" customFormat="1">
      <c r="G10196" s="3336"/>
      <c r="P10196" s="3337"/>
    </row>
    <row r="10197" spans="7:16" s="1634" customFormat="1">
      <c r="G10197" s="3336"/>
      <c r="P10197" s="3337"/>
    </row>
    <row r="10198" spans="7:16" s="1634" customFormat="1">
      <c r="G10198" s="3336"/>
      <c r="P10198" s="3337"/>
    </row>
    <row r="10199" spans="7:16" s="1634" customFormat="1">
      <c r="G10199" s="3336"/>
      <c r="P10199" s="3337"/>
    </row>
    <row r="10200" spans="7:16" s="1634" customFormat="1">
      <c r="G10200" s="3336"/>
      <c r="P10200" s="3337"/>
    </row>
    <row r="10201" spans="7:16" s="1634" customFormat="1">
      <c r="G10201" s="3336"/>
      <c r="P10201" s="3337"/>
    </row>
    <row r="10202" spans="7:16" s="1634" customFormat="1">
      <c r="G10202" s="3336"/>
      <c r="P10202" s="3337"/>
    </row>
    <row r="10203" spans="7:16" s="1634" customFormat="1">
      <c r="G10203" s="3336"/>
      <c r="P10203" s="3337"/>
    </row>
    <row r="10204" spans="7:16" s="1634" customFormat="1">
      <c r="G10204" s="3336"/>
      <c r="P10204" s="3337"/>
    </row>
    <row r="10205" spans="7:16" s="1634" customFormat="1">
      <c r="G10205" s="3336"/>
      <c r="P10205" s="3337"/>
    </row>
    <row r="10206" spans="7:16" s="1634" customFormat="1">
      <c r="G10206" s="3336"/>
      <c r="P10206" s="3337"/>
    </row>
    <row r="10207" spans="7:16" s="1634" customFormat="1">
      <c r="G10207" s="3336"/>
      <c r="P10207" s="3337"/>
    </row>
    <row r="10208" spans="7:16" s="1634" customFormat="1">
      <c r="G10208" s="3336"/>
      <c r="P10208" s="3337"/>
    </row>
    <row r="10209" spans="7:16" s="1634" customFormat="1">
      <c r="G10209" s="3336"/>
      <c r="P10209" s="3337"/>
    </row>
    <row r="10210" spans="7:16" s="1634" customFormat="1">
      <c r="G10210" s="3336"/>
      <c r="P10210" s="3337"/>
    </row>
    <row r="10211" spans="7:16" s="1634" customFormat="1">
      <c r="G10211" s="3336"/>
      <c r="P10211" s="3337"/>
    </row>
    <row r="10212" spans="7:16" s="1634" customFormat="1">
      <c r="G10212" s="3336"/>
      <c r="P10212" s="3337"/>
    </row>
    <row r="10213" spans="7:16" s="1634" customFormat="1">
      <c r="G10213" s="3336"/>
      <c r="P10213" s="3337"/>
    </row>
    <row r="10214" spans="7:16" s="1634" customFormat="1">
      <c r="G10214" s="3336"/>
      <c r="P10214" s="3337"/>
    </row>
    <row r="10215" spans="7:16" s="1634" customFormat="1">
      <c r="G10215" s="3336"/>
      <c r="P10215" s="3337"/>
    </row>
    <row r="10216" spans="7:16" s="1634" customFormat="1">
      <c r="G10216" s="3336"/>
      <c r="P10216" s="3337"/>
    </row>
    <row r="10217" spans="7:16" s="1634" customFormat="1">
      <c r="G10217" s="3336"/>
      <c r="P10217" s="3337"/>
    </row>
    <row r="10218" spans="7:16" s="1634" customFormat="1">
      <c r="G10218" s="3336"/>
      <c r="P10218" s="3337"/>
    </row>
    <row r="10219" spans="7:16" s="1634" customFormat="1">
      <c r="G10219" s="3336"/>
      <c r="P10219" s="3337"/>
    </row>
    <row r="10220" spans="7:16" s="1634" customFormat="1">
      <c r="G10220" s="3336"/>
      <c r="P10220" s="3337"/>
    </row>
    <row r="10221" spans="7:16" s="1634" customFormat="1">
      <c r="G10221" s="3336"/>
      <c r="P10221" s="3337"/>
    </row>
    <row r="10222" spans="7:16" s="1634" customFormat="1">
      <c r="G10222" s="3336"/>
      <c r="P10222" s="3337"/>
    </row>
    <row r="10223" spans="7:16" s="1634" customFormat="1">
      <c r="G10223" s="3336"/>
      <c r="P10223" s="3337"/>
    </row>
    <row r="10224" spans="7:16" s="1634" customFormat="1">
      <c r="G10224" s="3336"/>
      <c r="P10224" s="3337"/>
    </row>
    <row r="10225" spans="7:16" s="1634" customFormat="1">
      <c r="G10225" s="3336"/>
      <c r="P10225" s="3337"/>
    </row>
    <row r="10226" spans="7:16" s="1634" customFormat="1">
      <c r="G10226" s="3336"/>
      <c r="P10226" s="3337"/>
    </row>
    <row r="10227" spans="7:16" s="1634" customFormat="1">
      <c r="G10227" s="3336"/>
      <c r="P10227" s="3337"/>
    </row>
    <row r="10228" spans="7:16" s="1634" customFormat="1">
      <c r="G10228" s="3336"/>
      <c r="P10228" s="3337"/>
    </row>
    <row r="10229" spans="7:16" s="1634" customFormat="1">
      <c r="G10229" s="3336"/>
      <c r="P10229" s="3337"/>
    </row>
    <row r="10230" spans="7:16" s="1634" customFormat="1">
      <c r="G10230" s="3336"/>
      <c r="P10230" s="3337"/>
    </row>
    <row r="10231" spans="7:16" s="1634" customFormat="1">
      <c r="G10231" s="3336"/>
      <c r="P10231" s="3337"/>
    </row>
    <row r="10232" spans="7:16" s="1634" customFormat="1">
      <c r="G10232" s="3336"/>
      <c r="P10232" s="3337"/>
    </row>
    <row r="10233" spans="7:16" s="1634" customFormat="1">
      <c r="G10233" s="3336"/>
      <c r="P10233" s="3337"/>
    </row>
    <row r="10234" spans="7:16" s="1634" customFormat="1">
      <c r="G10234" s="3336"/>
      <c r="P10234" s="3337"/>
    </row>
    <row r="10235" spans="7:16" s="1634" customFormat="1">
      <c r="G10235" s="3336"/>
      <c r="P10235" s="3337"/>
    </row>
    <row r="10236" spans="7:16" s="1634" customFormat="1">
      <c r="G10236" s="3336"/>
      <c r="P10236" s="3337"/>
    </row>
    <row r="10237" spans="7:16" s="1634" customFormat="1">
      <c r="G10237" s="3336"/>
      <c r="P10237" s="3337"/>
    </row>
    <row r="10238" spans="7:16" s="1634" customFormat="1">
      <c r="G10238" s="3336"/>
      <c r="P10238" s="3337"/>
    </row>
    <row r="10239" spans="7:16" s="1634" customFormat="1">
      <c r="G10239" s="3336"/>
      <c r="P10239" s="3337"/>
    </row>
    <row r="10240" spans="7:16" s="1634" customFormat="1">
      <c r="G10240" s="3336"/>
      <c r="P10240" s="3337"/>
    </row>
    <row r="10241" spans="7:16" s="1634" customFormat="1">
      <c r="G10241" s="3336"/>
      <c r="P10241" s="3337"/>
    </row>
    <row r="10242" spans="7:16" s="1634" customFormat="1">
      <c r="G10242" s="3336"/>
      <c r="P10242" s="3337"/>
    </row>
    <row r="10243" spans="7:16" s="1634" customFormat="1">
      <c r="G10243" s="3336"/>
      <c r="P10243" s="3337"/>
    </row>
    <row r="10244" spans="7:16" s="1634" customFormat="1">
      <c r="G10244" s="3336"/>
      <c r="P10244" s="3337"/>
    </row>
    <row r="10245" spans="7:16" s="1634" customFormat="1">
      <c r="G10245" s="3336"/>
      <c r="P10245" s="3337"/>
    </row>
    <row r="10246" spans="7:16" s="1634" customFormat="1">
      <c r="G10246" s="3336"/>
      <c r="P10246" s="3337"/>
    </row>
    <row r="10247" spans="7:16" s="1634" customFormat="1">
      <c r="G10247" s="3336"/>
      <c r="P10247" s="3337"/>
    </row>
    <row r="10248" spans="7:16" s="1634" customFormat="1">
      <c r="G10248" s="3336"/>
      <c r="P10248" s="3337"/>
    </row>
    <row r="10249" spans="7:16" s="1634" customFormat="1">
      <c r="G10249" s="3336"/>
      <c r="P10249" s="3337"/>
    </row>
    <row r="10250" spans="7:16" s="1634" customFormat="1">
      <c r="G10250" s="3336"/>
      <c r="P10250" s="3337"/>
    </row>
    <row r="10251" spans="7:16" s="1634" customFormat="1">
      <c r="G10251" s="3336"/>
      <c r="P10251" s="3337"/>
    </row>
    <row r="10252" spans="7:16" s="1634" customFormat="1">
      <c r="G10252" s="3336"/>
      <c r="P10252" s="3337"/>
    </row>
    <row r="10253" spans="7:16" s="1634" customFormat="1">
      <c r="G10253" s="3336"/>
      <c r="P10253" s="3337"/>
    </row>
    <row r="10254" spans="7:16" s="1634" customFormat="1">
      <c r="G10254" s="3336"/>
      <c r="P10254" s="3337"/>
    </row>
    <row r="10255" spans="7:16" s="1634" customFormat="1">
      <c r="G10255" s="3336"/>
      <c r="P10255" s="3337"/>
    </row>
    <row r="10256" spans="7:16" s="1634" customFormat="1">
      <c r="G10256" s="3336"/>
      <c r="P10256" s="3337"/>
    </row>
    <row r="10257" spans="7:16" s="1634" customFormat="1">
      <c r="G10257" s="3336"/>
      <c r="P10257" s="3337"/>
    </row>
    <row r="10258" spans="7:16" s="1634" customFormat="1">
      <c r="G10258" s="3336"/>
      <c r="P10258" s="3337"/>
    </row>
    <row r="10259" spans="7:16" s="1634" customFormat="1">
      <c r="G10259" s="3336"/>
      <c r="P10259" s="3337"/>
    </row>
    <row r="10260" spans="7:16" s="1634" customFormat="1">
      <c r="G10260" s="3336"/>
      <c r="P10260" s="3337"/>
    </row>
    <row r="10261" spans="7:16" s="1634" customFormat="1">
      <c r="G10261" s="3336"/>
      <c r="P10261" s="3337"/>
    </row>
    <row r="10262" spans="7:16" s="1634" customFormat="1">
      <c r="G10262" s="3336"/>
      <c r="P10262" s="3337"/>
    </row>
    <row r="10263" spans="7:16" s="1634" customFormat="1">
      <c r="G10263" s="3336"/>
      <c r="P10263" s="3337"/>
    </row>
    <row r="10264" spans="7:16" s="1634" customFormat="1">
      <c r="G10264" s="3336"/>
      <c r="P10264" s="3337"/>
    </row>
    <row r="10265" spans="7:16" s="1634" customFormat="1">
      <c r="G10265" s="3336"/>
      <c r="P10265" s="3337"/>
    </row>
    <row r="10266" spans="7:16" s="1634" customFormat="1">
      <c r="G10266" s="3336"/>
      <c r="P10266" s="3337"/>
    </row>
    <row r="10267" spans="7:16" s="1634" customFormat="1">
      <c r="G10267" s="3336"/>
      <c r="P10267" s="3337"/>
    </row>
    <row r="10268" spans="7:16" s="1634" customFormat="1">
      <c r="G10268" s="3336"/>
      <c r="P10268" s="3337"/>
    </row>
    <row r="10269" spans="7:16" s="1634" customFormat="1">
      <c r="G10269" s="3336"/>
      <c r="P10269" s="3337"/>
    </row>
    <row r="10270" spans="7:16" s="1634" customFormat="1">
      <c r="G10270" s="3336"/>
      <c r="P10270" s="3337"/>
    </row>
    <row r="10271" spans="7:16" s="1634" customFormat="1">
      <c r="G10271" s="3336"/>
      <c r="P10271" s="3337"/>
    </row>
    <row r="10272" spans="7:16" s="1634" customFormat="1">
      <c r="G10272" s="3336"/>
      <c r="P10272" s="3337"/>
    </row>
    <row r="10273" spans="7:16" s="1634" customFormat="1">
      <c r="G10273" s="3336"/>
      <c r="P10273" s="3337"/>
    </row>
    <row r="10274" spans="7:16" s="1634" customFormat="1">
      <c r="G10274" s="3336"/>
      <c r="P10274" s="3337"/>
    </row>
    <row r="10275" spans="7:16" s="1634" customFormat="1">
      <c r="G10275" s="3336"/>
      <c r="P10275" s="3337"/>
    </row>
    <row r="10276" spans="7:16" s="1634" customFormat="1">
      <c r="G10276" s="3336"/>
      <c r="P10276" s="3337"/>
    </row>
    <row r="10277" spans="7:16" s="1634" customFormat="1">
      <c r="G10277" s="3336"/>
      <c r="P10277" s="3337"/>
    </row>
    <row r="10278" spans="7:16" s="1634" customFormat="1">
      <c r="G10278" s="3336"/>
      <c r="P10278" s="3337"/>
    </row>
    <row r="10279" spans="7:16" s="1634" customFormat="1">
      <c r="G10279" s="3336"/>
      <c r="P10279" s="3337"/>
    </row>
    <row r="10280" spans="7:16" s="1634" customFormat="1">
      <c r="G10280" s="3336"/>
      <c r="P10280" s="3337"/>
    </row>
    <row r="10281" spans="7:16" s="1634" customFormat="1">
      <c r="G10281" s="3336"/>
      <c r="P10281" s="3337"/>
    </row>
    <row r="10282" spans="7:16" s="1634" customFormat="1">
      <c r="G10282" s="3336"/>
      <c r="P10282" s="3337"/>
    </row>
    <row r="10283" spans="7:16" s="1634" customFormat="1">
      <c r="G10283" s="3336"/>
      <c r="P10283" s="3337"/>
    </row>
    <row r="10284" spans="7:16" s="1634" customFormat="1">
      <c r="G10284" s="3336"/>
      <c r="P10284" s="3337"/>
    </row>
    <row r="10285" spans="7:16" s="1634" customFormat="1">
      <c r="G10285" s="3336"/>
      <c r="P10285" s="3337"/>
    </row>
    <row r="10286" spans="7:16" s="1634" customFormat="1">
      <c r="G10286" s="3336"/>
      <c r="P10286" s="3337"/>
    </row>
    <row r="10287" spans="7:16" s="1634" customFormat="1">
      <c r="G10287" s="3336"/>
      <c r="P10287" s="3337"/>
    </row>
    <row r="10288" spans="7:16" s="1634" customFormat="1">
      <c r="G10288" s="3336"/>
      <c r="P10288" s="3337"/>
    </row>
    <row r="10289" spans="7:16" s="1634" customFormat="1">
      <c r="G10289" s="3336"/>
      <c r="P10289" s="3337"/>
    </row>
    <row r="10290" spans="7:16" s="1634" customFormat="1">
      <c r="G10290" s="3336"/>
      <c r="P10290" s="3337"/>
    </row>
    <row r="10291" spans="7:16" s="1634" customFormat="1">
      <c r="G10291" s="3336"/>
      <c r="P10291" s="3337"/>
    </row>
    <row r="10292" spans="7:16" s="1634" customFormat="1">
      <c r="G10292" s="3336"/>
      <c r="P10292" s="3337"/>
    </row>
    <row r="10293" spans="7:16" s="1634" customFormat="1">
      <c r="G10293" s="3336"/>
      <c r="P10293" s="3337"/>
    </row>
    <row r="10294" spans="7:16" s="1634" customFormat="1">
      <c r="G10294" s="3336"/>
      <c r="P10294" s="3337"/>
    </row>
    <row r="10295" spans="7:16" s="1634" customFormat="1">
      <c r="G10295" s="3336"/>
      <c r="P10295" s="3337"/>
    </row>
    <row r="10296" spans="7:16" s="1634" customFormat="1">
      <c r="G10296" s="3336"/>
      <c r="P10296" s="3337"/>
    </row>
    <row r="10297" spans="7:16" s="1634" customFormat="1">
      <c r="G10297" s="3336"/>
      <c r="P10297" s="3337"/>
    </row>
    <row r="10298" spans="7:16" s="1634" customFormat="1">
      <c r="G10298" s="3336"/>
      <c r="P10298" s="3337"/>
    </row>
    <row r="10299" spans="7:16" s="1634" customFormat="1">
      <c r="G10299" s="3336"/>
      <c r="P10299" s="3337"/>
    </row>
    <row r="10300" spans="7:16" s="1634" customFormat="1">
      <c r="G10300" s="3336"/>
      <c r="P10300" s="3337"/>
    </row>
    <row r="10301" spans="7:16" s="1634" customFormat="1">
      <c r="G10301" s="3336"/>
      <c r="P10301" s="3337"/>
    </row>
    <row r="10302" spans="7:16" s="1634" customFormat="1">
      <c r="G10302" s="3336"/>
      <c r="P10302" s="3337"/>
    </row>
    <row r="10303" spans="7:16" s="1634" customFormat="1">
      <c r="G10303" s="3336"/>
      <c r="P10303" s="3337"/>
    </row>
    <row r="10304" spans="7:16" s="1634" customFormat="1">
      <c r="G10304" s="3336"/>
      <c r="P10304" s="3337"/>
    </row>
    <row r="10305" spans="7:16" s="1634" customFormat="1">
      <c r="G10305" s="3336"/>
      <c r="P10305" s="3337"/>
    </row>
    <row r="10306" spans="7:16" s="1634" customFormat="1">
      <c r="G10306" s="3336"/>
      <c r="P10306" s="3337"/>
    </row>
    <row r="10307" spans="7:16" s="1634" customFormat="1">
      <c r="G10307" s="3336"/>
      <c r="P10307" s="3337"/>
    </row>
    <row r="10308" spans="7:16" s="1634" customFormat="1">
      <c r="G10308" s="3336"/>
      <c r="P10308" s="3337"/>
    </row>
    <row r="10309" spans="7:16" s="1634" customFormat="1">
      <c r="G10309" s="3336"/>
      <c r="P10309" s="3337"/>
    </row>
    <row r="10310" spans="7:16" s="1634" customFormat="1">
      <c r="G10310" s="3336"/>
      <c r="P10310" s="3337"/>
    </row>
    <row r="10311" spans="7:16" s="1634" customFormat="1">
      <c r="G10311" s="3336"/>
      <c r="P10311" s="3337"/>
    </row>
    <row r="10312" spans="7:16" s="1634" customFormat="1">
      <c r="G10312" s="3336"/>
      <c r="P10312" s="3337"/>
    </row>
    <row r="10313" spans="7:16" s="1634" customFormat="1">
      <c r="G10313" s="3336"/>
      <c r="P10313" s="3337"/>
    </row>
    <row r="10314" spans="7:16" s="1634" customFormat="1">
      <c r="G10314" s="3336"/>
      <c r="P10314" s="3337"/>
    </row>
    <row r="10315" spans="7:16" s="1634" customFormat="1">
      <c r="G10315" s="3336"/>
      <c r="P10315" s="3337"/>
    </row>
    <row r="10316" spans="7:16" s="1634" customFormat="1">
      <c r="G10316" s="3336"/>
      <c r="P10316" s="3337"/>
    </row>
    <row r="10317" spans="7:16" s="1634" customFormat="1">
      <c r="G10317" s="3336"/>
      <c r="P10317" s="3337"/>
    </row>
    <row r="10318" spans="7:16" s="1634" customFormat="1">
      <c r="G10318" s="3336"/>
      <c r="P10318" s="3337"/>
    </row>
    <row r="10319" spans="7:16" s="1634" customFormat="1">
      <c r="G10319" s="3336"/>
      <c r="P10319" s="3337"/>
    </row>
    <row r="10320" spans="7:16" s="1634" customFormat="1">
      <c r="G10320" s="3336"/>
      <c r="P10320" s="3337"/>
    </row>
    <row r="10321" spans="7:16" s="1634" customFormat="1">
      <c r="G10321" s="3336"/>
      <c r="P10321" s="3337"/>
    </row>
    <row r="10322" spans="7:16" s="1634" customFormat="1">
      <c r="G10322" s="3336"/>
      <c r="P10322" s="3337"/>
    </row>
    <row r="10323" spans="7:16" s="1634" customFormat="1">
      <c r="G10323" s="3336"/>
      <c r="P10323" s="3337"/>
    </row>
    <row r="10324" spans="7:16" s="1634" customFormat="1">
      <c r="G10324" s="3336"/>
      <c r="P10324" s="3337"/>
    </row>
    <row r="10325" spans="7:16" s="1634" customFormat="1">
      <c r="G10325" s="3336"/>
      <c r="P10325" s="3337"/>
    </row>
    <row r="10326" spans="7:16" s="1634" customFormat="1">
      <c r="G10326" s="3336"/>
      <c r="P10326" s="3337"/>
    </row>
    <row r="10327" spans="7:16" s="1634" customFormat="1">
      <c r="G10327" s="3336"/>
      <c r="P10327" s="3337"/>
    </row>
    <row r="10328" spans="7:16" s="1634" customFormat="1">
      <c r="G10328" s="3336"/>
      <c r="P10328" s="3337"/>
    </row>
    <row r="10329" spans="7:16" s="1634" customFormat="1">
      <c r="G10329" s="3336"/>
      <c r="P10329" s="3337"/>
    </row>
    <row r="10330" spans="7:16" s="1634" customFormat="1">
      <c r="G10330" s="3336"/>
      <c r="P10330" s="3337"/>
    </row>
    <row r="10331" spans="7:16" s="1634" customFormat="1">
      <c r="G10331" s="3336"/>
      <c r="P10331" s="3337"/>
    </row>
    <row r="10332" spans="7:16" s="1634" customFormat="1">
      <c r="G10332" s="3336"/>
      <c r="P10332" s="3337"/>
    </row>
    <row r="10333" spans="7:16" s="1634" customFormat="1">
      <c r="G10333" s="3336"/>
      <c r="P10333" s="3337"/>
    </row>
    <row r="10334" spans="7:16" s="1634" customFormat="1">
      <c r="G10334" s="3336"/>
      <c r="P10334" s="3337"/>
    </row>
    <row r="10335" spans="7:16" s="1634" customFormat="1">
      <c r="G10335" s="3336"/>
      <c r="P10335" s="3337"/>
    </row>
    <row r="10336" spans="7:16" s="1634" customFormat="1">
      <c r="G10336" s="3336"/>
      <c r="P10336" s="3337"/>
    </row>
    <row r="10337" spans="7:16" s="1634" customFormat="1">
      <c r="G10337" s="3336"/>
      <c r="P10337" s="3337"/>
    </row>
    <row r="10338" spans="7:16" s="1634" customFormat="1">
      <c r="G10338" s="3336"/>
      <c r="P10338" s="3337"/>
    </row>
    <row r="10339" spans="7:16" s="1634" customFormat="1">
      <c r="G10339" s="3336"/>
      <c r="P10339" s="3337"/>
    </row>
    <row r="10340" spans="7:16" s="1634" customFormat="1">
      <c r="G10340" s="3336"/>
      <c r="P10340" s="3337"/>
    </row>
    <row r="10341" spans="7:16" s="1634" customFormat="1">
      <c r="G10341" s="3336"/>
      <c r="P10341" s="3337"/>
    </row>
    <row r="10342" spans="7:16" s="1634" customFormat="1">
      <c r="G10342" s="3336"/>
      <c r="P10342" s="3337"/>
    </row>
    <row r="10343" spans="7:16" s="1634" customFormat="1">
      <c r="G10343" s="3336"/>
      <c r="P10343" s="3337"/>
    </row>
    <row r="10344" spans="7:16" s="1634" customFormat="1">
      <c r="G10344" s="3336"/>
      <c r="P10344" s="3337"/>
    </row>
    <row r="10345" spans="7:16" s="1634" customFormat="1">
      <c r="G10345" s="3336"/>
      <c r="P10345" s="3337"/>
    </row>
    <row r="10346" spans="7:16" s="1634" customFormat="1">
      <c r="G10346" s="3336"/>
      <c r="P10346" s="3337"/>
    </row>
    <row r="10347" spans="7:16" s="1634" customFormat="1">
      <c r="G10347" s="3336"/>
      <c r="P10347" s="3337"/>
    </row>
    <row r="10348" spans="7:16" s="1634" customFormat="1">
      <c r="G10348" s="3336"/>
      <c r="P10348" s="3337"/>
    </row>
    <row r="10349" spans="7:16" s="1634" customFormat="1">
      <c r="G10349" s="3336"/>
      <c r="P10349" s="3337"/>
    </row>
    <row r="10350" spans="7:16" s="1634" customFormat="1">
      <c r="G10350" s="3336"/>
      <c r="P10350" s="3337"/>
    </row>
    <row r="10351" spans="7:16" s="1634" customFormat="1">
      <c r="G10351" s="3336"/>
      <c r="P10351" s="3337"/>
    </row>
    <row r="10352" spans="7:16" s="1634" customFormat="1">
      <c r="G10352" s="3336"/>
      <c r="P10352" s="3337"/>
    </row>
    <row r="10353" spans="7:16" s="1634" customFormat="1">
      <c r="G10353" s="3336"/>
      <c r="P10353" s="3337"/>
    </row>
    <row r="10354" spans="7:16" s="1634" customFormat="1">
      <c r="G10354" s="3336"/>
      <c r="P10354" s="3337"/>
    </row>
    <row r="10355" spans="7:16" s="1634" customFormat="1">
      <c r="G10355" s="3336"/>
      <c r="P10355" s="3337"/>
    </row>
    <row r="10356" spans="7:16" s="1634" customFormat="1">
      <c r="G10356" s="3336"/>
      <c r="P10356" s="3337"/>
    </row>
    <row r="10357" spans="7:16" s="1634" customFormat="1">
      <c r="G10357" s="3336"/>
      <c r="P10357" s="3337"/>
    </row>
    <row r="10358" spans="7:16" s="1634" customFormat="1">
      <c r="G10358" s="3336"/>
      <c r="P10358" s="3337"/>
    </row>
    <row r="10359" spans="7:16" s="1634" customFormat="1">
      <c r="G10359" s="3336"/>
      <c r="P10359" s="3337"/>
    </row>
    <row r="10360" spans="7:16" s="1634" customFormat="1">
      <c r="G10360" s="3336"/>
      <c r="P10360" s="3337"/>
    </row>
    <row r="10361" spans="7:16" s="1634" customFormat="1">
      <c r="G10361" s="3336"/>
      <c r="P10361" s="3337"/>
    </row>
    <row r="10362" spans="7:16" s="1634" customFormat="1">
      <c r="G10362" s="3336"/>
      <c r="P10362" s="3337"/>
    </row>
    <row r="10363" spans="7:16" s="1634" customFormat="1">
      <c r="G10363" s="3336"/>
      <c r="P10363" s="3337"/>
    </row>
    <row r="10364" spans="7:16" s="1634" customFormat="1">
      <c r="G10364" s="3336"/>
      <c r="P10364" s="3337"/>
    </row>
    <row r="10365" spans="7:16" s="1634" customFormat="1">
      <c r="G10365" s="3336"/>
      <c r="P10365" s="3337"/>
    </row>
    <row r="10366" spans="7:16" s="1634" customFormat="1">
      <c r="G10366" s="3336"/>
      <c r="P10366" s="3337"/>
    </row>
    <row r="10367" spans="7:16" s="1634" customFormat="1">
      <c r="G10367" s="3336"/>
      <c r="P10367" s="3337"/>
    </row>
    <row r="10368" spans="7:16" s="1634" customFormat="1">
      <c r="G10368" s="3336"/>
      <c r="P10368" s="3337"/>
    </row>
    <row r="10369" spans="7:16" s="1634" customFormat="1">
      <c r="G10369" s="3336"/>
      <c r="P10369" s="3337"/>
    </row>
    <row r="10370" spans="7:16" s="1634" customFormat="1">
      <c r="G10370" s="3336"/>
      <c r="P10370" s="3337"/>
    </row>
    <row r="10371" spans="7:16" s="1634" customFormat="1">
      <c r="G10371" s="3336"/>
      <c r="P10371" s="3337"/>
    </row>
    <row r="10372" spans="7:16" s="1634" customFormat="1">
      <c r="G10372" s="3336"/>
      <c r="P10372" s="3337"/>
    </row>
    <row r="10373" spans="7:16" s="1634" customFormat="1">
      <c r="G10373" s="3336"/>
      <c r="P10373" s="3337"/>
    </row>
    <row r="10374" spans="7:16" s="1634" customFormat="1">
      <c r="G10374" s="3336"/>
      <c r="P10374" s="3337"/>
    </row>
    <row r="10375" spans="7:16" s="1634" customFormat="1">
      <c r="G10375" s="3336"/>
      <c r="P10375" s="3337"/>
    </row>
    <row r="10376" spans="7:16" s="1634" customFormat="1">
      <c r="G10376" s="3336"/>
      <c r="P10376" s="3337"/>
    </row>
    <row r="10377" spans="7:16" s="1634" customFormat="1">
      <c r="G10377" s="3336"/>
      <c r="P10377" s="3337"/>
    </row>
    <row r="10378" spans="7:16" s="1634" customFormat="1">
      <c r="G10378" s="3336"/>
      <c r="P10378" s="3337"/>
    </row>
    <row r="10379" spans="7:16" s="1634" customFormat="1">
      <c r="G10379" s="3336"/>
      <c r="P10379" s="3337"/>
    </row>
    <row r="10380" spans="7:16" s="1634" customFormat="1">
      <c r="G10380" s="3336"/>
      <c r="P10380" s="3337"/>
    </row>
    <row r="10381" spans="7:16" s="1634" customFormat="1">
      <c r="G10381" s="3336"/>
      <c r="P10381" s="3337"/>
    </row>
    <row r="10382" spans="7:16" s="1634" customFormat="1">
      <c r="G10382" s="3336"/>
      <c r="P10382" s="3337"/>
    </row>
    <row r="10383" spans="7:16" s="1634" customFormat="1">
      <c r="G10383" s="3336"/>
      <c r="P10383" s="3337"/>
    </row>
    <row r="10384" spans="7:16" s="1634" customFormat="1">
      <c r="G10384" s="3336"/>
      <c r="P10384" s="3337"/>
    </row>
    <row r="10385" spans="7:16" s="1634" customFormat="1">
      <c r="G10385" s="3336"/>
      <c r="P10385" s="3337"/>
    </row>
    <row r="10386" spans="7:16" s="1634" customFormat="1">
      <c r="G10386" s="3336"/>
      <c r="P10386" s="3337"/>
    </row>
    <row r="10387" spans="7:16" s="1634" customFormat="1">
      <c r="G10387" s="3336"/>
      <c r="P10387" s="3337"/>
    </row>
    <row r="10388" spans="7:16" s="1634" customFormat="1">
      <c r="G10388" s="3336"/>
      <c r="P10388" s="3337"/>
    </row>
    <row r="10389" spans="7:16" s="1634" customFormat="1">
      <c r="G10389" s="3336"/>
      <c r="P10389" s="3337"/>
    </row>
    <row r="10390" spans="7:16" s="1634" customFormat="1">
      <c r="G10390" s="3336"/>
      <c r="P10390" s="3337"/>
    </row>
    <row r="10391" spans="7:16" s="1634" customFormat="1">
      <c r="G10391" s="3336"/>
      <c r="P10391" s="3337"/>
    </row>
    <row r="10392" spans="7:16" s="1634" customFormat="1">
      <c r="G10392" s="3336"/>
      <c r="P10392" s="3337"/>
    </row>
    <row r="10393" spans="7:16" s="1634" customFormat="1">
      <c r="G10393" s="3336"/>
      <c r="P10393" s="3337"/>
    </row>
    <row r="10394" spans="7:16" s="1634" customFormat="1">
      <c r="G10394" s="3336"/>
      <c r="P10394" s="3337"/>
    </row>
    <row r="10395" spans="7:16" s="1634" customFormat="1">
      <c r="G10395" s="3336"/>
      <c r="P10395" s="3337"/>
    </row>
    <row r="10396" spans="7:16" s="1634" customFormat="1">
      <c r="G10396" s="3336"/>
      <c r="P10396" s="3337"/>
    </row>
    <row r="10397" spans="7:16" s="1634" customFormat="1">
      <c r="G10397" s="3336"/>
      <c r="P10397" s="3337"/>
    </row>
    <row r="10398" spans="7:16" s="1634" customFormat="1">
      <c r="G10398" s="3336"/>
      <c r="P10398" s="3337"/>
    </row>
    <row r="10399" spans="7:16" s="1634" customFormat="1">
      <c r="G10399" s="3336"/>
      <c r="P10399" s="3337"/>
    </row>
    <row r="10400" spans="7:16" s="1634" customFormat="1">
      <c r="G10400" s="3336"/>
      <c r="P10400" s="3337"/>
    </row>
    <row r="10401" spans="7:16" s="1634" customFormat="1">
      <c r="G10401" s="3336"/>
      <c r="P10401" s="3337"/>
    </row>
    <row r="10402" spans="7:16" s="1634" customFormat="1">
      <c r="G10402" s="3336"/>
      <c r="P10402" s="3337"/>
    </row>
    <row r="10403" spans="7:16" s="1634" customFormat="1">
      <c r="G10403" s="3336"/>
      <c r="P10403" s="3337"/>
    </row>
    <row r="10404" spans="7:16" s="1634" customFormat="1">
      <c r="G10404" s="3336"/>
      <c r="P10404" s="3337"/>
    </row>
    <row r="10405" spans="7:16" s="1634" customFormat="1">
      <c r="G10405" s="3336"/>
      <c r="P10405" s="3337"/>
    </row>
    <row r="10406" spans="7:16" s="1634" customFormat="1">
      <c r="G10406" s="3336"/>
      <c r="P10406" s="3337"/>
    </row>
    <row r="10407" spans="7:16" s="1634" customFormat="1">
      <c r="G10407" s="3336"/>
      <c r="P10407" s="3337"/>
    </row>
    <row r="10408" spans="7:16" s="1634" customFormat="1">
      <c r="G10408" s="3336"/>
      <c r="P10408" s="3337"/>
    </row>
    <row r="10409" spans="7:16" s="1634" customFormat="1">
      <c r="G10409" s="3336"/>
      <c r="P10409" s="3337"/>
    </row>
    <row r="10410" spans="7:16" s="1634" customFormat="1">
      <c r="G10410" s="3336"/>
      <c r="P10410" s="3337"/>
    </row>
    <row r="10411" spans="7:16" s="1634" customFormat="1">
      <c r="G10411" s="3336"/>
      <c r="P10411" s="3337"/>
    </row>
    <row r="10412" spans="7:16" s="1634" customFormat="1">
      <c r="G10412" s="3336"/>
      <c r="P10412" s="3337"/>
    </row>
    <row r="10413" spans="7:16" s="1634" customFormat="1">
      <c r="G10413" s="3336"/>
      <c r="P10413" s="3337"/>
    </row>
    <row r="10414" spans="7:16" s="1634" customFormat="1">
      <c r="G10414" s="3336"/>
      <c r="P10414" s="3337"/>
    </row>
    <row r="10415" spans="7:16" s="1634" customFormat="1">
      <c r="G10415" s="3336"/>
      <c r="P10415" s="3337"/>
    </row>
    <row r="10416" spans="7:16" s="1634" customFormat="1">
      <c r="G10416" s="3336"/>
      <c r="P10416" s="3337"/>
    </row>
    <row r="10417" spans="7:16" s="1634" customFormat="1">
      <c r="G10417" s="3336"/>
      <c r="P10417" s="3337"/>
    </row>
    <row r="10418" spans="7:16" s="1634" customFormat="1">
      <c r="G10418" s="3336"/>
      <c r="P10418" s="3337"/>
    </row>
    <row r="10419" spans="7:16" s="1634" customFormat="1">
      <c r="G10419" s="3336"/>
      <c r="P10419" s="3337"/>
    </row>
    <row r="10420" spans="7:16" s="1634" customFormat="1">
      <c r="G10420" s="3336"/>
      <c r="P10420" s="3337"/>
    </row>
    <row r="10421" spans="7:16" s="1634" customFormat="1">
      <c r="G10421" s="3336"/>
      <c r="P10421" s="3337"/>
    </row>
    <row r="10422" spans="7:16" s="1634" customFormat="1">
      <c r="G10422" s="3336"/>
      <c r="P10422" s="3337"/>
    </row>
    <row r="10423" spans="7:16" s="1634" customFormat="1">
      <c r="G10423" s="3336"/>
      <c r="P10423" s="3337"/>
    </row>
    <row r="10424" spans="7:16" s="1634" customFormat="1">
      <c r="G10424" s="3336"/>
      <c r="P10424" s="3337"/>
    </row>
    <row r="10425" spans="7:16" s="1634" customFormat="1">
      <c r="G10425" s="3336"/>
      <c r="P10425" s="3337"/>
    </row>
    <row r="10426" spans="7:16" s="1634" customFormat="1">
      <c r="G10426" s="3336"/>
      <c r="P10426" s="3337"/>
    </row>
    <row r="10427" spans="7:16" s="1634" customFormat="1">
      <c r="G10427" s="3336"/>
      <c r="P10427" s="3337"/>
    </row>
    <row r="10428" spans="7:16" s="1634" customFormat="1">
      <c r="G10428" s="3336"/>
      <c r="P10428" s="3337"/>
    </row>
    <row r="10429" spans="7:16" s="1634" customFormat="1">
      <c r="G10429" s="3336"/>
      <c r="P10429" s="3337"/>
    </row>
    <row r="10430" spans="7:16" s="1634" customFormat="1">
      <c r="G10430" s="3336"/>
      <c r="P10430" s="3337"/>
    </row>
    <row r="10431" spans="7:16" s="1634" customFormat="1">
      <c r="G10431" s="3336"/>
      <c r="P10431" s="3337"/>
    </row>
    <row r="10432" spans="7:16" s="1634" customFormat="1">
      <c r="G10432" s="3336"/>
      <c r="P10432" s="3337"/>
    </row>
    <row r="10433" spans="7:16" s="1634" customFormat="1">
      <c r="G10433" s="3336"/>
      <c r="P10433" s="3337"/>
    </row>
    <row r="10434" spans="7:16" s="1634" customFormat="1">
      <c r="G10434" s="3336"/>
      <c r="P10434" s="3337"/>
    </row>
    <row r="10435" spans="7:16" s="1634" customFormat="1">
      <c r="G10435" s="3336"/>
      <c r="P10435" s="3337"/>
    </row>
    <row r="10436" spans="7:16" s="1634" customFormat="1">
      <c r="G10436" s="3336"/>
      <c r="P10436" s="3337"/>
    </row>
    <row r="10437" spans="7:16" s="1634" customFormat="1">
      <c r="G10437" s="3336"/>
      <c r="P10437" s="3337"/>
    </row>
    <row r="10438" spans="7:16" s="1634" customFormat="1">
      <c r="G10438" s="3336"/>
      <c r="P10438" s="3337"/>
    </row>
    <row r="10439" spans="7:16" s="1634" customFormat="1">
      <c r="G10439" s="3336"/>
      <c r="P10439" s="3337"/>
    </row>
    <row r="10440" spans="7:16" s="1634" customFormat="1">
      <c r="G10440" s="3336"/>
      <c r="P10440" s="3337"/>
    </row>
    <row r="10441" spans="7:16" s="1634" customFormat="1">
      <c r="G10441" s="3336"/>
      <c r="P10441" s="3337"/>
    </row>
    <row r="10442" spans="7:16" s="1634" customFormat="1">
      <c r="G10442" s="3336"/>
      <c r="P10442" s="3337"/>
    </row>
    <row r="10443" spans="7:16" s="1634" customFormat="1">
      <c r="G10443" s="3336"/>
      <c r="P10443" s="3337"/>
    </row>
    <row r="10444" spans="7:16" s="1634" customFormat="1">
      <c r="G10444" s="3336"/>
      <c r="P10444" s="3337"/>
    </row>
    <row r="10445" spans="7:16" s="1634" customFormat="1">
      <c r="G10445" s="3336"/>
      <c r="P10445" s="3337"/>
    </row>
    <row r="10446" spans="7:16" s="1634" customFormat="1">
      <c r="G10446" s="3336"/>
      <c r="P10446" s="3337"/>
    </row>
    <row r="10447" spans="7:16" s="1634" customFormat="1">
      <c r="G10447" s="3336"/>
      <c r="P10447" s="3337"/>
    </row>
    <row r="10448" spans="7:16" s="1634" customFormat="1">
      <c r="G10448" s="3336"/>
      <c r="P10448" s="3337"/>
    </row>
    <row r="10449" spans="7:16" s="1634" customFormat="1">
      <c r="G10449" s="3336"/>
      <c r="P10449" s="3337"/>
    </row>
    <row r="10450" spans="7:16" s="1634" customFormat="1">
      <c r="G10450" s="3336"/>
      <c r="P10450" s="3337"/>
    </row>
    <row r="10451" spans="7:16" s="1634" customFormat="1">
      <c r="G10451" s="3336"/>
      <c r="P10451" s="3337"/>
    </row>
    <row r="10452" spans="7:16" s="1634" customFormat="1">
      <c r="G10452" s="3336"/>
      <c r="P10452" s="3337"/>
    </row>
    <row r="10453" spans="7:16" s="1634" customFormat="1">
      <c r="G10453" s="3336"/>
      <c r="P10453" s="3337"/>
    </row>
    <row r="10454" spans="7:16" s="1634" customFormat="1">
      <c r="G10454" s="3336"/>
      <c r="P10454" s="3337"/>
    </row>
    <row r="10455" spans="7:16" s="1634" customFormat="1">
      <c r="G10455" s="3336"/>
      <c r="P10455" s="3337"/>
    </row>
    <row r="10456" spans="7:16" s="1634" customFormat="1">
      <c r="G10456" s="3336"/>
      <c r="P10456" s="3337"/>
    </row>
    <row r="10457" spans="7:16" s="1634" customFormat="1">
      <c r="G10457" s="3336"/>
      <c r="P10457" s="3337"/>
    </row>
    <row r="10458" spans="7:16" s="1634" customFormat="1">
      <c r="G10458" s="3336"/>
      <c r="P10458" s="3337"/>
    </row>
    <row r="10459" spans="7:16" s="1634" customFormat="1">
      <c r="G10459" s="3336"/>
      <c r="P10459" s="3337"/>
    </row>
    <row r="10460" spans="7:16" s="1634" customFormat="1">
      <c r="G10460" s="3336"/>
      <c r="P10460" s="3337"/>
    </row>
    <row r="10461" spans="7:16" s="1634" customFormat="1">
      <c r="G10461" s="3336"/>
      <c r="P10461" s="3337"/>
    </row>
    <row r="10462" spans="7:16" s="1634" customFormat="1">
      <c r="G10462" s="3336"/>
      <c r="P10462" s="3337"/>
    </row>
    <row r="10463" spans="7:16" s="1634" customFormat="1">
      <c r="G10463" s="3336"/>
      <c r="P10463" s="3337"/>
    </row>
    <row r="10464" spans="7:16" s="1634" customFormat="1">
      <c r="G10464" s="3336"/>
      <c r="P10464" s="3337"/>
    </row>
    <row r="10465" spans="7:16" s="1634" customFormat="1">
      <c r="G10465" s="3336"/>
      <c r="P10465" s="3337"/>
    </row>
    <row r="10466" spans="7:16" s="1634" customFormat="1">
      <c r="G10466" s="3336"/>
      <c r="P10466" s="3337"/>
    </row>
    <row r="10467" spans="7:16" s="1634" customFormat="1">
      <c r="G10467" s="3336"/>
      <c r="P10467" s="3337"/>
    </row>
    <row r="10468" spans="7:16" s="1634" customFormat="1">
      <c r="G10468" s="3336"/>
      <c r="P10468" s="3337"/>
    </row>
    <row r="10469" spans="7:16" s="1634" customFormat="1">
      <c r="G10469" s="3336"/>
      <c r="P10469" s="3337"/>
    </row>
    <row r="10470" spans="7:16" s="1634" customFormat="1">
      <c r="G10470" s="3336"/>
      <c r="P10470" s="3337"/>
    </row>
    <row r="10471" spans="7:16" s="1634" customFormat="1">
      <c r="G10471" s="3336"/>
      <c r="P10471" s="3337"/>
    </row>
    <row r="10472" spans="7:16" s="1634" customFormat="1">
      <c r="G10472" s="3336"/>
      <c r="P10472" s="3337"/>
    </row>
    <row r="10473" spans="7:16" s="1634" customFormat="1">
      <c r="G10473" s="3336"/>
      <c r="P10473" s="3337"/>
    </row>
    <row r="10474" spans="7:16" s="1634" customFormat="1">
      <c r="G10474" s="3336"/>
      <c r="P10474" s="3337"/>
    </row>
    <row r="10475" spans="7:16" s="1634" customFormat="1">
      <c r="G10475" s="3336"/>
      <c r="P10475" s="3337"/>
    </row>
    <row r="10476" spans="7:16" s="1634" customFormat="1">
      <c r="G10476" s="3336"/>
      <c r="P10476" s="3337"/>
    </row>
    <row r="10477" spans="7:16" s="1634" customFormat="1">
      <c r="G10477" s="3336"/>
      <c r="P10477" s="3337"/>
    </row>
    <row r="10478" spans="7:16" s="1634" customFormat="1">
      <c r="G10478" s="3336"/>
      <c r="P10478" s="3337"/>
    </row>
    <row r="10479" spans="7:16" s="1634" customFormat="1">
      <c r="G10479" s="3336"/>
      <c r="P10479" s="3337"/>
    </row>
    <row r="10480" spans="7:16" s="1634" customFormat="1">
      <c r="G10480" s="3336"/>
      <c r="P10480" s="3337"/>
    </row>
    <row r="10481" spans="7:16" s="1634" customFormat="1">
      <c r="G10481" s="3336"/>
      <c r="P10481" s="3337"/>
    </row>
    <row r="10482" spans="7:16" s="1634" customFormat="1">
      <c r="G10482" s="3336"/>
      <c r="P10482" s="3337"/>
    </row>
    <row r="10483" spans="7:16" s="1634" customFormat="1">
      <c r="G10483" s="3336"/>
      <c r="P10483" s="3337"/>
    </row>
    <row r="10484" spans="7:16" s="1634" customFormat="1">
      <c r="G10484" s="3336"/>
      <c r="P10484" s="3337"/>
    </row>
    <row r="10485" spans="7:16" s="1634" customFormat="1">
      <c r="G10485" s="3336"/>
      <c r="P10485" s="3337"/>
    </row>
    <row r="10486" spans="7:16" s="1634" customFormat="1">
      <c r="G10486" s="3336"/>
      <c r="P10486" s="3337"/>
    </row>
    <row r="10487" spans="7:16" s="1634" customFormat="1">
      <c r="G10487" s="3336"/>
      <c r="P10487" s="3337"/>
    </row>
    <row r="10488" spans="7:16" s="1634" customFormat="1">
      <c r="G10488" s="3336"/>
      <c r="P10488" s="3337"/>
    </row>
    <row r="10489" spans="7:16" s="1634" customFormat="1">
      <c r="G10489" s="3336"/>
      <c r="P10489" s="3337"/>
    </row>
    <row r="10490" spans="7:16" s="1634" customFormat="1">
      <c r="G10490" s="3336"/>
      <c r="P10490" s="3337"/>
    </row>
    <row r="10491" spans="7:16" s="1634" customFormat="1">
      <c r="G10491" s="3336"/>
      <c r="P10491" s="3337"/>
    </row>
    <row r="10492" spans="7:16" s="1634" customFormat="1">
      <c r="G10492" s="3336"/>
      <c r="P10492" s="3337"/>
    </row>
    <row r="10493" spans="7:16" s="1634" customFormat="1">
      <c r="G10493" s="3336"/>
      <c r="P10493" s="3337"/>
    </row>
    <row r="10494" spans="7:16" s="1634" customFormat="1">
      <c r="G10494" s="3336"/>
      <c r="P10494" s="3337"/>
    </row>
    <row r="10495" spans="7:16" s="1634" customFormat="1">
      <c r="G10495" s="3336"/>
      <c r="P10495" s="3337"/>
    </row>
    <row r="10496" spans="7:16" s="1634" customFormat="1">
      <c r="G10496" s="3336"/>
      <c r="P10496" s="3337"/>
    </row>
    <row r="10497" spans="7:16" s="1634" customFormat="1">
      <c r="G10497" s="3336"/>
      <c r="P10497" s="3337"/>
    </row>
    <row r="10498" spans="7:16" s="1634" customFormat="1">
      <c r="G10498" s="3336"/>
      <c r="P10498" s="3337"/>
    </row>
    <row r="10499" spans="7:16" s="1634" customFormat="1">
      <c r="G10499" s="3336"/>
      <c r="P10499" s="3337"/>
    </row>
    <row r="10500" spans="7:16" s="1634" customFormat="1">
      <c r="G10500" s="3336"/>
      <c r="P10500" s="3337"/>
    </row>
    <row r="10501" spans="7:16" s="1634" customFormat="1">
      <c r="G10501" s="3336"/>
      <c r="P10501" s="3337"/>
    </row>
    <row r="10502" spans="7:16" s="1634" customFormat="1">
      <c r="G10502" s="3336"/>
      <c r="P10502" s="3337"/>
    </row>
    <row r="10503" spans="7:16" s="1634" customFormat="1">
      <c r="G10503" s="3336"/>
      <c r="P10503" s="3337"/>
    </row>
    <row r="10504" spans="7:16" s="1634" customFormat="1">
      <c r="G10504" s="3336"/>
      <c r="P10504" s="3337"/>
    </row>
    <row r="10505" spans="7:16" s="1634" customFormat="1">
      <c r="G10505" s="3336"/>
      <c r="P10505" s="3337"/>
    </row>
    <row r="10506" spans="7:16" s="1634" customFormat="1">
      <c r="G10506" s="3336"/>
      <c r="P10506" s="3337"/>
    </row>
    <row r="10507" spans="7:16" s="1634" customFormat="1">
      <c r="G10507" s="3336"/>
      <c r="P10507" s="3337"/>
    </row>
    <row r="10508" spans="7:16" s="1634" customFormat="1">
      <c r="G10508" s="3336"/>
      <c r="P10508" s="3337"/>
    </row>
    <row r="10509" spans="7:16" s="1634" customFormat="1">
      <c r="G10509" s="3336"/>
      <c r="P10509" s="3337"/>
    </row>
    <row r="10510" spans="7:16" s="1634" customFormat="1">
      <c r="G10510" s="3336"/>
      <c r="P10510" s="3337"/>
    </row>
    <row r="10511" spans="7:16" s="1634" customFormat="1">
      <c r="G10511" s="3336"/>
      <c r="P10511" s="3337"/>
    </row>
    <row r="10512" spans="7:16" s="1634" customFormat="1">
      <c r="G10512" s="3336"/>
      <c r="P10512" s="3337"/>
    </row>
    <row r="10513" spans="7:16" s="1634" customFormat="1">
      <c r="G10513" s="3336"/>
      <c r="P10513" s="3337"/>
    </row>
    <row r="10514" spans="7:16" s="1634" customFormat="1">
      <c r="G10514" s="3336"/>
      <c r="P10514" s="3337"/>
    </row>
    <row r="10515" spans="7:16" s="1634" customFormat="1">
      <c r="G10515" s="3336"/>
      <c r="P10515" s="3337"/>
    </row>
    <row r="10516" spans="7:16" s="1634" customFormat="1">
      <c r="G10516" s="3336"/>
      <c r="P10516" s="3337"/>
    </row>
    <row r="10517" spans="7:16" s="1634" customFormat="1">
      <c r="G10517" s="3336"/>
      <c r="P10517" s="3337"/>
    </row>
    <row r="10518" spans="7:16" s="1634" customFormat="1">
      <c r="G10518" s="3336"/>
      <c r="P10518" s="3337"/>
    </row>
    <row r="10519" spans="7:16" s="1634" customFormat="1">
      <c r="G10519" s="3336"/>
      <c r="P10519" s="3337"/>
    </row>
    <row r="10520" spans="7:16" s="1634" customFormat="1">
      <c r="G10520" s="3336"/>
      <c r="P10520" s="3337"/>
    </row>
    <row r="10521" spans="7:16" s="1634" customFormat="1">
      <c r="G10521" s="3336"/>
      <c r="P10521" s="3337"/>
    </row>
    <row r="10522" spans="7:16" s="1634" customFormat="1">
      <c r="G10522" s="3336"/>
      <c r="P10522" s="3337"/>
    </row>
    <row r="10523" spans="7:16" s="1634" customFormat="1">
      <c r="G10523" s="3336"/>
      <c r="P10523" s="3337"/>
    </row>
    <row r="10524" spans="7:16" s="1634" customFormat="1">
      <c r="G10524" s="3336"/>
      <c r="P10524" s="3337"/>
    </row>
    <row r="10525" spans="7:16" s="1634" customFormat="1">
      <c r="G10525" s="3336"/>
      <c r="P10525" s="3337"/>
    </row>
    <row r="10526" spans="7:16" s="1634" customFormat="1">
      <c r="G10526" s="3336"/>
      <c r="P10526" s="3337"/>
    </row>
    <row r="10527" spans="7:16" s="1634" customFormat="1">
      <c r="G10527" s="3336"/>
      <c r="P10527" s="3337"/>
    </row>
    <row r="10528" spans="7:16" s="1634" customFormat="1">
      <c r="G10528" s="3336"/>
      <c r="P10528" s="3337"/>
    </row>
    <row r="10529" spans="7:16" s="1634" customFormat="1">
      <c r="G10529" s="3336"/>
      <c r="P10529" s="3337"/>
    </row>
    <row r="10530" spans="7:16" s="1634" customFormat="1">
      <c r="G10530" s="3336"/>
      <c r="P10530" s="3337"/>
    </row>
    <row r="10531" spans="7:16" s="1634" customFormat="1">
      <c r="G10531" s="3336"/>
      <c r="P10531" s="3337"/>
    </row>
    <row r="10532" spans="7:16" s="1634" customFormat="1">
      <c r="G10532" s="3336"/>
      <c r="P10532" s="3337"/>
    </row>
    <row r="10533" spans="7:16" s="1634" customFormat="1">
      <c r="G10533" s="3336"/>
      <c r="P10533" s="3337"/>
    </row>
    <row r="10534" spans="7:16" s="1634" customFormat="1">
      <c r="G10534" s="3336"/>
      <c r="P10534" s="3337"/>
    </row>
    <row r="10535" spans="7:16" s="1634" customFormat="1">
      <c r="G10535" s="3336"/>
      <c r="P10535" s="3337"/>
    </row>
    <row r="10536" spans="7:16" s="1634" customFormat="1">
      <c r="G10536" s="3336"/>
      <c r="P10536" s="3337"/>
    </row>
    <row r="10537" spans="7:16" s="1634" customFormat="1">
      <c r="G10537" s="3336"/>
      <c r="P10537" s="3337"/>
    </row>
    <row r="10538" spans="7:16" s="1634" customFormat="1">
      <c r="G10538" s="3336"/>
      <c r="P10538" s="3337"/>
    </row>
    <row r="10539" spans="7:16" s="1634" customFormat="1">
      <c r="G10539" s="3336"/>
      <c r="P10539" s="3337"/>
    </row>
    <row r="10540" spans="7:16" s="1634" customFormat="1">
      <c r="G10540" s="3336"/>
      <c r="P10540" s="3337"/>
    </row>
    <row r="10541" spans="7:16" s="1634" customFormat="1">
      <c r="G10541" s="3336"/>
      <c r="P10541" s="3337"/>
    </row>
    <row r="10542" spans="7:16" s="1634" customFormat="1">
      <c r="G10542" s="3336"/>
      <c r="P10542" s="3337"/>
    </row>
    <row r="10543" spans="7:16" s="1634" customFormat="1">
      <c r="G10543" s="3336"/>
      <c r="P10543" s="3337"/>
    </row>
    <row r="10544" spans="7:16" s="1634" customFormat="1">
      <c r="G10544" s="3336"/>
      <c r="P10544" s="3337"/>
    </row>
    <row r="10545" spans="7:16" s="1634" customFormat="1">
      <c r="G10545" s="3336"/>
      <c r="P10545" s="3337"/>
    </row>
    <row r="10546" spans="7:16" s="1634" customFormat="1">
      <c r="G10546" s="3336"/>
      <c r="P10546" s="3337"/>
    </row>
    <row r="10547" spans="7:16" s="1634" customFormat="1">
      <c r="G10547" s="3336"/>
      <c r="P10547" s="3337"/>
    </row>
    <row r="10548" spans="7:16" s="1634" customFormat="1">
      <c r="G10548" s="3336"/>
      <c r="P10548" s="3337"/>
    </row>
    <row r="10549" spans="7:16" s="1634" customFormat="1">
      <c r="G10549" s="3336"/>
      <c r="P10549" s="3337"/>
    </row>
    <row r="10550" spans="7:16" s="1634" customFormat="1">
      <c r="G10550" s="3336"/>
      <c r="P10550" s="3337"/>
    </row>
    <row r="10551" spans="7:16" s="1634" customFormat="1">
      <c r="G10551" s="3336"/>
      <c r="P10551" s="3337"/>
    </row>
    <row r="10552" spans="7:16" s="1634" customFormat="1">
      <c r="G10552" s="3336"/>
      <c r="P10552" s="3337"/>
    </row>
    <row r="10553" spans="7:16" s="1634" customFormat="1">
      <c r="G10553" s="3336"/>
      <c r="P10553" s="3337"/>
    </row>
    <row r="10554" spans="7:16" s="1634" customFormat="1">
      <c r="G10554" s="3336"/>
      <c r="P10554" s="3337"/>
    </row>
    <row r="10555" spans="7:16" s="1634" customFormat="1">
      <c r="G10555" s="3336"/>
      <c r="P10555" s="3337"/>
    </row>
    <row r="10556" spans="7:16" s="1634" customFormat="1">
      <c r="G10556" s="3336"/>
      <c r="P10556" s="3337"/>
    </row>
    <row r="10557" spans="7:16" s="1634" customFormat="1">
      <c r="G10557" s="3336"/>
      <c r="P10557" s="3337"/>
    </row>
    <row r="10558" spans="7:16" s="1634" customFormat="1">
      <c r="G10558" s="3336"/>
      <c r="P10558" s="3337"/>
    </row>
    <row r="10559" spans="7:16" s="1634" customFormat="1">
      <c r="G10559" s="3336"/>
      <c r="P10559" s="3337"/>
    </row>
    <row r="10560" spans="7:16" s="1634" customFormat="1">
      <c r="G10560" s="3336"/>
      <c r="P10560" s="3337"/>
    </row>
    <row r="10561" spans="7:16" s="1634" customFormat="1">
      <c r="G10561" s="3336"/>
      <c r="P10561" s="3337"/>
    </row>
    <row r="10562" spans="7:16" s="1634" customFormat="1">
      <c r="G10562" s="3336"/>
      <c r="P10562" s="3337"/>
    </row>
    <row r="10563" spans="7:16" s="1634" customFormat="1">
      <c r="G10563" s="3336"/>
      <c r="P10563" s="3337"/>
    </row>
    <row r="10564" spans="7:16" s="1634" customFormat="1">
      <c r="G10564" s="3336"/>
      <c r="P10564" s="3337"/>
    </row>
    <row r="10565" spans="7:16" s="1634" customFormat="1">
      <c r="G10565" s="3336"/>
      <c r="P10565" s="3337"/>
    </row>
    <row r="10566" spans="7:16" s="1634" customFormat="1">
      <c r="G10566" s="3336"/>
      <c r="P10566" s="3337"/>
    </row>
    <row r="10567" spans="7:16" s="1634" customFormat="1">
      <c r="G10567" s="3336"/>
      <c r="P10567" s="3337"/>
    </row>
    <row r="10568" spans="7:16" s="1634" customFormat="1">
      <c r="G10568" s="3336"/>
      <c r="P10568" s="3337"/>
    </row>
    <row r="10569" spans="7:16" s="1634" customFormat="1">
      <c r="G10569" s="3336"/>
      <c r="P10569" s="3337"/>
    </row>
    <row r="10570" spans="7:16" s="1634" customFormat="1">
      <c r="G10570" s="3336"/>
      <c r="P10570" s="3337"/>
    </row>
    <row r="10571" spans="7:16" s="1634" customFormat="1">
      <c r="G10571" s="3336"/>
      <c r="P10571" s="3337"/>
    </row>
    <row r="10572" spans="7:16" s="1634" customFormat="1">
      <c r="G10572" s="3336"/>
      <c r="P10572" s="3337"/>
    </row>
    <row r="10573" spans="7:16" s="1634" customFormat="1">
      <c r="G10573" s="3336"/>
      <c r="P10573" s="3337"/>
    </row>
    <row r="10574" spans="7:16" s="1634" customFormat="1">
      <c r="G10574" s="3336"/>
      <c r="P10574" s="3337"/>
    </row>
    <row r="10575" spans="7:16" s="1634" customFormat="1">
      <c r="G10575" s="3336"/>
      <c r="P10575" s="3337"/>
    </row>
    <row r="10576" spans="7:16" s="1634" customFormat="1">
      <c r="G10576" s="3336"/>
      <c r="P10576" s="3337"/>
    </row>
    <row r="10577" spans="7:16" s="1634" customFormat="1">
      <c r="G10577" s="3336"/>
      <c r="P10577" s="3337"/>
    </row>
    <row r="10578" spans="7:16" s="1634" customFormat="1">
      <c r="G10578" s="3336"/>
      <c r="P10578" s="3337"/>
    </row>
    <row r="10579" spans="7:16" s="1634" customFormat="1">
      <c r="G10579" s="3336"/>
      <c r="P10579" s="3337"/>
    </row>
    <row r="10580" spans="7:16" s="1634" customFormat="1">
      <c r="G10580" s="3336"/>
      <c r="P10580" s="3337"/>
    </row>
    <row r="10581" spans="7:16" s="1634" customFormat="1">
      <c r="G10581" s="3336"/>
      <c r="P10581" s="3337"/>
    </row>
    <row r="10582" spans="7:16" s="1634" customFormat="1">
      <c r="G10582" s="3336"/>
      <c r="P10582" s="3337"/>
    </row>
    <row r="10583" spans="7:16" s="1634" customFormat="1">
      <c r="G10583" s="3336"/>
      <c r="P10583" s="3337"/>
    </row>
    <row r="10584" spans="7:16" s="1634" customFormat="1">
      <c r="G10584" s="3336"/>
      <c r="P10584" s="3337"/>
    </row>
    <row r="10585" spans="7:16" s="1634" customFormat="1">
      <c r="G10585" s="3336"/>
      <c r="P10585" s="3337"/>
    </row>
    <row r="10586" spans="7:16" s="1634" customFormat="1">
      <c r="G10586" s="3336"/>
      <c r="P10586" s="3337"/>
    </row>
    <row r="10587" spans="7:16" s="1634" customFormat="1">
      <c r="G10587" s="3336"/>
      <c r="P10587" s="3337"/>
    </row>
    <row r="10588" spans="7:16" s="1634" customFormat="1">
      <c r="G10588" s="3336"/>
      <c r="P10588" s="3337"/>
    </row>
    <row r="10589" spans="7:16" s="1634" customFormat="1">
      <c r="G10589" s="3336"/>
      <c r="P10589" s="3337"/>
    </row>
    <row r="10590" spans="7:16" s="1634" customFormat="1">
      <c r="G10590" s="3336"/>
      <c r="P10590" s="3337"/>
    </row>
    <row r="10591" spans="7:16" s="1634" customFormat="1">
      <c r="G10591" s="3336"/>
      <c r="P10591" s="3337"/>
    </row>
    <row r="10592" spans="7:16" s="1634" customFormat="1">
      <c r="G10592" s="3336"/>
      <c r="P10592" s="3337"/>
    </row>
    <row r="10593" spans="7:16" s="1634" customFormat="1">
      <c r="G10593" s="3336"/>
      <c r="P10593" s="3337"/>
    </row>
    <row r="10594" spans="7:16" s="1634" customFormat="1">
      <c r="G10594" s="3336"/>
      <c r="P10594" s="3337"/>
    </row>
    <row r="10595" spans="7:16" s="1634" customFormat="1">
      <c r="G10595" s="3336"/>
      <c r="P10595" s="3337"/>
    </row>
    <row r="10596" spans="7:16" s="1634" customFormat="1">
      <c r="G10596" s="3336"/>
      <c r="P10596" s="3337"/>
    </row>
    <row r="10597" spans="7:16" s="1634" customFormat="1">
      <c r="G10597" s="3336"/>
      <c r="P10597" s="3337"/>
    </row>
    <row r="10598" spans="7:16" s="1634" customFormat="1">
      <c r="G10598" s="3336"/>
      <c r="P10598" s="3337"/>
    </row>
    <row r="10599" spans="7:16" s="1634" customFormat="1">
      <c r="G10599" s="3336"/>
      <c r="P10599" s="3337"/>
    </row>
    <row r="10600" spans="7:16" s="1634" customFormat="1">
      <c r="G10600" s="3336"/>
      <c r="P10600" s="3337"/>
    </row>
    <row r="10601" spans="7:16" s="1634" customFormat="1">
      <c r="G10601" s="3336"/>
      <c r="P10601" s="3337"/>
    </row>
    <row r="10602" spans="7:16" s="1634" customFormat="1">
      <c r="G10602" s="3336"/>
      <c r="P10602" s="3337"/>
    </row>
    <row r="10603" spans="7:16" s="1634" customFormat="1">
      <c r="G10603" s="3336"/>
      <c r="P10603" s="3337"/>
    </row>
    <row r="10604" spans="7:16" s="1634" customFormat="1">
      <c r="G10604" s="3336"/>
      <c r="P10604" s="3337"/>
    </row>
    <row r="10605" spans="7:16" s="1634" customFormat="1">
      <c r="G10605" s="3336"/>
      <c r="P10605" s="3337"/>
    </row>
    <row r="10606" spans="7:16" s="1634" customFormat="1">
      <c r="G10606" s="3336"/>
      <c r="P10606" s="3337"/>
    </row>
    <row r="10607" spans="7:16" s="1634" customFormat="1">
      <c r="G10607" s="3336"/>
      <c r="P10607" s="3337"/>
    </row>
    <row r="10608" spans="7:16" s="1634" customFormat="1">
      <c r="G10608" s="3336"/>
      <c r="P10608" s="3337"/>
    </row>
    <row r="10609" spans="7:16" s="1634" customFormat="1">
      <c r="G10609" s="3336"/>
      <c r="P10609" s="3337"/>
    </row>
    <row r="10610" spans="7:16" s="1634" customFormat="1">
      <c r="G10610" s="3336"/>
      <c r="P10610" s="3337"/>
    </row>
    <row r="10611" spans="7:16" s="1634" customFormat="1">
      <c r="G10611" s="3336"/>
      <c r="P10611" s="3337"/>
    </row>
    <row r="10612" spans="7:16" s="1634" customFormat="1">
      <c r="G10612" s="3336"/>
      <c r="P10612" s="3337"/>
    </row>
    <row r="10613" spans="7:16" s="1634" customFormat="1">
      <c r="G10613" s="3336"/>
      <c r="P10613" s="3337"/>
    </row>
    <row r="10614" spans="7:16" s="1634" customFormat="1">
      <c r="G10614" s="3336"/>
      <c r="P10614" s="3337"/>
    </row>
    <row r="10615" spans="7:16" s="1634" customFormat="1">
      <c r="G10615" s="3336"/>
      <c r="P10615" s="3337"/>
    </row>
    <row r="10616" spans="7:16" s="1634" customFormat="1">
      <c r="G10616" s="3336"/>
      <c r="P10616" s="3337"/>
    </row>
    <row r="10617" spans="7:16" s="1634" customFormat="1">
      <c r="G10617" s="3336"/>
      <c r="P10617" s="3337"/>
    </row>
    <row r="10618" spans="7:16" s="1634" customFormat="1">
      <c r="G10618" s="3336"/>
      <c r="P10618" s="3337"/>
    </row>
    <row r="10619" spans="7:16" s="1634" customFormat="1">
      <c r="G10619" s="3336"/>
      <c r="P10619" s="3337"/>
    </row>
    <row r="10620" spans="7:16" s="1634" customFormat="1">
      <c r="G10620" s="3336"/>
      <c r="P10620" s="3337"/>
    </row>
    <row r="10621" spans="7:16" s="1634" customFormat="1">
      <c r="G10621" s="3336"/>
      <c r="P10621" s="3337"/>
    </row>
    <row r="10622" spans="7:16" s="1634" customFormat="1">
      <c r="G10622" s="3336"/>
      <c r="P10622" s="3337"/>
    </row>
    <row r="10623" spans="7:16" s="1634" customFormat="1">
      <c r="G10623" s="3336"/>
      <c r="P10623" s="3337"/>
    </row>
    <row r="10624" spans="7:16" s="1634" customFormat="1">
      <c r="G10624" s="3336"/>
      <c r="P10624" s="3337"/>
    </row>
    <row r="10625" spans="7:16" s="1634" customFormat="1">
      <c r="G10625" s="3336"/>
      <c r="P10625" s="3337"/>
    </row>
    <row r="10626" spans="7:16" s="1634" customFormat="1">
      <c r="G10626" s="3336"/>
      <c r="P10626" s="3337"/>
    </row>
    <row r="10627" spans="7:16" s="1634" customFormat="1">
      <c r="G10627" s="3336"/>
      <c r="P10627" s="3337"/>
    </row>
    <row r="10628" spans="7:16" s="1634" customFormat="1">
      <c r="G10628" s="3336"/>
      <c r="P10628" s="3337"/>
    </row>
    <row r="10629" spans="7:16" s="1634" customFormat="1">
      <c r="G10629" s="3336"/>
      <c r="P10629" s="3337"/>
    </row>
    <row r="10630" spans="7:16" s="1634" customFormat="1">
      <c r="G10630" s="3336"/>
      <c r="P10630" s="3337"/>
    </row>
    <row r="10631" spans="7:16" s="1634" customFormat="1">
      <c r="G10631" s="3336"/>
      <c r="P10631" s="3337"/>
    </row>
    <row r="10632" spans="7:16" s="1634" customFormat="1">
      <c r="G10632" s="3336"/>
      <c r="P10632" s="3337"/>
    </row>
    <row r="10633" spans="7:16" s="1634" customFormat="1">
      <c r="G10633" s="3336"/>
      <c r="P10633" s="3337"/>
    </row>
    <row r="10634" spans="7:16" s="1634" customFormat="1">
      <c r="G10634" s="3336"/>
      <c r="P10634" s="3337"/>
    </row>
    <row r="10635" spans="7:16" s="1634" customFormat="1">
      <c r="G10635" s="3336"/>
      <c r="P10635" s="3337"/>
    </row>
    <row r="10636" spans="7:16" s="1634" customFormat="1">
      <c r="G10636" s="3336"/>
      <c r="P10636" s="3337"/>
    </row>
    <row r="10637" spans="7:16" s="1634" customFormat="1">
      <c r="G10637" s="3336"/>
      <c r="P10637" s="3337"/>
    </row>
    <row r="10638" spans="7:16" s="1634" customFormat="1">
      <c r="G10638" s="3336"/>
      <c r="P10638" s="3337"/>
    </row>
    <row r="10639" spans="7:16" s="1634" customFormat="1">
      <c r="G10639" s="3336"/>
      <c r="P10639" s="3337"/>
    </row>
    <row r="10640" spans="7:16" s="1634" customFormat="1">
      <c r="G10640" s="3336"/>
      <c r="P10640" s="3337"/>
    </row>
    <row r="10641" spans="7:16" s="1634" customFormat="1">
      <c r="G10641" s="3336"/>
      <c r="P10641" s="3337"/>
    </row>
    <row r="10642" spans="7:16" s="1634" customFormat="1">
      <c r="G10642" s="3336"/>
      <c r="P10642" s="3337"/>
    </row>
    <row r="10643" spans="7:16" s="1634" customFormat="1">
      <c r="G10643" s="3336"/>
      <c r="P10643" s="3337"/>
    </row>
    <row r="10644" spans="7:16" s="1634" customFormat="1">
      <c r="G10644" s="3336"/>
      <c r="P10644" s="3337"/>
    </row>
    <row r="10645" spans="7:16" s="1634" customFormat="1">
      <c r="G10645" s="3336"/>
      <c r="P10645" s="3337"/>
    </row>
    <row r="10646" spans="7:16" s="1634" customFormat="1">
      <c r="G10646" s="3336"/>
      <c r="P10646" s="3337"/>
    </row>
    <row r="10647" spans="7:16" s="1634" customFormat="1">
      <c r="G10647" s="3336"/>
      <c r="P10647" s="3337"/>
    </row>
    <row r="10648" spans="7:16" s="1634" customFormat="1">
      <c r="G10648" s="3336"/>
      <c r="P10648" s="3337"/>
    </row>
    <row r="10649" spans="7:16" s="1634" customFormat="1">
      <c r="G10649" s="3336"/>
      <c r="P10649" s="3337"/>
    </row>
    <row r="10650" spans="7:16" s="1634" customFormat="1">
      <c r="G10650" s="3336"/>
      <c r="P10650" s="3337"/>
    </row>
    <row r="10651" spans="7:16" s="1634" customFormat="1">
      <c r="G10651" s="3336"/>
      <c r="P10651" s="3337"/>
    </row>
    <row r="10652" spans="7:16" s="1634" customFormat="1">
      <c r="G10652" s="3336"/>
      <c r="P10652" s="3337"/>
    </row>
    <row r="10653" spans="7:16" s="1634" customFormat="1">
      <c r="G10653" s="3336"/>
      <c r="P10653" s="3337"/>
    </row>
    <row r="10654" spans="7:16" s="1634" customFormat="1">
      <c r="G10654" s="3336"/>
      <c r="P10654" s="3337"/>
    </row>
    <row r="10655" spans="7:16" s="1634" customFormat="1">
      <c r="G10655" s="3336"/>
      <c r="P10655" s="3337"/>
    </row>
    <row r="10656" spans="7:16" s="1634" customFormat="1">
      <c r="G10656" s="3336"/>
      <c r="P10656" s="3337"/>
    </row>
    <row r="10657" spans="7:16" s="1634" customFormat="1">
      <c r="G10657" s="3336"/>
      <c r="P10657" s="3337"/>
    </row>
    <row r="10658" spans="7:16" s="1634" customFormat="1">
      <c r="G10658" s="3336"/>
      <c r="P10658" s="3337"/>
    </row>
    <row r="10659" spans="7:16" s="1634" customFormat="1">
      <c r="G10659" s="3336"/>
      <c r="P10659" s="3337"/>
    </row>
    <row r="10660" spans="7:16" s="1634" customFormat="1">
      <c r="G10660" s="3336"/>
      <c r="P10660" s="3337"/>
    </row>
    <row r="10661" spans="7:16" s="1634" customFormat="1">
      <c r="G10661" s="3336"/>
      <c r="P10661" s="3337"/>
    </row>
    <row r="10662" spans="7:16" s="1634" customFormat="1">
      <c r="G10662" s="3336"/>
      <c r="P10662" s="3337"/>
    </row>
    <row r="10663" spans="7:16" s="1634" customFormat="1">
      <c r="G10663" s="3336"/>
      <c r="P10663" s="3337"/>
    </row>
    <row r="10664" spans="7:16" s="1634" customFormat="1">
      <c r="G10664" s="3336"/>
      <c r="P10664" s="3337"/>
    </row>
    <row r="10665" spans="7:16" s="1634" customFormat="1">
      <c r="G10665" s="3336"/>
      <c r="P10665" s="3337"/>
    </row>
    <row r="10666" spans="7:16" s="1634" customFormat="1">
      <c r="G10666" s="3336"/>
      <c r="P10666" s="3337"/>
    </row>
    <row r="10667" spans="7:16" s="1634" customFormat="1">
      <c r="G10667" s="3336"/>
      <c r="P10667" s="3337"/>
    </row>
    <row r="10668" spans="7:16" s="1634" customFormat="1">
      <c r="G10668" s="3336"/>
      <c r="P10668" s="3337"/>
    </row>
    <row r="10669" spans="7:16" s="1634" customFormat="1">
      <c r="G10669" s="3336"/>
      <c r="P10669" s="3337"/>
    </row>
    <row r="10670" spans="7:16" s="1634" customFormat="1">
      <c r="G10670" s="3336"/>
      <c r="P10670" s="3337"/>
    </row>
    <row r="10671" spans="7:16" s="1634" customFormat="1">
      <c r="G10671" s="3336"/>
      <c r="P10671" s="3337"/>
    </row>
    <row r="10672" spans="7:16" s="1634" customFormat="1">
      <c r="G10672" s="3336"/>
      <c r="P10672" s="3337"/>
    </row>
    <row r="10673" spans="7:16" s="1634" customFormat="1">
      <c r="G10673" s="3336"/>
      <c r="P10673" s="3337"/>
    </row>
    <row r="10674" spans="7:16" s="1634" customFormat="1">
      <c r="G10674" s="3336"/>
      <c r="P10674" s="3337"/>
    </row>
    <row r="10675" spans="7:16" s="1634" customFormat="1">
      <c r="G10675" s="3336"/>
      <c r="P10675" s="3337"/>
    </row>
    <row r="10676" spans="7:16" s="1634" customFormat="1">
      <c r="G10676" s="3336"/>
      <c r="P10676" s="3337"/>
    </row>
    <row r="10677" spans="7:16" s="1634" customFormat="1">
      <c r="G10677" s="3336"/>
      <c r="P10677" s="3337"/>
    </row>
    <row r="10678" spans="7:16" s="1634" customFormat="1">
      <c r="G10678" s="3336"/>
      <c r="P10678" s="3337"/>
    </row>
    <row r="10679" spans="7:16" s="1634" customFormat="1">
      <c r="G10679" s="3336"/>
      <c r="P10679" s="3337"/>
    </row>
    <row r="10680" spans="7:16" s="1634" customFormat="1">
      <c r="G10680" s="3336"/>
      <c r="P10680" s="3337"/>
    </row>
    <row r="10681" spans="7:16" s="1634" customFormat="1">
      <c r="G10681" s="3336"/>
      <c r="P10681" s="3337"/>
    </row>
    <row r="10682" spans="7:16" s="1634" customFormat="1">
      <c r="G10682" s="3336"/>
      <c r="P10682" s="3337"/>
    </row>
    <row r="10683" spans="7:16" s="1634" customFormat="1">
      <c r="G10683" s="3336"/>
      <c r="P10683" s="3337"/>
    </row>
    <row r="10684" spans="7:16" s="1634" customFormat="1">
      <c r="G10684" s="3336"/>
      <c r="P10684" s="3337"/>
    </row>
    <row r="10685" spans="7:16" s="1634" customFormat="1">
      <c r="G10685" s="3336"/>
      <c r="P10685" s="3337"/>
    </row>
    <row r="10686" spans="7:16" s="1634" customFormat="1">
      <c r="G10686" s="3336"/>
      <c r="P10686" s="3337"/>
    </row>
    <row r="10687" spans="7:16" s="1634" customFormat="1">
      <c r="G10687" s="3336"/>
      <c r="P10687" s="3337"/>
    </row>
    <row r="10688" spans="7:16" s="1634" customFormat="1">
      <c r="G10688" s="3336"/>
      <c r="P10688" s="3337"/>
    </row>
    <row r="10689" spans="7:16" s="1634" customFormat="1">
      <c r="G10689" s="3336"/>
      <c r="P10689" s="3337"/>
    </row>
    <row r="10690" spans="7:16" s="1634" customFormat="1">
      <c r="G10690" s="3336"/>
      <c r="P10690" s="3337"/>
    </row>
    <row r="10691" spans="7:16" s="1634" customFormat="1">
      <c r="G10691" s="3336"/>
      <c r="P10691" s="3337"/>
    </row>
    <row r="10692" spans="7:16" s="1634" customFormat="1">
      <c r="G10692" s="3336"/>
      <c r="P10692" s="3337"/>
    </row>
    <row r="10693" spans="7:16" s="1634" customFormat="1">
      <c r="G10693" s="3336"/>
      <c r="P10693" s="3337"/>
    </row>
    <row r="10694" spans="7:16" s="1634" customFormat="1">
      <c r="G10694" s="3336"/>
      <c r="P10694" s="3337"/>
    </row>
    <row r="10695" spans="7:16" s="1634" customFormat="1">
      <c r="G10695" s="3336"/>
      <c r="P10695" s="3337"/>
    </row>
    <row r="10696" spans="7:16" s="1634" customFormat="1">
      <c r="G10696" s="3336"/>
      <c r="P10696" s="3337"/>
    </row>
    <row r="10697" spans="7:16" s="1634" customFormat="1">
      <c r="G10697" s="3336"/>
      <c r="P10697" s="3337"/>
    </row>
    <row r="10698" spans="7:16" s="1634" customFormat="1">
      <c r="G10698" s="3336"/>
      <c r="P10698" s="3337"/>
    </row>
    <row r="10699" spans="7:16" s="1634" customFormat="1">
      <c r="G10699" s="3336"/>
      <c r="P10699" s="3337"/>
    </row>
    <row r="10700" spans="7:16" s="1634" customFormat="1">
      <c r="G10700" s="3336"/>
      <c r="P10700" s="3337"/>
    </row>
    <row r="10701" spans="7:16" s="1634" customFormat="1">
      <c r="G10701" s="3336"/>
      <c r="P10701" s="3337"/>
    </row>
    <row r="10702" spans="7:16" s="1634" customFormat="1">
      <c r="G10702" s="3336"/>
      <c r="P10702" s="3337"/>
    </row>
    <row r="10703" spans="7:16" s="1634" customFormat="1">
      <c r="G10703" s="3336"/>
      <c r="P10703" s="3337"/>
    </row>
    <row r="10704" spans="7:16" s="1634" customFormat="1">
      <c r="G10704" s="3336"/>
      <c r="P10704" s="3337"/>
    </row>
    <row r="10705" spans="7:16" s="1634" customFormat="1">
      <c r="G10705" s="3336"/>
      <c r="P10705" s="3337"/>
    </row>
    <row r="10706" spans="7:16" s="1634" customFormat="1">
      <c r="G10706" s="3336"/>
      <c r="P10706" s="3337"/>
    </row>
    <row r="10707" spans="7:16" s="1634" customFormat="1">
      <c r="G10707" s="3336"/>
      <c r="P10707" s="3337"/>
    </row>
    <row r="10708" spans="7:16" s="1634" customFormat="1">
      <c r="G10708" s="3336"/>
      <c r="P10708" s="3337"/>
    </row>
    <row r="10709" spans="7:16" s="1634" customFormat="1">
      <c r="G10709" s="3336"/>
      <c r="P10709" s="3337"/>
    </row>
    <row r="10710" spans="7:16" s="1634" customFormat="1">
      <c r="G10710" s="3336"/>
      <c r="P10710" s="3337"/>
    </row>
    <row r="10711" spans="7:16" s="1634" customFormat="1">
      <c r="G10711" s="3336"/>
      <c r="P10711" s="3337"/>
    </row>
    <row r="10712" spans="7:16" s="1634" customFormat="1">
      <c r="G10712" s="3336"/>
      <c r="P10712" s="3337"/>
    </row>
    <row r="10713" spans="7:16" s="1634" customFormat="1">
      <c r="G10713" s="3336"/>
      <c r="P10713" s="3337"/>
    </row>
    <row r="10714" spans="7:16" s="1634" customFormat="1">
      <c r="G10714" s="3336"/>
      <c r="P10714" s="3337"/>
    </row>
    <row r="10715" spans="7:16" s="1634" customFormat="1">
      <c r="G10715" s="3336"/>
      <c r="P10715" s="3337"/>
    </row>
    <row r="10716" spans="7:16" s="1634" customFormat="1">
      <c r="G10716" s="3336"/>
      <c r="P10716" s="3337"/>
    </row>
    <row r="10717" spans="7:16" s="1634" customFormat="1">
      <c r="G10717" s="3336"/>
      <c r="P10717" s="3337"/>
    </row>
    <row r="10718" spans="7:16" s="1634" customFormat="1">
      <c r="G10718" s="3336"/>
      <c r="P10718" s="3337"/>
    </row>
    <row r="10719" spans="7:16" s="1634" customFormat="1">
      <c r="G10719" s="3336"/>
      <c r="P10719" s="3337"/>
    </row>
    <row r="10720" spans="7:16" s="1634" customFormat="1">
      <c r="G10720" s="3336"/>
      <c r="P10720" s="3337"/>
    </row>
    <row r="10721" spans="7:16" s="1634" customFormat="1">
      <c r="G10721" s="3336"/>
      <c r="P10721" s="3337"/>
    </row>
    <row r="10722" spans="7:16" s="1634" customFormat="1">
      <c r="G10722" s="3336"/>
      <c r="P10722" s="3337"/>
    </row>
    <row r="10723" spans="7:16" s="1634" customFormat="1">
      <c r="G10723" s="3336"/>
      <c r="P10723" s="3337"/>
    </row>
    <row r="10724" spans="7:16" s="1634" customFormat="1">
      <c r="G10724" s="3336"/>
      <c r="P10724" s="3337"/>
    </row>
    <row r="10725" spans="7:16" s="1634" customFormat="1">
      <c r="G10725" s="3336"/>
      <c r="P10725" s="3337"/>
    </row>
    <row r="10726" spans="7:16" s="1634" customFormat="1">
      <c r="G10726" s="3336"/>
      <c r="P10726" s="3337"/>
    </row>
    <row r="10727" spans="7:16" s="1634" customFormat="1">
      <c r="G10727" s="3336"/>
      <c r="P10727" s="3337"/>
    </row>
    <row r="10728" spans="7:16" s="1634" customFormat="1">
      <c r="G10728" s="3336"/>
      <c r="P10728" s="3337"/>
    </row>
    <row r="10729" spans="7:16" s="1634" customFormat="1">
      <c r="G10729" s="3336"/>
      <c r="P10729" s="3337"/>
    </row>
    <row r="10730" spans="7:16" s="1634" customFormat="1">
      <c r="G10730" s="3336"/>
      <c r="P10730" s="3337"/>
    </row>
    <row r="10731" spans="7:16" s="1634" customFormat="1">
      <c r="G10731" s="3336"/>
      <c r="P10731" s="3337"/>
    </row>
    <row r="10732" spans="7:16" s="1634" customFormat="1">
      <c r="G10732" s="3336"/>
      <c r="P10732" s="3337"/>
    </row>
    <row r="10733" spans="7:16" s="1634" customFormat="1">
      <c r="G10733" s="3336"/>
      <c r="P10733" s="3337"/>
    </row>
    <row r="10734" spans="7:16" s="1634" customFormat="1">
      <c r="G10734" s="3336"/>
      <c r="P10734" s="3337"/>
    </row>
    <row r="10735" spans="7:16" s="1634" customFormat="1">
      <c r="G10735" s="3336"/>
      <c r="P10735" s="3337"/>
    </row>
    <row r="10736" spans="7:16" s="1634" customFormat="1">
      <c r="G10736" s="3336"/>
      <c r="P10736" s="3337"/>
    </row>
    <row r="10737" spans="7:16" s="1634" customFormat="1">
      <c r="G10737" s="3336"/>
      <c r="P10737" s="3337"/>
    </row>
    <row r="10738" spans="7:16" s="1634" customFormat="1">
      <c r="G10738" s="3336"/>
      <c r="P10738" s="3337"/>
    </row>
    <row r="10739" spans="7:16" s="1634" customFormat="1">
      <c r="G10739" s="3336"/>
      <c r="P10739" s="3337"/>
    </row>
    <row r="10740" spans="7:16" s="1634" customFormat="1">
      <c r="G10740" s="3336"/>
      <c r="P10740" s="3337"/>
    </row>
    <row r="10741" spans="7:16" s="1634" customFormat="1">
      <c r="G10741" s="3336"/>
      <c r="P10741" s="3337"/>
    </row>
    <row r="10742" spans="7:16" s="1634" customFormat="1">
      <c r="G10742" s="3336"/>
      <c r="P10742" s="3337"/>
    </row>
    <row r="10743" spans="7:16" s="1634" customFormat="1">
      <c r="G10743" s="3336"/>
      <c r="P10743" s="3337"/>
    </row>
    <row r="10744" spans="7:16" s="1634" customFormat="1">
      <c r="G10744" s="3336"/>
      <c r="P10744" s="3337"/>
    </row>
    <row r="10745" spans="7:16" s="1634" customFormat="1">
      <c r="G10745" s="3336"/>
      <c r="P10745" s="3337"/>
    </row>
    <row r="10746" spans="7:16" s="1634" customFormat="1">
      <c r="G10746" s="3336"/>
      <c r="P10746" s="3337"/>
    </row>
    <row r="10747" spans="7:16" s="1634" customFormat="1">
      <c r="G10747" s="3336"/>
      <c r="P10747" s="3337"/>
    </row>
    <row r="10748" spans="7:16" s="1634" customFormat="1">
      <c r="G10748" s="3336"/>
      <c r="P10748" s="3337"/>
    </row>
    <row r="10749" spans="7:16" s="1634" customFormat="1">
      <c r="G10749" s="3336"/>
      <c r="P10749" s="3337"/>
    </row>
    <row r="10750" spans="7:16" s="1634" customFormat="1">
      <c r="G10750" s="3336"/>
      <c r="P10750" s="3337"/>
    </row>
    <row r="10751" spans="7:16" s="1634" customFormat="1">
      <c r="G10751" s="3336"/>
      <c r="P10751" s="3337"/>
    </row>
    <row r="10752" spans="7:16" s="1634" customFormat="1">
      <c r="G10752" s="3336"/>
      <c r="P10752" s="3337"/>
    </row>
    <row r="10753" spans="7:16" s="1634" customFormat="1">
      <c r="G10753" s="3336"/>
      <c r="P10753" s="3337"/>
    </row>
    <row r="10754" spans="7:16" s="1634" customFormat="1">
      <c r="G10754" s="3336"/>
      <c r="P10754" s="3337"/>
    </row>
    <row r="10755" spans="7:16" s="1634" customFormat="1">
      <c r="G10755" s="3336"/>
      <c r="P10755" s="3337"/>
    </row>
    <row r="10756" spans="7:16" s="1634" customFormat="1">
      <c r="G10756" s="3336"/>
      <c r="P10756" s="3337"/>
    </row>
    <row r="10757" spans="7:16" s="1634" customFormat="1">
      <c r="G10757" s="3336"/>
      <c r="P10757" s="3337"/>
    </row>
    <row r="10758" spans="7:16" s="1634" customFormat="1">
      <c r="G10758" s="3336"/>
      <c r="P10758" s="3337"/>
    </row>
    <row r="10759" spans="7:16" s="1634" customFormat="1">
      <c r="G10759" s="3336"/>
      <c r="P10759" s="3337"/>
    </row>
    <row r="10760" spans="7:16" s="1634" customFormat="1">
      <c r="G10760" s="3336"/>
      <c r="P10760" s="3337"/>
    </row>
    <row r="10761" spans="7:16" s="1634" customFormat="1">
      <c r="G10761" s="3336"/>
      <c r="P10761" s="3337"/>
    </row>
    <row r="10762" spans="7:16" s="1634" customFormat="1">
      <c r="G10762" s="3336"/>
      <c r="P10762" s="3337"/>
    </row>
    <row r="10763" spans="7:16" s="1634" customFormat="1">
      <c r="G10763" s="3336"/>
      <c r="P10763" s="3337"/>
    </row>
    <row r="10764" spans="7:16" s="1634" customFormat="1">
      <c r="G10764" s="3336"/>
      <c r="P10764" s="3337"/>
    </row>
    <row r="10765" spans="7:16" s="1634" customFormat="1">
      <c r="G10765" s="3336"/>
      <c r="P10765" s="3337"/>
    </row>
    <row r="10766" spans="7:16" s="1634" customFormat="1">
      <c r="G10766" s="3336"/>
      <c r="P10766" s="3337"/>
    </row>
    <row r="10767" spans="7:16" s="1634" customFormat="1">
      <c r="G10767" s="3336"/>
      <c r="P10767" s="3337"/>
    </row>
    <row r="10768" spans="7:16" s="1634" customFormat="1">
      <c r="G10768" s="3336"/>
      <c r="P10768" s="3337"/>
    </row>
    <row r="10769" spans="7:16" s="1634" customFormat="1">
      <c r="G10769" s="3336"/>
      <c r="P10769" s="3337"/>
    </row>
    <row r="10770" spans="7:16" s="1634" customFormat="1">
      <c r="G10770" s="3336"/>
      <c r="P10770" s="3337"/>
    </row>
    <row r="10771" spans="7:16" s="1634" customFormat="1">
      <c r="G10771" s="3336"/>
      <c r="P10771" s="3337"/>
    </row>
    <row r="10772" spans="7:16" s="1634" customFormat="1">
      <c r="G10772" s="3336"/>
      <c r="P10772" s="3337"/>
    </row>
    <row r="10773" spans="7:16" s="1634" customFormat="1">
      <c r="G10773" s="3336"/>
      <c r="P10773" s="3337"/>
    </row>
    <row r="10774" spans="7:16" s="1634" customFormat="1">
      <c r="G10774" s="3336"/>
      <c r="P10774" s="3337"/>
    </row>
    <row r="10775" spans="7:16" s="1634" customFormat="1">
      <c r="G10775" s="3336"/>
      <c r="P10775" s="3337"/>
    </row>
    <row r="10776" spans="7:16" s="1634" customFormat="1">
      <c r="G10776" s="3336"/>
      <c r="P10776" s="3337"/>
    </row>
    <row r="10777" spans="7:16" s="1634" customFormat="1">
      <c r="G10777" s="3336"/>
      <c r="P10777" s="3337"/>
    </row>
    <row r="10778" spans="7:16" s="1634" customFormat="1">
      <c r="G10778" s="3336"/>
      <c r="P10778" s="3337"/>
    </row>
    <row r="10779" spans="7:16" s="1634" customFormat="1">
      <c r="G10779" s="3336"/>
      <c r="P10779" s="3337"/>
    </row>
    <row r="10780" spans="7:16" s="1634" customFormat="1">
      <c r="G10780" s="3336"/>
      <c r="P10780" s="3337"/>
    </row>
    <row r="10781" spans="7:16" s="1634" customFormat="1">
      <c r="G10781" s="3336"/>
      <c r="P10781" s="3337"/>
    </row>
    <row r="10782" spans="7:16" s="1634" customFormat="1">
      <c r="G10782" s="3336"/>
      <c r="P10782" s="3337"/>
    </row>
    <row r="10783" spans="7:16" s="1634" customFormat="1">
      <c r="G10783" s="3336"/>
      <c r="P10783" s="3337"/>
    </row>
    <row r="10784" spans="7:16" s="1634" customFormat="1">
      <c r="G10784" s="3336"/>
      <c r="P10784" s="3337"/>
    </row>
    <row r="10785" spans="7:16" s="1634" customFormat="1">
      <c r="G10785" s="3336"/>
      <c r="P10785" s="3337"/>
    </row>
    <row r="10786" spans="7:16" s="1634" customFormat="1">
      <c r="G10786" s="3336"/>
      <c r="P10786" s="3337"/>
    </row>
    <row r="10787" spans="7:16" s="1634" customFormat="1">
      <c r="G10787" s="3336"/>
      <c r="P10787" s="3337"/>
    </row>
    <row r="10788" spans="7:16" s="1634" customFormat="1">
      <c r="G10788" s="3336"/>
      <c r="P10788" s="3337"/>
    </row>
    <row r="10789" spans="7:16" s="1634" customFormat="1">
      <c r="G10789" s="3336"/>
      <c r="P10789" s="3337"/>
    </row>
    <row r="10790" spans="7:16" s="1634" customFormat="1">
      <c r="G10790" s="3336"/>
      <c r="P10790" s="3337"/>
    </row>
    <row r="10791" spans="7:16" s="1634" customFormat="1">
      <c r="G10791" s="3336"/>
      <c r="P10791" s="3337"/>
    </row>
    <row r="10792" spans="7:16" s="1634" customFormat="1">
      <c r="G10792" s="3336"/>
      <c r="P10792" s="3337"/>
    </row>
    <row r="10793" spans="7:16" s="1634" customFormat="1">
      <c r="G10793" s="3336"/>
      <c r="P10793" s="3337"/>
    </row>
    <row r="10794" spans="7:16" s="1634" customFormat="1">
      <c r="G10794" s="3336"/>
      <c r="P10794" s="3337"/>
    </row>
    <row r="10795" spans="7:16" s="1634" customFormat="1">
      <c r="G10795" s="3336"/>
      <c r="P10795" s="3337"/>
    </row>
    <row r="10796" spans="7:16" s="1634" customFormat="1">
      <c r="G10796" s="3336"/>
      <c r="P10796" s="3337"/>
    </row>
    <row r="10797" spans="7:16" s="1634" customFormat="1">
      <c r="G10797" s="3336"/>
      <c r="P10797" s="3337"/>
    </row>
    <row r="10798" spans="7:16" s="1634" customFormat="1">
      <c r="G10798" s="3336"/>
      <c r="P10798" s="3337"/>
    </row>
    <row r="10799" spans="7:16" s="1634" customFormat="1">
      <c r="G10799" s="3336"/>
      <c r="P10799" s="3337"/>
    </row>
    <row r="10800" spans="7:16" s="1634" customFormat="1">
      <c r="G10800" s="3336"/>
      <c r="P10800" s="3337"/>
    </row>
    <row r="10801" spans="7:16" s="1634" customFormat="1">
      <c r="G10801" s="3336"/>
      <c r="P10801" s="3337"/>
    </row>
    <row r="10802" spans="7:16" s="1634" customFormat="1">
      <c r="G10802" s="3336"/>
      <c r="P10802" s="3337"/>
    </row>
    <row r="10803" spans="7:16" s="1634" customFormat="1">
      <c r="G10803" s="3336"/>
      <c r="P10803" s="3337"/>
    </row>
    <row r="10804" spans="7:16" s="1634" customFormat="1">
      <c r="G10804" s="3336"/>
      <c r="P10804" s="3337"/>
    </row>
    <row r="10805" spans="7:16" s="1634" customFormat="1">
      <c r="G10805" s="3336"/>
      <c r="P10805" s="3337"/>
    </row>
    <row r="10806" spans="7:16" s="1634" customFormat="1">
      <c r="G10806" s="3336"/>
      <c r="P10806" s="3337"/>
    </row>
    <row r="10807" spans="7:16" s="1634" customFormat="1">
      <c r="G10807" s="3336"/>
      <c r="P10807" s="3337"/>
    </row>
    <row r="10808" spans="7:16" s="1634" customFormat="1">
      <c r="G10808" s="3336"/>
      <c r="P10808" s="3337"/>
    </row>
    <row r="10809" spans="7:16" s="1634" customFormat="1">
      <c r="G10809" s="3336"/>
      <c r="P10809" s="3337"/>
    </row>
    <row r="10810" spans="7:16" s="1634" customFormat="1">
      <c r="G10810" s="3336"/>
      <c r="P10810" s="3337"/>
    </row>
    <row r="10811" spans="7:16" s="1634" customFormat="1">
      <c r="G10811" s="3336"/>
      <c r="P10811" s="3337"/>
    </row>
    <row r="10812" spans="7:16" s="1634" customFormat="1">
      <c r="G10812" s="3336"/>
      <c r="P10812" s="3337"/>
    </row>
    <row r="10813" spans="7:16" s="1634" customFormat="1">
      <c r="G10813" s="3336"/>
      <c r="P10813" s="3337"/>
    </row>
    <row r="10814" spans="7:16" s="1634" customFormat="1">
      <c r="G10814" s="3336"/>
      <c r="P10814" s="3337"/>
    </row>
    <row r="10815" spans="7:16" s="1634" customFormat="1">
      <c r="G10815" s="3336"/>
      <c r="P10815" s="3337"/>
    </row>
    <row r="10816" spans="7:16" s="1634" customFormat="1">
      <c r="G10816" s="3336"/>
      <c r="P10816" s="3337"/>
    </row>
    <row r="10817" spans="7:16" s="1634" customFormat="1">
      <c r="G10817" s="3336"/>
      <c r="P10817" s="3337"/>
    </row>
    <row r="10818" spans="7:16" s="1634" customFormat="1">
      <c r="G10818" s="3336"/>
      <c r="P10818" s="3337"/>
    </row>
    <row r="10819" spans="7:16" s="1634" customFormat="1">
      <c r="G10819" s="3336"/>
      <c r="P10819" s="3337"/>
    </row>
    <row r="10820" spans="7:16" s="1634" customFormat="1">
      <c r="G10820" s="3336"/>
      <c r="P10820" s="3337"/>
    </row>
    <row r="10821" spans="7:16" s="1634" customFormat="1">
      <c r="G10821" s="3336"/>
      <c r="P10821" s="3337"/>
    </row>
    <row r="10822" spans="7:16" s="1634" customFormat="1">
      <c r="G10822" s="3336"/>
      <c r="P10822" s="3337"/>
    </row>
    <row r="10823" spans="7:16" s="1634" customFormat="1">
      <c r="G10823" s="3336"/>
      <c r="P10823" s="3337"/>
    </row>
    <row r="10824" spans="7:16" s="1634" customFormat="1">
      <c r="G10824" s="3336"/>
      <c r="P10824" s="3337"/>
    </row>
    <row r="10825" spans="7:16" s="1634" customFormat="1">
      <c r="G10825" s="3336"/>
      <c r="P10825" s="3337"/>
    </row>
    <row r="10826" spans="7:16" s="1634" customFormat="1">
      <c r="G10826" s="3336"/>
      <c r="P10826" s="3337"/>
    </row>
    <row r="10827" spans="7:16" s="1634" customFormat="1">
      <c r="G10827" s="3336"/>
      <c r="P10827" s="3337"/>
    </row>
    <row r="10828" spans="7:16" s="1634" customFormat="1">
      <c r="G10828" s="3336"/>
      <c r="P10828" s="3337"/>
    </row>
    <row r="10829" spans="7:16" s="1634" customFormat="1">
      <c r="G10829" s="3336"/>
      <c r="P10829" s="3337"/>
    </row>
    <row r="10830" spans="7:16" s="1634" customFormat="1">
      <c r="G10830" s="3336"/>
      <c r="P10830" s="3337"/>
    </row>
    <row r="10831" spans="7:16" s="1634" customFormat="1">
      <c r="G10831" s="3336"/>
      <c r="P10831" s="3337"/>
    </row>
    <row r="10832" spans="7:16" s="1634" customFormat="1">
      <c r="G10832" s="3336"/>
      <c r="P10832" s="3337"/>
    </row>
    <row r="10833" spans="7:16" s="1634" customFormat="1">
      <c r="G10833" s="3336"/>
      <c r="P10833" s="3337"/>
    </row>
    <row r="10834" spans="7:16" s="1634" customFormat="1">
      <c r="G10834" s="3336"/>
      <c r="P10834" s="3337"/>
    </row>
    <row r="10835" spans="7:16" s="1634" customFormat="1">
      <c r="G10835" s="3336"/>
      <c r="P10835" s="3337"/>
    </row>
    <row r="10836" spans="7:16" s="1634" customFormat="1">
      <c r="G10836" s="3336"/>
      <c r="P10836" s="3337"/>
    </row>
    <row r="10837" spans="7:16" s="1634" customFormat="1">
      <c r="G10837" s="3336"/>
      <c r="P10837" s="3337"/>
    </row>
    <row r="10838" spans="7:16" s="1634" customFormat="1">
      <c r="G10838" s="3336"/>
      <c r="P10838" s="3337"/>
    </row>
    <row r="10839" spans="7:16" s="1634" customFormat="1">
      <c r="G10839" s="3336"/>
      <c r="P10839" s="3337"/>
    </row>
    <row r="10840" spans="7:16" s="1634" customFormat="1">
      <c r="G10840" s="3336"/>
      <c r="P10840" s="3337"/>
    </row>
    <row r="10841" spans="7:16" s="1634" customFormat="1">
      <c r="G10841" s="3336"/>
      <c r="P10841" s="3337"/>
    </row>
    <row r="10842" spans="7:16" s="1634" customFormat="1">
      <c r="G10842" s="3336"/>
      <c r="P10842" s="3337"/>
    </row>
    <row r="10843" spans="7:16" s="1634" customFormat="1">
      <c r="G10843" s="3336"/>
      <c r="P10843" s="3337"/>
    </row>
    <row r="10844" spans="7:16" s="1634" customFormat="1">
      <c r="G10844" s="3336"/>
      <c r="P10844" s="3337"/>
    </row>
    <row r="10845" spans="7:16" s="1634" customFormat="1">
      <c r="G10845" s="3336"/>
      <c r="P10845" s="3337"/>
    </row>
    <row r="10846" spans="7:16" s="1634" customFormat="1">
      <c r="G10846" s="3336"/>
      <c r="P10846" s="3337"/>
    </row>
    <row r="10847" spans="7:16" s="1634" customFormat="1">
      <c r="G10847" s="3336"/>
      <c r="P10847" s="3337"/>
    </row>
    <row r="10848" spans="7:16" s="1634" customFormat="1">
      <c r="G10848" s="3336"/>
      <c r="P10848" s="3337"/>
    </row>
    <row r="10849" spans="7:16" s="1634" customFormat="1">
      <c r="G10849" s="3336"/>
      <c r="P10849" s="3337"/>
    </row>
    <row r="10850" spans="7:16" s="1634" customFormat="1">
      <c r="G10850" s="3336"/>
      <c r="P10850" s="3337"/>
    </row>
    <row r="10851" spans="7:16" s="1634" customFormat="1">
      <c r="G10851" s="3336"/>
      <c r="P10851" s="3337"/>
    </row>
    <row r="10852" spans="7:16" s="1634" customFormat="1">
      <c r="G10852" s="3336"/>
      <c r="P10852" s="3337"/>
    </row>
    <row r="10853" spans="7:16" s="1634" customFormat="1">
      <c r="G10853" s="3336"/>
      <c r="P10853" s="3337"/>
    </row>
    <row r="10854" spans="7:16" s="1634" customFormat="1">
      <c r="G10854" s="3336"/>
      <c r="P10854" s="3337"/>
    </row>
    <row r="10855" spans="7:16" s="1634" customFormat="1">
      <c r="G10855" s="3336"/>
      <c r="P10855" s="3337"/>
    </row>
    <row r="10856" spans="7:16" s="1634" customFormat="1">
      <c r="G10856" s="3336"/>
      <c r="P10856" s="3337"/>
    </row>
    <row r="10857" spans="7:16" s="1634" customFormat="1">
      <c r="G10857" s="3336"/>
      <c r="P10857" s="3337"/>
    </row>
    <row r="10858" spans="7:16" s="1634" customFormat="1">
      <c r="G10858" s="3336"/>
      <c r="P10858" s="3337"/>
    </row>
    <row r="10859" spans="7:16" s="1634" customFormat="1">
      <c r="G10859" s="3336"/>
      <c r="P10859" s="3337"/>
    </row>
    <row r="10860" spans="7:16" s="1634" customFormat="1">
      <c r="G10860" s="3336"/>
      <c r="P10860" s="3337"/>
    </row>
    <row r="10861" spans="7:16" s="1634" customFormat="1">
      <c r="G10861" s="3336"/>
      <c r="P10861" s="3337"/>
    </row>
    <row r="10862" spans="7:16" s="1634" customFormat="1">
      <c r="G10862" s="3336"/>
      <c r="P10862" s="3337"/>
    </row>
    <row r="10863" spans="7:16" s="1634" customFormat="1">
      <c r="G10863" s="3336"/>
      <c r="P10863" s="3337"/>
    </row>
    <row r="10864" spans="7:16" s="1634" customFormat="1">
      <c r="G10864" s="3336"/>
      <c r="P10864" s="3337"/>
    </row>
    <row r="10865" spans="7:16" s="1634" customFormat="1">
      <c r="G10865" s="3336"/>
      <c r="P10865" s="3337"/>
    </row>
    <row r="10866" spans="7:16" s="1634" customFormat="1">
      <c r="G10866" s="3336"/>
      <c r="P10866" s="3337"/>
    </row>
    <row r="10867" spans="7:16" s="1634" customFormat="1">
      <c r="G10867" s="3336"/>
      <c r="P10867" s="3337"/>
    </row>
    <row r="10868" spans="7:16" s="1634" customFormat="1">
      <c r="G10868" s="3336"/>
      <c r="P10868" s="3337"/>
    </row>
    <row r="10869" spans="7:16" s="1634" customFormat="1">
      <c r="G10869" s="3336"/>
      <c r="P10869" s="3337"/>
    </row>
    <row r="10870" spans="7:16" s="1634" customFormat="1">
      <c r="G10870" s="3336"/>
      <c r="P10870" s="3337"/>
    </row>
    <row r="10871" spans="7:16" s="1634" customFormat="1">
      <c r="G10871" s="3336"/>
      <c r="P10871" s="3337"/>
    </row>
    <row r="10872" spans="7:16" s="1634" customFormat="1">
      <c r="G10872" s="3336"/>
      <c r="P10872" s="3337"/>
    </row>
    <row r="10873" spans="7:16" s="1634" customFormat="1">
      <c r="G10873" s="3336"/>
      <c r="P10873" s="3337"/>
    </row>
    <row r="10874" spans="7:16" s="1634" customFormat="1">
      <c r="G10874" s="3336"/>
      <c r="P10874" s="3337"/>
    </row>
    <row r="10875" spans="7:16" s="1634" customFormat="1">
      <c r="G10875" s="3336"/>
      <c r="P10875" s="3337"/>
    </row>
    <row r="10876" spans="7:16" s="1634" customFormat="1">
      <c r="G10876" s="3336"/>
      <c r="P10876" s="3337"/>
    </row>
    <row r="10877" spans="7:16" s="1634" customFormat="1">
      <c r="G10877" s="3336"/>
      <c r="P10877" s="3337"/>
    </row>
    <row r="10878" spans="7:16" s="1634" customFormat="1">
      <c r="G10878" s="3336"/>
      <c r="P10878" s="3337"/>
    </row>
    <row r="10879" spans="7:16" s="1634" customFormat="1">
      <c r="G10879" s="3336"/>
      <c r="P10879" s="3337"/>
    </row>
    <row r="10880" spans="7:16" s="1634" customFormat="1">
      <c r="G10880" s="3336"/>
      <c r="P10880" s="3337"/>
    </row>
    <row r="10881" spans="7:16" s="1634" customFormat="1">
      <c r="G10881" s="3336"/>
      <c r="P10881" s="3337"/>
    </row>
    <row r="10882" spans="7:16" s="1634" customFormat="1">
      <c r="G10882" s="3336"/>
      <c r="P10882" s="3337"/>
    </row>
    <row r="10883" spans="7:16" s="1634" customFormat="1">
      <c r="G10883" s="3336"/>
      <c r="P10883" s="3337"/>
    </row>
    <row r="10884" spans="7:16" s="1634" customFormat="1">
      <c r="G10884" s="3336"/>
      <c r="P10884" s="3337"/>
    </row>
    <row r="10885" spans="7:16" s="1634" customFormat="1">
      <c r="G10885" s="3336"/>
      <c r="P10885" s="3337"/>
    </row>
    <row r="10886" spans="7:16" s="1634" customFormat="1">
      <c r="G10886" s="3336"/>
      <c r="P10886" s="3337"/>
    </row>
    <row r="10887" spans="7:16" s="1634" customFormat="1">
      <c r="G10887" s="3336"/>
      <c r="P10887" s="3337"/>
    </row>
    <row r="10888" spans="7:16" s="1634" customFormat="1">
      <c r="G10888" s="3336"/>
      <c r="P10888" s="3337"/>
    </row>
    <row r="10889" spans="7:16" s="1634" customFormat="1">
      <c r="G10889" s="3336"/>
      <c r="P10889" s="3337"/>
    </row>
    <row r="10890" spans="7:16" s="1634" customFormat="1">
      <c r="G10890" s="3336"/>
      <c r="P10890" s="3337"/>
    </row>
    <row r="10891" spans="7:16" s="1634" customFormat="1">
      <c r="G10891" s="3336"/>
      <c r="P10891" s="3337"/>
    </row>
    <row r="10892" spans="7:16" s="1634" customFormat="1">
      <c r="G10892" s="3336"/>
      <c r="P10892" s="3337"/>
    </row>
    <row r="10893" spans="7:16" s="1634" customFormat="1">
      <c r="G10893" s="3336"/>
      <c r="P10893" s="3337"/>
    </row>
    <row r="10894" spans="7:16" s="1634" customFormat="1">
      <c r="G10894" s="3336"/>
      <c r="P10894" s="3337"/>
    </row>
    <row r="10895" spans="7:16" s="1634" customFormat="1">
      <c r="G10895" s="3336"/>
      <c r="P10895" s="3337"/>
    </row>
    <row r="10896" spans="7:16" s="1634" customFormat="1">
      <c r="G10896" s="3336"/>
      <c r="P10896" s="3337"/>
    </row>
    <row r="10897" spans="7:16" s="1634" customFormat="1">
      <c r="G10897" s="3336"/>
      <c r="P10897" s="3337"/>
    </row>
    <row r="10898" spans="7:16" s="1634" customFormat="1">
      <c r="G10898" s="3336"/>
      <c r="P10898" s="3337"/>
    </row>
    <row r="10899" spans="7:16" s="1634" customFormat="1">
      <c r="G10899" s="3336"/>
      <c r="P10899" s="3337"/>
    </row>
    <row r="10900" spans="7:16" s="1634" customFormat="1">
      <c r="G10900" s="3336"/>
      <c r="P10900" s="3337"/>
    </row>
    <row r="10901" spans="7:16" s="1634" customFormat="1">
      <c r="G10901" s="3336"/>
      <c r="P10901" s="3337"/>
    </row>
    <row r="10902" spans="7:16" s="1634" customFormat="1">
      <c r="G10902" s="3336"/>
      <c r="P10902" s="3337"/>
    </row>
    <row r="10903" spans="7:16" s="1634" customFormat="1">
      <c r="G10903" s="3336"/>
      <c r="P10903" s="3337"/>
    </row>
    <row r="10904" spans="7:16" s="1634" customFormat="1">
      <c r="G10904" s="3336"/>
      <c r="P10904" s="3337"/>
    </row>
    <row r="10905" spans="7:16" s="1634" customFormat="1">
      <c r="G10905" s="3336"/>
      <c r="P10905" s="3337"/>
    </row>
    <row r="10906" spans="7:16" s="1634" customFormat="1">
      <c r="G10906" s="3336"/>
      <c r="P10906" s="3337"/>
    </row>
    <row r="10907" spans="7:16" s="1634" customFormat="1">
      <c r="G10907" s="3336"/>
      <c r="P10907" s="3337"/>
    </row>
    <row r="10908" spans="7:16" s="1634" customFormat="1">
      <c r="G10908" s="3336"/>
      <c r="P10908" s="3337"/>
    </row>
    <row r="10909" spans="7:16" s="1634" customFormat="1">
      <c r="G10909" s="3336"/>
      <c r="P10909" s="3337"/>
    </row>
    <row r="10910" spans="7:16" s="1634" customFormat="1">
      <c r="G10910" s="3336"/>
      <c r="P10910" s="3337"/>
    </row>
    <row r="10911" spans="7:16" s="1634" customFormat="1">
      <c r="G10911" s="3336"/>
      <c r="P10911" s="3337"/>
    </row>
    <row r="10912" spans="7:16" s="1634" customFormat="1">
      <c r="G10912" s="3336"/>
      <c r="P10912" s="3337"/>
    </row>
    <row r="10913" spans="7:16" s="1634" customFormat="1">
      <c r="G10913" s="3336"/>
      <c r="P10913" s="3337"/>
    </row>
    <row r="10914" spans="7:16" s="1634" customFormat="1">
      <c r="G10914" s="3336"/>
      <c r="P10914" s="3337"/>
    </row>
    <row r="10915" spans="7:16" s="1634" customFormat="1">
      <c r="G10915" s="3336"/>
      <c r="P10915" s="3337"/>
    </row>
    <row r="10916" spans="7:16" s="1634" customFormat="1">
      <c r="G10916" s="3336"/>
      <c r="P10916" s="3337"/>
    </row>
    <row r="10917" spans="7:16" s="1634" customFormat="1">
      <c r="G10917" s="3336"/>
      <c r="P10917" s="3337"/>
    </row>
    <row r="10918" spans="7:16" s="1634" customFormat="1">
      <c r="G10918" s="3336"/>
      <c r="P10918" s="3337"/>
    </row>
    <row r="10919" spans="7:16" s="1634" customFormat="1">
      <c r="G10919" s="3336"/>
      <c r="P10919" s="3337"/>
    </row>
    <row r="10920" spans="7:16" s="1634" customFormat="1">
      <c r="G10920" s="3336"/>
      <c r="P10920" s="3337"/>
    </row>
    <row r="10921" spans="7:16" s="1634" customFormat="1">
      <c r="G10921" s="3336"/>
      <c r="P10921" s="3337"/>
    </row>
    <row r="10922" spans="7:16" s="1634" customFormat="1">
      <c r="G10922" s="3336"/>
      <c r="P10922" s="3337"/>
    </row>
    <row r="10923" spans="7:16" s="1634" customFormat="1">
      <c r="G10923" s="3336"/>
      <c r="P10923" s="3337"/>
    </row>
    <row r="10924" spans="7:16" s="1634" customFormat="1">
      <c r="G10924" s="3336"/>
      <c r="P10924" s="3337"/>
    </row>
    <row r="10925" spans="7:16" s="1634" customFormat="1">
      <c r="G10925" s="3336"/>
      <c r="P10925" s="3337"/>
    </row>
    <row r="10926" spans="7:16" s="1634" customFormat="1">
      <c r="G10926" s="3336"/>
      <c r="P10926" s="3337"/>
    </row>
    <row r="10927" spans="7:16" s="1634" customFormat="1">
      <c r="G10927" s="3336"/>
      <c r="P10927" s="3337"/>
    </row>
    <row r="10928" spans="7:16" s="1634" customFormat="1">
      <c r="G10928" s="3336"/>
      <c r="P10928" s="3337"/>
    </row>
    <row r="10929" spans="7:16" s="1634" customFormat="1">
      <c r="G10929" s="3336"/>
      <c r="P10929" s="3337"/>
    </row>
    <row r="10930" spans="7:16" s="1634" customFormat="1">
      <c r="G10930" s="3336"/>
      <c r="P10930" s="3337"/>
    </row>
    <row r="10931" spans="7:16" s="1634" customFormat="1">
      <c r="G10931" s="3336"/>
      <c r="P10931" s="3337"/>
    </row>
    <row r="10932" spans="7:16" s="1634" customFormat="1">
      <c r="G10932" s="3336"/>
      <c r="P10932" s="3337"/>
    </row>
    <row r="10933" spans="7:16" s="1634" customFormat="1">
      <c r="G10933" s="3336"/>
      <c r="P10933" s="3337"/>
    </row>
    <row r="10934" spans="7:16" s="1634" customFormat="1">
      <c r="G10934" s="3336"/>
      <c r="P10934" s="3337"/>
    </row>
    <row r="10935" spans="7:16" s="1634" customFormat="1">
      <c r="G10935" s="3336"/>
      <c r="P10935" s="3337"/>
    </row>
    <row r="10936" spans="7:16" s="1634" customFormat="1">
      <c r="G10936" s="3336"/>
      <c r="P10936" s="3337"/>
    </row>
    <row r="10937" spans="7:16" s="1634" customFormat="1">
      <c r="G10937" s="3336"/>
      <c r="P10937" s="3337"/>
    </row>
    <row r="10938" spans="7:16" s="1634" customFormat="1">
      <c r="G10938" s="3336"/>
      <c r="P10938" s="3337"/>
    </row>
    <row r="10939" spans="7:16" s="1634" customFormat="1">
      <c r="G10939" s="3336"/>
      <c r="P10939" s="3337"/>
    </row>
    <row r="10940" spans="7:16" s="1634" customFormat="1">
      <c r="G10940" s="3336"/>
      <c r="P10940" s="3337"/>
    </row>
    <row r="10941" spans="7:16" s="1634" customFormat="1">
      <c r="G10941" s="3336"/>
      <c r="P10941" s="3337"/>
    </row>
    <row r="10942" spans="7:16" s="1634" customFormat="1">
      <c r="G10942" s="3336"/>
      <c r="P10942" s="3337"/>
    </row>
    <row r="10943" spans="7:16" s="1634" customFormat="1">
      <c r="G10943" s="3336"/>
      <c r="P10943" s="3337"/>
    </row>
    <row r="10944" spans="7:16" s="1634" customFormat="1">
      <c r="G10944" s="3336"/>
      <c r="P10944" s="3337"/>
    </row>
    <row r="10945" spans="7:16" s="1634" customFormat="1">
      <c r="G10945" s="3336"/>
      <c r="P10945" s="3337"/>
    </row>
    <row r="10946" spans="7:16" s="1634" customFormat="1">
      <c r="G10946" s="3336"/>
      <c r="P10946" s="3337"/>
    </row>
    <row r="10947" spans="7:16" s="1634" customFormat="1">
      <c r="G10947" s="3336"/>
      <c r="P10947" s="3337"/>
    </row>
    <row r="10948" spans="7:16" s="1634" customFormat="1">
      <c r="G10948" s="3336"/>
      <c r="P10948" s="3337"/>
    </row>
    <row r="10949" spans="7:16" s="1634" customFormat="1">
      <c r="G10949" s="3336"/>
      <c r="P10949" s="3337"/>
    </row>
    <row r="10950" spans="7:16" s="1634" customFormat="1">
      <c r="G10950" s="3336"/>
      <c r="P10950" s="3337"/>
    </row>
    <row r="10951" spans="7:16" s="1634" customFormat="1">
      <c r="G10951" s="3336"/>
      <c r="P10951" s="3337"/>
    </row>
    <row r="10952" spans="7:16" s="1634" customFormat="1">
      <c r="G10952" s="3336"/>
      <c r="P10952" s="3337"/>
    </row>
    <row r="10953" spans="7:16" s="1634" customFormat="1">
      <c r="G10953" s="3336"/>
      <c r="P10953" s="3337"/>
    </row>
    <row r="10954" spans="7:16" s="1634" customFormat="1">
      <c r="G10954" s="3336"/>
      <c r="P10954" s="3337"/>
    </row>
    <row r="10955" spans="7:16" s="1634" customFormat="1">
      <c r="G10955" s="3336"/>
      <c r="P10955" s="3337"/>
    </row>
    <row r="10956" spans="7:16" s="1634" customFormat="1">
      <c r="G10956" s="3336"/>
      <c r="P10956" s="3337"/>
    </row>
    <row r="10957" spans="7:16" s="1634" customFormat="1">
      <c r="G10957" s="3336"/>
      <c r="P10957" s="3337"/>
    </row>
    <row r="10958" spans="7:16" s="1634" customFormat="1">
      <c r="G10958" s="3336"/>
      <c r="P10958" s="3337"/>
    </row>
    <row r="10959" spans="7:16" s="1634" customFormat="1">
      <c r="G10959" s="3336"/>
      <c r="P10959" s="3337"/>
    </row>
    <row r="10960" spans="7:16" s="1634" customFormat="1">
      <c r="G10960" s="3336"/>
      <c r="P10960" s="3337"/>
    </row>
    <row r="10961" spans="7:16" s="1634" customFormat="1">
      <c r="G10961" s="3336"/>
      <c r="P10961" s="3337"/>
    </row>
    <row r="10962" spans="7:16" s="1634" customFormat="1">
      <c r="G10962" s="3336"/>
      <c r="P10962" s="3337"/>
    </row>
    <row r="10963" spans="7:16" s="1634" customFormat="1">
      <c r="G10963" s="3336"/>
      <c r="P10963" s="3337"/>
    </row>
    <row r="10964" spans="7:16" s="1634" customFormat="1">
      <c r="G10964" s="3336"/>
      <c r="P10964" s="3337"/>
    </row>
    <row r="10965" spans="7:16" s="1634" customFormat="1">
      <c r="G10965" s="3336"/>
      <c r="P10965" s="3337"/>
    </row>
    <row r="10966" spans="7:16" s="1634" customFormat="1">
      <c r="G10966" s="3336"/>
      <c r="P10966" s="3337"/>
    </row>
    <row r="10967" spans="7:16" s="1634" customFormat="1">
      <c r="G10967" s="3336"/>
      <c r="P10967" s="3337"/>
    </row>
    <row r="10968" spans="7:16" s="1634" customFormat="1">
      <c r="G10968" s="3336"/>
      <c r="P10968" s="3337"/>
    </row>
    <row r="10969" spans="7:16" s="1634" customFormat="1">
      <c r="G10969" s="3336"/>
      <c r="P10969" s="3337"/>
    </row>
    <row r="10970" spans="7:16" s="1634" customFormat="1">
      <c r="G10970" s="3336"/>
      <c r="P10970" s="3337"/>
    </row>
    <row r="10971" spans="7:16" s="1634" customFormat="1">
      <c r="G10971" s="3336"/>
      <c r="P10971" s="3337"/>
    </row>
    <row r="10972" spans="7:16" s="1634" customFormat="1">
      <c r="G10972" s="3336"/>
      <c r="P10972" s="3337"/>
    </row>
    <row r="10973" spans="7:16" s="1634" customFormat="1">
      <c r="G10973" s="3336"/>
      <c r="P10973" s="3337"/>
    </row>
    <row r="10974" spans="7:16" s="1634" customFormat="1">
      <c r="G10974" s="3336"/>
      <c r="P10974" s="3337"/>
    </row>
    <row r="10975" spans="7:16" s="1634" customFormat="1">
      <c r="G10975" s="3336"/>
      <c r="P10975" s="3337"/>
    </row>
    <row r="10976" spans="7:16" s="1634" customFormat="1">
      <c r="G10976" s="3336"/>
      <c r="P10976" s="3337"/>
    </row>
    <row r="10977" spans="7:16" s="1634" customFormat="1">
      <c r="G10977" s="3336"/>
      <c r="P10977" s="3337"/>
    </row>
    <row r="10978" spans="7:16" s="1634" customFormat="1">
      <c r="G10978" s="3336"/>
      <c r="P10978" s="3337"/>
    </row>
    <row r="10979" spans="7:16" s="1634" customFormat="1">
      <c r="G10979" s="3336"/>
      <c r="P10979" s="3337"/>
    </row>
    <row r="10980" spans="7:16" s="1634" customFormat="1">
      <c r="G10980" s="3336"/>
      <c r="P10980" s="3337"/>
    </row>
    <row r="10981" spans="7:16" s="1634" customFormat="1">
      <c r="G10981" s="3336"/>
      <c r="P10981" s="3337"/>
    </row>
    <row r="10982" spans="7:16" s="1634" customFormat="1">
      <c r="G10982" s="3336"/>
      <c r="P10982" s="3337"/>
    </row>
    <row r="10983" spans="7:16" s="1634" customFormat="1">
      <c r="G10983" s="3336"/>
      <c r="P10983" s="3337"/>
    </row>
    <row r="10984" spans="7:16" s="1634" customFormat="1">
      <c r="G10984" s="3336"/>
      <c r="P10984" s="3337"/>
    </row>
    <row r="10985" spans="7:16" s="1634" customFormat="1">
      <c r="G10985" s="3336"/>
      <c r="P10985" s="3337"/>
    </row>
    <row r="10986" spans="7:16" s="1634" customFormat="1">
      <c r="G10986" s="3336"/>
      <c r="P10986" s="3337"/>
    </row>
    <row r="10987" spans="7:16" s="1634" customFormat="1">
      <c r="G10987" s="3336"/>
      <c r="P10987" s="3337"/>
    </row>
    <row r="10988" spans="7:16" s="1634" customFormat="1">
      <c r="G10988" s="3336"/>
      <c r="P10988" s="3337"/>
    </row>
    <row r="10989" spans="7:16" s="1634" customFormat="1">
      <c r="G10989" s="3336"/>
      <c r="P10989" s="3337"/>
    </row>
    <row r="10990" spans="7:16" s="1634" customFormat="1">
      <c r="G10990" s="3336"/>
      <c r="P10990" s="3337"/>
    </row>
    <row r="10991" spans="7:16" s="1634" customFormat="1">
      <c r="G10991" s="3336"/>
      <c r="P10991" s="3337"/>
    </row>
    <row r="10992" spans="7:16" s="1634" customFormat="1">
      <c r="G10992" s="3336"/>
      <c r="P10992" s="3337"/>
    </row>
    <row r="10993" spans="7:16" s="1634" customFormat="1">
      <c r="G10993" s="3336"/>
      <c r="P10993" s="3337"/>
    </row>
    <row r="10994" spans="7:16" s="1634" customFormat="1">
      <c r="G10994" s="3336"/>
      <c r="P10994" s="3337"/>
    </row>
    <row r="10995" spans="7:16" s="1634" customFormat="1">
      <c r="G10995" s="3336"/>
      <c r="P10995" s="3337"/>
    </row>
    <row r="10996" spans="7:16" s="1634" customFormat="1">
      <c r="G10996" s="3336"/>
      <c r="P10996" s="3337"/>
    </row>
    <row r="10997" spans="7:16" s="1634" customFormat="1">
      <c r="G10997" s="3336"/>
      <c r="P10997" s="3337"/>
    </row>
    <row r="10998" spans="7:16" s="1634" customFormat="1">
      <c r="G10998" s="3336"/>
      <c r="P10998" s="3337"/>
    </row>
    <row r="10999" spans="7:16" s="1634" customFormat="1">
      <c r="G10999" s="3336"/>
      <c r="P10999" s="3337"/>
    </row>
    <row r="11000" spans="7:16" s="1634" customFormat="1">
      <c r="G11000" s="3336"/>
      <c r="P11000" s="3337"/>
    </row>
    <row r="11001" spans="7:16" s="1634" customFormat="1">
      <c r="G11001" s="3336"/>
      <c r="P11001" s="3337"/>
    </row>
    <row r="11002" spans="7:16" s="1634" customFormat="1">
      <c r="G11002" s="3336"/>
      <c r="P11002" s="3337"/>
    </row>
    <row r="11003" spans="7:16" s="1634" customFormat="1">
      <c r="G11003" s="3336"/>
      <c r="P11003" s="3337"/>
    </row>
    <row r="11004" spans="7:16" s="1634" customFormat="1">
      <c r="G11004" s="3336"/>
      <c r="P11004" s="3337"/>
    </row>
    <row r="11005" spans="7:16" s="1634" customFormat="1">
      <c r="G11005" s="3336"/>
      <c r="P11005" s="3337"/>
    </row>
    <row r="11006" spans="7:16" s="1634" customFormat="1">
      <c r="G11006" s="3336"/>
      <c r="P11006" s="3337"/>
    </row>
    <row r="11007" spans="7:16" s="1634" customFormat="1">
      <c r="G11007" s="3336"/>
      <c r="P11007" s="3337"/>
    </row>
    <row r="11008" spans="7:16" s="1634" customFormat="1">
      <c r="G11008" s="3336"/>
      <c r="P11008" s="3337"/>
    </row>
    <row r="11009" spans="7:16" s="1634" customFormat="1">
      <c r="G11009" s="3336"/>
      <c r="P11009" s="3337"/>
    </row>
    <row r="11010" spans="7:16" s="1634" customFormat="1">
      <c r="G11010" s="3336"/>
      <c r="P11010" s="3337"/>
    </row>
    <row r="11011" spans="7:16" s="1634" customFormat="1">
      <c r="G11011" s="3336"/>
      <c r="P11011" s="3337"/>
    </row>
    <row r="11012" spans="7:16" s="1634" customFormat="1">
      <c r="G11012" s="3336"/>
      <c r="P11012" s="3337"/>
    </row>
    <row r="11013" spans="7:16" s="1634" customFormat="1">
      <c r="G11013" s="3336"/>
      <c r="P11013" s="3337"/>
    </row>
    <row r="11014" spans="7:16" s="1634" customFormat="1">
      <c r="G11014" s="3336"/>
      <c r="P11014" s="3337"/>
    </row>
    <row r="11015" spans="7:16" s="1634" customFormat="1">
      <c r="G11015" s="3336"/>
      <c r="P11015" s="3337"/>
    </row>
    <row r="11016" spans="7:16" s="1634" customFormat="1">
      <c r="G11016" s="3336"/>
      <c r="P11016" s="3337"/>
    </row>
    <row r="11017" spans="7:16" s="1634" customFormat="1">
      <c r="G11017" s="3336"/>
      <c r="P11017" s="3337"/>
    </row>
    <row r="11018" spans="7:16" s="1634" customFormat="1">
      <c r="G11018" s="3336"/>
      <c r="P11018" s="3337"/>
    </row>
    <row r="11019" spans="7:16" s="1634" customFormat="1">
      <c r="G11019" s="3336"/>
      <c r="P11019" s="3337"/>
    </row>
    <row r="11020" spans="7:16" s="1634" customFormat="1">
      <c r="G11020" s="3336"/>
      <c r="P11020" s="3337"/>
    </row>
    <row r="11021" spans="7:16" s="1634" customFormat="1">
      <c r="G11021" s="3336"/>
      <c r="P11021" s="3337"/>
    </row>
    <row r="11022" spans="7:16" s="1634" customFormat="1">
      <c r="G11022" s="3336"/>
      <c r="P11022" s="3337"/>
    </row>
    <row r="11023" spans="7:16" s="1634" customFormat="1">
      <c r="G11023" s="3336"/>
      <c r="P11023" s="3337"/>
    </row>
    <row r="11024" spans="7:16" s="1634" customFormat="1">
      <c r="G11024" s="3336"/>
      <c r="P11024" s="3337"/>
    </row>
    <row r="11025" spans="7:16" s="1634" customFormat="1">
      <c r="G11025" s="3336"/>
      <c r="P11025" s="3337"/>
    </row>
    <row r="11026" spans="7:16" s="1634" customFormat="1">
      <c r="G11026" s="3336"/>
      <c r="P11026" s="3337"/>
    </row>
    <row r="11027" spans="7:16" s="1634" customFormat="1">
      <c r="G11027" s="3336"/>
      <c r="P11027" s="3337"/>
    </row>
    <row r="11028" spans="7:16" s="1634" customFormat="1">
      <c r="G11028" s="3336"/>
      <c r="P11028" s="3337"/>
    </row>
    <row r="11029" spans="7:16" s="1634" customFormat="1">
      <c r="G11029" s="3336"/>
      <c r="P11029" s="3337"/>
    </row>
    <row r="11030" spans="7:16" s="1634" customFormat="1">
      <c r="G11030" s="3336"/>
      <c r="P11030" s="3337"/>
    </row>
    <row r="11031" spans="7:16" s="1634" customFormat="1">
      <c r="G11031" s="3336"/>
      <c r="P11031" s="3337"/>
    </row>
    <row r="11032" spans="7:16" s="1634" customFormat="1">
      <c r="G11032" s="3336"/>
      <c r="P11032" s="3337"/>
    </row>
    <row r="11033" spans="7:16" s="1634" customFormat="1">
      <c r="G11033" s="3336"/>
      <c r="P11033" s="3337"/>
    </row>
    <row r="11034" spans="7:16" s="1634" customFormat="1">
      <c r="G11034" s="3336"/>
      <c r="P11034" s="3337"/>
    </row>
    <row r="11035" spans="7:16" s="1634" customFormat="1">
      <c r="G11035" s="3336"/>
      <c r="P11035" s="3337"/>
    </row>
    <row r="11036" spans="7:16" s="1634" customFormat="1">
      <c r="G11036" s="3336"/>
      <c r="P11036" s="3337"/>
    </row>
    <row r="11037" spans="7:16" s="1634" customFormat="1">
      <c r="G11037" s="3336"/>
      <c r="P11037" s="3337"/>
    </row>
    <row r="11038" spans="7:16" s="1634" customFormat="1">
      <c r="G11038" s="3336"/>
      <c r="P11038" s="3337"/>
    </row>
    <row r="11039" spans="7:16" s="1634" customFormat="1">
      <c r="G11039" s="3336"/>
      <c r="P11039" s="3337"/>
    </row>
    <row r="11040" spans="7:16" s="1634" customFormat="1">
      <c r="G11040" s="3336"/>
      <c r="P11040" s="3337"/>
    </row>
    <row r="11041" spans="7:16" s="1634" customFormat="1">
      <c r="G11041" s="3336"/>
      <c r="P11041" s="3337"/>
    </row>
    <row r="11042" spans="7:16" s="1634" customFormat="1">
      <c r="G11042" s="3336"/>
      <c r="P11042" s="3337"/>
    </row>
    <row r="11043" spans="7:16" s="1634" customFormat="1">
      <c r="G11043" s="3336"/>
      <c r="P11043" s="3337"/>
    </row>
    <row r="11044" spans="7:16" s="1634" customFormat="1">
      <c r="G11044" s="3336"/>
      <c r="P11044" s="3337"/>
    </row>
    <row r="11045" spans="7:16" s="1634" customFormat="1">
      <c r="G11045" s="3336"/>
      <c r="P11045" s="3337"/>
    </row>
    <row r="11046" spans="7:16" s="1634" customFormat="1">
      <c r="G11046" s="3336"/>
      <c r="P11046" s="3337"/>
    </row>
    <row r="11047" spans="7:16" s="1634" customFormat="1">
      <c r="G11047" s="3336"/>
      <c r="P11047" s="3337"/>
    </row>
    <row r="11048" spans="7:16" s="1634" customFormat="1">
      <c r="G11048" s="3336"/>
      <c r="P11048" s="3337"/>
    </row>
    <row r="11049" spans="7:16" s="1634" customFormat="1">
      <c r="G11049" s="3336"/>
      <c r="P11049" s="3337"/>
    </row>
    <row r="11050" spans="7:16" s="1634" customFormat="1">
      <c r="G11050" s="3336"/>
      <c r="P11050" s="3337"/>
    </row>
    <row r="11051" spans="7:16" s="1634" customFormat="1">
      <c r="G11051" s="3336"/>
      <c r="P11051" s="3337"/>
    </row>
    <row r="11052" spans="7:16" s="1634" customFormat="1">
      <c r="G11052" s="3336"/>
      <c r="P11052" s="3337"/>
    </row>
    <row r="11053" spans="7:16" s="1634" customFormat="1">
      <c r="G11053" s="3336"/>
      <c r="P11053" s="3337"/>
    </row>
    <row r="11054" spans="7:16" s="1634" customFormat="1">
      <c r="G11054" s="3336"/>
      <c r="P11054" s="3337"/>
    </row>
    <row r="11055" spans="7:16" s="1634" customFormat="1">
      <c r="G11055" s="3336"/>
      <c r="P11055" s="3337"/>
    </row>
    <row r="11056" spans="7:16" s="1634" customFormat="1">
      <c r="G11056" s="3336"/>
      <c r="P11056" s="3337"/>
    </row>
    <row r="11057" spans="7:16" s="1634" customFormat="1">
      <c r="G11057" s="3336"/>
      <c r="P11057" s="3337"/>
    </row>
    <row r="11058" spans="7:16" s="1634" customFormat="1">
      <c r="G11058" s="3336"/>
      <c r="P11058" s="3337"/>
    </row>
    <row r="11059" spans="7:16" s="1634" customFormat="1">
      <c r="G11059" s="3336"/>
      <c r="P11059" s="3337"/>
    </row>
    <row r="11060" spans="7:16" s="1634" customFormat="1">
      <c r="G11060" s="3336"/>
      <c r="P11060" s="3337"/>
    </row>
    <row r="11061" spans="7:16" s="1634" customFormat="1">
      <c r="G11061" s="3336"/>
      <c r="P11061" s="3337"/>
    </row>
    <row r="11062" spans="7:16" s="1634" customFormat="1">
      <c r="G11062" s="3336"/>
      <c r="P11062" s="3337"/>
    </row>
    <row r="11063" spans="7:16" s="1634" customFormat="1">
      <c r="G11063" s="3336"/>
      <c r="P11063" s="3337"/>
    </row>
    <row r="11064" spans="7:16" s="1634" customFormat="1">
      <c r="G11064" s="3336"/>
      <c r="P11064" s="3337"/>
    </row>
    <row r="11065" spans="7:16" s="1634" customFormat="1">
      <c r="G11065" s="3336"/>
      <c r="P11065" s="3337"/>
    </row>
    <row r="11066" spans="7:16" s="1634" customFormat="1">
      <c r="G11066" s="3336"/>
      <c r="P11066" s="3337"/>
    </row>
    <row r="11067" spans="7:16" s="1634" customFormat="1">
      <c r="G11067" s="3336"/>
      <c r="P11067" s="3337"/>
    </row>
    <row r="11068" spans="7:16" s="1634" customFormat="1">
      <c r="G11068" s="3336"/>
      <c r="P11068" s="3337"/>
    </row>
    <row r="11069" spans="7:16" s="1634" customFormat="1">
      <c r="G11069" s="3336"/>
      <c r="P11069" s="3337"/>
    </row>
    <row r="11070" spans="7:16" s="1634" customFormat="1">
      <c r="G11070" s="3336"/>
      <c r="P11070" s="3337"/>
    </row>
    <row r="11071" spans="7:16" s="1634" customFormat="1">
      <c r="G11071" s="3336"/>
      <c r="P11071" s="3337"/>
    </row>
    <row r="11072" spans="7:16" s="1634" customFormat="1">
      <c r="G11072" s="3336"/>
      <c r="P11072" s="3337"/>
    </row>
    <row r="11073" spans="7:16" s="1634" customFormat="1">
      <c r="G11073" s="3336"/>
      <c r="P11073" s="3337"/>
    </row>
    <row r="11074" spans="7:16" s="1634" customFormat="1">
      <c r="G11074" s="3336"/>
      <c r="P11074" s="3337"/>
    </row>
    <row r="11075" spans="7:16" s="1634" customFormat="1">
      <c r="G11075" s="3336"/>
      <c r="P11075" s="3337"/>
    </row>
    <row r="11076" spans="7:16" s="1634" customFormat="1">
      <c r="G11076" s="3336"/>
      <c r="P11076" s="3337"/>
    </row>
    <row r="11077" spans="7:16" s="1634" customFormat="1">
      <c r="G11077" s="3336"/>
      <c r="P11077" s="3337"/>
    </row>
    <row r="11078" spans="7:16" s="1634" customFormat="1">
      <c r="G11078" s="3336"/>
      <c r="P11078" s="3337"/>
    </row>
    <row r="11079" spans="7:16" s="1634" customFormat="1">
      <c r="G11079" s="3336"/>
      <c r="P11079" s="3337"/>
    </row>
    <row r="11080" spans="7:16" s="1634" customFormat="1">
      <c r="G11080" s="3336"/>
      <c r="P11080" s="3337"/>
    </row>
    <row r="11081" spans="7:16" s="1634" customFormat="1">
      <c r="G11081" s="3336"/>
      <c r="P11081" s="3337"/>
    </row>
    <row r="11082" spans="7:16" s="1634" customFormat="1">
      <c r="G11082" s="3336"/>
      <c r="P11082" s="3337"/>
    </row>
    <row r="11083" spans="7:16" s="1634" customFormat="1">
      <c r="G11083" s="3336"/>
      <c r="P11083" s="3337"/>
    </row>
    <row r="11084" spans="7:16" s="1634" customFormat="1">
      <c r="G11084" s="3336"/>
      <c r="P11084" s="3337"/>
    </row>
    <row r="11085" spans="7:16" s="1634" customFormat="1">
      <c r="G11085" s="3336"/>
      <c r="P11085" s="3337"/>
    </row>
    <row r="11086" spans="7:16" s="1634" customFormat="1">
      <c r="G11086" s="3336"/>
      <c r="P11086" s="3337"/>
    </row>
    <row r="11087" spans="7:16" s="1634" customFormat="1">
      <c r="G11087" s="3336"/>
      <c r="P11087" s="3337"/>
    </row>
    <row r="11088" spans="7:16" s="1634" customFormat="1">
      <c r="G11088" s="3336"/>
      <c r="P11088" s="3337"/>
    </row>
    <row r="11089" spans="7:16" s="1634" customFormat="1">
      <c r="G11089" s="3336"/>
      <c r="P11089" s="3337"/>
    </row>
    <row r="11090" spans="7:16" s="1634" customFormat="1">
      <c r="G11090" s="3336"/>
      <c r="P11090" s="3337"/>
    </row>
    <row r="11091" spans="7:16" s="1634" customFormat="1">
      <c r="G11091" s="3336"/>
      <c r="P11091" s="3337"/>
    </row>
    <row r="11092" spans="7:16" s="1634" customFormat="1">
      <c r="G11092" s="3336"/>
      <c r="P11092" s="3337"/>
    </row>
    <row r="11093" spans="7:16" s="1634" customFormat="1">
      <c r="G11093" s="3336"/>
      <c r="P11093" s="3337"/>
    </row>
    <row r="11094" spans="7:16" s="1634" customFormat="1">
      <c r="G11094" s="3336"/>
      <c r="P11094" s="3337"/>
    </row>
    <row r="11095" spans="7:16" s="1634" customFormat="1">
      <c r="G11095" s="3336"/>
      <c r="P11095" s="3337"/>
    </row>
    <row r="11096" spans="7:16" s="1634" customFormat="1">
      <c r="G11096" s="3336"/>
      <c r="P11096" s="3337"/>
    </row>
    <row r="11097" spans="7:16" s="1634" customFormat="1">
      <c r="G11097" s="3336"/>
      <c r="P11097" s="3337"/>
    </row>
    <row r="11098" spans="7:16" s="1634" customFormat="1">
      <c r="G11098" s="3336"/>
      <c r="P11098" s="3337"/>
    </row>
    <row r="11099" spans="7:16" s="1634" customFormat="1">
      <c r="G11099" s="3336"/>
      <c r="P11099" s="3337"/>
    </row>
    <row r="11100" spans="7:16" s="1634" customFormat="1">
      <c r="G11100" s="3336"/>
      <c r="P11100" s="3337"/>
    </row>
    <row r="11101" spans="7:16" s="1634" customFormat="1">
      <c r="G11101" s="3336"/>
      <c r="P11101" s="3337"/>
    </row>
    <row r="11102" spans="7:16" s="1634" customFormat="1">
      <c r="G11102" s="3336"/>
      <c r="P11102" s="3337"/>
    </row>
    <row r="11103" spans="7:16" s="1634" customFormat="1">
      <c r="G11103" s="3336"/>
      <c r="P11103" s="3337"/>
    </row>
    <row r="11104" spans="7:16" s="1634" customFormat="1">
      <c r="G11104" s="3336"/>
      <c r="P11104" s="3337"/>
    </row>
    <row r="11105" spans="7:16" s="1634" customFormat="1">
      <c r="G11105" s="3336"/>
      <c r="P11105" s="3337"/>
    </row>
    <row r="11106" spans="7:16" s="1634" customFormat="1">
      <c r="G11106" s="3336"/>
      <c r="P11106" s="3337"/>
    </row>
    <row r="11107" spans="7:16" s="1634" customFormat="1">
      <c r="G11107" s="3336"/>
      <c r="P11107" s="3337"/>
    </row>
    <row r="11108" spans="7:16" s="1634" customFormat="1">
      <c r="G11108" s="3336"/>
      <c r="P11108" s="3337"/>
    </row>
    <row r="11109" spans="7:16" s="1634" customFormat="1">
      <c r="G11109" s="3336"/>
      <c r="P11109" s="3337"/>
    </row>
    <row r="11110" spans="7:16" s="1634" customFormat="1">
      <c r="G11110" s="3336"/>
      <c r="P11110" s="3337"/>
    </row>
    <row r="11111" spans="7:16" s="1634" customFormat="1">
      <c r="G11111" s="3336"/>
      <c r="P11111" s="3337"/>
    </row>
    <row r="11112" spans="7:16" s="1634" customFormat="1">
      <c r="G11112" s="3336"/>
      <c r="P11112" s="3337"/>
    </row>
    <row r="11113" spans="7:16" s="1634" customFormat="1">
      <c r="G11113" s="3336"/>
      <c r="P11113" s="3337"/>
    </row>
    <row r="11114" spans="7:16" s="1634" customFormat="1">
      <c r="G11114" s="3336"/>
      <c r="P11114" s="3337"/>
    </row>
    <row r="11115" spans="7:16" s="1634" customFormat="1">
      <c r="G11115" s="3336"/>
      <c r="P11115" s="3337"/>
    </row>
    <row r="11116" spans="7:16" s="1634" customFormat="1">
      <c r="G11116" s="3336"/>
      <c r="P11116" s="3337"/>
    </row>
    <row r="11117" spans="7:16" s="1634" customFormat="1">
      <c r="G11117" s="3336"/>
      <c r="P11117" s="3337"/>
    </row>
    <row r="11118" spans="7:16" s="1634" customFormat="1">
      <c r="G11118" s="3336"/>
      <c r="P11118" s="3337"/>
    </row>
    <row r="11119" spans="7:16" s="1634" customFormat="1">
      <c r="G11119" s="3336"/>
      <c r="P11119" s="3337"/>
    </row>
    <row r="11120" spans="7:16" s="1634" customFormat="1">
      <c r="G11120" s="3336"/>
      <c r="P11120" s="3337"/>
    </row>
    <row r="11121" spans="7:16" s="1634" customFormat="1">
      <c r="G11121" s="3336"/>
      <c r="P11121" s="3337"/>
    </row>
    <row r="11122" spans="7:16" s="1634" customFormat="1">
      <c r="G11122" s="3336"/>
      <c r="P11122" s="3337"/>
    </row>
    <row r="11123" spans="7:16" s="1634" customFormat="1">
      <c r="G11123" s="3336"/>
      <c r="P11123" s="3337"/>
    </row>
    <row r="11124" spans="7:16" s="1634" customFormat="1">
      <c r="G11124" s="3336"/>
      <c r="P11124" s="3337"/>
    </row>
    <row r="11125" spans="7:16" s="1634" customFormat="1">
      <c r="G11125" s="3336"/>
      <c r="P11125" s="3337"/>
    </row>
    <row r="11126" spans="7:16" s="1634" customFormat="1">
      <c r="G11126" s="3336"/>
      <c r="P11126" s="3337"/>
    </row>
    <row r="11127" spans="7:16" s="1634" customFormat="1">
      <c r="G11127" s="3336"/>
      <c r="P11127" s="3337"/>
    </row>
    <row r="11128" spans="7:16" s="1634" customFormat="1">
      <c r="G11128" s="3336"/>
      <c r="P11128" s="3337"/>
    </row>
    <row r="11129" spans="7:16" s="1634" customFormat="1">
      <c r="G11129" s="3336"/>
      <c r="P11129" s="3337"/>
    </row>
    <row r="11130" spans="7:16" s="1634" customFormat="1">
      <c r="G11130" s="3336"/>
      <c r="P11130" s="3337"/>
    </row>
    <row r="11131" spans="7:16" s="1634" customFormat="1">
      <c r="G11131" s="3336"/>
      <c r="P11131" s="3337"/>
    </row>
    <row r="11132" spans="7:16" s="1634" customFormat="1">
      <c r="G11132" s="3336"/>
      <c r="P11132" s="3337"/>
    </row>
    <row r="11133" spans="7:16" s="1634" customFormat="1">
      <c r="G11133" s="3336"/>
      <c r="P11133" s="3337"/>
    </row>
    <row r="11134" spans="7:16" s="1634" customFormat="1">
      <c r="G11134" s="3336"/>
      <c r="P11134" s="3337"/>
    </row>
    <row r="11135" spans="7:16" s="1634" customFormat="1">
      <c r="G11135" s="3336"/>
      <c r="P11135" s="3337"/>
    </row>
    <row r="11136" spans="7:16" s="1634" customFormat="1">
      <c r="G11136" s="3336"/>
      <c r="P11136" s="3337"/>
    </row>
    <row r="11137" spans="7:16" s="1634" customFormat="1">
      <c r="G11137" s="3336"/>
      <c r="P11137" s="3337"/>
    </row>
    <row r="11138" spans="7:16" s="1634" customFormat="1">
      <c r="G11138" s="3336"/>
      <c r="P11138" s="3337"/>
    </row>
    <row r="11139" spans="7:16" s="1634" customFormat="1">
      <c r="G11139" s="3336"/>
      <c r="P11139" s="3337"/>
    </row>
    <row r="11140" spans="7:16" s="1634" customFormat="1">
      <c r="G11140" s="3336"/>
      <c r="P11140" s="3337"/>
    </row>
    <row r="11141" spans="7:16" s="1634" customFormat="1">
      <c r="G11141" s="3336"/>
      <c r="P11141" s="3337"/>
    </row>
    <row r="11142" spans="7:16" s="1634" customFormat="1">
      <c r="G11142" s="3336"/>
      <c r="P11142" s="3337"/>
    </row>
    <row r="11143" spans="7:16" s="1634" customFormat="1">
      <c r="G11143" s="3336"/>
      <c r="P11143" s="3337"/>
    </row>
    <row r="11144" spans="7:16" s="1634" customFormat="1">
      <c r="G11144" s="3336"/>
      <c r="P11144" s="3337"/>
    </row>
    <row r="11145" spans="7:16" s="1634" customFormat="1">
      <c r="G11145" s="3336"/>
      <c r="P11145" s="3337"/>
    </row>
    <row r="11146" spans="7:16" s="1634" customFormat="1">
      <c r="G11146" s="3336"/>
      <c r="P11146" s="3337"/>
    </row>
    <row r="11147" spans="7:16" s="1634" customFormat="1">
      <c r="G11147" s="3336"/>
      <c r="P11147" s="3337"/>
    </row>
    <row r="11148" spans="7:16" s="1634" customFormat="1">
      <c r="G11148" s="3336"/>
      <c r="P11148" s="3337"/>
    </row>
    <row r="11149" spans="7:16" s="1634" customFormat="1">
      <c r="G11149" s="3336"/>
      <c r="P11149" s="3337"/>
    </row>
    <row r="11150" spans="7:16" s="1634" customFormat="1">
      <c r="G11150" s="3336"/>
      <c r="P11150" s="3337"/>
    </row>
    <row r="11151" spans="7:16" s="1634" customFormat="1">
      <c r="G11151" s="3336"/>
      <c r="P11151" s="3337"/>
    </row>
    <row r="11152" spans="7:16" s="1634" customFormat="1">
      <c r="G11152" s="3336"/>
      <c r="P11152" s="3337"/>
    </row>
    <row r="11153" spans="7:16" s="1634" customFormat="1">
      <c r="G11153" s="3336"/>
      <c r="P11153" s="3337"/>
    </row>
    <row r="11154" spans="7:16" s="1634" customFormat="1">
      <c r="G11154" s="3336"/>
      <c r="P11154" s="3337"/>
    </row>
    <row r="11155" spans="7:16" s="1634" customFormat="1">
      <c r="G11155" s="3336"/>
      <c r="P11155" s="3337"/>
    </row>
    <row r="11156" spans="7:16" s="1634" customFormat="1">
      <c r="G11156" s="3336"/>
      <c r="P11156" s="3337"/>
    </row>
    <row r="11157" spans="7:16" s="1634" customFormat="1">
      <c r="G11157" s="3336"/>
      <c r="P11157" s="3337"/>
    </row>
    <row r="11158" spans="7:16" s="1634" customFormat="1">
      <c r="G11158" s="3336"/>
      <c r="P11158" s="3337"/>
    </row>
    <row r="11159" spans="7:16" s="1634" customFormat="1">
      <c r="G11159" s="3336"/>
      <c r="P11159" s="3337"/>
    </row>
    <row r="11160" spans="7:16" s="1634" customFormat="1">
      <c r="G11160" s="3336"/>
      <c r="P11160" s="3337"/>
    </row>
    <row r="11161" spans="7:16" s="1634" customFormat="1">
      <c r="G11161" s="3336"/>
      <c r="P11161" s="3337"/>
    </row>
    <row r="11162" spans="7:16" s="1634" customFormat="1">
      <c r="G11162" s="3336"/>
      <c r="P11162" s="3337"/>
    </row>
    <row r="11163" spans="7:16" s="1634" customFormat="1">
      <c r="G11163" s="3336"/>
      <c r="P11163" s="3337"/>
    </row>
    <row r="11164" spans="7:16" s="1634" customFormat="1">
      <c r="G11164" s="3336"/>
      <c r="P11164" s="3337"/>
    </row>
    <row r="11165" spans="7:16" s="1634" customFormat="1">
      <c r="G11165" s="3336"/>
      <c r="P11165" s="3337"/>
    </row>
    <row r="11166" spans="7:16" s="1634" customFormat="1">
      <c r="G11166" s="3336"/>
      <c r="P11166" s="3337"/>
    </row>
    <row r="11167" spans="7:16" s="1634" customFormat="1">
      <c r="G11167" s="3336"/>
      <c r="P11167" s="3337"/>
    </row>
    <row r="11168" spans="7:16" s="1634" customFormat="1">
      <c r="G11168" s="3336"/>
      <c r="P11168" s="3337"/>
    </row>
    <row r="11169" spans="7:16" s="1634" customFormat="1">
      <c r="G11169" s="3336"/>
      <c r="P11169" s="3337"/>
    </row>
    <row r="11170" spans="7:16" s="1634" customFormat="1">
      <c r="G11170" s="3336"/>
      <c r="P11170" s="3337"/>
    </row>
    <row r="11171" spans="7:16" s="1634" customFormat="1">
      <c r="G11171" s="3336"/>
      <c r="P11171" s="3337"/>
    </row>
    <row r="11172" spans="7:16" s="1634" customFormat="1">
      <c r="G11172" s="3336"/>
      <c r="P11172" s="3337"/>
    </row>
    <row r="11173" spans="7:16" s="1634" customFormat="1">
      <c r="G11173" s="3336"/>
      <c r="P11173" s="3337"/>
    </row>
    <row r="11174" spans="7:16" s="1634" customFormat="1">
      <c r="G11174" s="3336"/>
      <c r="P11174" s="3337"/>
    </row>
    <row r="11175" spans="7:16" s="1634" customFormat="1">
      <c r="G11175" s="3336"/>
      <c r="P11175" s="3337"/>
    </row>
    <row r="11176" spans="7:16" s="1634" customFormat="1">
      <c r="G11176" s="3336"/>
      <c r="P11176" s="3337"/>
    </row>
    <row r="11177" spans="7:16" s="1634" customFormat="1">
      <c r="G11177" s="3336"/>
      <c r="P11177" s="3337"/>
    </row>
    <row r="11178" spans="7:16" s="1634" customFormat="1">
      <c r="G11178" s="3336"/>
      <c r="P11178" s="3337"/>
    </row>
    <row r="11179" spans="7:16" s="1634" customFormat="1">
      <c r="G11179" s="3336"/>
      <c r="P11179" s="3337"/>
    </row>
    <row r="11180" spans="7:16" s="1634" customFormat="1">
      <c r="G11180" s="3336"/>
      <c r="P11180" s="3337"/>
    </row>
    <row r="11181" spans="7:16" s="1634" customFormat="1">
      <c r="G11181" s="3336"/>
      <c r="P11181" s="3337"/>
    </row>
    <row r="11182" spans="7:16" s="1634" customFormat="1">
      <c r="G11182" s="3336"/>
      <c r="P11182" s="3337"/>
    </row>
    <row r="11183" spans="7:16" s="1634" customFormat="1">
      <c r="G11183" s="3336"/>
      <c r="P11183" s="3337"/>
    </row>
    <row r="11184" spans="7:16" s="1634" customFormat="1">
      <c r="G11184" s="3336"/>
      <c r="P11184" s="3337"/>
    </row>
    <row r="11185" spans="7:16" s="1634" customFormat="1">
      <c r="G11185" s="3336"/>
      <c r="P11185" s="3337"/>
    </row>
    <row r="11186" spans="7:16" s="1634" customFormat="1">
      <c r="G11186" s="3336"/>
      <c r="P11186" s="3337"/>
    </row>
    <row r="11187" spans="7:16" s="1634" customFormat="1">
      <c r="G11187" s="3336"/>
      <c r="P11187" s="3337"/>
    </row>
    <row r="11188" spans="7:16" s="1634" customFormat="1">
      <c r="G11188" s="3336"/>
      <c r="P11188" s="3337"/>
    </row>
    <row r="11189" spans="7:16" s="1634" customFormat="1">
      <c r="G11189" s="3336"/>
      <c r="P11189" s="3337"/>
    </row>
    <row r="11190" spans="7:16" s="1634" customFormat="1">
      <c r="G11190" s="3336"/>
      <c r="P11190" s="3337"/>
    </row>
    <row r="11191" spans="7:16" s="1634" customFormat="1">
      <c r="G11191" s="3336"/>
      <c r="P11191" s="3337"/>
    </row>
    <row r="11192" spans="7:16" s="1634" customFormat="1">
      <c r="G11192" s="3336"/>
      <c r="P11192" s="3337"/>
    </row>
    <row r="11193" spans="7:16" s="1634" customFormat="1">
      <c r="G11193" s="3336"/>
      <c r="P11193" s="3337"/>
    </row>
    <row r="11194" spans="7:16" s="1634" customFormat="1">
      <c r="G11194" s="3336"/>
      <c r="P11194" s="3337"/>
    </row>
    <row r="11195" spans="7:16" s="1634" customFormat="1">
      <c r="G11195" s="3336"/>
      <c r="P11195" s="3337"/>
    </row>
    <row r="11196" spans="7:16" s="1634" customFormat="1">
      <c r="G11196" s="3336"/>
      <c r="P11196" s="3337"/>
    </row>
    <row r="11197" spans="7:16" s="1634" customFormat="1">
      <c r="G11197" s="3336"/>
      <c r="P11197" s="3337"/>
    </row>
    <row r="11198" spans="7:16" s="1634" customFormat="1">
      <c r="G11198" s="3336"/>
      <c r="P11198" s="3337"/>
    </row>
    <row r="11199" spans="7:16" s="1634" customFormat="1">
      <c r="G11199" s="3336"/>
      <c r="P11199" s="3337"/>
    </row>
    <row r="11200" spans="7:16" s="1634" customFormat="1">
      <c r="G11200" s="3336"/>
      <c r="P11200" s="3337"/>
    </row>
    <row r="11201" spans="7:16" s="1634" customFormat="1">
      <c r="G11201" s="3336"/>
      <c r="P11201" s="3337"/>
    </row>
    <row r="11202" spans="7:16" s="1634" customFormat="1">
      <c r="G11202" s="3336"/>
      <c r="P11202" s="3337"/>
    </row>
    <row r="11203" spans="7:16" s="1634" customFormat="1">
      <c r="G11203" s="3336"/>
      <c r="P11203" s="3337"/>
    </row>
    <row r="11204" spans="7:16" s="1634" customFormat="1">
      <c r="G11204" s="3336"/>
      <c r="P11204" s="3337"/>
    </row>
    <row r="11205" spans="7:16" s="1634" customFormat="1">
      <c r="G11205" s="3336"/>
      <c r="P11205" s="3337"/>
    </row>
    <row r="11206" spans="7:16" s="1634" customFormat="1">
      <c r="G11206" s="3336"/>
      <c r="P11206" s="3337"/>
    </row>
    <row r="11207" spans="7:16" s="1634" customFormat="1">
      <c r="G11207" s="3336"/>
      <c r="P11207" s="3337"/>
    </row>
    <row r="11208" spans="7:16" s="1634" customFormat="1">
      <c r="G11208" s="3336"/>
      <c r="P11208" s="3337"/>
    </row>
    <row r="11209" spans="7:16" s="1634" customFormat="1">
      <c r="G11209" s="3336"/>
      <c r="P11209" s="3337"/>
    </row>
    <row r="11210" spans="7:16" s="1634" customFormat="1">
      <c r="G11210" s="3336"/>
      <c r="P11210" s="3337"/>
    </row>
    <row r="11211" spans="7:16" s="1634" customFormat="1">
      <c r="G11211" s="3336"/>
      <c r="P11211" s="3337"/>
    </row>
    <row r="11212" spans="7:16" s="1634" customFormat="1">
      <c r="G11212" s="3336"/>
      <c r="P11212" s="3337"/>
    </row>
    <row r="11213" spans="7:16" s="1634" customFormat="1">
      <c r="G11213" s="3336"/>
      <c r="P11213" s="3337"/>
    </row>
    <row r="11214" spans="7:16" s="1634" customFormat="1">
      <c r="G11214" s="3336"/>
      <c r="P11214" s="3337"/>
    </row>
    <row r="11215" spans="7:16" s="1634" customFormat="1">
      <c r="G11215" s="3336"/>
      <c r="P11215" s="3337"/>
    </row>
    <row r="11216" spans="7:16" s="1634" customFormat="1">
      <c r="G11216" s="3336"/>
      <c r="P11216" s="3337"/>
    </row>
    <row r="11217" spans="7:16" s="1634" customFormat="1">
      <c r="G11217" s="3336"/>
      <c r="P11217" s="3337"/>
    </row>
    <row r="11218" spans="7:16" s="1634" customFormat="1">
      <c r="G11218" s="3336"/>
      <c r="P11218" s="3337"/>
    </row>
    <row r="11219" spans="7:16" s="1634" customFormat="1">
      <c r="G11219" s="3336"/>
      <c r="P11219" s="3337"/>
    </row>
    <row r="11220" spans="7:16" s="1634" customFormat="1">
      <c r="G11220" s="3336"/>
      <c r="P11220" s="3337"/>
    </row>
    <row r="11221" spans="7:16" s="1634" customFormat="1">
      <c r="G11221" s="3336"/>
      <c r="P11221" s="3337"/>
    </row>
    <row r="11222" spans="7:16" s="1634" customFormat="1">
      <c r="G11222" s="3336"/>
      <c r="P11222" s="3337"/>
    </row>
    <row r="11223" spans="7:16" s="1634" customFormat="1">
      <c r="G11223" s="3336"/>
      <c r="P11223" s="3337"/>
    </row>
    <row r="11224" spans="7:16" s="1634" customFormat="1">
      <c r="G11224" s="3336"/>
      <c r="P11224" s="3337"/>
    </row>
    <row r="11225" spans="7:16" s="1634" customFormat="1">
      <c r="G11225" s="3336"/>
      <c r="P11225" s="3337"/>
    </row>
    <row r="11226" spans="7:16" s="1634" customFormat="1">
      <c r="G11226" s="3336"/>
      <c r="P11226" s="3337"/>
    </row>
    <row r="11227" spans="7:16" s="1634" customFormat="1">
      <c r="G11227" s="3336"/>
      <c r="P11227" s="3337"/>
    </row>
    <row r="11228" spans="7:16" s="1634" customFormat="1">
      <c r="G11228" s="3336"/>
      <c r="P11228" s="3337"/>
    </row>
    <row r="11229" spans="7:16" s="1634" customFormat="1">
      <c r="G11229" s="3336"/>
      <c r="P11229" s="3337"/>
    </row>
    <row r="11230" spans="7:16" s="1634" customFormat="1">
      <c r="G11230" s="3336"/>
      <c r="P11230" s="3337"/>
    </row>
    <row r="11231" spans="7:16" s="1634" customFormat="1">
      <c r="G11231" s="3336"/>
      <c r="P11231" s="3337"/>
    </row>
    <row r="11232" spans="7:16" s="1634" customFormat="1">
      <c r="G11232" s="3336"/>
      <c r="P11232" s="3337"/>
    </row>
    <row r="11233" spans="7:16" s="1634" customFormat="1">
      <c r="G11233" s="3336"/>
      <c r="P11233" s="3337"/>
    </row>
    <row r="11234" spans="7:16" s="1634" customFormat="1">
      <c r="G11234" s="3336"/>
      <c r="P11234" s="3337"/>
    </row>
    <row r="11235" spans="7:16" s="1634" customFormat="1">
      <c r="G11235" s="3336"/>
      <c r="P11235" s="3337"/>
    </row>
    <row r="11236" spans="7:16" s="1634" customFormat="1">
      <c r="G11236" s="3336"/>
      <c r="P11236" s="3337"/>
    </row>
    <row r="11237" spans="7:16" s="1634" customFormat="1">
      <c r="G11237" s="3336"/>
      <c r="P11237" s="3337"/>
    </row>
    <row r="11238" spans="7:16" s="1634" customFormat="1">
      <c r="G11238" s="3336"/>
      <c r="P11238" s="3337"/>
    </row>
    <row r="11239" spans="7:16" s="1634" customFormat="1">
      <c r="G11239" s="3336"/>
      <c r="P11239" s="3337"/>
    </row>
    <row r="11240" spans="7:16" s="1634" customFormat="1">
      <c r="G11240" s="3336"/>
      <c r="P11240" s="3337"/>
    </row>
    <row r="11241" spans="7:16" s="1634" customFormat="1">
      <c r="G11241" s="3336"/>
      <c r="P11241" s="3337"/>
    </row>
    <row r="11242" spans="7:16" s="1634" customFormat="1">
      <c r="G11242" s="3336"/>
      <c r="P11242" s="3337"/>
    </row>
    <row r="11243" spans="7:16" s="1634" customFormat="1">
      <c r="G11243" s="3336"/>
      <c r="P11243" s="3337"/>
    </row>
    <row r="11244" spans="7:16" s="1634" customFormat="1">
      <c r="G11244" s="3336"/>
      <c r="P11244" s="3337"/>
    </row>
    <row r="11245" spans="7:16" s="1634" customFormat="1">
      <c r="G11245" s="3336"/>
      <c r="P11245" s="3337"/>
    </row>
    <row r="11246" spans="7:16" s="1634" customFormat="1">
      <c r="G11246" s="3336"/>
      <c r="P11246" s="3337"/>
    </row>
    <row r="11247" spans="7:16" s="1634" customFormat="1">
      <c r="G11247" s="3336"/>
      <c r="P11247" s="3337"/>
    </row>
    <row r="11248" spans="7:16" s="1634" customFormat="1">
      <c r="G11248" s="3336"/>
      <c r="P11248" s="3337"/>
    </row>
    <row r="11249" spans="7:16" s="1634" customFormat="1">
      <c r="G11249" s="3336"/>
      <c r="P11249" s="3337"/>
    </row>
    <row r="11250" spans="7:16" s="1634" customFormat="1">
      <c r="G11250" s="3336"/>
      <c r="P11250" s="3337"/>
    </row>
    <row r="11251" spans="7:16" s="1634" customFormat="1">
      <c r="G11251" s="3336"/>
      <c r="P11251" s="3337"/>
    </row>
    <row r="11252" spans="7:16" s="1634" customFormat="1">
      <c r="G11252" s="3336"/>
      <c r="P11252" s="3337"/>
    </row>
    <row r="11253" spans="7:16" s="1634" customFormat="1">
      <c r="G11253" s="3336"/>
      <c r="P11253" s="3337"/>
    </row>
    <row r="11254" spans="7:16" s="1634" customFormat="1">
      <c r="G11254" s="3336"/>
      <c r="P11254" s="3337"/>
    </row>
    <row r="11255" spans="7:16" s="1634" customFormat="1">
      <c r="G11255" s="3336"/>
      <c r="P11255" s="3337"/>
    </row>
    <row r="11256" spans="7:16" s="1634" customFormat="1">
      <c r="G11256" s="3336"/>
      <c r="P11256" s="3337"/>
    </row>
    <row r="11257" spans="7:16" s="1634" customFormat="1">
      <c r="G11257" s="3336"/>
      <c r="P11257" s="3337"/>
    </row>
    <row r="11258" spans="7:16" s="1634" customFormat="1">
      <c r="G11258" s="3336"/>
      <c r="P11258" s="3337"/>
    </row>
    <row r="11259" spans="7:16" s="1634" customFormat="1">
      <c r="G11259" s="3336"/>
      <c r="P11259" s="3337"/>
    </row>
    <row r="11260" spans="7:16" s="1634" customFormat="1">
      <c r="G11260" s="3336"/>
      <c r="P11260" s="3337"/>
    </row>
    <row r="11261" spans="7:16" s="1634" customFormat="1">
      <c r="G11261" s="3336"/>
      <c r="P11261" s="3337"/>
    </row>
    <row r="11262" spans="7:16" s="1634" customFormat="1">
      <c r="G11262" s="3336"/>
      <c r="P11262" s="3337"/>
    </row>
    <row r="11263" spans="7:16" s="1634" customFormat="1">
      <c r="G11263" s="3336"/>
      <c r="P11263" s="3337"/>
    </row>
    <row r="11264" spans="7:16" s="1634" customFormat="1">
      <c r="G11264" s="3336"/>
      <c r="P11264" s="3337"/>
    </row>
    <row r="11265" spans="7:16" s="1634" customFormat="1">
      <c r="G11265" s="3336"/>
      <c r="P11265" s="3337"/>
    </row>
    <row r="11266" spans="7:16" s="1634" customFormat="1">
      <c r="G11266" s="3336"/>
      <c r="P11266" s="3337"/>
    </row>
    <row r="11267" spans="7:16" s="1634" customFormat="1">
      <c r="G11267" s="3336"/>
      <c r="P11267" s="3337"/>
    </row>
    <row r="11268" spans="7:16" s="1634" customFormat="1">
      <c r="G11268" s="3336"/>
      <c r="P11268" s="3337"/>
    </row>
    <row r="11269" spans="7:16" s="1634" customFormat="1">
      <c r="G11269" s="3336"/>
      <c r="P11269" s="3337"/>
    </row>
    <row r="11270" spans="7:16" s="1634" customFormat="1">
      <c r="G11270" s="3336"/>
      <c r="P11270" s="3337"/>
    </row>
    <row r="11271" spans="7:16" s="1634" customFormat="1">
      <c r="G11271" s="3336"/>
      <c r="P11271" s="3337"/>
    </row>
    <row r="11272" spans="7:16" s="1634" customFormat="1">
      <c r="G11272" s="3336"/>
      <c r="P11272" s="3337"/>
    </row>
    <row r="11273" spans="7:16" s="1634" customFormat="1">
      <c r="G11273" s="3336"/>
      <c r="P11273" s="3337"/>
    </row>
    <row r="11274" spans="7:16" s="1634" customFormat="1">
      <c r="G11274" s="3336"/>
      <c r="P11274" s="3337"/>
    </row>
    <row r="11275" spans="7:16" s="1634" customFormat="1">
      <c r="G11275" s="3336"/>
      <c r="P11275" s="3337"/>
    </row>
    <row r="11276" spans="7:16" s="1634" customFormat="1">
      <c r="G11276" s="3336"/>
      <c r="P11276" s="3337"/>
    </row>
    <row r="11277" spans="7:16" s="1634" customFormat="1">
      <c r="G11277" s="3336"/>
      <c r="P11277" s="3337"/>
    </row>
    <row r="11278" spans="7:16" s="1634" customFormat="1">
      <c r="G11278" s="3336"/>
      <c r="P11278" s="3337"/>
    </row>
    <row r="11279" spans="7:16" s="1634" customFormat="1">
      <c r="G11279" s="3336"/>
      <c r="P11279" s="3337"/>
    </row>
    <row r="11280" spans="7:16" s="1634" customFormat="1">
      <c r="G11280" s="3336"/>
      <c r="P11280" s="3337"/>
    </row>
    <row r="11281" spans="7:16" s="1634" customFormat="1">
      <c r="G11281" s="3336"/>
      <c r="P11281" s="3337"/>
    </row>
    <row r="11282" spans="7:16" s="1634" customFormat="1">
      <c r="G11282" s="3336"/>
      <c r="P11282" s="3337"/>
    </row>
    <row r="11283" spans="7:16" s="1634" customFormat="1">
      <c r="G11283" s="3336"/>
      <c r="P11283" s="3337"/>
    </row>
    <row r="11284" spans="7:16" s="1634" customFormat="1">
      <c r="G11284" s="3336"/>
      <c r="P11284" s="3337"/>
    </row>
    <row r="11285" spans="7:16" s="1634" customFormat="1">
      <c r="G11285" s="3336"/>
      <c r="P11285" s="3337"/>
    </row>
    <row r="11286" spans="7:16" s="1634" customFormat="1">
      <c r="G11286" s="3336"/>
      <c r="P11286" s="3337"/>
    </row>
    <row r="11287" spans="7:16" s="1634" customFormat="1">
      <c r="G11287" s="3336"/>
      <c r="P11287" s="3337"/>
    </row>
    <row r="11288" spans="7:16" s="1634" customFormat="1">
      <c r="G11288" s="3336"/>
      <c r="P11288" s="3337"/>
    </row>
    <row r="11289" spans="7:16" s="1634" customFormat="1">
      <c r="G11289" s="3336"/>
      <c r="P11289" s="3337"/>
    </row>
    <row r="11290" spans="7:16" s="1634" customFormat="1">
      <c r="G11290" s="3336"/>
      <c r="P11290" s="3337"/>
    </row>
    <row r="11291" spans="7:16" s="1634" customFormat="1">
      <c r="G11291" s="3336"/>
      <c r="P11291" s="3337"/>
    </row>
    <row r="11292" spans="7:16" s="1634" customFormat="1">
      <c r="G11292" s="3336"/>
      <c r="P11292" s="3337"/>
    </row>
    <row r="11293" spans="7:16" s="1634" customFormat="1">
      <c r="G11293" s="3336"/>
      <c r="P11293" s="3337"/>
    </row>
    <row r="11294" spans="7:16" s="1634" customFormat="1">
      <c r="G11294" s="3336"/>
      <c r="P11294" s="3337"/>
    </row>
    <row r="11295" spans="7:16" s="1634" customFormat="1">
      <c r="G11295" s="3336"/>
      <c r="P11295" s="3337"/>
    </row>
    <row r="11296" spans="7:16" s="1634" customFormat="1">
      <c r="G11296" s="3336"/>
      <c r="P11296" s="3337"/>
    </row>
    <row r="11297" spans="7:16" s="1634" customFormat="1">
      <c r="G11297" s="3336"/>
      <c r="P11297" s="3337"/>
    </row>
    <row r="11298" spans="7:16" s="1634" customFormat="1">
      <c r="G11298" s="3336"/>
      <c r="P11298" s="3337"/>
    </row>
    <row r="11299" spans="7:16" s="1634" customFormat="1">
      <c r="G11299" s="3336"/>
      <c r="P11299" s="3337"/>
    </row>
    <row r="11300" spans="7:16" s="1634" customFormat="1">
      <c r="G11300" s="3336"/>
      <c r="P11300" s="3337"/>
    </row>
    <row r="11301" spans="7:16" s="1634" customFormat="1">
      <c r="G11301" s="3336"/>
      <c r="P11301" s="3337"/>
    </row>
    <row r="11302" spans="7:16" s="1634" customFormat="1">
      <c r="G11302" s="3336"/>
      <c r="P11302" s="3337"/>
    </row>
    <row r="11303" spans="7:16" s="1634" customFormat="1">
      <c r="G11303" s="3336"/>
      <c r="P11303" s="3337"/>
    </row>
    <row r="11304" spans="7:16" s="1634" customFormat="1">
      <c r="G11304" s="3336"/>
      <c r="P11304" s="3337"/>
    </row>
    <row r="11305" spans="7:16" s="1634" customFormat="1">
      <c r="G11305" s="3336"/>
      <c r="P11305" s="3337"/>
    </row>
    <row r="11306" spans="7:16" s="1634" customFormat="1">
      <c r="G11306" s="3336"/>
      <c r="P11306" s="3337"/>
    </row>
    <row r="11307" spans="7:16" s="1634" customFormat="1">
      <c r="G11307" s="3336"/>
      <c r="P11307" s="3337"/>
    </row>
    <row r="11308" spans="7:16" s="1634" customFormat="1">
      <c r="G11308" s="3336"/>
      <c r="P11308" s="3337"/>
    </row>
    <row r="11309" spans="7:16" s="1634" customFormat="1">
      <c r="G11309" s="3336"/>
      <c r="P11309" s="3337"/>
    </row>
    <row r="11310" spans="7:16" s="1634" customFormat="1">
      <c r="G11310" s="3336"/>
      <c r="P11310" s="3337"/>
    </row>
    <row r="11311" spans="7:16" s="1634" customFormat="1">
      <c r="G11311" s="3336"/>
      <c r="P11311" s="3337"/>
    </row>
    <row r="11312" spans="7:16" s="1634" customFormat="1">
      <c r="G11312" s="3336"/>
      <c r="P11312" s="3337"/>
    </row>
    <row r="11313" spans="7:16" s="1634" customFormat="1">
      <c r="G11313" s="3336"/>
      <c r="P11313" s="3337"/>
    </row>
    <row r="11314" spans="7:16" s="1634" customFormat="1">
      <c r="G11314" s="3336"/>
      <c r="P11314" s="3337"/>
    </row>
    <row r="11315" spans="7:16" s="1634" customFormat="1">
      <c r="G11315" s="3336"/>
      <c r="P11315" s="3337"/>
    </row>
    <row r="11316" spans="7:16" s="1634" customFormat="1">
      <c r="G11316" s="3336"/>
      <c r="P11316" s="3337"/>
    </row>
    <row r="11317" spans="7:16" s="1634" customFormat="1">
      <c r="G11317" s="3336"/>
      <c r="P11317" s="3337"/>
    </row>
    <row r="11318" spans="7:16" s="1634" customFormat="1">
      <c r="G11318" s="3336"/>
      <c r="P11318" s="3337"/>
    </row>
    <row r="11319" spans="7:16" s="1634" customFormat="1">
      <c r="G11319" s="3336"/>
      <c r="P11319" s="3337"/>
    </row>
    <row r="11320" spans="7:16" s="1634" customFormat="1">
      <c r="G11320" s="3336"/>
      <c r="P11320" s="3337"/>
    </row>
    <row r="11321" spans="7:16" s="1634" customFormat="1">
      <c r="G11321" s="3336"/>
      <c r="P11321" s="3337"/>
    </row>
    <row r="11322" spans="7:16" s="1634" customFormat="1">
      <c r="G11322" s="3336"/>
      <c r="P11322" s="3337"/>
    </row>
    <row r="11323" spans="7:16" s="1634" customFormat="1">
      <c r="G11323" s="3336"/>
      <c r="P11323" s="3337"/>
    </row>
    <row r="11324" spans="7:16" s="1634" customFormat="1">
      <c r="G11324" s="3336"/>
      <c r="P11324" s="3337"/>
    </row>
    <row r="11325" spans="7:16" s="1634" customFormat="1">
      <c r="G11325" s="3336"/>
      <c r="P11325" s="3337"/>
    </row>
    <row r="11326" spans="7:16" s="1634" customFormat="1">
      <c r="G11326" s="3336"/>
      <c r="P11326" s="3337"/>
    </row>
    <row r="11327" spans="7:16" s="1634" customFormat="1">
      <c r="G11327" s="3336"/>
      <c r="P11327" s="3337"/>
    </row>
    <row r="11328" spans="7:16" s="1634" customFormat="1">
      <c r="G11328" s="3336"/>
      <c r="P11328" s="3337"/>
    </row>
    <row r="11329" spans="7:16" s="1634" customFormat="1">
      <c r="G11329" s="3336"/>
      <c r="P11329" s="3337"/>
    </row>
    <row r="11330" spans="7:16" s="1634" customFormat="1">
      <c r="G11330" s="3336"/>
      <c r="P11330" s="3337"/>
    </row>
    <row r="11331" spans="7:16" s="1634" customFormat="1">
      <c r="G11331" s="3336"/>
      <c r="P11331" s="3337"/>
    </row>
    <row r="11332" spans="7:16" s="1634" customFormat="1">
      <c r="G11332" s="3336"/>
      <c r="P11332" s="3337"/>
    </row>
    <row r="11333" spans="7:16" s="1634" customFormat="1">
      <c r="G11333" s="3336"/>
      <c r="P11333" s="3337"/>
    </row>
    <row r="11334" spans="7:16" s="1634" customFormat="1">
      <c r="G11334" s="3336"/>
      <c r="P11334" s="3337"/>
    </row>
    <row r="11335" spans="7:16" s="1634" customFormat="1">
      <c r="G11335" s="3336"/>
      <c r="P11335" s="3337"/>
    </row>
    <row r="11336" spans="7:16" s="1634" customFormat="1">
      <c r="G11336" s="3336"/>
      <c r="P11336" s="3337"/>
    </row>
    <row r="11337" spans="7:16" s="1634" customFormat="1">
      <c r="G11337" s="3336"/>
      <c r="P11337" s="3337"/>
    </row>
    <row r="11338" spans="7:16" s="1634" customFormat="1">
      <c r="G11338" s="3336"/>
      <c r="P11338" s="3337"/>
    </row>
    <row r="11339" spans="7:16" s="1634" customFormat="1">
      <c r="G11339" s="3336"/>
      <c r="P11339" s="3337"/>
    </row>
    <row r="11340" spans="7:16" s="1634" customFormat="1">
      <c r="G11340" s="3336"/>
      <c r="P11340" s="3337"/>
    </row>
    <row r="11341" spans="7:16" s="1634" customFormat="1">
      <c r="G11341" s="3336"/>
      <c r="P11341" s="3337"/>
    </row>
    <row r="11342" spans="7:16" s="1634" customFormat="1">
      <c r="G11342" s="3336"/>
      <c r="P11342" s="3337"/>
    </row>
    <row r="11343" spans="7:16" s="1634" customFormat="1">
      <c r="G11343" s="3336"/>
      <c r="P11343" s="3337"/>
    </row>
    <row r="11344" spans="7:16" s="1634" customFormat="1">
      <c r="G11344" s="3336"/>
      <c r="P11344" s="3337"/>
    </row>
    <row r="11345" spans="7:16" s="1634" customFormat="1">
      <c r="G11345" s="3336"/>
      <c r="P11345" s="3337"/>
    </row>
    <row r="11346" spans="7:16" s="1634" customFormat="1">
      <c r="G11346" s="3336"/>
      <c r="P11346" s="3337"/>
    </row>
    <row r="11347" spans="7:16" s="1634" customFormat="1">
      <c r="G11347" s="3336"/>
      <c r="P11347" s="3337"/>
    </row>
    <row r="11348" spans="7:16" s="1634" customFormat="1">
      <c r="G11348" s="3336"/>
      <c r="P11348" s="3337"/>
    </row>
    <row r="11349" spans="7:16" s="1634" customFormat="1">
      <c r="G11349" s="3336"/>
      <c r="P11349" s="3337"/>
    </row>
    <row r="11350" spans="7:16" s="1634" customFormat="1">
      <c r="G11350" s="3336"/>
      <c r="P11350" s="3337"/>
    </row>
    <row r="11351" spans="7:16" s="1634" customFormat="1">
      <c r="G11351" s="3336"/>
      <c r="P11351" s="3337"/>
    </row>
    <row r="11352" spans="7:16" s="1634" customFormat="1">
      <c r="G11352" s="3336"/>
      <c r="P11352" s="3337"/>
    </row>
    <row r="11353" spans="7:16" s="1634" customFormat="1">
      <c r="G11353" s="3336"/>
      <c r="P11353" s="3337"/>
    </row>
    <row r="11354" spans="7:16" s="1634" customFormat="1">
      <c r="G11354" s="3336"/>
      <c r="P11354" s="3337"/>
    </row>
    <row r="11355" spans="7:16" s="1634" customFormat="1">
      <c r="G11355" s="3336"/>
      <c r="P11355" s="3337"/>
    </row>
    <row r="11356" spans="7:16" s="1634" customFormat="1">
      <c r="G11356" s="3336"/>
      <c r="P11356" s="3337"/>
    </row>
    <row r="11357" spans="7:16" s="1634" customFormat="1">
      <c r="G11357" s="3336"/>
      <c r="P11357" s="3337"/>
    </row>
    <row r="11358" spans="7:16" s="1634" customFormat="1">
      <c r="G11358" s="3336"/>
      <c r="P11358" s="3337"/>
    </row>
    <row r="11359" spans="7:16" s="1634" customFormat="1">
      <c r="G11359" s="3336"/>
      <c r="P11359" s="3337"/>
    </row>
    <row r="11360" spans="7:16" s="1634" customFormat="1">
      <c r="G11360" s="3336"/>
      <c r="P11360" s="3337"/>
    </row>
    <row r="11361" spans="7:16" s="1634" customFormat="1">
      <c r="G11361" s="3336"/>
      <c r="P11361" s="3337"/>
    </row>
    <row r="11362" spans="7:16" s="1634" customFormat="1">
      <c r="G11362" s="3336"/>
      <c r="P11362" s="3337"/>
    </row>
    <row r="11363" spans="7:16" s="1634" customFormat="1">
      <c r="G11363" s="3336"/>
      <c r="P11363" s="3337"/>
    </row>
    <row r="11364" spans="7:16" s="1634" customFormat="1">
      <c r="G11364" s="3336"/>
      <c r="P11364" s="3337"/>
    </row>
    <row r="11365" spans="7:16" s="1634" customFormat="1">
      <c r="G11365" s="3336"/>
      <c r="P11365" s="3337"/>
    </row>
    <row r="11366" spans="7:16" s="1634" customFormat="1">
      <c r="G11366" s="3336"/>
      <c r="P11366" s="3337"/>
    </row>
    <row r="11367" spans="7:16" s="1634" customFormat="1">
      <c r="G11367" s="3336"/>
      <c r="P11367" s="3337"/>
    </row>
    <row r="11368" spans="7:16" s="1634" customFormat="1">
      <c r="G11368" s="3336"/>
      <c r="P11368" s="3337"/>
    </row>
    <row r="11369" spans="7:16" s="1634" customFormat="1">
      <c r="G11369" s="3336"/>
      <c r="P11369" s="3337"/>
    </row>
    <row r="11370" spans="7:16" s="1634" customFormat="1">
      <c r="G11370" s="3336"/>
      <c r="P11370" s="3337"/>
    </row>
    <row r="11371" spans="7:16" s="1634" customFormat="1">
      <c r="G11371" s="3336"/>
      <c r="P11371" s="3337"/>
    </row>
    <row r="11372" spans="7:16" s="1634" customFormat="1">
      <c r="G11372" s="3336"/>
      <c r="P11372" s="3337"/>
    </row>
    <row r="11373" spans="7:16" s="1634" customFormat="1">
      <c r="G11373" s="3336"/>
      <c r="P11373" s="3337"/>
    </row>
    <row r="11374" spans="7:16" s="1634" customFormat="1">
      <c r="G11374" s="3336"/>
      <c r="P11374" s="3337"/>
    </row>
    <row r="11375" spans="7:16" s="1634" customFormat="1">
      <c r="G11375" s="3336"/>
      <c r="P11375" s="3337"/>
    </row>
    <row r="11376" spans="7:16" s="1634" customFormat="1">
      <c r="G11376" s="3336"/>
      <c r="P11376" s="3337"/>
    </row>
    <row r="11377" spans="7:16" s="1634" customFormat="1">
      <c r="G11377" s="3336"/>
      <c r="P11377" s="3337"/>
    </row>
    <row r="11378" spans="7:16" s="1634" customFormat="1">
      <c r="G11378" s="3336"/>
      <c r="P11378" s="3337"/>
    </row>
    <row r="11379" spans="7:16" s="1634" customFormat="1">
      <c r="G11379" s="3336"/>
      <c r="P11379" s="3337"/>
    </row>
    <row r="11380" spans="7:16" s="1634" customFormat="1">
      <c r="G11380" s="3336"/>
      <c r="P11380" s="3337"/>
    </row>
    <row r="11381" spans="7:16" s="1634" customFormat="1">
      <c r="G11381" s="3336"/>
      <c r="P11381" s="3337"/>
    </row>
    <row r="11382" spans="7:16" s="1634" customFormat="1">
      <c r="G11382" s="3336"/>
      <c r="P11382" s="3337"/>
    </row>
    <row r="11383" spans="7:16" s="1634" customFormat="1">
      <c r="G11383" s="3336"/>
      <c r="P11383" s="3337"/>
    </row>
    <row r="11384" spans="7:16" s="1634" customFormat="1">
      <c r="G11384" s="3336"/>
      <c r="P11384" s="3337"/>
    </row>
    <row r="11385" spans="7:16" s="1634" customFormat="1">
      <c r="G11385" s="3336"/>
      <c r="P11385" s="3337"/>
    </row>
    <row r="11386" spans="7:16" s="1634" customFormat="1">
      <c r="G11386" s="3336"/>
      <c r="P11386" s="3337"/>
    </row>
    <row r="11387" spans="7:16" s="1634" customFormat="1">
      <c r="G11387" s="3336"/>
      <c r="P11387" s="3337"/>
    </row>
    <row r="11388" spans="7:16" s="1634" customFormat="1">
      <c r="G11388" s="3336"/>
      <c r="P11388" s="3337"/>
    </row>
    <row r="11389" spans="7:16" s="1634" customFormat="1">
      <c r="G11389" s="3336"/>
      <c r="P11389" s="3337"/>
    </row>
    <row r="11390" spans="7:16" s="1634" customFormat="1">
      <c r="G11390" s="3336"/>
      <c r="P11390" s="3337"/>
    </row>
    <row r="11391" spans="7:16" s="1634" customFormat="1">
      <c r="G11391" s="3336"/>
      <c r="P11391" s="3337"/>
    </row>
    <row r="11392" spans="7:16" s="1634" customFormat="1">
      <c r="G11392" s="3336"/>
      <c r="P11392" s="3337"/>
    </row>
    <row r="11393" spans="7:16" s="1634" customFormat="1">
      <c r="G11393" s="3336"/>
      <c r="P11393" s="3337"/>
    </row>
    <row r="11394" spans="7:16" s="1634" customFormat="1">
      <c r="G11394" s="3336"/>
      <c r="P11394" s="3337"/>
    </row>
    <row r="11395" spans="7:16" s="1634" customFormat="1">
      <c r="G11395" s="3336"/>
      <c r="P11395" s="3337"/>
    </row>
    <row r="11396" spans="7:16" s="1634" customFormat="1">
      <c r="G11396" s="3336"/>
      <c r="P11396" s="3337"/>
    </row>
    <row r="11397" spans="7:16" s="1634" customFormat="1">
      <c r="G11397" s="3336"/>
      <c r="P11397" s="3337"/>
    </row>
    <row r="11398" spans="7:16" s="1634" customFormat="1">
      <c r="G11398" s="3336"/>
      <c r="P11398" s="3337"/>
    </row>
    <row r="11399" spans="7:16" s="1634" customFormat="1">
      <c r="G11399" s="3336"/>
      <c r="P11399" s="3337"/>
    </row>
    <row r="11400" spans="7:16" s="1634" customFormat="1">
      <c r="G11400" s="3336"/>
      <c r="P11400" s="3337"/>
    </row>
    <row r="11401" spans="7:16" s="1634" customFormat="1">
      <c r="G11401" s="3336"/>
      <c r="P11401" s="3337"/>
    </row>
    <row r="11402" spans="7:16" s="1634" customFormat="1">
      <c r="G11402" s="3336"/>
      <c r="P11402" s="3337"/>
    </row>
    <row r="11403" spans="7:16" s="1634" customFormat="1">
      <c r="G11403" s="3336"/>
      <c r="P11403" s="3337"/>
    </row>
    <row r="11404" spans="7:16" s="1634" customFormat="1">
      <c r="G11404" s="3336"/>
      <c r="P11404" s="3337"/>
    </row>
    <row r="11405" spans="7:16" s="1634" customFormat="1">
      <c r="G11405" s="3336"/>
      <c r="P11405" s="3337"/>
    </row>
    <row r="11406" spans="7:16" s="1634" customFormat="1">
      <c r="G11406" s="3336"/>
      <c r="P11406" s="3337"/>
    </row>
    <row r="11407" spans="7:16" s="1634" customFormat="1">
      <c r="G11407" s="3336"/>
      <c r="P11407" s="3337"/>
    </row>
    <row r="11408" spans="7:16" s="1634" customFormat="1">
      <c r="G11408" s="3336"/>
      <c r="P11408" s="3337"/>
    </row>
    <row r="11409" spans="7:16" s="1634" customFormat="1">
      <c r="G11409" s="3336"/>
      <c r="P11409" s="3337"/>
    </row>
    <row r="11410" spans="7:16" s="1634" customFormat="1">
      <c r="G11410" s="3336"/>
      <c r="P11410" s="3337"/>
    </row>
    <row r="11411" spans="7:16" s="1634" customFormat="1">
      <c r="G11411" s="3336"/>
      <c r="P11411" s="3337"/>
    </row>
    <row r="11412" spans="7:16" s="1634" customFormat="1">
      <c r="G11412" s="3336"/>
      <c r="P11412" s="3337"/>
    </row>
    <row r="11413" spans="7:16" s="1634" customFormat="1">
      <c r="G11413" s="3336"/>
      <c r="P11413" s="3337"/>
    </row>
    <row r="11414" spans="7:16" s="1634" customFormat="1">
      <c r="G11414" s="3336"/>
      <c r="P11414" s="3337"/>
    </row>
    <row r="11415" spans="7:16" s="1634" customFormat="1">
      <c r="G11415" s="3336"/>
      <c r="P11415" s="3337"/>
    </row>
    <row r="11416" spans="7:16" s="1634" customFormat="1">
      <c r="G11416" s="3336"/>
      <c r="P11416" s="3337"/>
    </row>
    <row r="11417" spans="7:16" s="1634" customFormat="1">
      <c r="G11417" s="3336"/>
      <c r="P11417" s="3337"/>
    </row>
    <row r="11418" spans="7:16" s="1634" customFormat="1">
      <c r="G11418" s="3336"/>
      <c r="P11418" s="3337"/>
    </row>
    <row r="11419" spans="7:16" s="1634" customFormat="1">
      <c r="G11419" s="3336"/>
      <c r="P11419" s="3337"/>
    </row>
    <row r="11420" spans="7:16" s="1634" customFormat="1">
      <c r="G11420" s="3336"/>
      <c r="P11420" s="3337"/>
    </row>
    <row r="11421" spans="7:16" s="1634" customFormat="1">
      <c r="G11421" s="3336"/>
      <c r="P11421" s="3337"/>
    </row>
    <row r="11422" spans="7:16" s="1634" customFormat="1">
      <c r="G11422" s="3336"/>
      <c r="P11422" s="3337"/>
    </row>
    <row r="11423" spans="7:16" s="1634" customFormat="1">
      <c r="G11423" s="3336"/>
      <c r="P11423" s="3337"/>
    </row>
    <row r="11424" spans="7:16" s="1634" customFormat="1">
      <c r="G11424" s="3336"/>
      <c r="P11424" s="3337"/>
    </row>
    <row r="11425" spans="7:16" s="1634" customFormat="1">
      <c r="G11425" s="3336"/>
      <c r="P11425" s="3337"/>
    </row>
    <row r="11426" spans="7:16" s="1634" customFormat="1">
      <c r="G11426" s="3336"/>
      <c r="P11426" s="3337"/>
    </row>
    <row r="11427" spans="7:16" s="1634" customFormat="1">
      <c r="G11427" s="3336"/>
      <c r="P11427" s="3337"/>
    </row>
    <row r="11428" spans="7:16" s="1634" customFormat="1">
      <c r="G11428" s="3336"/>
      <c r="P11428" s="3337"/>
    </row>
    <row r="11429" spans="7:16" s="1634" customFormat="1">
      <c r="G11429" s="3336"/>
      <c r="P11429" s="3337"/>
    </row>
    <row r="11430" spans="7:16" s="1634" customFormat="1">
      <c r="G11430" s="3336"/>
      <c r="P11430" s="3337"/>
    </row>
    <row r="11431" spans="7:16" s="1634" customFormat="1">
      <c r="G11431" s="3336"/>
      <c r="P11431" s="3337"/>
    </row>
    <row r="11432" spans="7:16" s="1634" customFormat="1">
      <c r="G11432" s="3336"/>
      <c r="P11432" s="3337"/>
    </row>
    <row r="11433" spans="7:16" s="1634" customFormat="1">
      <c r="G11433" s="3336"/>
      <c r="P11433" s="3337"/>
    </row>
    <row r="11434" spans="7:16" s="1634" customFormat="1">
      <c r="G11434" s="3336"/>
      <c r="P11434" s="3337"/>
    </row>
    <row r="11435" spans="7:16" s="1634" customFormat="1">
      <c r="G11435" s="3336"/>
      <c r="P11435" s="3337"/>
    </row>
    <row r="11436" spans="7:16" s="1634" customFormat="1">
      <c r="G11436" s="3336"/>
      <c r="P11436" s="3337"/>
    </row>
    <row r="11437" spans="7:16" s="1634" customFormat="1">
      <c r="G11437" s="3336"/>
      <c r="P11437" s="3337"/>
    </row>
    <row r="11438" spans="7:16" s="1634" customFormat="1">
      <c r="G11438" s="3336"/>
      <c r="P11438" s="3337"/>
    </row>
    <row r="11439" spans="7:16" s="1634" customFormat="1">
      <c r="G11439" s="3336"/>
      <c r="P11439" s="3337"/>
    </row>
    <row r="11440" spans="7:16" s="1634" customFormat="1">
      <c r="G11440" s="3336"/>
      <c r="P11440" s="3337"/>
    </row>
    <row r="11441" spans="7:16" s="1634" customFormat="1">
      <c r="G11441" s="3336"/>
      <c r="P11441" s="3337"/>
    </row>
    <row r="11442" spans="7:16" s="1634" customFormat="1">
      <c r="G11442" s="3336"/>
      <c r="P11442" s="3337"/>
    </row>
    <row r="11443" spans="7:16" s="1634" customFormat="1">
      <c r="G11443" s="3336"/>
      <c r="P11443" s="3337"/>
    </row>
    <row r="11444" spans="7:16" s="1634" customFormat="1">
      <c r="G11444" s="3336"/>
      <c r="P11444" s="3337"/>
    </row>
    <row r="11445" spans="7:16" s="1634" customFormat="1">
      <c r="G11445" s="3336"/>
      <c r="P11445" s="3337"/>
    </row>
    <row r="11446" spans="7:16" s="1634" customFormat="1">
      <c r="G11446" s="3336"/>
      <c r="P11446" s="3337"/>
    </row>
    <row r="11447" spans="7:16" s="1634" customFormat="1">
      <c r="G11447" s="3336"/>
      <c r="P11447" s="3337"/>
    </row>
    <row r="11448" spans="7:16" s="1634" customFormat="1">
      <c r="G11448" s="3336"/>
      <c r="P11448" s="3337"/>
    </row>
    <row r="11449" spans="7:16" s="1634" customFormat="1">
      <c r="G11449" s="3336"/>
      <c r="P11449" s="3337"/>
    </row>
    <row r="11450" spans="7:16" s="1634" customFormat="1">
      <c r="G11450" s="3336"/>
      <c r="P11450" s="3337"/>
    </row>
    <row r="11451" spans="7:16" s="1634" customFormat="1">
      <c r="G11451" s="3336"/>
      <c r="P11451" s="3337"/>
    </row>
    <row r="11452" spans="7:16" s="1634" customFormat="1">
      <c r="G11452" s="3336"/>
      <c r="P11452" s="3337"/>
    </row>
    <row r="11453" spans="7:16" s="1634" customFormat="1">
      <c r="G11453" s="3336"/>
      <c r="P11453" s="3337"/>
    </row>
    <row r="11454" spans="7:16" s="1634" customFormat="1">
      <c r="G11454" s="3336"/>
      <c r="P11454" s="3337"/>
    </row>
    <row r="11455" spans="7:16" s="1634" customFormat="1">
      <c r="G11455" s="3336"/>
      <c r="P11455" s="3337"/>
    </row>
    <row r="11456" spans="7:16" s="1634" customFormat="1">
      <c r="G11456" s="3336"/>
      <c r="P11456" s="3337"/>
    </row>
    <row r="11457" spans="7:16" s="1634" customFormat="1">
      <c r="G11457" s="3336"/>
      <c r="P11457" s="3337"/>
    </row>
    <row r="11458" spans="7:16" s="1634" customFormat="1">
      <c r="G11458" s="3336"/>
      <c r="P11458" s="3337"/>
    </row>
    <row r="11459" spans="7:16" s="1634" customFormat="1">
      <c r="G11459" s="3336"/>
      <c r="P11459" s="3337"/>
    </row>
    <row r="11460" spans="7:16" s="1634" customFormat="1">
      <c r="G11460" s="3336"/>
      <c r="P11460" s="3337"/>
    </row>
    <row r="11461" spans="7:16" s="1634" customFormat="1">
      <c r="G11461" s="3336"/>
      <c r="P11461" s="3337"/>
    </row>
    <row r="11462" spans="7:16" s="1634" customFormat="1">
      <c r="G11462" s="3336"/>
      <c r="P11462" s="3337"/>
    </row>
    <row r="11463" spans="7:16" s="1634" customFormat="1">
      <c r="G11463" s="3336"/>
      <c r="P11463" s="3337"/>
    </row>
    <row r="11464" spans="7:16" s="1634" customFormat="1">
      <c r="G11464" s="3336"/>
      <c r="P11464" s="3337"/>
    </row>
    <row r="11465" spans="7:16" s="1634" customFormat="1">
      <c r="G11465" s="3336"/>
      <c r="P11465" s="3337"/>
    </row>
    <row r="11466" spans="7:16" s="1634" customFormat="1">
      <c r="G11466" s="3336"/>
      <c r="P11466" s="3337"/>
    </row>
    <row r="11467" spans="7:16" s="1634" customFormat="1">
      <c r="G11467" s="3336"/>
      <c r="P11467" s="3337"/>
    </row>
    <row r="11468" spans="7:16" s="1634" customFormat="1">
      <c r="G11468" s="3336"/>
      <c r="P11468" s="3337"/>
    </row>
    <row r="11469" spans="7:16" s="1634" customFormat="1">
      <c r="G11469" s="3336"/>
      <c r="P11469" s="3337"/>
    </row>
    <row r="11470" spans="7:16" s="1634" customFormat="1">
      <c r="G11470" s="3336"/>
      <c r="P11470" s="3337"/>
    </row>
    <row r="11471" spans="7:16" s="1634" customFormat="1">
      <c r="G11471" s="3336"/>
      <c r="P11471" s="3337"/>
    </row>
    <row r="11472" spans="7:16" s="1634" customFormat="1">
      <c r="G11472" s="3336"/>
      <c r="P11472" s="3337"/>
    </row>
    <row r="11473" spans="7:16" s="1634" customFormat="1">
      <c r="G11473" s="3336"/>
      <c r="P11473" s="3337"/>
    </row>
    <row r="11474" spans="7:16" s="1634" customFormat="1">
      <c r="G11474" s="3336"/>
      <c r="P11474" s="3337"/>
    </row>
    <row r="11475" spans="7:16" s="1634" customFormat="1">
      <c r="G11475" s="3336"/>
      <c r="P11475" s="3337"/>
    </row>
    <row r="11476" spans="7:16" s="1634" customFormat="1">
      <c r="G11476" s="3336"/>
      <c r="P11476" s="3337"/>
    </row>
    <row r="11477" spans="7:16" s="1634" customFormat="1">
      <c r="G11477" s="3336"/>
      <c r="P11477" s="3337"/>
    </row>
    <row r="11478" spans="7:16" s="1634" customFormat="1">
      <c r="G11478" s="3336"/>
      <c r="P11478" s="3337"/>
    </row>
    <row r="11479" spans="7:16" s="1634" customFormat="1">
      <c r="G11479" s="3336"/>
      <c r="P11479" s="3337"/>
    </row>
    <row r="11480" spans="7:16" s="1634" customFormat="1">
      <c r="G11480" s="3336"/>
      <c r="P11480" s="3337"/>
    </row>
    <row r="11481" spans="7:16" s="1634" customFormat="1">
      <c r="G11481" s="3336"/>
      <c r="P11481" s="3337"/>
    </row>
    <row r="11482" spans="7:16" s="1634" customFormat="1">
      <c r="G11482" s="3336"/>
      <c r="P11482" s="3337"/>
    </row>
    <row r="11483" spans="7:16" s="1634" customFormat="1">
      <c r="G11483" s="3336"/>
      <c r="P11483" s="3337"/>
    </row>
    <row r="11484" spans="7:16" s="1634" customFormat="1">
      <c r="G11484" s="3336"/>
      <c r="P11484" s="3337"/>
    </row>
    <row r="11485" spans="7:16" s="1634" customFormat="1">
      <c r="G11485" s="3336"/>
      <c r="P11485" s="3337"/>
    </row>
    <row r="11486" spans="7:16" s="1634" customFormat="1">
      <c r="G11486" s="3336"/>
      <c r="P11486" s="3337"/>
    </row>
    <row r="11487" spans="7:16" s="1634" customFormat="1">
      <c r="G11487" s="3336"/>
      <c r="P11487" s="3337"/>
    </row>
    <row r="11488" spans="7:16" s="1634" customFormat="1">
      <c r="G11488" s="3336"/>
      <c r="P11488" s="3337"/>
    </row>
    <row r="11489" spans="7:16" s="1634" customFormat="1">
      <c r="G11489" s="3336"/>
      <c r="P11489" s="3337"/>
    </row>
    <row r="11490" spans="7:16" s="1634" customFormat="1">
      <c r="G11490" s="3336"/>
      <c r="P11490" s="3337"/>
    </row>
    <row r="11491" spans="7:16" s="1634" customFormat="1">
      <c r="G11491" s="3336"/>
      <c r="P11491" s="3337"/>
    </row>
    <row r="11492" spans="7:16" s="1634" customFormat="1">
      <c r="G11492" s="3336"/>
      <c r="P11492" s="3337"/>
    </row>
    <row r="11493" spans="7:16" s="1634" customFormat="1">
      <c r="G11493" s="3336"/>
      <c r="P11493" s="3337"/>
    </row>
    <row r="11494" spans="7:16" s="1634" customFormat="1">
      <c r="G11494" s="3336"/>
      <c r="P11494" s="3337"/>
    </row>
    <row r="11495" spans="7:16" s="1634" customFormat="1">
      <c r="G11495" s="3336"/>
      <c r="P11495" s="3337"/>
    </row>
    <row r="11496" spans="7:16" s="1634" customFormat="1">
      <c r="G11496" s="3336"/>
      <c r="P11496" s="3337"/>
    </row>
    <row r="11497" spans="7:16" s="1634" customFormat="1">
      <c r="G11497" s="3336"/>
      <c r="P11497" s="3337"/>
    </row>
    <row r="11498" spans="7:16" s="1634" customFormat="1">
      <c r="G11498" s="3336"/>
      <c r="P11498" s="3337"/>
    </row>
    <row r="11499" spans="7:16" s="1634" customFormat="1">
      <c r="G11499" s="3336"/>
      <c r="P11499" s="3337"/>
    </row>
    <row r="11500" spans="7:16" s="1634" customFormat="1">
      <c r="G11500" s="3336"/>
      <c r="P11500" s="3337"/>
    </row>
    <row r="11501" spans="7:16" s="1634" customFormat="1">
      <c r="G11501" s="3336"/>
      <c r="P11501" s="3337"/>
    </row>
    <row r="11502" spans="7:16" s="1634" customFormat="1">
      <c r="G11502" s="3336"/>
      <c r="P11502" s="3337"/>
    </row>
    <row r="11503" spans="7:16" s="1634" customFormat="1">
      <c r="G11503" s="3336"/>
      <c r="P11503" s="3337"/>
    </row>
    <row r="11504" spans="7:16" s="1634" customFormat="1">
      <c r="G11504" s="3336"/>
      <c r="P11504" s="3337"/>
    </row>
    <row r="11505" spans="7:16" s="1634" customFormat="1">
      <c r="G11505" s="3336"/>
      <c r="P11505" s="3337"/>
    </row>
    <row r="11506" spans="7:16" s="1634" customFormat="1">
      <c r="G11506" s="3336"/>
      <c r="P11506" s="3337"/>
    </row>
    <row r="11507" spans="7:16" s="1634" customFormat="1">
      <c r="G11507" s="3336"/>
      <c r="P11507" s="3337"/>
    </row>
    <row r="11508" spans="7:16" s="1634" customFormat="1">
      <c r="G11508" s="3336"/>
      <c r="P11508" s="3337"/>
    </row>
    <row r="11509" spans="7:16" s="1634" customFormat="1">
      <c r="G11509" s="3336"/>
      <c r="P11509" s="3337"/>
    </row>
    <row r="11510" spans="7:16" s="1634" customFormat="1">
      <c r="G11510" s="3336"/>
      <c r="P11510" s="3337"/>
    </row>
    <row r="11511" spans="7:16" s="1634" customFormat="1">
      <c r="G11511" s="3336"/>
      <c r="P11511" s="3337"/>
    </row>
    <row r="11512" spans="7:16" s="1634" customFormat="1">
      <c r="G11512" s="3336"/>
      <c r="P11512" s="3337"/>
    </row>
    <row r="11513" spans="7:16" s="1634" customFormat="1">
      <c r="G11513" s="3336"/>
      <c r="P11513" s="3337"/>
    </row>
    <row r="11514" spans="7:16" s="1634" customFormat="1">
      <c r="G11514" s="3336"/>
      <c r="P11514" s="3337"/>
    </row>
    <row r="11515" spans="7:16" s="1634" customFormat="1">
      <c r="G11515" s="3336"/>
      <c r="P11515" s="3337"/>
    </row>
    <row r="11516" spans="7:16" s="1634" customFormat="1">
      <c r="G11516" s="3336"/>
      <c r="P11516" s="3337"/>
    </row>
    <row r="11517" spans="7:16" s="1634" customFormat="1">
      <c r="G11517" s="3336"/>
      <c r="P11517" s="3337"/>
    </row>
    <row r="11518" spans="7:16" s="1634" customFormat="1">
      <c r="G11518" s="3336"/>
      <c r="P11518" s="3337"/>
    </row>
    <row r="11519" spans="7:16" s="1634" customFormat="1">
      <c r="G11519" s="3336"/>
      <c r="P11519" s="3337"/>
    </row>
    <row r="11520" spans="7:16" s="1634" customFormat="1">
      <c r="G11520" s="3336"/>
      <c r="P11520" s="3337"/>
    </row>
    <row r="11521" spans="7:16" s="1634" customFormat="1">
      <c r="G11521" s="3336"/>
      <c r="P11521" s="3337"/>
    </row>
    <row r="11522" spans="7:16" s="1634" customFormat="1">
      <c r="G11522" s="3336"/>
      <c r="P11522" s="3337"/>
    </row>
    <row r="11523" spans="7:16" s="1634" customFormat="1">
      <c r="G11523" s="3336"/>
      <c r="P11523" s="3337"/>
    </row>
    <row r="11524" spans="7:16" s="1634" customFormat="1">
      <c r="G11524" s="3336"/>
      <c r="P11524" s="3337"/>
    </row>
    <row r="11525" spans="7:16" s="1634" customFormat="1">
      <c r="G11525" s="3336"/>
      <c r="P11525" s="3337"/>
    </row>
    <row r="11526" spans="7:16" s="1634" customFormat="1">
      <c r="G11526" s="3336"/>
      <c r="P11526" s="3337"/>
    </row>
    <row r="11527" spans="7:16" s="1634" customFormat="1">
      <c r="G11527" s="3336"/>
      <c r="P11527" s="3337"/>
    </row>
    <row r="11528" spans="7:16" s="1634" customFormat="1">
      <c r="G11528" s="3336"/>
      <c r="P11528" s="3337"/>
    </row>
    <row r="11529" spans="7:16" s="1634" customFormat="1">
      <c r="G11529" s="3336"/>
      <c r="P11529" s="3337"/>
    </row>
    <row r="11530" spans="7:16" s="1634" customFormat="1">
      <c r="G11530" s="3336"/>
      <c r="P11530" s="3337"/>
    </row>
    <row r="11531" spans="7:16" s="1634" customFormat="1">
      <c r="G11531" s="3336"/>
      <c r="P11531" s="3337"/>
    </row>
    <row r="11532" spans="7:16" s="1634" customFormat="1">
      <c r="G11532" s="3336"/>
      <c r="P11532" s="3337"/>
    </row>
    <row r="11533" spans="7:16" s="1634" customFormat="1">
      <c r="G11533" s="3336"/>
      <c r="P11533" s="3337"/>
    </row>
    <row r="11534" spans="7:16" s="1634" customFormat="1">
      <c r="G11534" s="3336"/>
      <c r="P11534" s="3337"/>
    </row>
    <row r="11535" spans="7:16" s="1634" customFormat="1">
      <c r="G11535" s="3336"/>
      <c r="P11535" s="3337"/>
    </row>
    <row r="11536" spans="7:16" s="1634" customFormat="1">
      <c r="G11536" s="3336"/>
      <c r="P11536" s="3337"/>
    </row>
    <row r="11537" spans="7:16" s="1634" customFormat="1">
      <c r="G11537" s="3336"/>
      <c r="P11537" s="3337"/>
    </row>
    <row r="11538" spans="7:16" s="1634" customFormat="1">
      <c r="G11538" s="3336"/>
      <c r="P11538" s="3337"/>
    </row>
    <row r="11539" spans="7:16" s="1634" customFormat="1">
      <c r="G11539" s="3336"/>
      <c r="P11539" s="3337"/>
    </row>
    <row r="11540" spans="7:16" s="1634" customFormat="1">
      <c r="G11540" s="3336"/>
      <c r="P11540" s="3337"/>
    </row>
    <row r="11541" spans="7:16" s="1634" customFormat="1">
      <c r="G11541" s="3336"/>
      <c r="P11541" s="3337"/>
    </row>
    <row r="11542" spans="7:16" s="1634" customFormat="1">
      <c r="G11542" s="3336"/>
      <c r="P11542" s="3337"/>
    </row>
    <row r="11543" spans="7:16" s="1634" customFormat="1">
      <c r="G11543" s="3336"/>
      <c r="P11543" s="3337"/>
    </row>
    <row r="11544" spans="7:16" s="1634" customFormat="1">
      <c r="G11544" s="3336"/>
      <c r="P11544" s="3337"/>
    </row>
    <row r="11545" spans="7:16" s="1634" customFormat="1">
      <c r="G11545" s="3336"/>
      <c r="P11545" s="3337"/>
    </row>
    <row r="11546" spans="7:16" s="1634" customFormat="1">
      <c r="G11546" s="3336"/>
      <c r="P11546" s="3337"/>
    </row>
    <row r="11547" spans="7:16" s="1634" customFormat="1">
      <c r="G11547" s="3336"/>
      <c r="P11547" s="3337"/>
    </row>
    <row r="11548" spans="7:16" s="1634" customFormat="1">
      <c r="G11548" s="3336"/>
      <c r="P11548" s="3337"/>
    </row>
    <row r="11549" spans="7:16" s="1634" customFormat="1">
      <c r="G11549" s="3336"/>
      <c r="P11549" s="3337"/>
    </row>
    <row r="11550" spans="7:16" s="1634" customFormat="1">
      <c r="G11550" s="3336"/>
      <c r="P11550" s="3337"/>
    </row>
    <row r="11551" spans="7:16" s="1634" customFormat="1">
      <c r="G11551" s="3336"/>
      <c r="P11551" s="3337"/>
    </row>
    <row r="11552" spans="7:16" s="1634" customFormat="1">
      <c r="G11552" s="3336"/>
      <c r="P11552" s="3337"/>
    </row>
    <row r="11553" spans="7:16" s="1634" customFormat="1">
      <c r="G11553" s="3336"/>
      <c r="P11553" s="3337"/>
    </row>
    <row r="11554" spans="7:16" s="1634" customFormat="1">
      <c r="G11554" s="3336"/>
      <c r="P11554" s="3337"/>
    </row>
    <row r="11555" spans="7:16" s="1634" customFormat="1">
      <c r="G11555" s="3336"/>
      <c r="P11555" s="3337"/>
    </row>
    <row r="11556" spans="7:16" s="1634" customFormat="1">
      <c r="G11556" s="3336"/>
      <c r="P11556" s="3337"/>
    </row>
    <row r="11557" spans="7:16" s="1634" customFormat="1">
      <c r="G11557" s="3336"/>
      <c r="P11557" s="3337"/>
    </row>
    <row r="11558" spans="7:16" s="1634" customFormat="1">
      <c r="G11558" s="3336"/>
      <c r="P11558" s="3337"/>
    </row>
    <row r="11559" spans="7:16" s="1634" customFormat="1">
      <c r="G11559" s="3336"/>
      <c r="P11559" s="3337"/>
    </row>
    <row r="11560" spans="7:16" s="1634" customFormat="1">
      <c r="G11560" s="3336"/>
      <c r="P11560" s="3337"/>
    </row>
    <row r="11561" spans="7:16" s="1634" customFormat="1">
      <c r="G11561" s="3336"/>
      <c r="P11561" s="3337"/>
    </row>
    <row r="11562" spans="7:16" s="1634" customFormat="1">
      <c r="G11562" s="3336"/>
      <c r="P11562" s="3337"/>
    </row>
    <row r="11563" spans="7:16" s="1634" customFormat="1">
      <c r="G11563" s="3336"/>
      <c r="P11563" s="3337"/>
    </row>
    <row r="11564" spans="7:16" s="1634" customFormat="1">
      <c r="G11564" s="3336"/>
      <c r="P11564" s="3337"/>
    </row>
    <row r="11565" spans="7:16" s="1634" customFormat="1">
      <c r="G11565" s="3336"/>
      <c r="P11565" s="3337"/>
    </row>
    <row r="11566" spans="7:16" s="1634" customFormat="1">
      <c r="G11566" s="3336"/>
      <c r="P11566" s="3337"/>
    </row>
    <row r="11567" spans="7:16" s="1634" customFormat="1">
      <c r="G11567" s="3336"/>
      <c r="P11567" s="3337"/>
    </row>
    <row r="11568" spans="7:16" s="1634" customFormat="1">
      <c r="G11568" s="3336"/>
      <c r="P11568" s="3337"/>
    </row>
    <row r="11569" spans="7:16" s="1634" customFormat="1">
      <c r="G11569" s="3336"/>
      <c r="P11569" s="3337"/>
    </row>
    <row r="11570" spans="7:16" s="1634" customFormat="1">
      <c r="G11570" s="3336"/>
      <c r="P11570" s="3337"/>
    </row>
    <row r="11571" spans="7:16" s="1634" customFormat="1">
      <c r="G11571" s="3336"/>
      <c r="P11571" s="3337"/>
    </row>
    <row r="11572" spans="7:16" s="1634" customFormat="1">
      <c r="G11572" s="3336"/>
      <c r="P11572" s="3337"/>
    </row>
    <row r="11573" spans="7:16" s="1634" customFormat="1">
      <c r="G11573" s="3336"/>
      <c r="P11573" s="3337"/>
    </row>
    <row r="11574" spans="7:16" s="1634" customFormat="1">
      <c r="G11574" s="3336"/>
      <c r="P11574" s="3337"/>
    </row>
    <row r="11575" spans="7:16" s="1634" customFormat="1">
      <c r="G11575" s="3336"/>
      <c r="P11575" s="3337"/>
    </row>
    <row r="11576" spans="7:16" s="1634" customFormat="1">
      <c r="G11576" s="3336"/>
      <c r="P11576" s="3337"/>
    </row>
    <row r="11577" spans="7:16" s="1634" customFormat="1">
      <c r="G11577" s="3336"/>
      <c r="P11577" s="3337"/>
    </row>
    <row r="11578" spans="7:16" s="1634" customFormat="1">
      <c r="G11578" s="3336"/>
      <c r="P11578" s="3337"/>
    </row>
    <row r="11579" spans="7:16" s="1634" customFormat="1">
      <c r="G11579" s="3336"/>
      <c r="P11579" s="3337"/>
    </row>
    <row r="11580" spans="7:16" s="1634" customFormat="1">
      <c r="G11580" s="3336"/>
      <c r="P11580" s="3337"/>
    </row>
    <row r="11581" spans="7:16" s="1634" customFormat="1">
      <c r="G11581" s="3336"/>
      <c r="P11581" s="3337"/>
    </row>
    <row r="11582" spans="7:16" s="1634" customFormat="1">
      <c r="G11582" s="3336"/>
      <c r="P11582" s="3337"/>
    </row>
    <row r="11583" spans="7:16" s="1634" customFormat="1">
      <c r="G11583" s="3336"/>
      <c r="P11583" s="3337"/>
    </row>
    <row r="11584" spans="7:16" s="1634" customFormat="1">
      <c r="G11584" s="3336"/>
      <c r="P11584" s="3337"/>
    </row>
    <row r="11585" spans="7:16" s="1634" customFormat="1">
      <c r="G11585" s="3336"/>
      <c r="P11585" s="3337"/>
    </row>
    <row r="11586" spans="7:16" s="1634" customFormat="1">
      <c r="G11586" s="3336"/>
      <c r="P11586" s="3337"/>
    </row>
    <row r="11587" spans="7:16" s="1634" customFormat="1">
      <c r="G11587" s="3336"/>
      <c r="P11587" s="3337"/>
    </row>
    <row r="11588" spans="7:16" s="1634" customFormat="1">
      <c r="G11588" s="3336"/>
      <c r="P11588" s="3337"/>
    </row>
    <row r="11589" spans="7:16" s="1634" customFormat="1">
      <c r="G11589" s="3336"/>
      <c r="P11589" s="3337"/>
    </row>
    <row r="11590" spans="7:16" s="1634" customFormat="1">
      <c r="G11590" s="3336"/>
      <c r="P11590" s="3337"/>
    </row>
    <row r="11591" spans="7:16" s="1634" customFormat="1">
      <c r="G11591" s="3336"/>
      <c r="P11591" s="3337"/>
    </row>
    <row r="11592" spans="7:16" s="1634" customFormat="1">
      <c r="G11592" s="3336"/>
      <c r="P11592" s="3337"/>
    </row>
    <row r="11593" spans="7:16" s="1634" customFormat="1">
      <c r="G11593" s="3336"/>
      <c r="P11593" s="3337"/>
    </row>
    <row r="11594" spans="7:16" s="1634" customFormat="1">
      <c r="G11594" s="3336"/>
      <c r="P11594" s="3337"/>
    </row>
    <row r="11595" spans="7:16" s="1634" customFormat="1">
      <c r="G11595" s="3336"/>
      <c r="P11595" s="3337"/>
    </row>
    <row r="11596" spans="7:16" s="1634" customFormat="1">
      <c r="G11596" s="3336"/>
      <c r="P11596" s="3337"/>
    </row>
    <row r="11597" spans="7:16" s="1634" customFormat="1">
      <c r="G11597" s="3336"/>
      <c r="P11597" s="3337"/>
    </row>
    <row r="11598" spans="7:16" s="1634" customFormat="1">
      <c r="G11598" s="3336"/>
      <c r="P11598" s="3337"/>
    </row>
    <row r="11599" spans="7:16" s="1634" customFormat="1">
      <c r="G11599" s="3336"/>
      <c r="P11599" s="3337"/>
    </row>
    <row r="11600" spans="7:16" s="1634" customFormat="1">
      <c r="G11600" s="3336"/>
      <c r="P11600" s="3337"/>
    </row>
    <row r="11601" spans="7:16" s="1634" customFormat="1">
      <c r="G11601" s="3336"/>
      <c r="P11601" s="3337"/>
    </row>
    <row r="11602" spans="7:16" s="1634" customFormat="1">
      <c r="G11602" s="3336"/>
      <c r="P11602" s="3337"/>
    </row>
    <row r="11603" spans="7:16" s="1634" customFormat="1">
      <c r="G11603" s="3336"/>
      <c r="P11603" s="3337"/>
    </row>
    <row r="11604" spans="7:16" s="1634" customFormat="1">
      <c r="G11604" s="3336"/>
      <c r="P11604" s="3337"/>
    </row>
    <row r="11605" spans="7:16" s="1634" customFormat="1">
      <c r="G11605" s="3336"/>
      <c r="P11605" s="3337"/>
    </row>
    <row r="11606" spans="7:16" s="1634" customFormat="1">
      <c r="G11606" s="3336"/>
      <c r="P11606" s="3337"/>
    </row>
    <row r="11607" spans="7:16" s="1634" customFormat="1">
      <c r="G11607" s="3336"/>
      <c r="P11607" s="3337"/>
    </row>
    <row r="11608" spans="7:16" s="1634" customFormat="1">
      <c r="G11608" s="3336"/>
      <c r="P11608" s="3337"/>
    </row>
    <row r="11609" spans="7:16" s="1634" customFormat="1">
      <c r="G11609" s="3336"/>
      <c r="P11609" s="3337"/>
    </row>
    <row r="11610" spans="7:16" s="1634" customFormat="1">
      <c r="G11610" s="3336"/>
      <c r="P11610" s="3337"/>
    </row>
    <row r="11611" spans="7:16" s="1634" customFormat="1">
      <c r="G11611" s="3336"/>
      <c r="P11611" s="3337"/>
    </row>
    <row r="11612" spans="7:16" s="1634" customFormat="1">
      <c r="G11612" s="3336"/>
      <c r="P11612" s="3337"/>
    </row>
    <row r="11613" spans="7:16" s="1634" customFormat="1">
      <c r="G11613" s="3336"/>
      <c r="P11613" s="3337"/>
    </row>
    <row r="11614" spans="7:16" s="1634" customFormat="1">
      <c r="G11614" s="3336"/>
      <c r="P11614" s="3337"/>
    </row>
    <row r="11615" spans="7:16" s="1634" customFormat="1">
      <c r="G11615" s="3336"/>
      <c r="P11615" s="3337"/>
    </row>
    <row r="11616" spans="7:16" s="1634" customFormat="1">
      <c r="G11616" s="3336"/>
      <c r="P11616" s="3337"/>
    </row>
    <row r="11617" spans="7:16" s="1634" customFormat="1">
      <c r="G11617" s="3336"/>
      <c r="P11617" s="3337"/>
    </row>
    <row r="11618" spans="7:16" s="1634" customFormat="1">
      <c r="G11618" s="3336"/>
      <c r="P11618" s="3337"/>
    </row>
    <row r="11619" spans="7:16" s="1634" customFormat="1">
      <c r="G11619" s="3336"/>
      <c r="P11619" s="3337"/>
    </row>
    <row r="11620" spans="7:16" s="1634" customFormat="1">
      <c r="G11620" s="3336"/>
      <c r="P11620" s="3337"/>
    </row>
    <row r="11621" spans="7:16" s="1634" customFormat="1">
      <c r="G11621" s="3336"/>
      <c r="P11621" s="3337"/>
    </row>
    <row r="11622" spans="7:16" s="1634" customFormat="1">
      <c r="G11622" s="3336"/>
      <c r="P11622" s="3337"/>
    </row>
    <row r="11623" spans="7:16" s="1634" customFormat="1">
      <c r="G11623" s="3336"/>
      <c r="P11623" s="3337"/>
    </row>
    <row r="11624" spans="7:16" s="1634" customFormat="1">
      <c r="G11624" s="3336"/>
      <c r="P11624" s="3337"/>
    </row>
    <row r="11625" spans="7:16" s="1634" customFormat="1">
      <c r="G11625" s="3336"/>
      <c r="P11625" s="3337"/>
    </row>
    <row r="11626" spans="7:16" s="1634" customFormat="1">
      <c r="G11626" s="3336"/>
      <c r="P11626" s="3337"/>
    </row>
    <row r="11627" spans="7:16" s="1634" customFormat="1">
      <c r="G11627" s="3336"/>
      <c r="P11627" s="3337"/>
    </row>
    <row r="11628" spans="7:16" s="1634" customFormat="1">
      <c r="G11628" s="3336"/>
      <c r="P11628" s="3337"/>
    </row>
    <row r="11629" spans="7:16" s="1634" customFormat="1">
      <c r="G11629" s="3336"/>
      <c r="P11629" s="3337"/>
    </row>
    <row r="11630" spans="7:16" s="1634" customFormat="1">
      <c r="G11630" s="3336"/>
      <c r="P11630" s="3337"/>
    </row>
    <row r="11631" spans="7:16" s="1634" customFormat="1">
      <c r="G11631" s="3336"/>
      <c r="P11631" s="3337"/>
    </row>
    <row r="11632" spans="7:16" s="1634" customFormat="1">
      <c r="G11632" s="3336"/>
      <c r="P11632" s="3337"/>
    </row>
    <row r="11633" spans="7:16" s="1634" customFormat="1">
      <c r="G11633" s="3336"/>
      <c r="P11633" s="3337"/>
    </row>
    <row r="11634" spans="7:16" s="1634" customFormat="1">
      <c r="G11634" s="3336"/>
      <c r="P11634" s="3337"/>
    </row>
    <row r="11635" spans="7:16" s="1634" customFormat="1">
      <c r="G11635" s="3336"/>
      <c r="P11635" s="3337"/>
    </row>
    <row r="11636" spans="7:16" s="1634" customFormat="1">
      <c r="G11636" s="3336"/>
      <c r="P11636" s="3337"/>
    </row>
    <row r="11637" spans="7:16" s="1634" customFormat="1">
      <c r="G11637" s="3336"/>
      <c r="P11637" s="3337"/>
    </row>
    <row r="11638" spans="7:16" s="1634" customFormat="1">
      <c r="G11638" s="3336"/>
      <c r="P11638" s="3337"/>
    </row>
    <row r="11639" spans="7:16" s="1634" customFormat="1">
      <c r="G11639" s="3336"/>
      <c r="P11639" s="3337"/>
    </row>
    <row r="11640" spans="7:16" s="1634" customFormat="1">
      <c r="G11640" s="3336"/>
      <c r="P11640" s="3337"/>
    </row>
    <row r="11641" spans="7:16" s="1634" customFormat="1">
      <c r="G11641" s="3336"/>
      <c r="P11641" s="3337"/>
    </row>
    <row r="11642" spans="7:16" s="1634" customFormat="1">
      <c r="G11642" s="3336"/>
      <c r="P11642" s="3337"/>
    </row>
    <row r="11643" spans="7:16" s="1634" customFormat="1">
      <c r="G11643" s="3336"/>
      <c r="P11643" s="3337"/>
    </row>
    <row r="11644" spans="7:16" s="1634" customFormat="1">
      <c r="G11644" s="3336"/>
      <c r="P11644" s="3337"/>
    </row>
    <row r="11645" spans="7:16" s="1634" customFormat="1">
      <c r="G11645" s="3336"/>
      <c r="P11645" s="3337"/>
    </row>
    <row r="11646" spans="7:16" s="1634" customFormat="1">
      <c r="G11646" s="3336"/>
      <c r="P11646" s="3337"/>
    </row>
    <row r="11647" spans="7:16" s="1634" customFormat="1">
      <c r="G11647" s="3336"/>
      <c r="P11647" s="3337"/>
    </row>
    <row r="11648" spans="7:16" s="1634" customFormat="1">
      <c r="G11648" s="3336"/>
      <c r="P11648" s="3337"/>
    </row>
    <row r="11649" spans="7:16" s="1634" customFormat="1">
      <c r="G11649" s="3336"/>
      <c r="P11649" s="3337"/>
    </row>
    <row r="11650" spans="7:16" s="1634" customFormat="1">
      <c r="G11650" s="3336"/>
      <c r="P11650" s="3337"/>
    </row>
    <row r="11651" spans="7:16" s="1634" customFormat="1">
      <c r="G11651" s="3336"/>
      <c r="P11651" s="3337"/>
    </row>
    <row r="11652" spans="7:16" s="1634" customFormat="1">
      <c r="G11652" s="3336"/>
      <c r="P11652" s="3337"/>
    </row>
    <row r="11653" spans="7:16" s="1634" customFormat="1">
      <c r="G11653" s="3336"/>
      <c r="P11653" s="3337"/>
    </row>
    <row r="11654" spans="7:16" s="1634" customFormat="1">
      <c r="G11654" s="3336"/>
      <c r="P11654" s="3337"/>
    </row>
    <row r="11655" spans="7:16" s="1634" customFormat="1">
      <c r="G11655" s="3336"/>
      <c r="P11655" s="3337"/>
    </row>
    <row r="11656" spans="7:16" s="1634" customFormat="1">
      <c r="G11656" s="3336"/>
      <c r="P11656" s="3337"/>
    </row>
    <row r="11657" spans="7:16" s="1634" customFormat="1">
      <c r="G11657" s="3336"/>
      <c r="P11657" s="3337"/>
    </row>
    <row r="11658" spans="7:16" s="1634" customFormat="1">
      <c r="G11658" s="3336"/>
      <c r="P11658" s="3337"/>
    </row>
    <row r="11659" spans="7:16" s="1634" customFormat="1">
      <c r="G11659" s="3336"/>
      <c r="P11659" s="3337"/>
    </row>
    <row r="11660" spans="7:16" s="1634" customFormat="1">
      <c r="G11660" s="3336"/>
      <c r="P11660" s="3337"/>
    </row>
    <row r="11661" spans="7:16" s="1634" customFormat="1">
      <c r="G11661" s="3336"/>
      <c r="P11661" s="3337"/>
    </row>
    <row r="11662" spans="7:16" s="1634" customFormat="1">
      <c r="G11662" s="3336"/>
      <c r="P11662" s="3337"/>
    </row>
    <row r="11663" spans="7:16" s="1634" customFormat="1">
      <c r="G11663" s="3336"/>
      <c r="P11663" s="3337"/>
    </row>
    <row r="11664" spans="7:16" s="1634" customFormat="1">
      <c r="G11664" s="3336"/>
      <c r="P11664" s="3337"/>
    </row>
    <row r="11665" spans="7:16" s="1634" customFormat="1">
      <c r="G11665" s="3336"/>
      <c r="P11665" s="3337"/>
    </row>
    <row r="11666" spans="7:16" s="1634" customFormat="1">
      <c r="G11666" s="3336"/>
      <c r="P11666" s="3337"/>
    </row>
    <row r="11667" spans="7:16" s="1634" customFormat="1">
      <c r="G11667" s="3336"/>
      <c r="P11667" s="3337"/>
    </row>
    <row r="11668" spans="7:16" s="1634" customFormat="1">
      <c r="G11668" s="3336"/>
      <c r="P11668" s="3337"/>
    </row>
    <row r="11669" spans="7:16" s="1634" customFormat="1">
      <c r="G11669" s="3336"/>
      <c r="P11669" s="3337"/>
    </row>
    <row r="11670" spans="7:16" s="1634" customFormat="1">
      <c r="G11670" s="3336"/>
      <c r="P11670" s="3337"/>
    </row>
    <row r="11671" spans="7:16" s="1634" customFormat="1">
      <c r="G11671" s="3336"/>
      <c r="P11671" s="3337"/>
    </row>
    <row r="11672" spans="7:16" s="1634" customFormat="1">
      <c r="G11672" s="3336"/>
      <c r="P11672" s="3337"/>
    </row>
    <row r="11673" spans="7:16" s="1634" customFormat="1">
      <c r="G11673" s="3336"/>
      <c r="P11673" s="3337"/>
    </row>
    <row r="11674" spans="7:16" s="1634" customFormat="1">
      <c r="G11674" s="3336"/>
      <c r="P11674" s="3337"/>
    </row>
    <row r="11675" spans="7:16" s="1634" customFormat="1">
      <c r="G11675" s="3336"/>
      <c r="P11675" s="3337"/>
    </row>
    <row r="11676" spans="7:16" s="1634" customFormat="1">
      <c r="G11676" s="3336"/>
      <c r="P11676" s="3337"/>
    </row>
    <row r="11677" spans="7:16" s="1634" customFormat="1">
      <c r="G11677" s="3336"/>
      <c r="P11677" s="3337"/>
    </row>
    <row r="11678" spans="7:16" s="1634" customFormat="1">
      <c r="G11678" s="3336"/>
      <c r="P11678" s="3337"/>
    </row>
    <row r="11679" spans="7:16" s="1634" customFormat="1">
      <c r="G11679" s="3336"/>
      <c r="P11679" s="3337"/>
    </row>
    <row r="11680" spans="7:16" s="1634" customFormat="1">
      <c r="G11680" s="3336"/>
      <c r="P11680" s="3337"/>
    </row>
    <row r="11681" spans="7:16" s="1634" customFormat="1">
      <c r="G11681" s="3336"/>
      <c r="P11681" s="3337"/>
    </row>
    <row r="11682" spans="7:16" s="1634" customFormat="1">
      <c r="G11682" s="3336"/>
      <c r="P11682" s="3337"/>
    </row>
    <row r="11683" spans="7:16" s="1634" customFormat="1">
      <c r="G11683" s="3336"/>
      <c r="P11683" s="3337"/>
    </row>
    <row r="11684" spans="7:16" s="1634" customFormat="1">
      <c r="G11684" s="3336"/>
      <c r="P11684" s="3337"/>
    </row>
    <row r="11685" spans="7:16" s="1634" customFormat="1">
      <c r="G11685" s="3336"/>
      <c r="P11685" s="3337"/>
    </row>
    <row r="11686" spans="7:16" s="1634" customFormat="1">
      <c r="G11686" s="3336"/>
      <c r="P11686" s="3337"/>
    </row>
    <row r="11687" spans="7:16" s="1634" customFormat="1">
      <c r="G11687" s="3336"/>
      <c r="P11687" s="3337"/>
    </row>
    <row r="11688" spans="7:16" s="1634" customFormat="1">
      <c r="G11688" s="3336"/>
      <c r="P11688" s="3337"/>
    </row>
    <row r="11689" spans="7:16" s="1634" customFormat="1">
      <c r="G11689" s="3336"/>
      <c r="P11689" s="3337"/>
    </row>
    <row r="11690" spans="7:16" s="1634" customFormat="1">
      <c r="G11690" s="3336"/>
      <c r="P11690" s="3337"/>
    </row>
    <row r="11691" spans="7:16" s="1634" customFormat="1">
      <c r="G11691" s="3336"/>
      <c r="P11691" s="3337"/>
    </row>
    <row r="11692" spans="7:16" s="1634" customFormat="1">
      <c r="G11692" s="3336"/>
      <c r="P11692" s="3337"/>
    </row>
    <row r="11693" spans="7:16" s="1634" customFormat="1">
      <c r="G11693" s="3336"/>
      <c r="P11693" s="3337"/>
    </row>
    <row r="11694" spans="7:16" s="1634" customFormat="1">
      <c r="G11694" s="3336"/>
      <c r="P11694" s="3337"/>
    </row>
    <row r="11695" spans="7:16" s="1634" customFormat="1">
      <c r="G11695" s="3336"/>
      <c r="P11695" s="3337"/>
    </row>
    <row r="11696" spans="7:16" s="1634" customFormat="1">
      <c r="G11696" s="3336"/>
      <c r="P11696" s="3337"/>
    </row>
    <row r="11697" spans="7:16" s="1634" customFormat="1">
      <c r="G11697" s="3336"/>
      <c r="P11697" s="3337"/>
    </row>
    <row r="11698" spans="7:16" s="1634" customFormat="1">
      <c r="G11698" s="3336"/>
      <c r="P11698" s="3337"/>
    </row>
    <row r="11699" spans="7:16" s="1634" customFormat="1">
      <c r="G11699" s="3336"/>
      <c r="P11699" s="3337"/>
    </row>
    <row r="11700" spans="7:16" s="1634" customFormat="1">
      <c r="G11700" s="3336"/>
      <c r="P11700" s="3337"/>
    </row>
    <row r="11701" spans="7:16" s="1634" customFormat="1">
      <c r="G11701" s="3336"/>
      <c r="P11701" s="3337"/>
    </row>
    <row r="11702" spans="7:16" s="1634" customFormat="1">
      <c r="G11702" s="3336"/>
      <c r="P11702" s="3337"/>
    </row>
    <row r="11703" spans="7:16" s="1634" customFormat="1">
      <c r="G11703" s="3336"/>
      <c r="P11703" s="3337"/>
    </row>
    <row r="11704" spans="7:16" s="1634" customFormat="1">
      <c r="G11704" s="3336"/>
      <c r="P11704" s="3337"/>
    </row>
    <row r="11705" spans="7:16" s="1634" customFormat="1">
      <c r="G11705" s="3336"/>
      <c r="P11705" s="3337"/>
    </row>
    <row r="11706" spans="7:16" s="1634" customFormat="1">
      <c r="G11706" s="3336"/>
      <c r="P11706" s="3337"/>
    </row>
    <row r="11707" spans="7:16" s="1634" customFormat="1">
      <c r="G11707" s="3336"/>
      <c r="P11707" s="3337"/>
    </row>
    <row r="11708" spans="7:16" s="1634" customFormat="1">
      <c r="G11708" s="3336"/>
      <c r="P11708" s="3337"/>
    </row>
    <row r="11709" spans="7:16" s="1634" customFormat="1">
      <c r="G11709" s="3336"/>
      <c r="P11709" s="3337"/>
    </row>
    <row r="11710" spans="7:16" s="1634" customFormat="1">
      <c r="G11710" s="3336"/>
      <c r="P11710" s="3337"/>
    </row>
    <row r="11711" spans="7:16" s="1634" customFormat="1">
      <c r="G11711" s="3336"/>
      <c r="P11711" s="3337"/>
    </row>
    <row r="11712" spans="7:16" s="1634" customFormat="1">
      <c r="G11712" s="3336"/>
      <c r="P11712" s="3337"/>
    </row>
    <row r="11713" spans="7:16" s="1634" customFormat="1">
      <c r="G11713" s="3336"/>
      <c r="P11713" s="3337"/>
    </row>
    <row r="11714" spans="7:16" s="1634" customFormat="1">
      <c r="G11714" s="3336"/>
      <c r="P11714" s="3337"/>
    </row>
    <row r="11715" spans="7:16" s="1634" customFormat="1">
      <c r="G11715" s="3336"/>
      <c r="P11715" s="3337"/>
    </row>
    <row r="11716" spans="7:16" s="1634" customFormat="1">
      <c r="G11716" s="3336"/>
      <c r="P11716" s="3337"/>
    </row>
    <row r="11717" spans="7:16" s="1634" customFormat="1">
      <c r="G11717" s="3336"/>
      <c r="P11717" s="3337"/>
    </row>
    <row r="11718" spans="7:16" s="1634" customFormat="1">
      <c r="G11718" s="3336"/>
      <c r="P11718" s="3337"/>
    </row>
    <row r="11719" spans="7:16" s="1634" customFormat="1">
      <c r="G11719" s="3336"/>
      <c r="P11719" s="3337"/>
    </row>
    <row r="11720" spans="7:16" s="1634" customFormat="1">
      <c r="G11720" s="3336"/>
      <c r="P11720" s="3337"/>
    </row>
    <row r="11721" spans="7:16" s="1634" customFormat="1">
      <c r="G11721" s="3336"/>
      <c r="P11721" s="3337"/>
    </row>
    <row r="11722" spans="7:16" s="1634" customFormat="1">
      <c r="G11722" s="3336"/>
      <c r="P11722" s="3337"/>
    </row>
    <row r="11723" spans="7:16" s="1634" customFormat="1">
      <c r="G11723" s="3336"/>
      <c r="P11723" s="3337"/>
    </row>
    <row r="11724" spans="7:16" s="1634" customFormat="1">
      <c r="G11724" s="3336"/>
      <c r="P11724" s="3337"/>
    </row>
    <row r="11725" spans="7:16" s="1634" customFormat="1">
      <c r="G11725" s="3336"/>
      <c r="P11725" s="3337"/>
    </row>
    <row r="11726" spans="7:16" s="1634" customFormat="1">
      <c r="G11726" s="3336"/>
      <c r="P11726" s="3337"/>
    </row>
    <row r="11727" spans="7:16" s="1634" customFormat="1">
      <c r="G11727" s="3336"/>
      <c r="P11727" s="3337"/>
    </row>
    <row r="11728" spans="7:16" s="1634" customFormat="1">
      <c r="G11728" s="3336"/>
      <c r="P11728" s="3337"/>
    </row>
    <row r="11729" spans="7:16" s="1634" customFormat="1">
      <c r="G11729" s="3336"/>
      <c r="P11729" s="3337"/>
    </row>
    <row r="11730" spans="7:16" s="1634" customFormat="1">
      <c r="G11730" s="3336"/>
      <c r="P11730" s="3337"/>
    </row>
    <row r="11731" spans="7:16" s="1634" customFormat="1">
      <c r="G11731" s="3336"/>
      <c r="P11731" s="3337"/>
    </row>
    <row r="11732" spans="7:16" s="1634" customFormat="1">
      <c r="G11732" s="3336"/>
      <c r="P11732" s="3337"/>
    </row>
    <row r="11733" spans="7:16" s="1634" customFormat="1">
      <c r="G11733" s="3336"/>
      <c r="P11733" s="3337"/>
    </row>
    <row r="11734" spans="7:16" s="1634" customFormat="1">
      <c r="G11734" s="3336"/>
      <c r="P11734" s="3337"/>
    </row>
    <row r="11735" spans="7:16" s="1634" customFormat="1">
      <c r="G11735" s="3336"/>
      <c r="P11735" s="3337"/>
    </row>
    <row r="11736" spans="7:16" s="1634" customFormat="1">
      <c r="G11736" s="3336"/>
      <c r="P11736" s="3337"/>
    </row>
    <row r="11737" spans="7:16" s="1634" customFormat="1">
      <c r="G11737" s="3336"/>
      <c r="P11737" s="3337"/>
    </row>
    <row r="11738" spans="7:16" s="1634" customFormat="1">
      <c r="G11738" s="3336"/>
      <c r="P11738" s="3337"/>
    </row>
    <row r="11739" spans="7:16" s="1634" customFormat="1">
      <c r="G11739" s="3336"/>
      <c r="P11739" s="3337"/>
    </row>
    <row r="11740" spans="7:16" s="1634" customFormat="1">
      <c r="G11740" s="3336"/>
      <c r="P11740" s="3337"/>
    </row>
    <row r="11741" spans="7:16" s="1634" customFormat="1">
      <c r="G11741" s="3336"/>
      <c r="P11741" s="3337"/>
    </row>
    <row r="11742" spans="7:16" s="1634" customFormat="1">
      <c r="G11742" s="3336"/>
      <c r="P11742" s="3337"/>
    </row>
    <row r="11743" spans="7:16" s="1634" customFormat="1">
      <c r="G11743" s="3336"/>
      <c r="P11743" s="3337"/>
    </row>
    <row r="11744" spans="7:16" s="1634" customFormat="1">
      <c r="G11744" s="3336"/>
      <c r="P11744" s="3337"/>
    </row>
    <row r="11745" spans="7:16" s="1634" customFormat="1">
      <c r="G11745" s="3336"/>
      <c r="P11745" s="3337"/>
    </row>
    <row r="11746" spans="7:16" s="1634" customFormat="1">
      <c r="G11746" s="3336"/>
      <c r="P11746" s="3337"/>
    </row>
    <row r="11747" spans="7:16" s="1634" customFormat="1">
      <c r="G11747" s="3336"/>
      <c r="P11747" s="3337"/>
    </row>
    <row r="11748" spans="7:16" s="1634" customFormat="1">
      <c r="G11748" s="3336"/>
      <c r="P11748" s="3337"/>
    </row>
    <row r="11749" spans="7:16" s="1634" customFormat="1">
      <c r="G11749" s="3336"/>
      <c r="P11749" s="3337"/>
    </row>
    <row r="11750" spans="7:16" s="1634" customFormat="1">
      <c r="G11750" s="3336"/>
      <c r="P11750" s="3337"/>
    </row>
    <row r="11751" spans="7:16" s="1634" customFormat="1">
      <c r="G11751" s="3336"/>
      <c r="P11751" s="3337"/>
    </row>
    <row r="11752" spans="7:16" s="1634" customFormat="1">
      <c r="G11752" s="3336"/>
      <c r="P11752" s="3337"/>
    </row>
    <row r="11753" spans="7:16" s="1634" customFormat="1">
      <c r="G11753" s="3336"/>
      <c r="P11753" s="3337"/>
    </row>
    <row r="11754" spans="7:16" s="1634" customFormat="1">
      <c r="G11754" s="3336"/>
      <c r="P11754" s="3337"/>
    </row>
    <row r="11755" spans="7:16" s="1634" customFormat="1">
      <c r="G11755" s="3336"/>
      <c r="P11755" s="3337"/>
    </row>
    <row r="11756" spans="7:16" s="1634" customFormat="1">
      <c r="G11756" s="3336"/>
      <c r="P11756" s="3337"/>
    </row>
    <row r="11757" spans="7:16" s="1634" customFormat="1">
      <c r="G11757" s="3336"/>
      <c r="P11757" s="3337"/>
    </row>
    <row r="11758" spans="7:16" s="1634" customFormat="1">
      <c r="G11758" s="3336"/>
      <c r="P11758" s="3337"/>
    </row>
    <row r="11759" spans="7:16" s="1634" customFormat="1">
      <c r="G11759" s="3336"/>
      <c r="P11759" s="3337"/>
    </row>
    <row r="11760" spans="7:16" s="1634" customFormat="1">
      <c r="G11760" s="3336"/>
      <c r="P11760" s="3337"/>
    </row>
    <row r="11761" spans="7:16" s="1634" customFormat="1">
      <c r="G11761" s="3336"/>
      <c r="P11761" s="3337"/>
    </row>
    <row r="11762" spans="7:16" s="1634" customFormat="1">
      <c r="G11762" s="3336"/>
      <c r="P11762" s="3337"/>
    </row>
    <row r="11763" spans="7:16" s="1634" customFormat="1">
      <c r="G11763" s="3336"/>
      <c r="P11763" s="3337"/>
    </row>
    <row r="11764" spans="7:16" s="1634" customFormat="1">
      <c r="G11764" s="3336"/>
      <c r="P11764" s="3337"/>
    </row>
    <row r="11765" spans="7:16" s="1634" customFormat="1">
      <c r="G11765" s="3336"/>
      <c r="P11765" s="3337"/>
    </row>
    <row r="11766" spans="7:16" s="1634" customFormat="1">
      <c r="G11766" s="3336"/>
      <c r="P11766" s="3337"/>
    </row>
    <row r="11767" spans="7:16" s="1634" customFormat="1">
      <c r="G11767" s="3336"/>
      <c r="P11767" s="3337"/>
    </row>
    <row r="11768" spans="7:16" s="1634" customFormat="1">
      <c r="G11768" s="3336"/>
      <c r="P11768" s="3337"/>
    </row>
    <row r="11769" spans="7:16" s="1634" customFormat="1">
      <c r="G11769" s="3336"/>
      <c r="P11769" s="3337"/>
    </row>
    <row r="11770" spans="7:16" s="1634" customFormat="1">
      <c r="G11770" s="3336"/>
      <c r="P11770" s="3337"/>
    </row>
    <row r="11771" spans="7:16" s="1634" customFormat="1">
      <c r="G11771" s="3336"/>
      <c r="P11771" s="3337"/>
    </row>
    <row r="11772" spans="7:16" s="1634" customFormat="1">
      <c r="G11772" s="3336"/>
      <c r="P11772" s="3337"/>
    </row>
    <row r="11773" spans="7:16" s="1634" customFormat="1">
      <c r="G11773" s="3336"/>
      <c r="P11773" s="3337"/>
    </row>
    <row r="11774" spans="7:16" s="1634" customFormat="1">
      <c r="G11774" s="3336"/>
      <c r="P11774" s="3337"/>
    </row>
    <row r="11775" spans="7:16" s="1634" customFormat="1">
      <c r="G11775" s="3336"/>
      <c r="P11775" s="3337"/>
    </row>
    <row r="11776" spans="7:16" s="1634" customFormat="1">
      <c r="G11776" s="3336"/>
      <c r="P11776" s="3337"/>
    </row>
    <row r="11777" spans="7:16" s="1634" customFormat="1">
      <c r="G11777" s="3336"/>
      <c r="P11777" s="3337"/>
    </row>
    <row r="11778" spans="7:16" s="1634" customFormat="1">
      <c r="G11778" s="3336"/>
      <c r="P11778" s="3337"/>
    </row>
    <row r="11779" spans="7:16" s="1634" customFormat="1">
      <c r="G11779" s="3336"/>
      <c r="P11779" s="3337"/>
    </row>
    <row r="11780" spans="7:16" s="1634" customFormat="1">
      <c r="G11780" s="3336"/>
      <c r="P11780" s="3337"/>
    </row>
    <row r="11781" spans="7:16" s="1634" customFormat="1">
      <c r="G11781" s="3336"/>
      <c r="P11781" s="3337"/>
    </row>
    <row r="11782" spans="7:16" s="1634" customFormat="1">
      <c r="G11782" s="3336"/>
      <c r="P11782" s="3337"/>
    </row>
    <row r="11783" spans="7:16" s="1634" customFormat="1">
      <c r="G11783" s="3336"/>
      <c r="P11783" s="3337"/>
    </row>
    <row r="11784" spans="7:16" s="1634" customFormat="1">
      <c r="G11784" s="3336"/>
      <c r="P11784" s="3337"/>
    </row>
    <row r="11785" spans="7:16" s="1634" customFormat="1">
      <c r="G11785" s="3336"/>
      <c r="P11785" s="3337"/>
    </row>
    <row r="11786" spans="7:16" s="1634" customFormat="1">
      <c r="G11786" s="3336"/>
      <c r="P11786" s="3337"/>
    </row>
    <row r="11787" spans="7:16" s="1634" customFormat="1">
      <c r="G11787" s="3336"/>
      <c r="P11787" s="3337"/>
    </row>
    <row r="11788" spans="7:16" s="1634" customFormat="1">
      <c r="G11788" s="3336"/>
      <c r="P11788" s="3337"/>
    </row>
    <row r="11789" spans="7:16" s="1634" customFormat="1">
      <c r="G11789" s="3336"/>
      <c r="P11789" s="3337"/>
    </row>
    <row r="11790" spans="7:16" s="1634" customFormat="1">
      <c r="G11790" s="3336"/>
      <c r="P11790" s="3337"/>
    </row>
    <row r="11791" spans="7:16" s="1634" customFormat="1">
      <c r="G11791" s="3336"/>
      <c r="P11791" s="3337"/>
    </row>
    <row r="11792" spans="7:16" s="1634" customFormat="1">
      <c r="G11792" s="3336"/>
      <c r="P11792" s="3337"/>
    </row>
    <row r="11793" spans="7:16" s="1634" customFormat="1">
      <c r="G11793" s="3336"/>
      <c r="P11793" s="3337"/>
    </row>
    <row r="11794" spans="7:16" s="1634" customFormat="1">
      <c r="G11794" s="3336"/>
      <c r="P11794" s="3337"/>
    </row>
    <row r="11795" spans="7:16" s="1634" customFormat="1">
      <c r="G11795" s="3336"/>
      <c r="P11795" s="3337"/>
    </row>
    <row r="11796" spans="7:16" s="1634" customFormat="1">
      <c r="G11796" s="3336"/>
      <c r="P11796" s="3337"/>
    </row>
    <row r="11797" spans="7:16" s="1634" customFormat="1">
      <c r="G11797" s="3336"/>
      <c r="P11797" s="3337"/>
    </row>
    <row r="11798" spans="7:16" s="1634" customFormat="1">
      <c r="G11798" s="3336"/>
      <c r="P11798" s="3337"/>
    </row>
    <row r="11799" spans="7:16" s="1634" customFormat="1">
      <c r="G11799" s="3336"/>
      <c r="P11799" s="3337"/>
    </row>
    <row r="11800" spans="7:16" s="1634" customFormat="1">
      <c r="G11800" s="3336"/>
      <c r="P11800" s="3337"/>
    </row>
    <row r="11801" spans="7:16" s="1634" customFormat="1">
      <c r="G11801" s="3336"/>
      <c r="P11801" s="3337"/>
    </row>
    <row r="11802" spans="7:16" s="1634" customFormat="1">
      <c r="G11802" s="3336"/>
      <c r="P11802" s="3337"/>
    </row>
    <row r="11803" spans="7:16" s="1634" customFormat="1">
      <c r="G11803" s="3336"/>
      <c r="P11803" s="3337"/>
    </row>
    <row r="11804" spans="7:16" s="1634" customFormat="1">
      <c r="G11804" s="3336"/>
      <c r="P11804" s="3337"/>
    </row>
    <row r="11805" spans="7:16" s="1634" customFormat="1">
      <c r="G11805" s="3336"/>
      <c r="P11805" s="3337"/>
    </row>
    <row r="11806" spans="7:16" s="1634" customFormat="1">
      <c r="G11806" s="3336"/>
      <c r="P11806" s="3337"/>
    </row>
    <row r="11807" spans="7:16" s="1634" customFormat="1">
      <c r="G11807" s="3336"/>
      <c r="P11807" s="3337"/>
    </row>
    <row r="11808" spans="7:16" s="1634" customFormat="1">
      <c r="G11808" s="3336"/>
      <c r="P11808" s="3337"/>
    </row>
    <row r="11809" spans="7:16" s="1634" customFormat="1">
      <c r="G11809" s="3336"/>
      <c r="P11809" s="3337"/>
    </row>
    <row r="11810" spans="7:16" s="1634" customFormat="1">
      <c r="G11810" s="3336"/>
      <c r="P11810" s="3337"/>
    </row>
    <row r="11811" spans="7:16" s="1634" customFormat="1">
      <c r="G11811" s="3336"/>
      <c r="P11811" s="3337"/>
    </row>
    <row r="11812" spans="7:16" s="1634" customFormat="1">
      <c r="G11812" s="3336"/>
      <c r="P11812" s="3337"/>
    </row>
    <row r="11813" spans="7:16" s="1634" customFormat="1">
      <c r="G11813" s="3336"/>
      <c r="P11813" s="3337"/>
    </row>
    <row r="11814" spans="7:16" s="1634" customFormat="1">
      <c r="G11814" s="3336"/>
      <c r="P11814" s="3337"/>
    </row>
    <row r="11815" spans="7:16" s="1634" customFormat="1">
      <c r="G11815" s="3336"/>
      <c r="P11815" s="3337"/>
    </row>
    <row r="11816" spans="7:16" s="1634" customFormat="1">
      <c r="G11816" s="3336"/>
      <c r="P11816" s="3337"/>
    </row>
    <row r="11817" spans="7:16" s="1634" customFormat="1">
      <c r="G11817" s="3336"/>
      <c r="P11817" s="3337"/>
    </row>
    <row r="11818" spans="7:16" s="1634" customFormat="1">
      <c r="G11818" s="3336"/>
      <c r="P11818" s="3337"/>
    </row>
    <row r="11819" spans="7:16" s="1634" customFormat="1">
      <c r="G11819" s="3336"/>
      <c r="P11819" s="3337"/>
    </row>
    <row r="11820" spans="7:16" s="1634" customFormat="1">
      <c r="G11820" s="3336"/>
      <c r="P11820" s="3337"/>
    </row>
    <row r="11821" spans="7:16" s="1634" customFormat="1">
      <c r="G11821" s="3336"/>
      <c r="P11821" s="3337"/>
    </row>
    <row r="11822" spans="7:16" s="1634" customFormat="1">
      <c r="G11822" s="3336"/>
      <c r="P11822" s="3337"/>
    </row>
    <row r="11823" spans="7:16" s="1634" customFormat="1">
      <c r="G11823" s="3336"/>
      <c r="P11823" s="3337"/>
    </row>
    <row r="11824" spans="7:16" s="1634" customFormat="1">
      <c r="G11824" s="3336"/>
      <c r="P11824" s="3337"/>
    </row>
    <row r="11825" spans="7:16" s="1634" customFormat="1">
      <c r="G11825" s="3336"/>
      <c r="P11825" s="3337"/>
    </row>
    <row r="11826" spans="7:16" s="1634" customFormat="1">
      <c r="G11826" s="3336"/>
      <c r="P11826" s="3337"/>
    </row>
    <row r="11827" spans="7:16" s="1634" customFormat="1">
      <c r="G11827" s="3336"/>
      <c r="P11827" s="3337"/>
    </row>
    <row r="11828" spans="7:16" s="1634" customFormat="1">
      <c r="G11828" s="3336"/>
      <c r="P11828" s="3337"/>
    </row>
    <row r="11829" spans="7:16" s="1634" customFormat="1">
      <c r="G11829" s="3336"/>
      <c r="P11829" s="3337"/>
    </row>
    <row r="11830" spans="7:16" s="1634" customFormat="1">
      <c r="G11830" s="3336"/>
      <c r="P11830" s="3337"/>
    </row>
    <row r="11831" spans="7:16" s="1634" customFormat="1">
      <c r="G11831" s="3336"/>
      <c r="P11831" s="3337"/>
    </row>
    <row r="11832" spans="7:16" s="1634" customFormat="1">
      <c r="G11832" s="3336"/>
      <c r="P11832" s="3337"/>
    </row>
    <row r="11833" spans="7:16" s="1634" customFormat="1">
      <c r="G11833" s="3336"/>
      <c r="P11833" s="3337"/>
    </row>
    <row r="11834" spans="7:16" s="1634" customFormat="1">
      <c r="G11834" s="3336"/>
      <c r="P11834" s="3337"/>
    </row>
    <row r="11835" spans="7:16" s="1634" customFormat="1">
      <c r="G11835" s="3336"/>
      <c r="P11835" s="3337"/>
    </row>
    <row r="11836" spans="7:16" s="1634" customFormat="1">
      <c r="G11836" s="3336"/>
      <c r="P11836" s="3337"/>
    </row>
    <row r="11837" spans="7:16" s="1634" customFormat="1">
      <c r="G11837" s="3336"/>
      <c r="P11837" s="3337"/>
    </row>
    <row r="11838" spans="7:16" s="1634" customFormat="1">
      <c r="G11838" s="3336"/>
      <c r="P11838" s="3337"/>
    </row>
    <row r="11839" spans="7:16" s="1634" customFormat="1">
      <c r="G11839" s="3336"/>
      <c r="P11839" s="3337"/>
    </row>
    <row r="11840" spans="7:16" s="1634" customFormat="1">
      <c r="G11840" s="3336"/>
      <c r="P11840" s="3337"/>
    </row>
    <row r="11841" spans="7:16" s="1634" customFormat="1">
      <c r="G11841" s="3336"/>
      <c r="P11841" s="3337"/>
    </row>
    <row r="11842" spans="7:16" s="1634" customFormat="1">
      <c r="G11842" s="3336"/>
      <c r="P11842" s="3337"/>
    </row>
    <row r="11843" spans="7:16" s="1634" customFormat="1">
      <c r="G11843" s="3336"/>
      <c r="P11843" s="3337"/>
    </row>
    <row r="11844" spans="7:16" s="1634" customFormat="1">
      <c r="G11844" s="3336"/>
      <c r="P11844" s="3337"/>
    </row>
    <row r="11845" spans="7:16" s="1634" customFormat="1">
      <c r="G11845" s="3336"/>
      <c r="P11845" s="3337"/>
    </row>
    <row r="11846" spans="7:16" s="1634" customFormat="1">
      <c r="G11846" s="3336"/>
      <c r="P11846" s="3337"/>
    </row>
    <row r="11847" spans="7:16" s="1634" customFormat="1">
      <c r="G11847" s="3336"/>
      <c r="P11847" s="3337"/>
    </row>
    <row r="11848" spans="7:16" s="1634" customFormat="1">
      <c r="G11848" s="3336"/>
      <c r="P11848" s="3337"/>
    </row>
    <row r="11849" spans="7:16" s="1634" customFormat="1">
      <c r="G11849" s="3336"/>
      <c r="P11849" s="3337"/>
    </row>
    <row r="11850" spans="7:16" s="1634" customFormat="1">
      <c r="G11850" s="3336"/>
      <c r="P11850" s="3337"/>
    </row>
    <row r="11851" spans="7:16" s="1634" customFormat="1">
      <c r="G11851" s="3336"/>
      <c r="P11851" s="3337"/>
    </row>
    <row r="11852" spans="7:16" s="1634" customFormat="1">
      <c r="G11852" s="3336"/>
      <c r="P11852" s="3337"/>
    </row>
    <row r="11853" spans="7:16" s="1634" customFormat="1">
      <c r="G11853" s="3336"/>
      <c r="P11853" s="3337"/>
    </row>
    <row r="11854" spans="7:16" s="1634" customFormat="1">
      <c r="G11854" s="3336"/>
      <c r="P11854" s="3337"/>
    </row>
    <row r="11855" spans="7:16" s="1634" customFormat="1">
      <c r="G11855" s="3336"/>
      <c r="P11855" s="3337"/>
    </row>
    <row r="11856" spans="7:16" s="1634" customFormat="1">
      <c r="G11856" s="3336"/>
      <c r="P11856" s="3337"/>
    </row>
    <row r="11857" spans="7:16" s="1634" customFormat="1">
      <c r="G11857" s="3336"/>
      <c r="P11857" s="3337"/>
    </row>
    <row r="11858" spans="7:16" s="1634" customFormat="1">
      <c r="G11858" s="3336"/>
      <c r="P11858" s="3337"/>
    </row>
    <row r="11859" spans="7:16" s="1634" customFormat="1">
      <c r="G11859" s="3336"/>
      <c r="P11859" s="3337"/>
    </row>
    <row r="11860" spans="7:16" s="1634" customFormat="1">
      <c r="G11860" s="3336"/>
      <c r="P11860" s="3337"/>
    </row>
    <row r="11861" spans="7:16" s="1634" customFormat="1">
      <c r="G11861" s="3336"/>
      <c r="P11861" s="3337"/>
    </row>
    <row r="11862" spans="7:16" s="1634" customFormat="1">
      <c r="G11862" s="3336"/>
      <c r="P11862" s="3337"/>
    </row>
    <row r="11863" spans="7:16" s="1634" customFormat="1">
      <c r="G11863" s="3336"/>
      <c r="P11863" s="3337"/>
    </row>
    <row r="11864" spans="7:16" s="1634" customFormat="1">
      <c r="G11864" s="3336"/>
      <c r="P11864" s="3337"/>
    </row>
    <row r="11865" spans="7:16" s="1634" customFormat="1">
      <c r="G11865" s="3336"/>
      <c r="P11865" s="3337"/>
    </row>
    <row r="11866" spans="7:16" s="1634" customFormat="1">
      <c r="G11866" s="3336"/>
      <c r="P11866" s="3337"/>
    </row>
    <row r="11867" spans="7:16" s="1634" customFormat="1">
      <c r="G11867" s="3336"/>
      <c r="P11867" s="3337"/>
    </row>
    <row r="11868" spans="7:16" s="1634" customFormat="1">
      <c r="G11868" s="3336"/>
      <c r="P11868" s="3337"/>
    </row>
    <row r="11869" spans="7:16" s="1634" customFormat="1">
      <c r="G11869" s="3336"/>
      <c r="P11869" s="3337"/>
    </row>
    <row r="11870" spans="7:16" s="1634" customFormat="1">
      <c r="G11870" s="3336"/>
      <c r="P11870" s="3337"/>
    </row>
    <row r="11871" spans="7:16" s="1634" customFormat="1">
      <c r="G11871" s="3336"/>
      <c r="P11871" s="3337"/>
    </row>
    <row r="11872" spans="7:16" s="1634" customFormat="1">
      <c r="G11872" s="3336"/>
      <c r="P11872" s="3337"/>
    </row>
    <row r="11873" spans="7:16" s="1634" customFormat="1">
      <c r="G11873" s="3336"/>
      <c r="P11873" s="3337"/>
    </row>
    <row r="11874" spans="7:16" s="1634" customFormat="1">
      <c r="G11874" s="3336"/>
      <c r="P11874" s="3337"/>
    </row>
    <row r="11875" spans="7:16" s="1634" customFormat="1">
      <c r="G11875" s="3336"/>
      <c r="P11875" s="3337"/>
    </row>
    <row r="11876" spans="7:16" s="1634" customFormat="1">
      <c r="G11876" s="3336"/>
      <c r="P11876" s="3337"/>
    </row>
    <row r="11877" spans="7:16" s="1634" customFormat="1">
      <c r="G11877" s="3336"/>
      <c r="P11877" s="3337"/>
    </row>
    <row r="11878" spans="7:16" s="1634" customFormat="1">
      <c r="G11878" s="3336"/>
      <c r="P11878" s="3337"/>
    </row>
    <row r="11879" spans="7:16" s="1634" customFormat="1">
      <c r="G11879" s="3336"/>
      <c r="P11879" s="3337"/>
    </row>
    <row r="11880" spans="7:16" s="1634" customFormat="1">
      <c r="G11880" s="3336"/>
      <c r="P11880" s="3337"/>
    </row>
    <row r="11881" spans="7:16" s="1634" customFormat="1">
      <c r="G11881" s="3336"/>
      <c r="P11881" s="3337"/>
    </row>
    <row r="11882" spans="7:16" s="1634" customFormat="1">
      <c r="G11882" s="3336"/>
      <c r="P11882" s="3337"/>
    </row>
    <row r="11883" spans="7:16" s="1634" customFormat="1">
      <c r="G11883" s="3336"/>
      <c r="P11883" s="3337"/>
    </row>
    <row r="11884" spans="7:16" s="1634" customFormat="1">
      <c r="G11884" s="3336"/>
      <c r="P11884" s="3337"/>
    </row>
    <row r="11885" spans="7:16" s="1634" customFormat="1">
      <c r="G11885" s="3336"/>
      <c r="P11885" s="3337"/>
    </row>
    <row r="11886" spans="7:16" s="1634" customFormat="1">
      <c r="G11886" s="3336"/>
      <c r="P11886" s="3337"/>
    </row>
    <row r="11887" spans="7:16" s="1634" customFormat="1">
      <c r="G11887" s="3336"/>
      <c r="P11887" s="3337"/>
    </row>
    <row r="11888" spans="7:16" s="1634" customFormat="1">
      <c r="G11888" s="3336"/>
      <c r="P11888" s="3337"/>
    </row>
    <row r="11889" spans="7:16" s="1634" customFormat="1">
      <c r="G11889" s="3336"/>
      <c r="P11889" s="3337"/>
    </row>
    <row r="11890" spans="7:16" s="1634" customFormat="1">
      <c r="G11890" s="3336"/>
      <c r="P11890" s="3337"/>
    </row>
    <row r="11891" spans="7:16" s="1634" customFormat="1">
      <c r="G11891" s="3336"/>
      <c r="P11891" s="3337"/>
    </row>
    <row r="11892" spans="7:16" s="1634" customFormat="1">
      <c r="G11892" s="3336"/>
      <c r="P11892" s="3337"/>
    </row>
    <row r="11893" spans="7:16" s="1634" customFormat="1">
      <c r="G11893" s="3336"/>
      <c r="P11893" s="3337"/>
    </row>
    <row r="11894" spans="7:16" s="1634" customFormat="1">
      <c r="G11894" s="3336"/>
      <c r="P11894" s="3337"/>
    </row>
    <row r="11895" spans="7:16" s="1634" customFormat="1">
      <c r="G11895" s="3336"/>
      <c r="P11895" s="3337"/>
    </row>
    <row r="11896" spans="7:16" s="1634" customFormat="1">
      <c r="G11896" s="3336"/>
      <c r="P11896" s="3337"/>
    </row>
    <row r="11897" spans="7:16" s="1634" customFormat="1">
      <c r="G11897" s="3336"/>
      <c r="P11897" s="3337"/>
    </row>
    <row r="11898" spans="7:16" s="1634" customFormat="1">
      <c r="G11898" s="3336"/>
      <c r="P11898" s="3337"/>
    </row>
    <row r="11899" spans="7:16" s="1634" customFormat="1">
      <c r="G11899" s="3336"/>
      <c r="P11899" s="3337"/>
    </row>
    <row r="11900" spans="7:16" s="1634" customFormat="1">
      <c r="G11900" s="3336"/>
      <c r="P11900" s="3337"/>
    </row>
    <row r="11901" spans="7:16" s="1634" customFormat="1">
      <c r="G11901" s="3336"/>
      <c r="P11901" s="3337"/>
    </row>
    <row r="11902" spans="7:16" s="1634" customFormat="1">
      <c r="G11902" s="3336"/>
      <c r="P11902" s="3337"/>
    </row>
    <row r="11903" spans="7:16" s="1634" customFormat="1">
      <c r="G11903" s="3336"/>
      <c r="P11903" s="3337"/>
    </row>
    <row r="11904" spans="7:16" s="1634" customFormat="1">
      <c r="G11904" s="3336"/>
      <c r="P11904" s="3337"/>
    </row>
    <row r="11905" spans="7:16" s="1634" customFormat="1">
      <c r="G11905" s="3336"/>
      <c r="P11905" s="3337"/>
    </row>
    <row r="11906" spans="7:16" s="1634" customFormat="1">
      <c r="G11906" s="3336"/>
      <c r="P11906" s="3337"/>
    </row>
    <row r="11907" spans="7:16" s="1634" customFormat="1">
      <c r="G11907" s="3336"/>
      <c r="P11907" s="3337"/>
    </row>
    <row r="11908" spans="7:16" s="1634" customFormat="1">
      <c r="G11908" s="3336"/>
      <c r="P11908" s="3337"/>
    </row>
    <row r="11909" spans="7:16" s="1634" customFormat="1">
      <c r="G11909" s="3336"/>
      <c r="P11909" s="3337"/>
    </row>
    <row r="11910" spans="7:16" s="1634" customFormat="1">
      <c r="G11910" s="3336"/>
      <c r="P11910" s="3337"/>
    </row>
    <row r="11911" spans="7:16" s="1634" customFormat="1">
      <c r="G11911" s="3336"/>
      <c r="P11911" s="3337"/>
    </row>
    <row r="11912" spans="7:16" s="1634" customFormat="1">
      <c r="G11912" s="3336"/>
      <c r="P11912" s="3337"/>
    </row>
    <row r="11913" spans="7:16" s="1634" customFormat="1">
      <c r="G11913" s="3336"/>
      <c r="P11913" s="3337"/>
    </row>
    <row r="11914" spans="7:16" s="1634" customFormat="1">
      <c r="G11914" s="3336"/>
      <c r="P11914" s="3337"/>
    </row>
    <row r="11915" spans="7:16" s="1634" customFormat="1">
      <c r="G11915" s="3336"/>
      <c r="P11915" s="3337"/>
    </row>
    <row r="11916" spans="7:16" s="1634" customFormat="1">
      <c r="G11916" s="3336"/>
      <c r="P11916" s="3337"/>
    </row>
    <row r="11917" spans="7:16" s="1634" customFormat="1">
      <c r="G11917" s="3336"/>
      <c r="P11917" s="3337"/>
    </row>
    <row r="11918" spans="7:16" s="1634" customFormat="1">
      <c r="G11918" s="3336"/>
      <c r="P11918" s="3337"/>
    </row>
    <row r="11919" spans="7:16" s="1634" customFormat="1">
      <c r="G11919" s="3336"/>
      <c r="P11919" s="3337"/>
    </row>
    <row r="11920" spans="7:16" s="1634" customFormat="1">
      <c r="G11920" s="3336"/>
      <c r="P11920" s="3337"/>
    </row>
    <row r="11921" spans="7:16" s="1634" customFormat="1">
      <c r="G11921" s="3336"/>
      <c r="P11921" s="3337"/>
    </row>
    <row r="11922" spans="7:16" s="1634" customFormat="1">
      <c r="G11922" s="3336"/>
      <c r="P11922" s="3337"/>
    </row>
    <row r="11923" spans="7:16" s="1634" customFormat="1">
      <c r="G11923" s="3336"/>
      <c r="P11923" s="3337"/>
    </row>
    <row r="11924" spans="7:16" s="1634" customFormat="1">
      <c r="G11924" s="3336"/>
      <c r="P11924" s="3337"/>
    </row>
    <row r="11925" spans="7:16" s="1634" customFormat="1">
      <c r="G11925" s="3336"/>
      <c r="P11925" s="3337"/>
    </row>
    <row r="11926" spans="7:16" s="1634" customFormat="1">
      <c r="G11926" s="3336"/>
      <c r="P11926" s="3337"/>
    </row>
    <row r="11927" spans="7:16" s="1634" customFormat="1">
      <c r="G11927" s="3336"/>
      <c r="P11927" s="3337"/>
    </row>
    <row r="11928" spans="7:16" s="1634" customFormat="1">
      <c r="G11928" s="3336"/>
      <c r="P11928" s="3337"/>
    </row>
    <row r="11929" spans="7:16" s="1634" customFormat="1">
      <c r="G11929" s="3336"/>
      <c r="P11929" s="3337"/>
    </row>
    <row r="11930" spans="7:16" s="1634" customFormat="1">
      <c r="G11930" s="3336"/>
      <c r="P11930" s="3337"/>
    </row>
    <row r="11931" spans="7:16" s="1634" customFormat="1">
      <c r="G11931" s="3336"/>
      <c r="P11931" s="3337"/>
    </row>
    <row r="11932" spans="7:16" s="1634" customFormat="1">
      <c r="G11932" s="3336"/>
      <c r="P11932" s="3337"/>
    </row>
    <row r="11933" spans="7:16" s="1634" customFormat="1">
      <c r="G11933" s="3336"/>
      <c r="P11933" s="3337"/>
    </row>
    <row r="11934" spans="7:16" s="1634" customFormat="1">
      <c r="G11934" s="3336"/>
      <c r="P11934" s="3337"/>
    </row>
    <row r="11935" spans="7:16" s="1634" customFormat="1">
      <c r="G11935" s="3336"/>
      <c r="P11935" s="3337"/>
    </row>
    <row r="11936" spans="7:16" s="1634" customFormat="1">
      <c r="G11936" s="3336"/>
      <c r="P11936" s="3337"/>
    </row>
    <row r="11937" spans="7:16" s="1634" customFormat="1">
      <c r="G11937" s="3336"/>
      <c r="P11937" s="3337"/>
    </row>
    <row r="11938" spans="7:16" s="1634" customFormat="1">
      <c r="G11938" s="3336"/>
      <c r="P11938" s="3337"/>
    </row>
    <row r="11939" spans="7:16" s="1634" customFormat="1">
      <c r="G11939" s="3336"/>
      <c r="P11939" s="3337"/>
    </row>
    <row r="11940" spans="7:16" s="1634" customFormat="1">
      <c r="G11940" s="3336"/>
      <c r="P11940" s="3337"/>
    </row>
    <row r="11941" spans="7:16" s="1634" customFormat="1">
      <c r="G11941" s="3336"/>
      <c r="P11941" s="3337"/>
    </row>
    <row r="11942" spans="7:16" s="1634" customFormat="1">
      <c r="G11942" s="3336"/>
      <c r="P11942" s="3337"/>
    </row>
    <row r="11943" spans="7:16" s="1634" customFormat="1">
      <c r="G11943" s="3336"/>
      <c r="P11943" s="3337"/>
    </row>
    <row r="11944" spans="7:16" s="1634" customFormat="1">
      <c r="G11944" s="3336"/>
      <c r="P11944" s="3337"/>
    </row>
    <row r="11945" spans="7:16" s="1634" customFormat="1">
      <c r="G11945" s="3336"/>
      <c r="P11945" s="3337"/>
    </row>
    <row r="11946" spans="7:16" s="1634" customFormat="1">
      <c r="G11946" s="3336"/>
      <c r="P11946" s="3337"/>
    </row>
    <row r="11947" spans="7:16" s="1634" customFormat="1">
      <c r="G11947" s="3336"/>
      <c r="P11947" s="3337"/>
    </row>
    <row r="11948" spans="7:16" s="1634" customFormat="1">
      <c r="G11948" s="3336"/>
      <c r="P11948" s="3337"/>
    </row>
    <row r="11949" spans="7:16" s="1634" customFormat="1">
      <c r="G11949" s="3336"/>
      <c r="P11949" s="3337"/>
    </row>
    <row r="11950" spans="7:16" s="1634" customFormat="1">
      <c r="G11950" s="3336"/>
      <c r="P11950" s="3337"/>
    </row>
    <row r="11951" spans="7:16" s="1634" customFormat="1">
      <c r="G11951" s="3336"/>
      <c r="P11951" s="3337"/>
    </row>
    <row r="11952" spans="7:16" s="1634" customFormat="1">
      <c r="G11952" s="3336"/>
      <c r="P11952" s="3337"/>
    </row>
    <row r="11953" spans="7:16" s="1634" customFormat="1">
      <c r="G11953" s="3336"/>
      <c r="P11953" s="3337"/>
    </row>
    <row r="11954" spans="7:16" s="1634" customFormat="1">
      <c r="G11954" s="3336"/>
      <c r="P11954" s="3337"/>
    </row>
    <row r="11955" spans="7:16" s="1634" customFormat="1">
      <c r="G11955" s="3336"/>
      <c r="P11955" s="3337"/>
    </row>
    <row r="11956" spans="7:16" s="1634" customFormat="1">
      <c r="G11956" s="3336"/>
      <c r="P11956" s="3337"/>
    </row>
    <row r="11957" spans="7:16" s="1634" customFormat="1">
      <c r="G11957" s="3336"/>
      <c r="P11957" s="3337"/>
    </row>
    <row r="11958" spans="7:16" s="1634" customFormat="1">
      <c r="G11958" s="3336"/>
      <c r="P11958" s="3337"/>
    </row>
    <row r="11959" spans="7:16" s="1634" customFormat="1">
      <c r="G11959" s="3336"/>
      <c r="P11959" s="3337"/>
    </row>
    <row r="11960" spans="7:16" s="1634" customFormat="1">
      <c r="G11960" s="3336"/>
      <c r="P11960" s="3337"/>
    </row>
    <row r="11961" spans="7:16" s="1634" customFormat="1">
      <c r="G11961" s="3336"/>
      <c r="P11961" s="3337"/>
    </row>
    <row r="11962" spans="7:16" s="1634" customFormat="1">
      <c r="G11962" s="3336"/>
      <c r="P11962" s="3337"/>
    </row>
    <row r="11963" spans="7:16" s="1634" customFormat="1">
      <c r="G11963" s="3336"/>
      <c r="P11963" s="3337"/>
    </row>
    <row r="11964" spans="7:16" s="1634" customFormat="1">
      <c r="G11964" s="3336"/>
      <c r="P11964" s="3337"/>
    </row>
    <row r="11965" spans="7:16" s="1634" customFormat="1">
      <c r="G11965" s="3336"/>
      <c r="P11965" s="3337"/>
    </row>
    <row r="11966" spans="7:16" s="1634" customFormat="1">
      <c r="G11966" s="3336"/>
      <c r="P11966" s="3337"/>
    </row>
    <row r="11967" spans="7:16" s="1634" customFormat="1">
      <c r="G11967" s="3336"/>
      <c r="P11967" s="3337"/>
    </row>
    <row r="11968" spans="7:16" s="1634" customFormat="1">
      <c r="G11968" s="3336"/>
      <c r="P11968" s="3337"/>
    </row>
    <row r="11969" spans="7:16" s="1634" customFormat="1">
      <c r="G11969" s="3336"/>
      <c r="P11969" s="3337"/>
    </row>
    <row r="11970" spans="7:16" s="1634" customFormat="1">
      <c r="G11970" s="3336"/>
      <c r="P11970" s="3337"/>
    </row>
    <row r="11971" spans="7:16" s="1634" customFormat="1">
      <c r="G11971" s="3336"/>
      <c r="P11971" s="3337"/>
    </row>
    <row r="11972" spans="7:16" s="1634" customFormat="1">
      <c r="G11972" s="3336"/>
      <c r="P11972" s="3337"/>
    </row>
    <row r="11973" spans="7:16" s="1634" customFormat="1">
      <c r="G11973" s="3336"/>
      <c r="P11973" s="3337"/>
    </row>
    <row r="11974" spans="7:16" s="1634" customFormat="1">
      <c r="G11974" s="3336"/>
      <c r="P11974" s="3337"/>
    </row>
    <row r="11975" spans="7:16" s="1634" customFormat="1">
      <c r="G11975" s="3336"/>
      <c r="P11975" s="3337"/>
    </row>
    <row r="11976" spans="7:16" s="1634" customFormat="1">
      <c r="G11976" s="3336"/>
      <c r="P11976" s="3337"/>
    </row>
    <row r="11977" spans="7:16" s="1634" customFormat="1">
      <c r="G11977" s="3336"/>
      <c r="P11977" s="3337"/>
    </row>
    <row r="11978" spans="7:16" s="1634" customFormat="1">
      <c r="G11978" s="3336"/>
      <c r="P11978" s="3337"/>
    </row>
    <row r="11979" spans="7:16" s="1634" customFormat="1">
      <c r="G11979" s="3336"/>
      <c r="P11979" s="3337"/>
    </row>
    <row r="11980" spans="7:16" s="1634" customFormat="1">
      <c r="G11980" s="3336"/>
      <c r="P11980" s="3337"/>
    </row>
    <row r="11981" spans="7:16" s="1634" customFormat="1">
      <c r="G11981" s="3336"/>
      <c r="P11981" s="3337"/>
    </row>
    <row r="11982" spans="7:16" s="1634" customFormat="1">
      <c r="G11982" s="3336"/>
      <c r="P11982" s="3337"/>
    </row>
    <row r="11983" spans="7:16" s="1634" customFormat="1">
      <c r="G11983" s="3336"/>
      <c r="P11983" s="3337"/>
    </row>
    <row r="11984" spans="7:16" s="1634" customFormat="1">
      <c r="G11984" s="3336"/>
      <c r="P11984" s="3337"/>
    </row>
    <row r="11985" spans="7:16" s="1634" customFormat="1">
      <c r="G11985" s="3336"/>
      <c r="P11985" s="3337"/>
    </row>
    <row r="11986" spans="7:16" s="1634" customFormat="1">
      <c r="G11986" s="3336"/>
      <c r="P11986" s="3337"/>
    </row>
    <row r="11987" spans="7:16" s="1634" customFormat="1">
      <c r="G11987" s="3336"/>
      <c r="P11987" s="3337"/>
    </row>
    <row r="11988" spans="7:16" s="1634" customFormat="1">
      <c r="G11988" s="3336"/>
      <c r="P11988" s="3337"/>
    </row>
    <row r="11989" spans="7:16" s="1634" customFormat="1">
      <c r="G11989" s="3336"/>
      <c r="P11989" s="3337"/>
    </row>
    <row r="11990" spans="7:16" s="1634" customFormat="1">
      <c r="G11990" s="3336"/>
      <c r="P11990" s="3337"/>
    </row>
    <row r="11991" spans="7:16" s="1634" customFormat="1">
      <c r="G11991" s="3336"/>
      <c r="P11991" s="3337"/>
    </row>
    <row r="11992" spans="7:16" s="1634" customFormat="1">
      <c r="G11992" s="3336"/>
      <c r="P11992" s="3337"/>
    </row>
    <row r="11993" spans="7:16" s="1634" customFormat="1">
      <c r="G11993" s="3336"/>
      <c r="P11993" s="3337"/>
    </row>
    <row r="11994" spans="7:16" s="1634" customFormat="1">
      <c r="G11994" s="3336"/>
      <c r="P11994" s="3337"/>
    </row>
    <row r="11995" spans="7:16" s="1634" customFormat="1">
      <c r="G11995" s="3336"/>
      <c r="P11995" s="3337"/>
    </row>
    <row r="11996" spans="7:16" s="1634" customFormat="1">
      <c r="G11996" s="3336"/>
      <c r="P11996" s="3337"/>
    </row>
    <row r="11997" spans="7:16" s="1634" customFormat="1">
      <c r="G11997" s="3336"/>
      <c r="P11997" s="3337"/>
    </row>
    <row r="11998" spans="7:16" s="1634" customFormat="1">
      <c r="G11998" s="3336"/>
      <c r="P11998" s="3337"/>
    </row>
    <row r="11999" spans="7:16" s="1634" customFormat="1">
      <c r="G11999" s="3336"/>
      <c r="P11999" s="3337"/>
    </row>
    <row r="12000" spans="7:16" s="1634" customFormat="1">
      <c r="G12000" s="3336"/>
      <c r="P12000" s="3337"/>
    </row>
    <row r="12001" spans="7:16" s="1634" customFormat="1">
      <c r="G12001" s="3336"/>
      <c r="P12001" s="3337"/>
    </row>
    <row r="12002" spans="7:16" s="1634" customFormat="1">
      <c r="G12002" s="3336"/>
      <c r="P12002" s="3337"/>
    </row>
    <row r="12003" spans="7:16" s="1634" customFormat="1">
      <c r="G12003" s="3336"/>
      <c r="P12003" s="3337"/>
    </row>
    <row r="12004" spans="7:16" s="1634" customFormat="1">
      <c r="G12004" s="3336"/>
      <c r="P12004" s="3337"/>
    </row>
    <row r="12005" spans="7:16" s="1634" customFormat="1">
      <c r="G12005" s="3336"/>
      <c r="P12005" s="3337"/>
    </row>
    <row r="12006" spans="7:16" s="1634" customFormat="1">
      <c r="G12006" s="3336"/>
      <c r="P12006" s="3337"/>
    </row>
    <row r="12007" spans="7:16" s="1634" customFormat="1">
      <c r="G12007" s="3336"/>
      <c r="P12007" s="3337"/>
    </row>
    <row r="12008" spans="7:16" s="1634" customFormat="1">
      <c r="G12008" s="3336"/>
      <c r="P12008" s="3337"/>
    </row>
    <row r="12009" spans="7:16" s="1634" customFormat="1">
      <c r="G12009" s="3336"/>
      <c r="P12009" s="3337"/>
    </row>
    <row r="12010" spans="7:16" s="1634" customFormat="1">
      <c r="G12010" s="3336"/>
      <c r="P12010" s="3337"/>
    </row>
    <row r="12011" spans="7:16" s="1634" customFormat="1">
      <c r="G12011" s="3336"/>
      <c r="P12011" s="3337"/>
    </row>
    <row r="12012" spans="7:16" s="1634" customFormat="1">
      <c r="G12012" s="3336"/>
      <c r="P12012" s="3337"/>
    </row>
    <row r="12013" spans="7:16" s="1634" customFormat="1">
      <c r="G12013" s="3336"/>
      <c r="P12013" s="3337"/>
    </row>
    <row r="12014" spans="7:16" s="1634" customFormat="1">
      <c r="G12014" s="3336"/>
      <c r="P12014" s="3337"/>
    </row>
    <row r="12015" spans="7:16" s="1634" customFormat="1">
      <c r="G12015" s="3336"/>
      <c r="P12015" s="3337"/>
    </row>
    <row r="12016" spans="7:16" s="1634" customFormat="1">
      <c r="G12016" s="3336"/>
      <c r="P12016" s="3337"/>
    </row>
    <row r="12017" spans="7:16" s="1634" customFormat="1">
      <c r="G12017" s="3336"/>
      <c r="P12017" s="3337"/>
    </row>
    <row r="12018" spans="7:16" s="1634" customFormat="1">
      <c r="G12018" s="3336"/>
      <c r="P12018" s="3337"/>
    </row>
    <row r="12019" spans="7:16" s="1634" customFormat="1">
      <c r="G12019" s="3336"/>
      <c r="P12019" s="3337"/>
    </row>
    <row r="12020" spans="7:16" s="1634" customFormat="1">
      <c r="G12020" s="3336"/>
      <c r="P12020" s="3337"/>
    </row>
    <row r="12021" spans="7:16" s="1634" customFormat="1">
      <c r="G12021" s="3336"/>
      <c r="P12021" s="3337"/>
    </row>
    <row r="12022" spans="7:16" s="1634" customFormat="1">
      <c r="G12022" s="3336"/>
      <c r="P12022" s="3337"/>
    </row>
    <row r="12023" spans="7:16" s="1634" customFormat="1">
      <c r="G12023" s="3336"/>
      <c r="P12023" s="3337"/>
    </row>
    <row r="12024" spans="7:16" s="1634" customFormat="1">
      <c r="G12024" s="3336"/>
      <c r="P12024" s="3337"/>
    </row>
    <row r="12025" spans="7:16" s="1634" customFormat="1">
      <c r="G12025" s="3336"/>
      <c r="P12025" s="3337"/>
    </row>
    <row r="12026" spans="7:16" s="1634" customFormat="1">
      <c r="G12026" s="3336"/>
      <c r="P12026" s="3337"/>
    </row>
    <row r="12027" spans="7:16" s="1634" customFormat="1">
      <c r="G12027" s="3336"/>
      <c r="P12027" s="3337"/>
    </row>
    <row r="12028" spans="7:16" s="1634" customFormat="1">
      <c r="G12028" s="3336"/>
      <c r="P12028" s="3337"/>
    </row>
    <row r="12029" spans="7:16" s="1634" customFormat="1">
      <c r="G12029" s="3336"/>
      <c r="P12029" s="3337"/>
    </row>
    <row r="12030" spans="7:16" s="1634" customFormat="1">
      <c r="G12030" s="3336"/>
      <c r="P12030" s="3337"/>
    </row>
    <row r="12031" spans="7:16" s="1634" customFormat="1">
      <c r="G12031" s="3336"/>
      <c r="P12031" s="3337"/>
    </row>
    <row r="12032" spans="7:16" s="1634" customFormat="1">
      <c r="G12032" s="3336"/>
      <c r="P12032" s="3337"/>
    </row>
    <row r="12033" spans="7:16" s="1634" customFormat="1">
      <c r="G12033" s="3336"/>
      <c r="P12033" s="3337"/>
    </row>
    <row r="12034" spans="7:16" s="1634" customFormat="1">
      <c r="G12034" s="3336"/>
      <c r="P12034" s="3337"/>
    </row>
    <row r="12035" spans="7:16" s="1634" customFormat="1">
      <c r="G12035" s="3336"/>
      <c r="P12035" s="3337"/>
    </row>
    <row r="12036" spans="7:16" s="1634" customFormat="1">
      <c r="G12036" s="3336"/>
      <c r="P12036" s="3337"/>
    </row>
    <row r="12037" spans="7:16" s="1634" customFormat="1">
      <c r="G12037" s="3336"/>
      <c r="P12037" s="3337"/>
    </row>
    <row r="12038" spans="7:16" s="1634" customFormat="1">
      <c r="G12038" s="3336"/>
      <c r="P12038" s="3337"/>
    </row>
    <row r="12039" spans="7:16" s="1634" customFormat="1">
      <c r="G12039" s="3336"/>
      <c r="P12039" s="3337"/>
    </row>
    <row r="12040" spans="7:16" s="1634" customFormat="1">
      <c r="G12040" s="3336"/>
      <c r="P12040" s="3337"/>
    </row>
    <row r="12041" spans="7:16" s="1634" customFormat="1">
      <c r="G12041" s="3336"/>
      <c r="P12041" s="3337"/>
    </row>
    <row r="12042" spans="7:16" s="1634" customFormat="1">
      <c r="G12042" s="3336"/>
      <c r="P12042" s="3337"/>
    </row>
    <row r="12043" spans="7:16" s="1634" customFormat="1">
      <c r="G12043" s="3336"/>
      <c r="P12043" s="3337"/>
    </row>
    <row r="12044" spans="7:16" s="1634" customFormat="1">
      <c r="G12044" s="3336"/>
      <c r="P12044" s="3337"/>
    </row>
    <row r="12045" spans="7:16" s="1634" customFormat="1">
      <c r="G12045" s="3336"/>
      <c r="P12045" s="3337"/>
    </row>
    <row r="12046" spans="7:16" s="1634" customFormat="1">
      <c r="G12046" s="3336"/>
      <c r="P12046" s="3337"/>
    </row>
    <row r="12047" spans="7:16" s="1634" customFormat="1">
      <c r="G12047" s="3336"/>
      <c r="P12047" s="3337"/>
    </row>
    <row r="12048" spans="7:16" s="1634" customFormat="1">
      <c r="G12048" s="3336"/>
      <c r="P12048" s="3337"/>
    </row>
    <row r="12049" spans="7:16" s="1634" customFormat="1">
      <c r="G12049" s="3336"/>
      <c r="P12049" s="3337"/>
    </row>
    <row r="12050" spans="7:16" s="1634" customFormat="1">
      <c r="G12050" s="3336"/>
      <c r="P12050" s="3337"/>
    </row>
    <row r="12051" spans="7:16" s="1634" customFormat="1">
      <c r="G12051" s="3336"/>
      <c r="P12051" s="3337"/>
    </row>
    <row r="12052" spans="7:16" s="1634" customFormat="1">
      <c r="G12052" s="3336"/>
      <c r="P12052" s="3337"/>
    </row>
    <row r="12053" spans="7:16" s="1634" customFormat="1">
      <c r="G12053" s="3336"/>
      <c r="P12053" s="3337"/>
    </row>
    <row r="12054" spans="7:16" s="1634" customFormat="1">
      <c r="G12054" s="3336"/>
      <c r="P12054" s="3337"/>
    </row>
    <row r="12055" spans="7:16" s="1634" customFormat="1">
      <c r="G12055" s="3336"/>
      <c r="P12055" s="3337"/>
    </row>
    <row r="12056" spans="7:16" s="1634" customFormat="1">
      <c r="G12056" s="3336"/>
      <c r="P12056" s="3337"/>
    </row>
    <row r="12057" spans="7:16" s="1634" customFormat="1">
      <c r="G12057" s="3336"/>
      <c r="P12057" s="3337"/>
    </row>
    <row r="12058" spans="7:16" s="1634" customFormat="1">
      <c r="G12058" s="3336"/>
      <c r="P12058" s="3337"/>
    </row>
    <row r="12059" spans="7:16" s="1634" customFormat="1">
      <c r="G12059" s="3336"/>
      <c r="P12059" s="3337"/>
    </row>
    <row r="12060" spans="7:16" s="1634" customFormat="1">
      <c r="G12060" s="3336"/>
      <c r="P12060" s="3337"/>
    </row>
    <row r="12061" spans="7:16" s="1634" customFormat="1">
      <c r="G12061" s="3336"/>
      <c r="P12061" s="3337"/>
    </row>
    <row r="12062" spans="7:16" s="1634" customFormat="1">
      <c r="G12062" s="3336"/>
      <c r="P12062" s="3337"/>
    </row>
    <row r="12063" spans="7:16" s="1634" customFormat="1">
      <c r="G12063" s="3336"/>
      <c r="P12063" s="3337"/>
    </row>
    <row r="12064" spans="7:16" s="1634" customFormat="1">
      <c r="G12064" s="3336"/>
      <c r="P12064" s="3337"/>
    </row>
    <row r="12065" spans="7:16" s="1634" customFormat="1">
      <c r="G12065" s="3336"/>
      <c r="P12065" s="3337"/>
    </row>
    <row r="12066" spans="7:16" s="1634" customFormat="1">
      <c r="G12066" s="3336"/>
      <c r="P12066" s="3337"/>
    </row>
    <row r="12067" spans="7:16" s="1634" customFormat="1">
      <c r="G12067" s="3336"/>
      <c r="P12067" s="3337"/>
    </row>
    <row r="12068" spans="7:16" s="1634" customFormat="1">
      <c r="G12068" s="3336"/>
      <c r="P12068" s="3337"/>
    </row>
    <row r="12069" spans="7:16" s="1634" customFormat="1">
      <c r="G12069" s="3336"/>
      <c r="P12069" s="3337"/>
    </row>
    <row r="12070" spans="7:16" s="1634" customFormat="1">
      <c r="G12070" s="3336"/>
      <c r="P12070" s="3337"/>
    </row>
    <row r="12071" spans="7:16" s="1634" customFormat="1">
      <c r="G12071" s="3336"/>
      <c r="P12071" s="3337"/>
    </row>
    <row r="12072" spans="7:16" s="1634" customFormat="1">
      <c r="G12072" s="3336"/>
      <c r="P12072" s="3337"/>
    </row>
    <row r="12073" spans="7:16" s="1634" customFormat="1">
      <c r="G12073" s="3336"/>
      <c r="P12073" s="3337"/>
    </row>
    <row r="12074" spans="7:16" s="1634" customFormat="1">
      <c r="G12074" s="3336"/>
      <c r="P12074" s="3337"/>
    </row>
    <row r="12075" spans="7:16" s="1634" customFormat="1">
      <c r="G12075" s="3336"/>
      <c r="P12075" s="3337"/>
    </row>
    <row r="12076" spans="7:16" s="1634" customFormat="1">
      <c r="G12076" s="3336"/>
      <c r="P12076" s="3337"/>
    </row>
    <row r="12077" spans="7:16" s="1634" customFormat="1">
      <c r="G12077" s="3336"/>
      <c r="P12077" s="3337"/>
    </row>
    <row r="12078" spans="7:16" s="1634" customFormat="1">
      <c r="G12078" s="3336"/>
      <c r="P12078" s="3337"/>
    </row>
    <row r="12079" spans="7:16" s="1634" customFormat="1">
      <c r="G12079" s="3336"/>
      <c r="P12079" s="3337"/>
    </row>
    <row r="12080" spans="7:16" s="1634" customFormat="1">
      <c r="G12080" s="3336"/>
      <c r="P12080" s="3337"/>
    </row>
    <row r="12081" spans="7:16" s="1634" customFormat="1">
      <c r="G12081" s="3336"/>
      <c r="P12081" s="3337"/>
    </row>
    <row r="12082" spans="7:16" s="1634" customFormat="1">
      <c r="G12082" s="3336"/>
      <c r="P12082" s="3337"/>
    </row>
    <row r="12083" spans="7:16" s="1634" customFormat="1">
      <c r="G12083" s="3336"/>
      <c r="P12083" s="3337"/>
    </row>
    <row r="12084" spans="7:16" s="1634" customFormat="1">
      <c r="G12084" s="3336"/>
      <c r="P12084" s="3337"/>
    </row>
    <row r="12085" spans="7:16" s="1634" customFormat="1">
      <c r="G12085" s="3336"/>
      <c r="P12085" s="3337"/>
    </row>
    <row r="12086" spans="7:16" s="1634" customFormat="1">
      <c r="G12086" s="3336"/>
      <c r="P12086" s="3337"/>
    </row>
    <row r="12087" spans="7:16" s="1634" customFormat="1">
      <c r="G12087" s="3336"/>
      <c r="P12087" s="3337"/>
    </row>
    <row r="12088" spans="7:16" s="1634" customFormat="1">
      <c r="G12088" s="3336"/>
      <c r="P12088" s="3337"/>
    </row>
    <row r="12089" spans="7:16" s="1634" customFormat="1">
      <c r="G12089" s="3336"/>
      <c r="P12089" s="3337"/>
    </row>
    <row r="12090" spans="7:16" s="1634" customFormat="1">
      <c r="G12090" s="3336"/>
      <c r="P12090" s="3337"/>
    </row>
    <row r="12091" spans="7:16" s="1634" customFormat="1">
      <c r="G12091" s="3336"/>
      <c r="P12091" s="3337"/>
    </row>
    <row r="12092" spans="7:16" s="1634" customFormat="1">
      <c r="G12092" s="3336"/>
      <c r="P12092" s="3337"/>
    </row>
    <row r="12093" spans="7:16" s="1634" customFormat="1">
      <c r="G12093" s="3336"/>
      <c r="P12093" s="3337"/>
    </row>
    <row r="12094" spans="7:16" s="1634" customFormat="1">
      <c r="G12094" s="3336"/>
      <c r="P12094" s="3337"/>
    </row>
    <row r="12095" spans="7:16" s="1634" customFormat="1">
      <c r="G12095" s="3336"/>
      <c r="P12095" s="3337"/>
    </row>
    <row r="12096" spans="7:16" s="1634" customFormat="1">
      <c r="G12096" s="3336"/>
      <c r="P12096" s="3337"/>
    </row>
    <row r="12097" spans="7:16" s="1634" customFormat="1">
      <c r="G12097" s="3336"/>
      <c r="P12097" s="3337"/>
    </row>
    <row r="12098" spans="7:16" s="1634" customFormat="1">
      <c r="G12098" s="3336"/>
      <c r="P12098" s="3337"/>
    </row>
    <row r="12099" spans="7:16" s="1634" customFormat="1">
      <c r="G12099" s="3336"/>
      <c r="P12099" s="3337"/>
    </row>
    <row r="12100" spans="7:16" s="1634" customFormat="1">
      <c r="G12100" s="3336"/>
      <c r="P12100" s="3337"/>
    </row>
    <row r="12101" spans="7:16" s="1634" customFormat="1">
      <c r="G12101" s="3336"/>
      <c r="P12101" s="3337"/>
    </row>
    <row r="12102" spans="7:16" s="1634" customFormat="1">
      <c r="G12102" s="3336"/>
      <c r="P12102" s="3337"/>
    </row>
    <row r="12103" spans="7:16" s="1634" customFormat="1">
      <c r="G12103" s="3336"/>
      <c r="P12103" s="3337"/>
    </row>
    <row r="12104" spans="7:16" s="1634" customFormat="1">
      <c r="G12104" s="3336"/>
      <c r="P12104" s="3337"/>
    </row>
    <row r="12105" spans="7:16" s="1634" customFormat="1">
      <c r="G12105" s="3336"/>
      <c r="P12105" s="3337"/>
    </row>
    <row r="12106" spans="7:16" s="1634" customFormat="1">
      <c r="G12106" s="3336"/>
      <c r="P12106" s="3337"/>
    </row>
    <row r="12107" spans="7:16" s="1634" customFormat="1">
      <c r="G12107" s="3336"/>
      <c r="P12107" s="3337"/>
    </row>
    <row r="12108" spans="7:16" s="1634" customFormat="1">
      <c r="G12108" s="3336"/>
      <c r="P12108" s="3337"/>
    </row>
    <row r="12109" spans="7:16" s="1634" customFormat="1">
      <c r="G12109" s="3336"/>
      <c r="P12109" s="3337"/>
    </row>
    <row r="12110" spans="7:16" s="1634" customFormat="1">
      <c r="G12110" s="3336"/>
      <c r="P12110" s="3337"/>
    </row>
    <row r="12111" spans="7:16" s="1634" customFormat="1">
      <c r="G12111" s="3336"/>
      <c r="P12111" s="3337"/>
    </row>
    <row r="12112" spans="7:16" s="1634" customFormat="1">
      <c r="G12112" s="3336"/>
      <c r="P12112" s="3337"/>
    </row>
    <row r="12113" spans="7:16" s="1634" customFormat="1">
      <c r="G12113" s="3336"/>
      <c r="P12113" s="3337"/>
    </row>
    <row r="12114" spans="7:16" s="1634" customFormat="1">
      <c r="G12114" s="3336"/>
      <c r="P12114" s="3337"/>
    </row>
    <row r="12115" spans="7:16" s="1634" customFormat="1">
      <c r="G12115" s="3336"/>
      <c r="P12115" s="3337"/>
    </row>
    <row r="12116" spans="7:16" s="1634" customFormat="1">
      <c r="G12116" s="3336"/>
      <c r="P12116" s="3337"/>
    </row>
    <row r="12117" spans="7:16" s="1634" customFormat="1">
      <c r="G12117" s="3336"/>
      <c r="P12117" s="3337"/>
    </row>
    <row r="12118" spans="7:16" s="1634" customFormat="1">
      <c r="G12118" s="3336"/>
      <c r="P12118" s="3337"/>
    </row>
    <row r="12119" spans="7:16" s="1634" customFormat="1">
      <c r="G12119" s="3336"/>
      <c r="P12119" s="3337"/>
    </row>
    <row r="12120" spans="7:16" s="1634" customFormat="1">
      <c r="G12120" s="3336"/>
      <c r="P12120" s="3337"/>
    </row>
    <row r="12121" spans="7:16" s="1634" customFormat="1">
      <c r="G12121" s="3336"/>
      <c r="P12121" s="3337"/>
    </row>
    <row r="12122" spans="7:16" s="1634" customFormat="1">
      <c r="G12122" s="3336"/>
      <c r="P12122" s="3337"/>
    </row>
    <row r="12123" spans="7:16" s="1634" customFormat="1">
      <c r="G12123" s="3336"/>
      <c r="P12123" s="3337"/>
    </row>
    <row r="12124" spans="7:16" s="1634" customFormat="1">
      <c r="G12124" s="3336"/>
      <c r="P12124" s="3337"/>
    </row>
    <row r="12125" spans="7:16" s="1634" customFormat="1">
      <c r="G12125" s="3336"/>
      <c r="P12125" s="3337"/>
    </row>
    <row r="12126" spans="7:16" s="1634" customFormat="1">
      <c r="G12126" s="3336"/>
      <c r="P12126" s="3337"/>
    </row>
    <row r="12127" spans="7:16" s="1634" customFormat="1">
      <c r="G12127" s="3336"/>
      <c r="P12127" s="3337"/>
    </row>
    <row r="12128" spans="7:16" s="1634" customFormat="1">
      <c r="G12128" s="3336"/>
      <c r="P12128" s="3337"/>
    </row>
    <row r="12129" spans="7:16" s="1634" customFormat="1">
      <c r="G12129" s="3336"/>
      <c r="P12129" s="3337"/>
    </row>
    <row r="12130" spans="7:16" s="1634" customFormat="1">
      <c r="G12130" s="3336"/>
      <c r="P12130" s="3337"/>
    </row>
    <row r="12131" spans="7:16" s="1634" customFormat="1">
      <c r="G12131" s="3336"/>
      <c r="P12131" s="3337"/>
    </row>
    <row r="12132" spans="7:16" s="1634" customFormat="1">
      <c r="G12132" s="3336"/>
      <c r="P12132" s="3337"/>
    </row>
    <row r="12133" spans="7:16" s="1634" customFormat="1">
      <c r="G12133" s="3336"/>
      <c r="P12133" s="3337"/>
    </row>
    <row r="12134" spans="7:16" s="1634" customFormat="1">
      <c r="G12134" s="3336"/>
      <c r="P12134" s="3337"/>
    </row>
    <row r="12135" spans="7:16" s="1634" customFormat="1">
      <c r="G12135" s="3336"/>
      <c r="P12135" s="3337"/>
    </row>
    <row r="12136" spans="7:16" s="1634" customFormat="1">
      <c r="G12136" s="3336"/>
      <c r="P12136" s="3337"/>
    </row>
    <row r="12137" spans="7:16" s="1634" customFormat="1">
      <c r="G12137" s="3336"/>
      <c r="P12137" s="3337"/>
    </row>
    <row r="12138" spans="7:16" s="1634" customFormat="1">
      <c r="G12138" s="3336"/>
      <c r="P12138" s="3337"/>
    </row>
    <row r="12139" spans="7:16" s="1634" customFormat="1">
      <c r="G12139" s="3336"/>
      <c r="P12139" s="3337"/>
    </row>
    <row r="12140" spans="7:16" s="1634" customFormat="1">
      <c r="G12140" s="3336"/>
      <c r="P12140" s="3337"/>
    </row>
    <row r="12141" spans="7:16" s="1634" customFormat="1">
      <c r="G12141" s="3336"/>
      <c r="P12141" s="3337"/>
    </row>
    <row r="12142" spans="7:16" s="1634" customFormat="1">
      <c r="G12142" s="3336"/>
      <c r="P12142" s="3337"/>
    </row>
    <row r="12143" spans="7:16" s="1634" customFormat="1">
      <c r="G12143" s="3336"/>
      <c r="P12143" s="3337"/>
    </row>
    <row r="12144" spans="7:16" s="1634" customFormat="1">
      <c r="G12144" s="3336"/>
      <c r="P12144" s="3337"/>
    </row>
    <row r="12145" spans="7:16" s="1634" customFormat="1">
      <c r="G12145" s="3336"/>
      <c r="P12145" s="3337"/>
    </row>
    <row r="12146" spans="7:16" s="1634" customFormat="1">
      <c r="G12146" s="3336"/>
      <c r="P12146" s="3337"/>
    </row>
    <row r="12147" spans="7:16" s="1634" customFormat="1">
      <c r="G12147" s="3336"/>
      <c r="P12147" s="3337"/>
    </row>
    <row r="12148" spans="7:16" s="1634" customFormat="1">
      <c r="G12148" s="3336"/>
      <c r="P12148" s="3337"/>
    </row>
    <row r="12149" spans="7:16" s="1634" customFormat="1">
      <c r="G12149" s="3336"/>
      <c r="P12149" s="3337"/>
    </row>
    <row r="12150" spans="7:16" s="1634" customFormat="1">
      <c r="G12150" s="3336"/>
      <c r="P12150" s="3337"/>
    </row>
    <row r="12151" spans="7:16" s="1634" customFormat="1">
      <c r="G12151" s="3336"/>
      <c r="P12151" s="3337"/>
    </row>
    <row r="12152" spans="7:16" s="1634" customFormat="1">
      <c r="G12152" s="3336"/>
      <c r="P12152" s="3337"/>
    </row>
    <row r="12153" spans="7:16" s="1634" customFormat="1">
      <c r="G12153" s="3336"/>
      <c r="P12153" s="3337"/>
    </row>
    <row r="12154" spans="7:16" s="1634" customFormat="1">
      <c r="G12154" s="3336"/>
      <c r="P12154" s="3337"/>
    </row>
    <row r="12155" spans="7:16" s="1634" customFormat="1">
      <c r="G12155" s="3336"/>
      <c r="P12155" s="3337"/>
    </row>
    <row r="12156" spans="7:16" s="1634" customFormat="1">
      <c r="G12156" s="3336"/>
      <c r="P12156" s="3337"/>
    </row>
    <row r="12157" spans="7:16" s="1634" customFormat="1">
      <c r="G12157" s="3336"/>
      <c r="P12157" s="3337"/>
    </row>
    <row r="12158" spans="7:16" s="1634" customFormat="1">
      <c r="G12158" s="3336"/>
      <c r="P12158" s="3337"/>
    </row>
    <row r="12159" spans="7:16" s="1634" customFormat="1">
      <c r="G12159" s="3336"/>
      <c r="P12159" s="3337"/>
    </row>
    <row r="12160" spans="7:16" s="1634" customFormat="1">
      <c r="G12160" s="3336"/>
      <c r="P12160" s="3337"/>
    </row>
    <row r="12161" spans="7:16" s="1634" customFormat="1">
      <c r="G12161" s="3336"/>
      <c r="P12161" s="3337"/>
    </row>
    <row r="12162" spans="7:16" s="1634" customFormat="1">
      <c r="G12162" s="3336"/>
      <c r="P12162" s="3337"/>
    </row>
    <row r="12163" spans="7:16" s="1634" customFormat="1">
      <c r="G12163" s="3336"/>
      <c r="P12163" s="3337"/>
    </row>
    <row r="12164" spans="7:16" s="1634" customFormat="1">
      <c r="G12164" s="3336"/>
      <c r="P12164" s="3337"/>
    </row>
    <row r="12165" spans="7:16" s="1634" customFormat="1">
      <c r="G12165" s="3336"/>
      <c r="P12165" s="3337"/>
    </row>
    <row r="12166" spans="7:16" s="1634" customFormat="1">
      <c r="G12166" s="3336"/>
      <c r="P12166" s="3337"/>
    </row>
    <row r="12167" spans="7:16" s="1634" customFormat="1">
      <c r="G12167" s="3336"/>
      <c r="P12167" s="3337"/>
    </row>
    <row r="12168" spans="7:16" s="1634" customFormat="1">
      <c r="G12168" s="3336"/>
      <c r="P12168" s="3337"/>
    </row>
    <row r="12169" spans="7:16" s="1634" customFormat="1">
      <c r="G12169" s="3336"/>
      <c r="P12169" s="3337"/>
    </row>
    <row r="12170" spans="7:16" s="1634" customFormat="1">
      <c r="G12170" s="3336"/>
      <c r="P12170" s="3337"/>
    </row>
    <row r="12171" spans="7:16" s="1634" customFormat="1">
      <c r="G12171" s="3336"/>
      <c r="P12171" s="3337"/>
    </row>
    <row r="12172" spans="7:16" s="1634" customFormat="1">
      <c r="G12172" s="3336"/>
      <c r="P12172" s="3337"/>
    </row>
    <row r="12173" spans="7:16" s="1634" customFormat="1">
      <c r="G12173" s="3336"/>
      <c r="P12173" s="3337"/>
    </row>
    <row r="12174" spans="7:16" s="1634" customFormat="1">
      <c r="G12174" s="3336"/>
      <c r="P12174" s="3337"/>
    </row>
    <row r="12175" spans="7:16" s="1634" customFormat="1">
      <c r="G12175" s="3336"/>
      <c r="P12175" s="3337"/>
    </row>
    <row r="12176" spans="7:16" s="1634" customFormat="1">
      <c r="G12176" s="3336"/>
      <c r="P12176" s="3337"/>
    </row>
    <row r="12177" spans="7:16" s="1634" customFormat="1">
      <c r="G12177" s="3336"/>
      <c r="P12177" s="3337"/>
    </row>
    <row r="12178" spans="7:16" s="1634" customFormat="1">
      <c r="G12178" s="3336"/>
      <c r="P12178" s="3337"/>
    </row>
    <row r="12179" spans="7:16" s="1634" customFormat="1">
      <c r="G12179" s="3336"/>
      <c r="P12179" s="3337"/>
    </row>
    <row r="12180" spans="7:16" s="1634" customFormat="1">
      <c r="G12180" s="3336"/>
      <c r="P12180" s="3337"/>
    </row>
    <row r="12181" spans="7:16" s="1634" customFormat="1">
      <c r="G12181" s="3336"/>
      <c r="P12181" s="3337"/>
    </row>
    <row r="12182" spans="7:16" s="1634" customFormat="1">
      <c r="G12182" s="3336"/>
      <c r="P12182" s="3337"/>
    </row>
    <row r="12183" spans="7:16" s="1634" customFormat="1">
      <c r="G12183" s="3336"/>
      <c r="P12183" s="3337"/>
    </row>
    <row r="12184" spans="7:16" s="1634" customFormat="1">
      <c r="G12184" s="3336"/>
      <c r="P12184" s="3337"/>
    </row>
    <row r="12185" spans="7:16" s="1634" customFormat="1">
      <c r="G12185" s="3336"/>
      <c r="P12185" s="3337"/>
    </row>
    <row r="12186" spans="7:16" s="1634" customFormat="1">
      <c r="G12186" s="3336"/>
      <c r="P12186" s="3337"/>
    </row>
    <row r="12187" spans="7:16" s="1634" customFormat="1">
      <c r="G12187" s="3336"/>
      <c r="P12187" s="3337"/>
    </row>
    <row r="12188" spans="7:16" s="1634" customFormat="1">
      <c r="G12188" s="3336"/>
      <c r="P12188" s="3337"/>
    </row>
    <row r="12189" spans="7:16" s="1634" customFormat="1">
      <c r="G12189" s="3336"/>
      <c r="P12189" s="3337"/>
    </row>
    <row r="12190" spans="7:16" s="1634" customFormat="1">
      <c r="G12190" s="3336"/>
      <c r="P12190" s="3337"/>
    </row>
    <row r="12191" spans="7:16" s="1634" customFormat="1">
      <c r="G12191" s="3336"/>
      <c r="P12191" s="3337"/>
    </row>
    <row r="12192" spans="7:16" s="1634" customFormat="1">
      <c r="G12192" s="3336"/>
      <c r="P12192" s="3337"/>
    </row>
    <row r="12193" spans="7:16" s="1634" customFormat="1">
      <c r="G12193" s="3336"/>
      <c r="P12193" s="3337"/>
    </row>
    <row r="12194" spans="7:16" s="1634" customFormat="1">
      <c r="G12194" s="3336"/>
      <c r="P12194" s="3337"/>
    </row>
    <row r="12195" spans="7:16" s="1634" customFormat="1">
      <c r="G12195" s="3336"/>
      <c r="P12195" s="3337"/>
    </row>
    <row r="12196" spans="7:16" s="1634" customFormat="1">
      <c r="G12196" s="3336"/>
      <c r="P12196" s="3337"/>
    </row>
    <row r="12197" spans="7:16" s="1634" customFormat="1">
      <c r="G12197" s="3336"/>
      <c r="P12197" s="3337"/>
    </row>
    <row r="12198" spans="7:16" s="1634" customFormat="1">
      <c r="G12198" s="3336"/>
      <c r="P12198" s="3337"/>
    </row>
    <row r="12199" spans="7:16" s="1634" customFormat="1">
      <c r="G12199" s="3336"/>
      <c r="P12199" s="3337"/>
    </row>
    <row r="12200" spans="7:16" s="1634" customFormat="1">
      <c r="G12200" s="3336"/>
      <c r="P12200" s="3337"/>
    </row>
    <row r="12201" spans="7:16" s="1634" customFormat="1">
      <c r="G12201" s="3336"/>
      <c r="P12201" s="3337"/>
    </row>
    <row r="12202" spans="7:16" s="1634" customFormat="1">
      <c r="G12202" s="3336"/>
      <c r="P12202" s="3337"/>
    </row>
    <row r="12203" spans="7:16" s="1634" customFormat="1">
      <c r="G12203" s="3336"/>
      <c r="P12203" s="3337"/>
    </row>
    <row r="12204" spans="7:16" s="1634" customFormat="1">
      <c r="G12204" s="3336"/>
      <c r="P12204" s="3337"/>
    </row>
    <row r="12205" spans="7:16" s="1634" customFormat="1">
      <c r="G12205" s="3336"/>
      <c r="P12205" s="3337"/>
    </row>
    <row r="12206" spans="7:16" s="1634" customFormat="1">
      <c r="G12206" s="3336"/>
      <c r="P12206" s="3337"/>
    </row>
    <row r="12207" spans="7:16" s="1634" customFormat="1">
      <c r="G12207" s="3336"/>
      <c r="P12207" s="3337"/>
    </row>
    <row r="12208" spans="7:16" s="1634" customFormat="1">
      <c r="G12208" s="3336"/>
      <c r="P12208" s="3337"/>
    </row>
    <row r="12209" spans="7:16" s="1634" customFormat="1">
      <c r="G12209" s="3336"/>
      <c r="P12209" s="3337"/>
    </row>
    <row r="12210" spans="7:16" s="1634" customFormat="1">
      <c r="G12210" s="3336"/>
      <c r="P12210" s="3337"/>
    </row>
    <row r="12211" spans="7:16" s="1634" customFormat="1">
      <c r="G12211" s="3336"/>
      <c r="P12211" s="3337"/>
    </row>
    <row r="12212" spans="7:16" s="1634" customFormat="1">
      <c r="G12212" s="3336"/>
      <c r="P12212" s="3337"/>
    </row>
    <row r="12213" spans="7:16" s="1634" customFormat="1">
      <c r="G12213" s="3336"/>
      <c r="P12213" s="3337"/>
    </row>
    <row r="12214" spans="7:16" s="1634" customFormat="1">
      <c r="G12214" s="3336"/>
      <c r="P12214" s="3337"/>
    </row>
    <row r="12215" spans="7:16" s="1634" customFormat="1">
      <c r="G12215" s="3336"/>
      <c r="P12215" s="3337"/>
    </row>
    <row r="12216" spans="7:16" s="1634" customFormat="1">
      <c r="G12216" s="3336"/>
      <c r="P12216" s="3337"/>
    </row>
    <row r="12217" spans="7:16" s="1634" customFormat="1">
      <c r="G12217" s="3336"/>
      <c r="P12217" s="3337"/>
    </row>
    <row r="12218" spans="7:16" s="1634" customFormat="1">
      <c r="G12218" s="3336"/>
      <c r="P12218" s="3337"/>
    </row>
    <row r="12219" spans="7:16" s="1634" customFormat="1">
      <c r="G12219" s="3336"/>
      <c r="P12219" s="3337"/>
    </row>
    <row r="12220" spans="7:16" s="1634" customFormat="1">
      <c r="G12220" s="3336"/>
      <c r="P12220" s="3337"/>
    </row>
    <row r="12221" spans="7:16" s="1634" customFormat="1">
      <c r="G12221" s="3336"/>
      <c r="P12221" s="3337"/>
    </row>
    <row r="12222" spans="7:16" s="1634" customFormat="1">
      <c r="G12222" s="3336"/>
      <c r="P12222" s="3337"/>
    </row>
    <row r="12223" spans="7:16" s="1634" customFormat="1">
      <c r="G12223" s="3336"/>
      <c r="P12223" s="3337"/>
    </row>
    <row r="12224" spans="7:16" s="1634" customFormat="1">
      <c r="G12224" s="3336"/>
      <c r="P12224" s="3337"/>
    </row>
    <row r="12225" spans="7:16" s="1634" customFormat="1">
      <c r="G12225" s="3336"/>
      <c r="P12225" s="3337"/>
    </row>
    <row r="12226" spans="7:16" s="1634" customFormat="1">
      <c r="G12226" s="3336"/>
      <c r="P12226" s="3337"/>
    </row>
    <row r="12227" spans="7:16" s="1634" customFormat="1">
      <c r="G12227" s="3336"/>
      <c r="P12227" s="3337"/>
    </row>
    <row r="12228" spans="7:16" s="1634" customFormat="1">
      <c r="G12228" s="3336"/>
      <c r="P12228" s="3337"/>
    </row>
    <row r="12229" spans="7:16" s="1634" customFormat="1">
      <c r="G12229" s="3336"/>
      <c r="P12229" s="3337"/>
    </row>
    <row r="12230" spans="7:16" s="1634" customFormat="1">
      <c r="G12230" s="3336"/>
      <c r="P12230" s="3337"/>
    </row>
    <row r="12231" spans="7:16" s="1634" customFormat="1">
      <c r="G12231" s="3336"/>
      <c r="P12231" s="3337"/>
    </row>
    <row r="12232" spans="7:16" s="1634" customFormat="1">
      <c r="G12232" s="3336"/>
      <c r="P12232" s="3337"/>
    </row>
    <row r="12233" spans="7:16" s="1634" customFormat="1">
      <c r="G12233" s="3336"/>
      <c r="P12233" s="3337"/>
    </row>
    <row r="12234" spans="7:16" s="1634" customFormat="1">
      <c r="G12234" s="3336"/>
      <c r="P12234" s="3337"/>
    </row>
    <row r="12235" spans="7:16" s="1634" customFormat="1">
      <c r="G12235" s="3336"/>
      <c r="P12235" s="3337"/>
    </row>
    <row r="12236" spans="7:16" s="1634" customFormat="1">
      <c r="G12236" s="3336"/>
      <c r="P12236" s="3337"/>
    </row>
    <row r="12237" spans="7:16" s="1634" customFormat="1">
      <c r="G12237" s="3336"/>
      <c r="P12237" s="3337"/>
    </row>
    <row r="12238" spans="7:16" s="1634" customFormat="1">
      <c r="G12238" s="3336"/>
      <c r="P12238" s="3337"/>
    </row>
    <row r="12239" spans="7:16" s="1634" customFormat="1">
      <c r="G12239" s="3336"/>
      <c r="P12239" s="3337"/>
    </row>
    <row r="12240" spans="7:16" s="1634" customFormat="1">
      <c r="G12240" s="3336"/>
      <c r="P12240" s="3337"/>
    </row>
    <row r="12241" spans="7:16" s="1634" customFormat="1">
      <c r="G12241" s="3336"/>
      <c r="P12241" s="3337"/>
    </row>
    <row r="12242" spans="7:16" s="1634" customFormat="1">
      <c r="G12242" s="3336"/>
      <c r="P12242" s="3337"/>
    </row>
    <row r="12243" spans="7:16" s="1634" customFormat="1">
      <c r="G12243" s="3336"/>
      <c r="P12243" s="3337"/>
    </row>
    <row r="12244" spans="7:16" s="1634" customFormat="1">
      <c r="G12244" s="3336"/>
      <c r="P12244" s="3337"/>
    </row>
    <row r="12245" spans="7:16" s="1634" customFormat="1">
      <c r="G12245" s="3336"/>
      <c r="P12245" s="3337"/>
    </row>
    <row r="12246" spans="7:16" s="1634" customFormat="1">
      <c r="G12246" s="3336"/>
      <c r="P12246" s="3337"/>
    </row>
    <row r="12247" spans="7:16" s="1634" customFormat="1">
      <c r="G12247" s="3336"/>
      <c r="P12247" s="3337"/>
    </row>
    <row r="12248" spans="7:16" s="1634" customFormat="1">
      <c r="G12248" s="3336"/>
      <c r="P12248" s="3337"/>
    </row>
    <row r="12249" spans="7:16" s="1634" customFormat="1">
      <c r="G12249" s="3336"/>
      <c r="P12249" s="3337"/>
    </row>
    <row r="12250" spans="7:16" s="1634" customFormat="1">
      <c r="G12250" s="3336"/>
      <c r="P12250" s="3337"/>
    </row>
    <row r="12251" spans="7:16" s="1634" customFormat="1">
      <c r="G12251" s="3336"/>
      <c r="P12251" s="3337"/>
    </row>
    <row r="12252" spans="7:16" s="1634" customFormat="1">
      <c r="G12252" s="3336"/>
      <c r="P12252" s="3337"/>
    </row>
    <row r="12253" spans="7:16" s="1634" customFormat="1">
      <c r="G12253" s="3336"/>
      <c r="P12253" s="3337"/>
    </row>
    <row r="12254" spans="7:16" s="1634" customFormat="1">
      <c r="G12254" s="3336"/>
      <c r="P12254" s="3337"/>
    </row>
    <row r="12255" spans="7:16" s="1634" customFormat="1">
      <c r="G12255" s="3336"/>
      <c r="P12255" s="3337"/>
    </row>
    <row r="12256" spans="7:16" s="1634" customFormat="1">
      <c r="G12256" s="3336"/>
      <c r="P12256" s="3337"/>
    </row>
    <row r="12257" spans="7:16" s="1634" customFormat="1">
      <c r="G12257" s="3336"/>
      <c r="P12257" s="3337"/>
    </row>
    <row r="12258" spans="7:16" s="1634" customFormat="1">
      <c r="G12258" s="3336"/>
      <c r="P12258" s="3337"/>
    </row>
    <row r="12259" spans="7:16" s="1634" customFormat="1">
      <c r="G12259" s="3336"/>
      <c r="P12259" s="3337"/>
    </row>
    <row r="12260" spans="7:16" s="1634" customFormat="1">
      <c r="G12260" s="3336"/>
      <c r="P12260" s="3337"/>
    </row>
    <row r="12261" spans="7:16" s="1634" customFormat="1">
      <c r="G12261" s="3336"/>
      <c r="P12261" s="3337"/>
    </row>
    <row r="12262" spans="7:16" s="1634" customFormat="1">
      <c r="G12262" s="3336"/>
      <c r="P12262" s="3337"/>
    </row>
    <row r="12263" spans="7:16" s="1634" customFormat="1">
      <c r="G12263" s="3336"/>
      <c r="P12263" s="3337"/>
    </row>
    <row r="12264" spans="7:16" s="1634" customFormat="1">
      <c r="G12264" s="3336"/>
      <c r="P12264" s="3337"/>
    </row>
    <row r="12265" spans="7:16" s="1634" customFormat="1">
      <c r="G12265" s="3336"/>
      <c r="P12265" s="3337"/>
    </row>
    <row r="12266" spans="7:16" s="1634" customFormat="1">
      <c r="G12266" s="3336"/>
      <c r="P12266" s="3337"/>
    </row>
    <row r="12267" spans="7:16" s="1634" customFormat="1">
      <c r="G12267" s="3336"/>
      <c r="P12267" s="3337"/>
    </row>
    <row r="12268" spans="7:16" s="1634" customFormat="1">
      <c r="G12268" s="3336"/>
      <c r="P12268" s="3337"/>
    </row>
    <row r="12269" spans="7:16" s="1634" customFormat="1">
      <c r="G12269" s="3336"/>
      <c r="P12269" s="3337"/>
    </row>
    <row r="12270" spans="7:16" s="1634" customFormat="1">
      <c r="G12270" s="3336"/>
      <c r="P12270" s="3337"/>
    </row>
    <row r="12271" spans="7:16" s="1634" customFormat="1">
      <c r="G12271" s="3336"/>
      <c r="P12271" s="3337"/>
    </row>
    <row r="12272" spans="7:16" s="1634" customFormat="1">
      <c r="G12272" s="3336"/>
      <c r="P12272" s="3337"/>
    </row>
    <row r="12273" spans="7:16" s="1634" customFormat="1">
      <c r="G12273" s="3336"/>
      <c r="P12273" s="3337"/>
    </row>
    <row r="12274" spans="7:16" s="1634" customFormat="1">
      <c r="G12274" s="3336"/>
      <c r="P12274" s="3337"/>
    </row>
    <row r="12275" spans="7:16" s="1634" customFormat="1">
      <c r="G12275" s="3336"/>
      <c r="P12275" s="3337"/>
    </row>
    <row r="12276" spans="7:16" s="1634" customFormat="1">
      <c r="G12276" s="3336"/>
      <c r="P12276" s="3337"/>
    </row>
    <row r="12277" spans="7:16" s="1634" customFormat="1">
      <c r="G12277" s="3336"/>
      <c r="P12277" s="3337"/>
    </row>
    <row r="12278" spans="7:16" s="1634" customFormat="1">
      <c r="G12278" s="3336"/>
      <c r="P12278" s="3337"/>
    </row>
    <row r="12279" spans="7:16" s="1634" customFormat="1">
      <c r="G12279" s="3336"/>
      <c r="P12279" s="3337"/>
    </row>
    <row r="12280" spans="7:16" s="1634" customFormat="1">
      <c r="G12280" s="3336"/>
      <c r="P12280" s="3337"/>
    </row>
    <row r="12281" spans="7:16" s="1634" customFormat="1">
      <c r="G12281" s="3336"/>
      <c r="P12281" s="3337"/>
    </row>
    <row r="12282" spans="7:16" s="1634" customFormat="1">
      <c r="G12282" s="3336"/>
      <c r="P12282" s="3337"/>
    </row>
    <row r="12283" spans="7:16" s="1634" customFormat="1">
      <c r="G12283" s="3336"/>
      <c r="P12283" s="3337"/>
    </row>
    <row r="12284" spans="7:16" s="1634" customFormat="1">
      <c r="G12284" s="3336"/>
      <c r="P12284" s="3337"/>
    </row>
    <row r="12285" spans="7:16" s="1634" customFormat="1">
      <c r="G12285" s="3336"/>
      <c r="P12285" s="3337"/>
    </row>
    <row r="12286" spans="7:16" s="1634" customFormat="1">
      <c r="G12286" s="3336"/>
      <c r="P12286" s="3337"/>
    </row>
    <row r="12287" spans="7:16" s="1634" customFormat="1">
      <c r="G12287" s="3336"/>
      <c r="P12287" s="3337"/>
    </row>
    <row r="12288" spans="7:16" s="1634" customFormat="1">
      <c r="G12288" s="3336"/>
      <c r="P12288" s="3337"/>
    </row>
    <row r="12289" spans="7:16" s="1634" customFormat="1">
      <c r="G12289" s="3336"/>
      <c r="P12289" s="3337"/>
    </row>
    <row r="12290" spans="7:16" s="1634" customFormat="1">
      <c r="G12290" s="3336"/>
      <c r="P12290" s="3337"/>
    </row>
    <row r="12291" spans="7:16" s="1634" customFormat="1">
      <c r="G12291" s="3336"/>
      <c r="P12291" s="3337"/>
    </row>
    <row r="12292" spans="7:16" s="1634" customFormat="1">
      <c r="G12292" s="3336"/>
      <c r="P12292" s="3337"/>
    </row>
    <row r="12293" spans="7:16" s="1634" customFormat="1">
      <c r="G12293" s="3336"/>
      <c r="P12293" s="3337"/>
    </row>
    <row r="12294" spans="7:16" s="1634" customFormat="1">
      <c r="G12294" s="3336"/>
      <c r="P12294" s="3337"/>
    </row>
    <row r="12295" spans="7:16" s="1634" customFormat="1">
      <c r="G12295" s="3336"/>
      <c r="P12295" s="3337"/>
    </row>
    <row r="12296" spans="7:16" s="1634" customFormat="1">
      <c r="G12296" s="3336"/>
      <c r="P12296" s="3337"/>
    </row>
    <row r="12297" spans="7:16" s="1634" customFormat="1">
      <c r="G12297" s="3336"/>
      <c r="P12297" s="3337"/>
    </row>
    <row r="12298" spans="7:16" s="1634" customFormat="1">
      <c r="G12298" s="3336"/>
      <c r="P12298" s="3337"/>
    </row>
    <row r="12299" spans="7:16" s="1634" customFormat="1">
      <c r="G12299" s="3336"/>
      <c r="P12299" s="3337"/>
    </row>
    <row r="12300" spans="7:16" s="1634" customFormat="1">
      <c r="G12300" s="3336"/>
      <c r="P12300" s="3337"/>
    </row>
    <row r="12301" spans="7:16" s="1634" customFormat="1">
      <c r="G12301" s="3336"/>
      <c r="P12301" s="3337"/>
    </row>
    <row r="12302" spans="7:16" s="1634" customFormat="1">
      <c r="G12302" s="3336"/>
      <c r="P12302" s="3337"/>
    </row>
    <row r="12303" spans="7:16" s="1634" customFormat="1">
      <c r="G12303" s="3336"/>
      <c r="P12303" s="3337"/>
    </row>
    <row r="12304" spans="7:16" s="1634" customFormat="1">
      <c r="G12304" s="3336"/>
      <c r="P12304" s="3337"/>
    </row>
    <row r="12305" spans="7:16" s="1634" customFormat="1">
      <c r="G12305" s="3336"/>
      <c r="P12305" s="3337"/>
    </row>
    <row r="12306" spans="7:16" s="1634" customFormat="1">
      <c r="G12306" s="3336"/>
      <c r="P12306" s="3337"/>
    </row>
    <row r="12307" spans="7:16" s="1634" customFormat="1">
      <c r="G12307" s="3336"/>
      <c r="P12307" s="3337"/>
    </row>
    <row r="12308" spans="7:16" s="1634" customFormat="1">
      <c r="G12308" s="3336"/>
      <c r="P12308" s="3337"/>
    </row>
    <row r="12309" spans="7:16" s="1634" customFormat="1">
      <c r="G12309" s="3336"/>
      <c r="P12309" s="3337"/>
    </row>
    <row r="12310" spans="7:16" s="1634" customFormat="1">
      <c r="G12310" s="3336"/>
      <c r="P12310" s="3337"/>
    </row>
    <row r="12311" spans="7:16" s="1634" customFormat="1">
      <c r="G12311" s="3336"/>
      <c r="P12311" s="3337"/>
    </row>
    <row r="12312" spans="7:16" s="1634" customFormat="1">
      <c r="G12312" s="3336"/>
      <c r="P12312" s="3337"/>
    </row>
    <row r="12313" spans="7:16" s="1634" customFormat="1">
      <c r="G12313" s="3336"/>
      <c r="P12313" s="3337"/>
    </row>
    <row r="12314" spans="7:16" s="1634" customFormat="1">
      <c r="G12314" s="3336"/>
      <c r="P12314" s="3337"/>
    </row>
    <row r="12315" spans="7:16" s="1634" customFormat="1">
      <c r="G12315" s="3336"/>
      <c r="P12315" s="3337"/>
    </row>
    <row r="12316" spans="7:16" s="1634" customFormat="1">
      <c r="G12316" s="3336"/>
      <c r="P12316" s="3337"/>
    </row>
    <row r="12317" spans="7:16" s="1634" customFormat="1">
      <c r="G12317" s="3336"/>
      <c r="P12317" s="3337"/>
    </row>
    <row r="12318" spans="7:16" s="1634" customFormat="1">
      <c r="G12318" s="3336"/>
      <c r="P12318" s="3337"/>
    </row>
    <row r="12319" spans="7:16" s="1634" customFormat="1">
      <c r="G12319" s="3336"/>
      <c r="P12319" s="3337"/>
    </row>
    <row r="12320" spans="7:16" s="1634" customFormat="1">
      <c r="G12320" s="3336"/>
      <c r="P12320" s="3337"/>
    </row>
    <row r="12321" spans="7:16" s="1634" customFormat="1">
      <c r="G12321" s="3336"/>
      <c r="P12321" s="3337"/>
    </row>
    <row r="12322" spans="7:16" s="1634" customFormat="1">
      <c r="G12322" s="3336"/>
      <c r="P12322" s="3337"/>
    </row>
    <row r="12323" spans="7:16" s="1634" customFormat="1">
      <c r="G12323" s="3336"/>
      <c r="P12323" s="3337"/>
    </row>
    <row r="12324" spans="7:16" s="1634" customFormat="1">
      <c r="G12324" s="3336"/>
      <c r="P12324" s="3337"/>
    </row>
    <row r="12325" spans="7:16" s="1634" customFormat="1">
      <c r="G12325" s="3336"/>
      <c r="P12325" s="3337"/>
    </row>
    <row r="12326" spans="7:16" s="1634" customFormat="1">
      <c r="G12326" s="3336"/>
      <c r="P12326" s="3337"/>
    </row>
    <row r="12327" spans="7:16" s="1634" customFormat="1">
      <c r="G12327" s="3336"/>
      <c r="P12327" s="3337"/>
    </row>
    <row r="12328" spans="7:16" s="1634" customFormat="1">
      <c r="G12328" s="3336"/>
      <c r="P12328" s="3337"/>
    </row>
    <row r="12329" spans="7:16" s="1634" customFormat="1">
      <c r="G12329" s="3336"/>
      <c r="P12329" s="3337"/>
    </row>
    <row r="12330" spans="7:16" s="1634" customFormat="1">
      <c r="G12330" s="3336"/>
      <c r="P12330" s="3337"/>
    </row>
    <row r="12331" spans="7:16" s="1634" customFormat="1">
      <c r="G12331" s="3336"/>
      <c r="P12331" s="3337"/>
    </row>
    <row r="12332" spans="7:16" s="1634" customFormat="1">
      <c r="G12332" s="3336"/>
      <c r="P12332" s="3337"/>
    </row>
    <row r="12333" spans="7:16" s="1634" customFormat="1">
      <c r="G12333" s="3336"/>
      <c r="P12333" s="3337"/>
    </row>
    <row r="12334" spans="7:16" s="1634" customFormat="1">
      <c r="G12334" s="3336"/>
      <c r="P12334" s="3337"/>
    </row>
    <row r="12335" spans="7:16" s="1634" customFormat="1">
      <c r="G12335" s="3336"/>
      <c r="P12335" s="3337"/>
    </row>
    <row r="12336" spans="7:16" s="1634" customFormat="1">
      <c r="G12336" s="3336"/>
      <c r="P12336" s="3337"/>
    </row>
    <row r="12337" spans="7:16" s="1634" customFormat="1">
      <c r="G12337" s="3336"/>
      <c r="P12337" s="3337"/>
    </row>
    <row r="12338" spans="7:16" s="1634" customFormat="1">
      <c r="G12338" s="3336"/>
      <c r="P12338" s="3337"/>
    </row>
    <row r="12339" spans="7:16" s="1634" customFormat="1">
      <c r="G12339" s="3336"/>
      <c r="P12339" s="3337"/>
    </row>
    <row r="12340" spans="7:16" s="1634" customFormat="1">
      <c r="G12340" s="3336"/>
      <c r="P12340" s="3337"/>
    </row>
    <row r="12341" spans="7:16" s="1634" customFormat="1">
      <c r="G12341" s="3336"/>
      <c r="P12341" s="3337"/>
    </row>
    <row r="12342" spans="7:16" s="1634" customFormat="1">
      <c r="G12342" s="3336"/>
      <c r="P12342" s="3337"/>
    </row>
    <row r="12343" spans="7:16" s="1634" customFormat="1">
      <c r="G12343" s="3336"/>
      <c r="P12343" s="3337"/>
    </row>
    <row r="12344" spans="7:16" s="1634" customFormat="1">
      <c r="G12344" s="3336"/>
      <c r="P12344" s="3337"/>
    </row>
    <row r="12345" spans="7:16" s="1634" customFormat="1">
      <c r="G12345" s="3336"/>
      <c r="P12345" s="3337"/>
    </row>
    <row r="12346" spans="7:16" s="1634" customFormat="1">
      <c r="G12346" s="3336"/>
      <c r="P12346" s="3337"/>
    </row>
    <row r="12347" spans="7:16" s="1634" customFormat="1">
      <c r="G12347" s="3336"/>
      <c r="P12347" s="3337"/>
    </row>
    <row r="12348" spans="7:16" s="1634" customFormat="1">
      <c r="G12348" s="3336"/>
      <c r="P12348" s="3337"/>
    </row>
    <row r="12349" spans="7:16" s="1634" customFormat="1">
      <c r="G12349" s="3336"/>
      <c r="P12349" s="3337"/>
    </row>
    <row r="12350" spans="7:16" s="1634" customFormat="1">
      <c r="G12350" s="3336"/>
      <c r="P12350" s="3337"/>
    </row>
    <row r="12351" spans="7:16" s="1634" customFormat="1">
      <c r="G12351" s="3336"/>
      <c r="P12351" s="3337"/>
    </row>
    <row r="12352" spans="7:16" s="1634" customFormat="1">
      <c r="G12352" s="3336"/>
      <c r="P12352" s="3337"/>
    </row>
    <row r="12353" spans="7:16" s="1634" customFormat="1">
      <c r="G12353" s="3336"/>
      <c r="P12353" s="3337"/>
    </row>
    <row r="12354" spans="7:16" s="1634" customFormat="1">
      <c r="G12354" s="3336"/>
      <c r="P12354" s="3337"/>
    </row>
    <row r="12355" spans="7:16" s="1634" customFormat="1">
      <c r="G12355" s="3336"/>
      <c r="P12355" s="3337"/>
    </row>
    <row r="12356" spans="7:16" s="1634" customFormat="1">
      <c r="G12356" s="3336"/>
      <c r="P12356" s="3337"/>
    </row>
    <row r="12357" spans="7:16" s="1634" customFormat="1">
      <c r="G12357" s="3336"/>
      <c r="P12357" s="3337"/>
    </row>
    <row r="12358" spans="7:16" s="1634" customFormat="1">
      <c r="G12358" s="3336"/>
      <c r="P12358" s="3337"/>
    </row>
    <row r="12359" spans="7:16" s="1634" customFormat="1">
      <c r="G12359" s="3336"/>
      <c r="P12359" s="3337"/>
    </row>
    <row r="12360" spans="7:16" s="1634" customFormat="1">
      <c r="G12360" s="3336"/>
      <c r="P12360" s="3337"/>
    </row>
    <row r="12361" spans="7:16" s="1634" customFormat="1">
      <c r="G12361" s="3336"/>
      <c r="P12361" s="3337"/>
    </row>
    <row r="12362" spans="7:16" s="1634" customFormat="1">
      <c r="G12362" s="3336"/>
      <c r="P12362" s="3337"/>
    </row>
    <row r="12363" spans="7:16" s="1634" customFormat="1">
      <c r="G12363" s="3336"/>
      <c r="P12363" s="3337"/>
    </row>
    <row r="12364" spans="7:16" s="1634" customFormat="1">
      <c r="G12364" s="3336"/>
      <c r="P12364" s="3337"/>
    </row>
    <row r="12365" spans="7:16" s="1634" customFormat="1">
      <c r="G12365" s="3336"/>
      <c r="P12365" s="3337"/>
    </row>
    <row r="12366" spans="7:16" s="1634" customFormat="1">
      <c r="G12366" s="3336"/>
      <c r="P12366" s="3337"/>
    </row>
    <row r="12367" spans="7:16" s="1634" customFormat="1">
      <c r="G12367" s="3336"/>
      <c r="P12367" s="3337"/>
    </row>
    <row r="12368" spans="7:16" s="1634" customFormat="1">
      <c r="G12368" s="3336"/>
      <c r="P12368" s="3337"/>
    </row>
    <row r="12369" spans="7:16" s="1634" customFormat="1">
      <c r="G12369" s="3336"/>
      <c r="P12369" s="3337"/>
    </row>
    <row r="12370" spans="7:16" s="1634" customFormat="1">
      <c r="G12370" s="3336"/>
      <c r="P12370" s="3337"/>
    </row>
    <row r="12371" spans="7:16" s="1634" customFormat="1">
      <c r="G12371" s="3336"/>
      <c r="P12371" s="3337"/>
    </row>
    <row r="12372" spans="7:16" s="1634" customFormat="1">
      <c r="G12372" s="3336"/>
      <c r="P12372" s="3337"/>
    </row>
    <row r="12373" spans="7:16" s="1634" customFormat="1">
      <c r="G12373" s="3336"/>
      <c r="P12373" s="3337"/>
    </row>
    <row r="12374" spans="7:16" s="1634" customFormat="1">
      <c r="G12374" s="3336"/>
      <c r="P12374" s="3337"/>
    </row>
    <row r="12375" spans="7:16" s="1634" customFormat="1">
      <c r="G12375" s="3336"/>
      <c r="P12375" s="3337"/>
    </row>
    <row r="12376" spans="7:16" s="1634" customFormat="1">
      <c r="G12376" s="3336"/>
      <c r="P12376" s="3337"/>
    </row>
    <row r="12377" spans="7:16" s="1634" customFormat="1">
      <c r="G12377" s="3336"/>
      <c r="P12377" s="3337"/>
    </row>
    <row r="12378" spans="7:16" s="1634" customFormat="1">
      <c r="G12378" s="3336"/>
      <c r="P12378" s="3337"/>
    </row>
    <row r="12379" spans="7:16" s="1634" customFormat="1">
      <c r="G12379" s="3336"/>
      <c r="P12379" s="3337"/>
    </row>
    <row r="12380" spans="7:16" s="1634" customFormat="1">
      <c r="G12380" s="3336"/>
      <c r="P12380" s="3337"/>
    </row>
    <row r="12381" spans="7:16" s="1634" customFormat="1">
      <c r="G12381" s="3336"/>
      <c r="P12381" s="3337"/>
    </row>
    <row r="12382" spans="7:16" s="1634" customFormat="1">
      <c r="G12382" s="3336"/>
      <c r="P12382" s="3337"/>
    </row>
    <row r="12383" spans="7:16" s="1634" customFormat="1">
      <c r="G12383" s="3336"/>
      <c r="P12383" s="3337"/>
    </row>
    <row r="12384" spans="7:16" s="1634" customFormat="1">
      <c r="G12384" s="3336"/>
      <c r="P12384" s="3337"/>
    </row>
    <row r="12385" spans="7:16" s="1634" customFormat="1">
      <c r="G12385" s="3336"/>
      <c r="P12385" s="3337"/>
    </row>
    <row r="12386" spans="7:16" s="1634" customFormat="1">
      <c r="G12386" s="3336"/>
      <c r="P12386" s="3337"/>
    </row>
    <row r="12387" spans="7:16" s="1634" customFormat="1">
      <c r="G12387" s="3336"/>
      <c r="P12387" s="3337"/>
    </row>
    <row r="12388" spans="7:16" s="1634" customFormat="1">
      <c r="G12388" s="3336"/>
      <c r="P12388" s="3337"/>
    </row>
    <row r="12389" spans="7:16" s="1634" customFormat="1">
      <c r="G12389" s="3336"/>
      <c r="P12389" s="3337"/>
    </row>
    <row r="12390" spans="7:16" s="1634" customFormat="1">
      <c r="G12390" s="3336"/>
      <c r="P12390" s="3337"/>
    </row>
    <row r="12391" spans="7:16" s="1634" customFormat="1">
      <c r="G12391" s="3336"/>
      <c r="P12391" s="3337"/>
    </row>
    <row r="12392" spans="7:16" s="1634" customFormat="1">
      <c r="G12392" s="3336"/>
      <c r="P12392" s="3337"/>
    </row>
    <row r="12393" spans="7:16" s="1634" customFormat="1">
      <c r="G12393" s="3336"/>
      <c r="P12393" s="3337"/>
    </row>
    <row r="12394" spans="7:16" s="1634" customFormat="1">
      <c r="G12394" s="3336"/>
      <c r="P12394" s="3337"/>
    </row>
    <row r="12395" spans="7:16" s="1634" customFormat="1">
      <c r="G12395" s="3336"/>
      <c r="P12395" s="3337"/>
    </row>
    <row r="12396" spans="7:16" s="1634" customFormat="1">
      <c r="G12396" s="3336"/>
      <c r="P12396" s="3337"/>
    </row>
    <row r="12397" spans="7:16" s="1634" customFormat="1">
      <c r="G12397" s="3336"/>
      <c r="P12397" s="3337"/>
    </row>
    <row r="12398" spans="7:16" s="1634" customFormat="1">
      <c r="G12398" s="3336"/>
      <c r="P12398" s="3337"/>
    </row>
    <row r="12399" spans="7:16" s="1634" customFormat="1">
      <c r="G12399" s="3336"/>
      <c r="P12399" s="3337"/>
    </row>
    <row r="12400" spans="7:16" s="1634" customFormat="1">
      <c r="G12400" s="3336"/>
      <c r="P12400" s="3337"/>
    </row>
    <row r="12401" spans="7:16" s="1634" customFormat="1">
      <c r="G12401" s="3336"/>
      <c r="P12401" s="3337"/>
    </row>
    <row r="12402" spans="7:16" s="1634" customFormat="1">
      <c r="G12402" s="3336"/>
      <c r="P12402" s="3337"/>
    </row>
    <row r="12403" spans="7:16" s="1634" customFormat="1">
      <c r="G12403" s="3336"/>
      <c r="P12403" s="3337"/>
    </row>
    <row r="12404" spans="7:16" s="1634" customFormat="1">
      <c r="G12404" s="3336"/>
      <c r="P12404" s="3337"/>
    </row>
    <row r="12405" spans="7:16" s="1634" customFormat="1">
      <c r="G12405" s="3336"/>
      <c r="P12405" s="3337"/>
    </row>
    <row r="12406" spans="7:16" s="1634" customFormat="1">
      <c r="G12406" s="3336"/>
      <c r="P12406" s="3337"/>
    </row>
    <row r="12407" spans="7:16" s="1634" customFormat="1">
      <c r="G12407" s="3336"/>
      <c r="P12407" s="3337"/>
    </row>
    <row r="12408" spans="7:16" s="1634" customFormat="1">
      <c r="G12408" s="3336"/>
      <c r="P12408" s="3337"/>
    </row>
    <row r="12409" spans="7:16" s="1634" customFormat="1">
      <c r="G12409" s="3336"/>
      <c r="P12409" s="3337"/>
    </row>
    <row r="12410" spans="7:16" s="1634" customFormat="1">
      <c r="G12410" s="3336"/>
      <c r="P12410" s="3337"/>
    </row>
    <row r="12411" spans="7:16" s="1634" customFormat="1">
      <c r="G12411" s="3336"/>
      <c r="P12411" s="3337"/>
    </row>
    <row r="12412" spans="7:16" s="1634" customFormat="1">
      <c r="G12412" s="3336"/>
      <c r="P12412" s="3337"/>
    </row>
    <row r="12413" spans="7:16" s="1634" customFormat="1">
      <c r="G12413" s="3336"/>
      <c r="P12413" s="3337"/>
    </row>
    <row r="12414" spans="7:16" s="1634" customFormat="1">
      <c r="G12414" s="3336"/>
      <c r="P12414" s="3337"/>
    </row>
    <row r="12415" spans="7:16" s="1634" customFormat="1">
      <c r="G12415" s="3336"/>
      <c r="P12415" s="3337"/>
    </row>
    <row r="12416" spans="7:16" s="1634" customFormat="1">
      <c r="G12416" s="3336"/>
      <c r="P12416" s="3337"/>
    </row>
    <row r="12417" spans="7:16" s="1634" customFormat="1">
      <c r="G12417" s="3336"/>
      <c r="P12417" s="3337"/>
    </row>
    <row r="12418" spans="7:16" s="1634" customFormat="1">
      <c r="G12418" s="3336"/>
      <c r="P12418" s="3337"/>
    </row>
    <row r="12419" spans="7:16" s="1634" customFormat="1">
      <c r="G12419" s="3336"/>
      <c r="P12419" s="3337"/>
    </row>
    <row r="12420" spans="7:16" s="1634" customFormat="1">
      <c r="G12420" s="3336"/>
      <c r="P12420" s="3337"/>
    </row>
    <row r="12421" spans="7:16" s="1634" customFormat="1">
      <c r="G12421" s="3336"/>
      <c r="P12421" s="3337"/>
    </row>
    <row r="12422" spans="7:16" s="1634" customFormat="1">
      <c r="G12422" s="3336"/>
      <c r="P12422" s="3337"/>
    </row>
    <row r="12423" spans="7:16" s="1634" customFormat="1">
      <c r="G12423" s="3336"/>
      <c r="P12423" s="3337"/>
    </row>
    <row r="12424" spans="7:16" s="1634" customFormat="1">
      <c r="G12424" s="3336"/>
      <c r="P12424" s="3337"/>
    </row>
    <row r="12425" spans="7:16" s="1634" customFormat="1">
      <c r="G12425" s="3336"/>
      <c r="P12425" s="3337"/>
    </row>
    <row r="12426" spans="7:16" s="1634" customFormat="1">
      <c r="G12426" s="3336"/>
      <c r="P12426" s="3337"/>
    </row>
    <row r="12427" spans="7:16" s="1634" customFormat="1">
      <c r="G12427" s="3336"/>
      <c r="P12427" s="3337"/>
    </row>
    <row r="12428" spans="7:16" s="1634" customFormat="1">
      <c r="G12428" s="3336"/>
      <c r="P12428" s="3337"/>
    </row>
    <row r="12429" spans="7:16" s="1634" customFormat="1">
      <c r="G12429" s="3336"/>
      <c r="P12429" s="3337"/>
    </row>
    <row r="12430" spans="7:16" s="1634" customFormat="1">
      <c r="G12430" s="3336"/>
      <c r="P12430" s="3337"/>
    </row>
    <row r="12431" spans="7:16" s="1634" customFormat="1">
      <c r="G12431" s="3336"/>
      <c r="P12431" s="3337"/>
    </row>
    <row r="12432" spans="7:16" s="1634" customFormat="1">
      <c r="G12432" s="3336"/>
      <c r="P12432" s="3337"/>
    </row>
    <row r="12433" spans="7:16" s="1634" customFormat="1">
      <c r="G12433" s="3336"/>
      <c r="P12433" s="3337"/>
    </row>
    <row r="12434" spans="7:16" s="1634" customFormat="1">
      <c r="G12434" s="3336"/>
      <c r="P12434" s="3337"/>
    </row>
    <row r="12435" spans="7:16" s="1634" customFormat="1">
      <c r="G12435" s="3336"/>
      <c r="P12435" s="3337"/>
    </row>
    <row r="12436" spans="7:16" s="1634" customFormat="1">
      <c r="G12436" s="3336"/>
      <c r="P12436" s="3337"/>
    </row>
    <row r="12437" spans="7:16" s="1634" customFormat="1">
      <c r="G12437" s="3336"/>
      <c r="P12437" s="3337"/>
    </row>
    <row r="12438" spans="7:16" s="1634" customFormat="1">
      <c r="G12438" s="3336"/>
      <c r="P12438" s="3337"/>
    </row>
    <row r="12439" spans="7:16" s="1634" customFormat="1">
      <c r="G12439" s="3336"/>
      <c r="P12439" s="3337"/>
    </row>
    <row r="12440" spans="7:16" s="1634" customFormat="1">
      <c r="G12440" s="3336"/>
      <c r="P12440" s="3337"/>
    </row>
    <row r="12441" spans="7:16" s="1634" customFormat="1">
      <c r="G12441" s="3336"/>
      <c r="P12441" s="3337"/>
    </row>
    <row r="12442" spans="7:16" s="1634" customFormat="1">
      <c r="G12442" s="3336"/>
      <c r="P12442" s="3337"/>
    </row>
    <row r="12443" spans="7:16" s="1634" customFormat="1">
      <c r="G12443" s="3336"/>
      <c r="P12443" s="3337"/>
    </row>
    <row r="12444" spans="7:16" s="1634" customFormat="1">
      <c r="G12444" s="3336"/>
      <c r="P12444" s="3337"/>
    </row>
    <row r="12445" spans="7:16" s="1634" customFormat="1">
      <c r="G12445" s="3336"/>
      <c r="P12445" s="3337"/>
    </row>
    <row r="12446" spans="7:16" s="1634" customFormat="1">
      <c r="G12446" s="3336"/>
      <c r="P12446" s="3337"/>
    </row>
    <row r="12447" spans="7:16" s="1634" customFormat="1">
      <c r="G12447" s="3336"/>
      <c r="P12447" s="3337"/>
    </row>
    <row r="12448" spans="7:16" s="1634" customFormat="1">
      <c r="G12448" s="3336"/>
      <c r="P12448" s="3337"/>
    </row>
    <row r="12449" spans="7:16" s="1634" customFormat="1">
      <c r="G12449" s="3336"/>
      <c r="P12449" s="3337"/>
    </row>
    <row r="12450" spans="7:16" s="1634" customFormat="1">
      <c r="G12450" s="3336"/>
      <c r="P12450" s="3337"/>
    </row>
    <row r="12451" spans="7:16" s="1634" customFormat="1">
      <c r="G12451" s="3336"/>
      <c r="P12451" s="3337"/>
    </row>
    <row r="12452" spans="7:16" s="1634" customFormat="1">
      <c r="G12452" s="3336"/>
      <c r="P12452" s="3337"/>
    </row>
    <row r="12453" spans="7:16" s="1634" customFormat="1">
      <c r="G12453" s="3336"/>
      <c r="P12453" s="3337"/>
    </row>
    <row r="12454" spans="7:16" s="1634" customFormat="1">
      <c r="G12454" s="3336"/>
      <c r="P12454" s="3337"/>
    </row>
    <row r="12455" spans="7:16" s="1634" customFormat="1">
      <c r="G12455" s="3336"/>
      <c r="P12455" s="3337"/>
    </row>
    <row r="12456" spans="7:16" s="1634" customFormat="1">
      <c r="G12456" s="3336"/>
      <c r="P12456" s="3337"/>
    </row>
    <row r="12457" spans="7:16" s="1634" customFormat="1">
      <c r="G12457" s="3336"/>
      <c r="P12457" s="3337"/>
    </row>
    <row r="12458" spans="7:16" s="1634" customFormat="1">
      <c r="G12458" s="3336"/>
      <c r="P12458" s="3337"/>
    </row>
    <row r="12459" spans="7:16" s="1634" customFormat="1">
      <c r="G12459" s="3336"/>
      <c r="P12459" s="3337"/>
    </row>
    <row r="12460" spans="7:16" s="1634" customFormat="1">
      <c r="G12460" s="3336"/>
      <c r="P12460" s="3337"/>
    </row>
    <row r="12461" spans="7:16" s="1634" customFormat="1">
      <c r="G12461" s="3336"/>
      <c r="P12461" s="3337"/>
    </row>
    <row r="12462" spans="7:16" s="1634" customFormat="1">
      <c r="G12462" s="3336"/>
      <c r="P12462" s="3337"/>
    </row>
    <row r="12463" spans="7:16" s="1634" customFormat="1">
      <c r="G12463" s="3336"/>
      <c r="P12463" s="3337"/>
    </row>
    <row r="12464" spans="7:16" s="1634" customFormat="1">
      <c r="G12464" s="3336"/>
      <c r="P12464" s="3337"/>
    </row>
    <row r="12465" spans="7:16" s="1634" customFormat="1">
      <c r="G12465" s="3336"/>
      <c r="P12465" s="3337"/>
    </row>
    <row r="12466" spans="7:16" s="1634" customFormat="1">
      <c r="G12466" s="3336"/>
      <c r="P12466" s="3337"/>
    </row>
    <row r="12467" spans="7:16" s="1634" customFormat="1">
      <c r="G12467" s="3336"/>
      <c r="P12467" s="3337"/>
    </row>
    <row r="12468" spans="7:16" s="1634" customFormat="1">
      <c r="G12468" s="3336"/>
      <c r="P12468" s="3337"/>
    </row>
    <row r="12469" spans="7:16" s="1634" customFormat="1">
      <c r="G12469" s="3336"/>
      <c r="P12469" s="3337"/>
    </row>
    <row r="12470" spans="7:16" s="1634" customFormat="1">
      <c r="G12470" s="3336"/>
      <c r="P12470" s="3337"/>
    </row>
    <row r="12471" spans="7:16" s="1634" customFormat="1">
      <c r="G12471" s="3336"/>
      <c r="P12471" s="3337"/>
    </row>
    <row r="12472" spans="7:16" s="1634" customFormat="1">
      <c r="G12472" s="3336"/>
      <c r="P12472" s="3337"/>
    </row>
    <row r="12473" spans="7:16" s="1634" customFormat="1">
      <c r="G12473" s="3336"/>
      <c r="P12473" s="3337"/>
    </row>
    <row r="12474" spans="7:16" s="1634" customFormat="1">
      <c r="G12474" s="3336"/>
      <c r="P12474" s="3337"/>
    </row>
    <row r="12475" spans="7:16" s="1634" customFormat="1">
      <c r="G12475" s="3336"/>
      <c r="P12475" s="3337"/>
    </row>
    <row r="12476" spans="7:16" s="1634" customFormat="1">
      <c r="G12476" s="3336"/>
      <c r="P12476" s="3337"/>
    </row>
    <row r="12477" spans="7:16" s="1634" customFormat="1">
      <c r="G12477" s="3336"/>
      <c r="P12477" s="3337"/>
    </row>
    <row r="12478" spans="7:16" s="1634" customFormat="1">
      <c r="G12478" s="3336"/>
      <c r="P12478" s="3337"/>
    </row>
    <row r="12479" spans="7:16" s="1634" customFormat="1">
      <c r="G12479" s="3336"/>
      <c r="P12479" s="3337"/>
    </row>
    <row r="12480" spans="7:16" s="1634" customFormat="1">
      <c r="G12480" s="3336"/>
      <c r="P12480" s="3337"/>
    </row>
    <row r="12481" spans="7:16" s="1634" customFormat="1">
      <c r="G12481" s="3336"/>
      <c r="P12481" s="3337"/>
    </row>
    <row r="12482" spans="7:16" s="1634" customFormat="1">
      <c r="G12482" s="3336"/>
      <c r="P12482" s="3337"/>
    </row>
    <row r="12483" spans="7:16" s="1634" customFormat="1">
      <c r="G12483" s="3336"/>
      <c r="P12483" s="3337"/>
    </row>
    <row r="12484" spans="7:16" s="1634" customFormat="1">
      <c r="G12484" s="3336"/>
      <c r="P12484" s="3337"/>
    </row>
    <row r="12485" spans="7:16" s="1634" customFormat="1">
      <c r="G12485" s="3336"/>
      <c r="P12485" s="3337"/>
    </row>
    <row r="12486" spans="7:16" s="1634" customFormat="1">
      <c r="G12486" s="3336"/>
      <c r="P12486" s="3337"/>
    </row>
    <row r="12487" spans="7:16" s="1634" customFormat="1">
      <c r="G12487" s="3336"/>
      <c r="P12487" s="3337"/>
    </row>
    <row r="12488" spans="7:16" s="1634" customFormat="1">
      <c r="G12488" s="3336"/>
      <c r="P12488" s="3337"/>
    </row>
    <row r="12489" spans="7:16" s="1634" customFormat="1">
      <c r="G12489" s="3336"/>
      <c r="P12489" s="3337"/>
    </row>
    <row r="12490" spans="7:16" s="1634" customFormat="1">
      <c r="G12490" s="3336"/>
      <c r="P12490" s="3337"/>
    </row>
    <row r="12491" spans="7:16" s="1634" customFormat="1">
      <c r="G12491" s="3336"/>
      <c r="P12491" s="3337"/>
    </row>
    <row r="12492" spans="7:16" s="1634" customFormat="1">
      <c r="G12492" s="3336"/>
      <c r="P12492" s="3337"/>
    </row>
    <row r="12493" spans="7:16" s="1634" customFormat="1">
      <c r="G12493" s="3336"/>
      <c r="P12493" s="3337"/>
    </row>
    <row r="12494" spans="7:16" s="1634" customFormat="1">
      <c r="G12494" s="3336"/>
      <c r="P12494" s="3337"/>
    </row>
    <row r="12495" spans="7:16" s="1634" customFormat="1">
      <c r="G12495" s="3336"/>
      <c r="P12495" s="3337"/>
    </row>
    <row r="12496" spans="7:16" s="1634" customFormat="1">
      <c r="G12496" s="3336"/>
      <c r="P12496" s="3337"/>
    </row>
    <row r="12497" spans="7:16" s="1634" customFormat="1">
      <c r="G12497" s="3336"/>
      <c r="P12497" s="3337"/>
    </row>
    <row r="12498" spans="7:16" s="1634" customFormat="1">
      <c r="G12498" s="3336"/>
      <c r="P12498" s="3337"/>
    </row>
    <row r="12499" spans="7:16" s="1634" customFormat="1">
      <c r="G12499" s="3336"/>
      <c r="P12499" s="3337"/>
    </row>
    <row r="12500" spans="7:16" s="1634" customFormat="1">
      <c r="G12500" s="3336"/>
      <c r="P12500" s="3337"/>
    </row>
    <row r="12501" spans="7:16" s="1634" customFormat="1">
      <c r="G12501" s="3336"/>
      <c r="P12501" s="3337"/>
    </row>
    <row r="12502" spans="7:16" s="1634" customFormat="1">
      <c r="G12502" s="3336"/>
      <c r="P12502" s="3337"/>
    </row>
    <row r="12503" spans="7:16" s="1634" customFormat="1">
      <c r="G12503" s="3336"/>
      <c r="P12503" s="3337"/>
    </row>
    <row r="12504" spans="7:16" s="1634" customFormat="1">
      <c r="G12504" s="3336"/>
      <c r="P12504" s="3337"/>
    </row>
    <row r="12505" spans="7:16" s="1634" customFormat="1">
      <c r="G12505" s="3336"/>
      <c r="P12505" s="3337"/>
    </row>
    <row r="12506" spans="7:16" s="1634" customFormat="1">
      <c r="G12506" s="3336"/>
      <c r="P12506" s="3337"/>
    </row>
    <row r="12507" spans="7:16" s="1634" customFormat="1">
      <c r="G12507" s="3336"/>
      <c r="P12507" s="3337"/>
    </row>
    <row r="12508" spans="7:16" s="1634" customFormat="1">
      <c r="G12508" s="3336"/>
      <c r="P12508" s="3337"/>
    </row>
    <row r="12509" spans="7:16" s="1634" customFormat="1">
      <c r="G12509" s="3336"/>
      <c r="P12509" s="3337"/>
    </row>
    <row r="12510" spans="7:16" s="1634" customFormat="1">
      <c r="G12510" s="3336"/>
      <c r="P12510" s="3337"/>
    </row>
    <row r="12511" spans="7:16" s="1634" customFormat="1">
      <c r="G12511" s="3336"/>
      <c r="P12511" s="3337"/>
    </row>
    <row r="12512" spans="7:16" s="1634" customFormat="1">
      <c r="G12512" s="3336"/>
      <c r="P12512" s="3337"/>
    </row>
    <row r="12513" spans="7:16" s="1634" customFormat="1">
      <c r="G12513" s="3336"/>
      <c r="P12513" s="3337"/>
    </row>
    <row r="12514" spans="7:16" s="1634" customFormat="1">
      <c r="G12514" s="3336"/>
      <c r="P12514" s="3337"/>
    </row>
    <row r="12515" spans="7:16" s="1634" customFormat="1">
      <c r="G12515" s="3336"/>
      <c r="P12515" s="3337"/>
    </row>
    <row r="12516" spans="7:16" s="1634" customFormat="1">
      <c r="G12516" s="3336"/>
      <c r="P12516" s="3337"/>
    </row>
    <row r="12517" spans="7:16" s="1634" customFormat="1">
      <c r="G12517" s="3336"/>
      <c r="P12517" s="3337"/>
    </row>
    <row r="12518" spans="7:16" s="1634" customFormat="1">
      <c r="G12518" s="3336"/>
      <c r="P12518" s="3337"/>
    </row>
    <row r="12519" spans="7:16" s="1634" customFormat="1">
      <c r="G12519" s="3336"/>
      <c r="P12519" s="3337"/>
    </row>
    <row r="12520" spans="7:16" s="1634" customFormat="1">
      <c r="G12520" s="3336"/>
      <c r="P12520" s="3337"/>
    </row>
    <row r="12521" spans="7:16" s="1634" customFormat="1">
      <c r="G12521" s="3336"/>
      <c r="P12521" s="3337"/>
    </row>
    <row r="12522" spans="7:16" s="1634" customFormat="1">
      <c r="G12522" s="3336"/>
      <c r="P12522" s="3337"/>
    </row>
    <row r="12523" spans="7:16" s="1634" customFormat="1">
      <c r="G12523" s="3336"/>
      <c r="P12523" s="3337"/>
    </row>
    <row r="12524" spans="7:16" s="1634" customFormat="1">
      <c r="G12524" s="3336"/>
      <c r="P12524" s="3337"/>
    </row>
    <row r="12525" spans="7:16" s="1634" customFormat="1">
      <c r="G12525" s="3336"/>
      <c r="P12525" s="3337"/>
    </row>
    <row r="12526" spans="7:16" s="1634" customFormat="1">
      <c r="G12526" s="3336"/>
      <c r="P12526" s="3337"/>
    </row>
    <row r="12527" spans="7:16" s="1634" customFormat="1">
      <c r="G12527" s="3336"/>
      <c r="P12527" s="3337"/>
    </row>
    <row r="12528" spans="7:16" s="1634" customFormat="1">
      <c r="G12528" s="3336"/>
      <c r="P12528" s="3337"/>
    </row>
    <row r="12529" spans="7:16" s="1634" customFormat="1">
      <c r="G12529" s="3336"/>
      <c r="P12529" s="3337"/>
    </row>
    <row r="12530" spans="7:16" s="1634" customFormat="1">
      <c r="G12530" s="3336"/>
      <c r="P12530" s="3337"/>
    </row>
    <row r="12531" spans="7:16" s="1634" customFormat="1">
      <c r="G12531" s="3336"/>
      <c r="P12531" s="3337"/>
    </row>
    <row r="12532" spans="7:16" s="1634" customFormat="1">
      <c r="G12532" s="3336"/>
      <c r="P12532" s="3337"/>
    </row>
    <row r="12533" spans="7:16" s="1634" customFormat="1">
      <c r="G12533" s="3336"/>
      <c r="P12533" s="3337"/>
    </row>
    <row r="12534" spans="7:16" s="1634" customFormat="1">
      <c r="G12534" s="3336"/>
      <c r="P12534" s="3337"/>
    </row>
    <row r="12535" spans="7:16" s="1634" customFormat="1">
      <c r="G12535" s="3336"/>
      <c r="P12535" s="3337"/>
    </row>
    <row r="12536" spans="7:16" s="1634" customFormat="1">
      <c r="G12536" s="3336"/>
      <c r="P12536" s="3337"/>
    </row>
    <row r="12537" spans="7:16" s="1634" customFormat="1">
      <c r="G12537" s="3336"/>
      <c r="P12537" s="3337"/>
    </row>
    <row r="12538" spans="7:16" s="1634" customFormat="1">
      <c r="G12538" s="3336"/>
      <c r="P12538" s="3337"/>
    </row>
    <row r="12539" spans="7:16" s="1634" customFormat="1">
      <c r="G12539" s="3336"/>
      <c r="P12539" s="3337"/>
    </row>
    <row r="12540" spans="7:16" s="1634" customFormat="1">
      <c r="G12540" s="3336"/>
      <c r="P12540" s="3337"/>
    </row>
    <row r="12541" spans="7:16" s="1634" customFormat="1">
      <c r="G12541" s="3336"/>
      <c r="P12541" s="3337"/>
    </row>
    <row r="12542" spans="7:16" s="1634" customFormat="1">
      <c r="G12542" s="3336"/>
      <c r="P12542" s="3337"/>
    </row>
    <row r="12543" spans="7:16" s="1634" customFormat="1">
      <c r="G12543" s="3336"/>
      <c r="P12543" s="3337"/>
    </row>
    <row r="12544" spans="7:16" s="1634" customFormat="1">
      <c r="G12544" s="3336"/>
      <c r="P12544" s="3337"/>
    </row>
    <row r="12545" spans="7:16" s="1634" customFormat="1">
      <c r="G12545" s="3336"/>
      <c r="P12545" s="3337"/>
    </row>
    <row r="12546" spans="7:16" s="1634" customFormat="1">
      <c r="G12546" s="3336"/>
      <c r="P12546" s="3337"/>
    </row>
    <row r="12547" spans="7:16" s="1634" customFormat="1">
      <c r="G12547" s="3336"/>
      <c r="P12547" s="3337"/>
    </row>
    <row r="12548" spans="7:16" s="1634" customFormat="1">
      <c r="G12548" s="3336"/>
      <c r="P12548" s="3337"/>
    </row>
    <row r="12549" spans="7:16" s="1634" customFormat="1">
      <c r="G12549" s="3336"/>
      <c r="P12549" s="3337"/>
    </row>
    <row r="12550" spans="7:16" s="1634" customFormat="1">
      <c r="G12550" s="3336"/>
      <c r="P12550" s="3337"/>
    </row>
    <row r="12551" spans="7:16" s="1634" customFormat="1">
      <c r="G12551" s="3336"/>
      <c r="P12551" s="3337"/>
    </row>
    <row r="12552" spans="7:16" s="1634" customFormat="1">
      <c r="G12552" s="3336"/>
      <c r="P12552" s="3337"/>
    </row>
    <row r="12553" spans="7:16" s="1634" customFormat="1">
      <c r="G12553" s="3336"/>
      <c r="P12553" s="3337"/>
    </row>
    <row r="12554" spans="7:16" s="1634" customFormat="1">
      <c r="G12554" s="3336"/>
      <c r="P12554" s="3337"/>
    </row>
    <row r="12555" spans="7:16" s="1634" customFormat="1">
      <c r="G12555" s="3336"/>
      <c r="P12555" s="3337"/>
    </row>
    <row r="12556" spans="7:16" s="1634" customFormat="1">
      <c r="G12556" s="3336"/>
      <c r="P12556" s="3337"/>
    </row>
    <row r="12557" spans="7:16" s="1634" customFormat="1">
      <c r="G12557" s="3336"/>
      <c r="P12557" s="3337"/>
    </row>
    <row r="12558" spans="7:16" s="1634" customFormat="1">
      <c r="G12558" s="3336"/>
      <c r="P12558" s="3337"/>
    </row>
    <row r="12559" spans="7:16" s="1634" customFormat="1">
      <c r="G12559" s="3336"/>
      <c r="P12559" s="3337"/>
    </row>
    <row r="12560" spans="7:16" s="1634" customFormat="1">
      <c r="G12560" s="3336"/>
      <c r="P12560" s="3337"/>
    </row>
    <row r="12561" spans="7:16" s="1634" customFormat="1">
      <c r="G12561" s="3336"/>
      <c r="P12561" s="3337"/>
    </row>
    <row r="12562" spans="7:16" s="1634" customFormat="1">
      <c r="G12562" s="3336"/>
      <c r="P12562" s="3337"/>
    </row>
    <row r="12563" spans="7:16" s="1634" customFormat="1">
      <c r="G12563" s="3336"/>
      <c r="P12563" s="3337"/>
    </row>
    <row r="12564" spans="7:16" s="1634" customFormat="1">
      <c r="G12564" s="3336"/>
      <c r="P12564" s="3337"/>
    </row>
    <row r="12565" spans="7:16" s="1634" customFormat="1">
      <c r="G12565" s="3336"/>
      <c r="P12565" s="3337"/>
    </row>
    <row r="12566" spans="7:16" s="1634" customFormat="1">
      <c r="G12566" s="3336"/>
      <c r="P12566" s="3337"/>
    </row>
    <row r="12567" spans="7:16" s="1634" customFormat="1">
      <c r="G12567" s="3336"/>
      <c r="P12567" s="3337"/>
    </row>
    <row r="12568" spans="7:16" s="1634" customFormat="1">
      <c r="G12568" s="3336"/>
      <c r="P12568" s="3337"/>
    </row>
    <row r="12569" spans="7:16" s="1634" customFormat="1">
      <c r="G12569" s="3336"/>
      <c r="P12569" s="3337"/>
    </row>
    <row r="12570" spans="7:16" s="1634" customFormat="1">
      <c r="G12570" s="3336"/>
      <c r="P12570" s="3337"/>
    </row>
    <row r="12571" spans="7:16" s="1634" customFormat="1">
      <c r="G12571" s="3336"/>
      <c r="P12571" s="3337"/>
    </row>
    <row r="12572" spans="7:16" s="1634" customFormat="1">
      <c r="G12572" s="3336"/>
      <c r="P12572" s="3337"/>
    </row>
    <row r="12573" spans="7:16" s="1634" customFormat="1">
      <c r="G12573" s="3336"/>
      <c r="P12573" s="3337"/>
    </row>
    <row r="12574" spans="7:16" s="1634" customFormat="1">
      <c r="G12574" s="3336"/>
      <c r="P12574" s="3337"/>
    </row>
    <row r="12575" spans="7:16" s="1634" customFormat="1">
      <c r="G12575" s="3336"/>
      <c r="P12575" s="3337"/>
    </row>
    <row r="12576" spans="7:16" s="1634" customFormat="1">
      <c r="G12576" s="3336"/>
      <c r="P12576" s="3337"/>
    </row>
    <row r="12577" spans="7:16" s="1634" customFormat="1">
      <c r="G12577" s="3336"/>
      <c r="P12577" s="3337"/>
    </row>
    <row r="12578" spans="7:16" s="1634" customFormat="1">
      <c r="G12578" s="3336"/>
      <c r="P12578" s="3337"/>
    </row>
    <row r="12579" spans="7:16" s="1634" customFormat="1">
      <c r="G12579" s="3336"/>
      <c r="P12579" s="3337"/>
    </row>
    <row r="12580" spans="7:16" s="1634" customFormat="1">
      <c r="G12580" s="3336"/>
      <c r="P12580" s="3337"/>
    </row>
    <row r="12581" spans="7:16" s="1634" customFormat="1">
      <c r="G12581" s="3336"/>
      <c r="P12581" s="3337"/>
    </row>
    <row r="12582" spans="7:16" s="1634" customFormat="1">
      <c r="G12582" s="3336"/>
      <c r="P12582" s="3337"/>
    </row>
    <row r="12583" spans="7:16" s="1634" customFormat="1">
      <c r="G12583" s="3336"/>
      <c r="P12583" s="3337"/>
    </row>
    <row r="12584" spans="7:16" s="1634" customFormat="1">
      <c r="G12584" s="3336"/>
      <c r="P12584" s="3337"/>
    </row>
    <row r="12585" spans="7:16" s="1634" customFormat="1">
      <c r="G12585" s="3336"/>
      <c r="P12585" s="3337"/>
    </row>
    <row r="12586" spans="7:16" s="1634" customFormat="1">
      <c r="G12586" s="3336"/>
      <c r="P12586" s="3337"/>
    </row>
    <row r="12587" spans="7:16" s="1634" customFormat="1">
      <c r="G12587" s="3336"/>
      <c r="P12587" s="3337"/>
    </row>
    <row r="12588" spans="7:16" s="1634" customFormat="1">
      <c r="G12588" s="3336"/>
      <c r="P12588" s="3337"/>
    </row>
    <row r="12589" spans="7:16" s="1634" customFormat="1">
      <c r="G12589" s="3336"/>
      <c r="P12589" s="3337"/>
    </row>
    <row r="12590" spans="7:16" s="1634" customFormat="1">
      <c r="G12590" s="3336"/>
      <c r="P12590" s="3337"/>
    </row>
    <row r="12591" spans="7:16" s="1634" customFormat="1">
      <c r="G12591" s="3336"/>
      <c r="P12591" s="3337"/>
    </row>
    <row r="12592" spans="7:16" s="1634" customFormat="1">
      <c r="G12592" s="3336"/>
      <c r="P12592" s="3337"/>
    </row>
    <row r="12593" spans="7:16" s="1634" customFormat="1">
      <c r="G12593" s="3336"/>
      <c r="P12593" s="3337"/>
    </row>
    <row r="12594" spans="7:16" s="1634" customFormat="1">
      <c r="G12594" s="3336"/>
      <c r="P12594" s="3337"/>
    </row>
    <row r="12595" spans="7:16" s="1634" customFormat="1">
      <c r="G12595" s="3336"/>
      <c r="P12595" s="3337"/>
    </row>
    <row r="12596" spans="7:16" s="1634" customFormat="1">
      <c r="G12596" s="3336"/>
      <c r="P12596" s="3337"/>
    </row>
    <row r="12597" spans="7:16" s="1634" customFormat="1">
      <c r="G12597" s="3336"/>
      <c r="P12597" s="3337"/>
    </row>
    <row r="12598" spans="7:16" s="1634" customFormat="1">
      <c r="G12598" s="3336"/>
      <c r="P12598" s="3337"/>
    </row>
    <row r="12599" spans="7:16" s="1634" customFormat="1">
      <c r="G12599" s="3336"/>
      <c r="P12599" s="3337"/>
    </row>
    <row r="12600" spans="7:16" s="1634" customFormat="1">
      <c r="G12600" s="3336"/>
      <c r="P12600" s="3337"/>
    </row>
    <row r="12601" spans="7:16" s="1634" customFormat="1">
      <c r="G12601" s="3336"/>
      <c r="P12601" s="3337"/>
    </row>
    <row r="12602" spans="7:16" s="1634" customFormat="1">
      <c r="G12602" s="3336"/>
      <c r="P12602" s="3337"/>
    </row>
    <row r="12603" spans="7:16" s="1634" customFormat="1">
      <c r="G12603" s="3336"/>
      <c r="P12603" s="3337"/>
    </row>
    <row r="12604" spans="7:16" s="1634" customFormat="1">
      <c r="G12604" s="3336"/>
      <c r="P12604" s="3337"/>
    </row>
    <row r="12605" spans="7:16" s="1634" customFormat="1">
      <c r="G12605" s="3336"/>
      <c r="P12605" s="3337"/>
    </row>
    <row r="12606" spans="7:16" s="1634" customFormat="1">
      <c r="G12606" s="3336"/>
      <c r="P12606" s="3337"/>
    </row>
    <row r="12607" spans="7:16" s="1634" customFormat="1">
      <c r="G12607" s="3336"/>
      <c r="P12607" s="3337"/>
    </row>
    <row r="12608" spans="7:16" s="1634" customFormat="1">
      <c r="G12608" s="3336"/>
      <c r="P12608" s="3337"/>
    </row>
    <row r="12609" spans="7:16" s="1634" customFormat="1">
      <c r="G12609" s="3336"/>
      <c r="P12609" s="3337"/>
    </row>
    <row r="12610" spans="7:16" s="1634" customFormat="1">
      <c r="G12610" s="3336"/>
      <c r="P12610" s="3337"/>
    </row>
    <row r="12611" spans="7:16" s="1634" customFormat="1">
      <c r="G12611" s="3336"/>
      <c r="P12611" s="3337"/>
    </row>
    <row r="12612" spans="7:16" s="1634" customFormat="1">
      <c r="G12612" s="3336"/>
      <c r="P12612" s="3337"/>
    </row>
    <row r="12613" spans="7:16" s="1634" customFormat="1">
      <c r="G12613" s="3336"/>
      <c r="P12613" s="3337"/>
    </row>
    <row r="12614" spans="7:16" s="1634" customFormat="1">
      <c r="G12614" s="3336"/>
      <c r="P12614" s="3337"/>
    </row>
    <row r="12615" spans="7:16" s="1634" customFormat="1">
      <c r="G12615" s="3336"/>
      <c r="P12615" s="3337"/>
    </row>
    <row r="12616" spans="7:16" s="1634" customFormat="1">
      <c r="G12616" s="3336"/>
      <c r="P12616" s="3337"/>
    </row>
    <row r="12617" spans="7:16" s="1634" customFormat="1">
      <c r="G12617" s="3336"/>
      <c r="P12617" s="3337"/>
    </row>
    <row r="12618" spans="7:16" s="1634" customFormat="1">
      <c r="G12618" s="3336"/>
      <c r="P12618" s="3337"/>
    </row>
    <row r="12619" spans="7:16" s="1634" customFormat="1">
      <c r="G12619" s="3336"/>
      <c r="P12619" s="3337"/>
    </row>
    <row r="12620" spans="7:16" s="1634" customFormat="1">
      <c r="G12620" s="3336"/>
      <c r="P12620" s="3337"/>
    </row>
    <row r="12621" spans="7:16" s="1634" customFormat="1">
      <c r="G12621" s="3336"/>
      <c r="P12621" s="3337"/>
    </row>
    <row r="12622" spans="7:16" s="1634" customFormat="1">
      <c r="G12622" s="3336"/>
      <c r="P12622" s="3337"/>
    </row>
    <row r="12623" spans="7:16" s="1634" customFormat="1">
      <c r="G12623" s="3336"/>
      <c r="P12623" s="3337"/>
    </row>
    <row r="12624" spans="7:16" s="1634" customFormat="1">
      <c r="G12624" s="3336"/>
      <c r="P12624" s="3337"/>
    </row>
    <row r="12625" spans="7:16" s="1634" customFormat="1">
      <c r="G12625" s="3336"/>
      <c r="P12625" s="3337"/>
    </row>
    <row r="12626" spans="7:16" s="1634" customFormat="1">
      <c r="G12626" s="3336"/>
      <c r="P12626" s="3337"/>
    </row>
    <row r="12627" spans="7:16" s="1634" customFormat="1">
      <c r="G12627" s="3336"/>
      <c r="P12627" s="3337"/>
    </row>
    <row r="12628" spans="7:16" s="1634" customFormat="1">
      <c r="G12628" s="3336"/>
      <c r="P12628" s="3337"/>
    </row>
    <row r="12629" spans="7:16" s="1634" customFormat="1">
      <c r="G12629" s="3336"/>
      <c r="P12629" s="3337"/>
    </row>
    <row r="12630" spans="7:16" s="1634" customFormat="1">
      <c r="G12630" s="3336"/>
      <c r="P12630" s="3337"/>
    </row>
    <row r="12631" spans="7:16" s="1634" customFormat="1">
      <c r="G12631" s="3336"/>
      <c r="P12631" s="3337"/>
    </row>
    <row r="12632" spans="7:16" s="1634" customFormat="1">
      <c r="G12632" s="3336"/>
      <c r="P12632" s="3337"/>
    </row>
    <row r="12633" spans="7:16" s="1634" customFormat="1">
      <c r="G12633" s="3336"/>
      <c r="P12633" s="3337"/>
    </row>
    <row r="12634" spans="7:16" s="1634" customFormat="1">
      <c r="G12634" s="3336"/>
      <c r="P12634" s="3337"/>
    </row>
    <row r="12635" spans="7:16" s="1634" customFormat="1">
      <c r="G12635" s="3336"/>
      <c r="P12635" s="3337"/>
    </row>
    <row r="12636" spans="7:16" s="1634" customFormat="1">
      <c r="G12636" s="3336"/>
      <c r="P12636" s="3337"/>
    </row>
    <row r="12637" spans="7:16" s="1634" customFormat="1">
      <c r="G12637" s="3336"/>
      <c r="P12637" s="3337"/>
    </row>
    <row r="12638" spans="7:16" s="1634" customFormat="1">
      <c r="G12638" s="3336"/>
      <c r="P12638" s="3337"/>
    </row>
    <row r="12639" spans="7:16" s="1634" customFormat="1">
      <c r="G12639" s="3336"/>
      <c r="P12639" s="3337"/>
    </row>
    <row r="12640" spans="7:16" s="1634" customFormat="1">
      <c r="G12640" s="3336"/>
      <c r="P12640" s="3337"/>
    </row>
    <row r="12641" spans="7:16" s="1634" customFormat="1">
      <c r="G12641" s="3336"/>
      <c r="P12641" s="3337"/>
    </row>
    <row r="12642" spans="7:16" s="1634" customFormat="1">
      <c r="G12642" s="3336"/>
      <c r="P12642" s="3337"/>
    </row>
    <row r="12643" spans="7:16" s="1634" customFormat="1">
      <c r="G12643" s="3336"/>
      <c r="P12643" s="3337"/>
    </row>
    <row r="12644" spans="7:16" s="1634" customFormat="1">
      <c r="G12644" s="3336"/>
      <c r="P12644" s="3337"/>
    </row>
    <row r="12645" spans="7:16" s="1634" customFormat="1">
      <c r="G12645" s="3336"/>
      <c r="P12645" s="3337"/>
    </row>
    <row r="12646" spans="7:16" s="1634" customFormat="1">
      <c r="G12646" s="3336"/>
      <c r="P12646" s="3337"/>
    </row>
    <row r="12647" spans="7:16" s="1634" customFormat="1">
      <c r="G12647" s="3336"/>
      <c r="P12647" s="3337"/>
    </row>
    <row r="12648" spans="7:16" s="1634" customFormat="1">
      <c r="G12648" s="3336"/>
      <c r="P12648" s="3337"/>
    </row>
    <row r="12649" spans="7:16" s="1634" customFormat="1">
      <c r="G12649" s="3336"/>
      <c r="P12649" s="3337"/>
    </row>
    <row r="12650" spans="7:16" s="1634" customFormat="1">
      <c r="G12650" s="3336"/>
      <c r="P12650" s="3337"/>
    </row>
    <row r="12651" spans="7:16" s="1634" customFormat="1">
      <c r="G12651" s="3336"/>
      <c r="P12651" s="3337"/>
    </row>
    <row r="12652" spans="7:16" s="1634" customFormat="1">
      <c r="G12652" s="3336"/>
      <c r="P12652" s="3337"/>
    </row>
    <row r="12653" spans="7:16" s="1634" customFormat="1">
      <c r="G12653" s="3336"/>
      <c r="P12653" s="3337"/>
    </row>
    <row r="12654" spans="7:16" s="1634" customFormat="1">
      <c r="G12654" s="3336"/>
      <c r="P12654" s="3337"/>
    </row>
    <row r="12655" spans="7:16" s="1634" customFormat="1">
      <c r="G12655" s="3336"/>
      <c r="P12655" s="3337"/>
    </row>
    <row r="12656" spans="7:16" s="1634" customFormat="1">
      <c r="G12656" s="3336"/>
      <c r="P12656" s="3337"/>
    </row>
    <row r="12657" spans="7:16" s="1634" customFormat="1">
      <c r="G12657" s="3336"/>
      <c r="P12657" s="3337"/>
    </row>
    <row r="12658" spans="7:16" s="1634" customFormat="1">
      <c r="G12658" s="3336"/>
      <c r="P12658" s="3337"/>
    </row>
    <row r="12659" spans="7:16" s="1634" customFormat="1">
      <c r="G12659" s="3336"/>
      <c r="P12659" s="3337"/>
    </row>
    <row r="12660" spans="7:16" s="1634" customFormat="1">
      <c r="G12660" s="3336"/>
      <c r="P12660" s="3337"/>
    </row>
    <row r="12661" spans="7:16" s="1634" customFormat="1">
      <c r="G12661" s="3336"/>
      <c r="P12661" s="3337"/>
    </row>
    <row r="12662" spans="7:16" s="1634" customFormat="1">
      <c r="G12662" s="3336"/>
      <c r="P12662" s="3337"/>
    </row>
    <row r="12663" spans="7:16" s="1634" customFormat="1">
      <c r="G12663" s="3336"/>
      <c r="P12663" s="3337"/>
    </row>
    <row r="12664" spans="7:16" s="1634" customFormat="1">
      <c r="G12664" s="3336"/>
      <c r="P12664" s="3337"/>
    </row>
    <row r="12665" spans="7:16" s="1634" customFormat="1">
      <c r="G12665" s="3336"/>
      <c r="P12665" s="3337"/>
    </row>
    <row r="12666" spans="7:16" s="1634" customFormat="1">
      <c r="G12666" s="3336"/>
      <c r="P12666" s="3337"/>
    </row>
    <row r="12667" spans="7:16" s="1634" customFormat="1">
      <c r="G12667" s="3336"/>
      <c r="P12667" s="3337"/>
    </row>
    <row r="12668" spans="7:16" s="1634" customFormat="1">
      <c r="G12668" s="3336"/>
      <c r="P12668" s="3337"/>
    </row>
    <row r="12669" spans="7:16" s="1634" customFormat="1">
      <c r="G12669" s="3336"/>
      <c r="P12669" s="3337"/>
    </row>
    <row r="12670" spans="7:16" s="1634" customFormat="1">
      <c r="G12670" s="3336"/>
      <c r="P12670" s="3337"/>
    </row>
    <row r="12671" spans="7:16" s="1634" customFormat="1">
      <c r="G12671" s="3336"/>
      <c r="P12671" s="3337"/>
    </row>
    <row r="12672" spans="7:16" s="1634" customFormat="1">
      <c r="G12672" s="3336"/>
      <c r="P12672" s="3337"/>
    </row>
    <row r="12673" spans="7:16" s="1634" customFormat="1">
      <c r="G12673" s="3336"/>
      <c r="P12673" s="3337"/>
    </row>
    <row r="12674" spans="7:16" s="1634" customFormat="1">
      <c r="G12674" s="3336"/>
      <c r="P12674" s="3337"/>
    </row>
    <row r="12675" spans="7:16" s="1634" customFormat="1">
      <c r="G12675" s="3336"/>
      <c r="P12675" s="3337"/>
    </row>
    <row r="12676" spans="7:16" s="1634" customFormat="1">
      <c r="G12676" s="3336"/>
      <c r="P12676" s="3337"/>
    </row>
    <row r="12677" spans="7:16" s="1634" customFormat="1">
      <c r="G12677" s="3336"/>
      <c r="P12677" s="3337"/>
    </row>
    <row r="12678" spans="7:16" s="1634" customFormat="1">
      <c r="G12678" s="3336"/>
      <c r="P12678" s="3337"/>
    </row>
    <row r="12679" spans="7:16" s="1634" customFormat="1">
      <c r="G12679" s="3336"/>
      <c r="P12679" s="3337"/>
    </row>
    <row r="12680" spans="7:16" s="1634" customFormat="1">
      <c r="G12680" s="3336"/>
      <c r="P12680" s="3337"/>
    </row>
    <row r="12681" spans="7:16" s="1634" customFormat="1">
      <c r="G12681" s="3336"/>
      <c r="P12681" s="3337"/>
    </row>
    <row r="12682" spans="7:16" s="1634" customFormat="1">
      <c r="G12682" s="3336"/>
      <c r="P12682" s="3337"/>
    </row>
    <row r="12683" spans="7:16" s="1634" customFormat="1">
      <c r="G12683" s="3336"/>
      <c r="P12683" s="3337"/>
    </row>
    <row r="12684" spans="7:16" s="1634" customFormat="1">
      <c r="G12684" s="3336"/>
      <c r="P12684" s="3337"/>
    </row>
    <row r="12685" spans="7:16" s="1634" customFormat="1">
      <c r="G12685" s="3336"/>
      <c r="P12685" s="3337"/>
    </row>
    <row r="12686" spans="7:16" s="1634" customFormat="1">
      <c r="G12686" s="3336"/>
      <c r="P12686" s="3337"/>
    </row>
    <row r="12687" spans="7:16" s="1634" customFormat="1">
      <c r="G12687" s="3336"/>
      <c r="P12687" s="3337"/>
    </row>
    <row r="12688" spans="7:16" s="1634" customFormat="1">
      <c r="G12688" s="3336"/>
      <c r="P12688" s="3337"/>
    </row>
    <row r="12689" spans="7:16" s="1634" customFormat="1">
      <c r="G12689" s="3336"/>
      <c r="P12689" s="3337"/>
    </row>
    <row r="12690" spans="7:16" s="1634" customFormat="1">
      <c r="G12690" s="3336"/>
      <c r="P12690" s="3337"/>
    </row>
    <row r="12691" spans="7:16" s="1634" customFormat="1">
      <c r="G12691" s="3336"/>
      <c r="P12691" s="3337"/>
    </row>
    <row r="12692" spans="7:16" s="1634" customFormat="1">
      <c r="G12692" s="3336"/>
      <c r="P12692" s="3337"/>
    </row>
    <row r="12693" spans="7:16" s="1634" customFormat="1">
      <c r="G12693" s="3336"/>
      <c r="P12693" s="3337"/>
    </row>
    <row r="12694" spans="7:16" s="1634" customFormat="1">
      <c r="G12694" s="3336"/>
      <c r="P12694" s="3337"/>
    </row>
    <row r="12695" spans="7:16" s="1634" customFormat="1">
      <c r="G12695" s="3336"/>
      <c r="P12695" s="3337"/>
    </row>
    <row r="12696" spans="7:16" s="1634" customFormat="1">
      <c r="G12696" s="3336"/>
      <c r="P12696" s="3337"/>
    </row>
    <row r="12697" spans="7:16" s="1634" customFormat="1">
      <c r="G12697" s="3336"/>
      <c r="P12697" s="3337"/>
    </row>
    <row r="12698" spans="7:16" s="1634" customFormat="1">
      <c r="G12698" s="3336"/>
      <c r="P12698" s="3337"/>
    </row>
    <row r="12699" spans="7:16" s="1634" customFormat="1">
      <c r="G12699" s="3336"/>
      <c r="P12699" s="3337"/>
    </row>
    <row r="12700" spans="7:16" s="1634" customFormat="1">
      <c r="G12700" s="3336"/>
      <c r="P12700" s="3337"/>
    </row>
    <row r="12701" spans="7:16" s="1634" customFormat="1">
      <c r="G12701" s="3336"/>
      <c r="P12701" s="3337"/>
    </row>
    <row r="12702" spans="7:16" s="1634" customFormat="1">
      <c r="G12702" s="3336"/>
      <c r="P12702" s="3337"/>
    </row>
    <row r="12703" spans="7:16" s="1634" customFormat="1">
      <c r="G12703" s="3336"/>
      <c r="P12703" s="3337"/>
    </row>
    <row r="12704" spans="7:16" s="1634" customFormat="1">
      <c r="G12704" s="3336"/>
      <c r="P12704" s="3337"/>
    </row>
    <row r="12705" spans="7:16" s="1634" customFormat="1">
      <c r="G12705" s="3336"/>
      <c r="P12705" s="3337"/>
    </row>
    <row r="12706" spans="7:16" s="1634" customFormat="1">
      <c r="G12706" s="3336"/>
      <c r="P12706" s="3337"/>
    </row>
    <row r="12707" spans="7:16" s="1634" customFormat="1">
      <c r="G12707" s="3336"/>
      <c r="P12707" s="3337"/>
    </row>
    <row r="12708" spans="7:16" s="1634" customFormat="1">
      <c r="G12708" s="3336"/>
      <c r="P12708" s="3337"/>
    </row>
    <row r="12709" spans="7:16" s="1634" customFormat="1">
      <c r="G12709" s="3336"/>
      <c r="P12709" s="3337"/>
    </row>
    <row r="12710" spans="7:16" s="1634" customFormat="1">
      <c r="G12710" s="3336"/>
      <c r="P12710" s="3337"/>
    </row>
    <row r="12711" spans="7:16" s="1634" customFormat="1">
      <c r="G12711" s="3336"/>
      <c r="P12711" s="3337"/>
    </row>
    <row r="12712" spans="7:16" s="1634" customFormat="1">
      <c r="G12712" s="3336"/>
      <c r="P12712" s="3337"/>
    </row>
    <row r="12713" spans="7:16" s="1634" customFormat="1">
      <c r="G12713" s="3336"/>
      <c r="P12713" s="3337"/>
    </row>
    <row r="12714" spans="7:16" s="1634" customFormat="1">
      <c r="G12714" s="3336"/>
      <c r="P12714" s="3337"/>
    </row>
    <row r="12715" spans="7:16" s="1634" customFormat="1">
      <c r="G12715" s="3336"/>
      <c r="P12715" s="3337"/>
    </row>
    <row r="12716" spans="7:16" s="1634" customFormat="1">
      <c r="G12716" s="3336"/>
      <c r="P12716" s="3337"/>
    </row>
    <row r="12717" spans="7:16" s="1634" customFormat="1">
      <c r="G12717" s="3336"/>
      <c r="P12717" s="3337"/>
    </row>
    <row r="12718" spans="7:16" s="1634" customFormat="1">
      <c r="G12718" s="3336"/>
      <c r="P12718" s="3337"/>
    </row>
    <row r="12719" spans="7:16" s="1634" customFormat="1">
      <c r="G12719" s="3336"/>
      <c r="P12719" s="3337"/>
    </row>
    <row r="12720" spans="7:16" s="1634" customFormat="1">
      <c r="G12720" s="3336"/>
      <c r="P12720" s="3337"/>
    </row>
    <row r="12721" spans="7:16" s="1634" customFormat="1">
      <c r="G12721" s="3336"/>
      <c r="P12721" s="3337"/>
    </row>
    <row r="12722" spans="7:16" s="1634" customFormat="1">
      <c r="G12722" s="3336"/>
      <c r="P12722" s="3337"/>
    </row>
    <row r="12723" spans="7:16" s="1634" customFormat="1">
      <c r="G12723" s="3336"/>
      <c r="P12723" s="3337"/>
    </row>
    <row r="12724" spans="7:16" s="1634" customFormat="1">
      <c r="G12724" s="3336"/>
      <c r="P12724" s="3337"/>
    </row>
    <row r="12725" spans="7:16" s="1634" customFormat="1">
      <c r="G12725" s="3336"/>
      <c r="P12725" s="3337"/>
    </row>
    <row r="12726" spans="7:16" s="1634" customFormat="1">
      <c r="G12726" s="3336"/>
      <c r="P12726" s="3337"/>
    </row>
    <row r="12727" spans="7:16" s="1634" customFormat="1">
      <c r="G12727" s="3336"/>
      <c r="P12727" s="3337"/>
    </row>
    <row r="12728" spans="7:16" s="1634" customFormat="1">
      <c r="G12728" s="3336"/>
      <c r="P12728" s="3337"/>
    </row>
    <row r="12729" spans="7:16" s="1634" customFormat="1">
      <c r="G12729" s="3336"/>
      <c r="P12729" s="3337"/>
    </row>
    <row r="12730" spans="7:16" s="1634" customFormat="1">
      <c r="G12730" s="3336"/>
      <c r="P12730" s="3337"/>
    </row>
    <row r="12731" spans="7:16" s="1634" customFormat="1">
      <c r="G12731" s="3336"/>
      <c r="P12731" s="3337"/>
    </row>
    <row r="12732" spans="7:16" s="1634" customFormat="1">
      <c r="G12732" s="3336"/>
      <c r="P12732" s="3337"/>
    </row>
    <row r="12733" spans="7:16" s="1634" customFormat="1">
      <c r="G12733" s="3336"/>
      <c r="P12733" s="3337"/>
    </row>
    <row r="12734" spans="7:16" s="1634" customFormat="1">
      <c r="G12734" s="3336"/>
      <c r="P12734" s="3337"/>
    </row>
    <row r="12735" spans="7:16" s="1634" customFormat="1">
      <c r="G12735" s="3336"/>
      <c r="P12735" s="3337"/>
    </row>
    <row r="12736" spans="7:16" s="1634" customFormat="1">
      <c r="G12736" s="3336"/>
      <c r="P12736" s="3337"/>
    </row>
    <row r="12737" spans="7:16" s="1634" customFormat="1">
      <c r="G12737" s="3336"/>
      <c r="P12737" s="3337"/>
    </row>
    <row r="12738" spans="7:16" s="1634" customFormat="1">
      <c r="G12738" s="3336"/>
      <c r="P12738" s="3337"/>
    </row>
    <row r="12739" spans="7:16" s="1634" customFormat="1">
      <c r="G12739" s="3336"/>
      <c r="P12739" s="3337"/>
    </row>
    <row r="12740" spans="7:16" s="1634" customFormat="1">
      <c r="G12740" s="3336"/>
      <c r="P12740" s="3337"/>
    </row>
    <row r="12741" spans="7:16" s="1634" customFormat="1">
      <c r="G12741" s="3336"/>
      <c r="P12741" s="3337"/>
    </row>
    <row r="12742" spans="7:16" s="1634" customFormat="1">
      <c r="G12742" s="3336"/>
      <c r="P12742" s="3337"/>
    </row>
    <row r="12743" spans="7:16" s="1634" customFormat="1">
      <c r="G12743" s="3336"/>
      <c r="P12743" s="3337"/>
    </row>
    <row r="12744" spans="7:16" s="1634" customFormat="1">
      <c r="G12744" s="3336"/>
      <c r="P12744" s="3337"/>
    </row>
    <row r="12745" spans="7:16" s="1634" customFormat="1">
      <c r="G12745" s="3336"/>
      <c r="P12745" s="3337"/>
    </row>
    <row r="12746" spans="7:16" s="1634" customFormat="1">
      <c r="G12746" s="3336"/>
      <c r="P12746" s="3337"/>
    </row>
    <row r="12747" spans="7:16" s="1634" customFormat="1">
      <c r="G12747" s="3336"/>
      <c r="P12747" s="3337"/>
    </row>
    <row r="12748" spans="7:16" s="1634" customFormat="1">
      <c r="G12748" s="3336"/>
      <c r="P12748" s="3337"/>
    </row>
    <row r="12749" spans="7:16" s="1634" customFormat="1">
      <c r="G12749" s="3336"/>
      <c r="P12749" s="3337"/>
    </row>
    <row r="12750" spans="7:16" s="1634" customFormat="1">
      <c r="G12750" s="3336"/>
      <c r="P12750" s="3337"/>
    </row>
    <row r="12751" spans="7:16" s="1634" customFormat="1">
      <c r="G12751" s="3336"/>
      <c r="P12751" s="3337"/>
    </row>
    <row r="12752" spans="7:16" s="1634" customFormat="1">
      <c r="G12752" s="3336"/>
      <c r="P12752" s="3337"/>
    </row>
    <row r="12753" spans="7:16" s="1634" customFormat="1">
      <c r="G12753" s="3336"/>
      <c r="P12753" s="3337"/>
    </row>
    <row r="12754" spans="7:16" s="1634" customFormat="1">
      <c r="G12754" s="3336"/>
      <c r="P12754" s="3337"/>
    </row>
    <row r="12755" spans="7:16" s="1634" customFormat="1">
      <c r="G12755" s="3336"/>
      <c r="P12755" s="3337"/>
    </row>
    <row r="12756" spans="7:16" s="1634" customFormat="1">
      <c r="G12756" s="3336"/>
      <c r="P12756" s="3337"/>
    </row>
    <row r="12757" spans="7:16" s="1634" customFormat="1">
      <c r="G12757" s="3336"/>
      <c r="P12757" s="3337"/>
    </row>
    <row r="12758" spans="7:16" s="1634" customFormat="1">
      <c r="G12758" s="3336"/>
      <c r="P12758" s="3337"/>
    </row>
    <row r="12759" spans="7:16" s="1634" customFormat="1">
      <c r="G12759" s="3336"/>
      <c r="P12759" s="3337"/>
    </row>
    <row r="12760" spans="7:16" s="1634" customFormat="1">
      <c r="G12760" s="3336"/>
      <c r="P12760" s="3337"/>
    </row>
    <row r="12761" spans="7:16" s="1634" customFormat="1">
      <c r="G12761" s="3336"/>
      <c r="P12761" s="3337"/>
    </row>
    <row r="12762" spans="7:16" s="1634" customFormat="1">
      <c r="G12762" s="3336"/>
      <c r="P12762" s="3337"/>
    </row>
    <row r="12763" spans="7:16" s="1634" customFormat="1">
      <c r="G12763" s="3336"/>
      <c r="P12763" s="3337"/>
    </row>
    <row r="12764" spans="7:16" s="1634" customFormat="1">
      <c r="G12764" s="3336"/>
      <c r="P12764" s="3337"/>
    </row>
    <row r="12765" spans="7:16" s="1634" customFormat="1">
      <c r="G12765" s="3336"/>
      <c r="P12765" s="3337"/>
    </row>
    <row r="12766" spans="7:16" s="1634" customFormat="1">
      <c r="G12766" s="3336"/>
      <c r="P12766" s="3337"/>
    </row>
    <row r="12767" spans="7:16" s="1634" customFormat="1">
      <c r="G12767" s="3336"/>
      <c r="P12767" s="3337"/>
    </row>
    <row r="12768" spans="7:16" s="1634" customFormat="1">
      <c r="G12768" s="3336"/>
      <c r="P12768" s="3337"/>
    </row>
    <row r="12769" spans="7:16" s="1634" customFormat="1">
      <c r="G12769" s="3336"/>
      <c r="P12769" s="3337"/>
    </row>
    <row r="12770" spans="7:16" s="1634" customFormat="1">
      <c r="G12770" s="3336"/>
      <c r="P12770" s="3337"/>
    </row>
    <row r="12771" spans="7:16" s="1634" customFormat="1">
      <c r="G12771" s="3336"/>
      <c r="P12771" s="3337"/>
    </row>
    <row r="12772" spans="7:16" s="1634" customFormat="1">
      <c r="G12772" s="3336"/>
      <c r="P12772" s="3337"/>
    </row>
    <row r="12773" spans="7:16" s="1634" customFormat="1">
      <c r="G12773" s="3336"/>
      <c r="P12773" s="3337"/>
    </row>
    <row r="12774" spans="7:16" s="1634" customFormat="1">
      <c r="G12774" s="3336"/>
      <c r="P12774" s="3337"/>
    </row>
    <row r="12775" spans="7:16" s="1634" customFormat="1">
      <c r="G12775" s="3336"/>
      <c r="P12775" s="3337"/>
    </row>
    <row r="12776" spans="7:16" s="1634" customFormat="1">
      <c r="G12776" s="3336"/>
      <c r="P12776" s="3337"/>
    </row>
    <row r="12777" spans="7:16" s="1634" customFormat="1">
      <c r="G12777" s="3336"/>
      <c r="P12777" s="3337"/>
    </row>
    <row r="12778" spans="7:16" s="1634" customFormat="1">
      <c r="G12778" s="3336"/>
      <c r="P12778" s="3337"/>
    </row>
    <row r="12779" spans="7:16" s="1634" customFormat="1">
      <c r="G12779" s="3336"/>
      <c r="P12779" s="3337"/>
    </row>
    <row r="12780" spans="7:16" s="1634" customFormat="1">
      <c r="G12780" s="3336"/>
      <c r="P12780" s="3337"/>
    </row>
    <row r="12781" spans="7:16" s="1634" customFormat="1">
      <c r="G12781" s="3336"/>
      <c r="P12781" s="3337"/>
    </row>
    <row r="12782" spans="7:16" s="1634" customFormat="1">
      <c r="G12782" s="3336"/>
      <c r="P12782" s="3337"/>
    </row>
    <row r="12783" spans="7:16" s="1634" customFormat="1">
      <c r="G12783" s="3336"/>
      <c r="P12783" s="3337"/>
    </row>
    <row r="12784" spans="7:16" s="1634" customFormat="1">
      <c r="G12784" s="3336"/>
      <c r="P12784" s="3337"/>
    </row>
    <row r="12785" spans="7:16" s="1634" customFormat="1">
      <c r="G12785" s="3336"/>
      <c r="P12785" s="3337"/>
    </row>
    <row r="12786" spans="7:16" s="1634" customFormat="1">
      <c r="G12786" s="3336"/>
      <c r="P12786" s="3337"/>
    </row>
    <row r="12787" spans="7:16" s="1634" customFormat="1">
      <c r="G12787" s="3336"/>
      <c r="P12787" s="3337"/>
    </row>
    <row r="12788" spans="7:16" s="1634" customFormat="1">
      <c r="G12788" s="3336"/>
      <c r="P12788" s="3337"/>
    </row>
    <row r="12789" spans="7:16" s="1634" customFormat="1">
      <c r="G12789" s="3336"/>
      <c r="P12789" s="3337"/>
    </row>
    <row r="12790" spans="7:16" s="1634" customFormat="1">
      <c r="G12790" s="3336"/>
      <c r="P12790" s="3337"/>
    </row>
    <row r="12791" spans="7:16" s="1634" customFormat="1">
      <c r="G12791" s="3336"/>
      <c r="P12791" s="3337"/>
    </row>
    <row r="12792" spans="7:16" s="1634" customFormat="1">
      <c r="G12792" s="3336"/>
      <c r="P12792" s="3337"/>
    </row>
    <row r="12793" spans="7:16" s="1634" customFormat="1">
      <c r="G12793" s="3336"/>
      <c r="P12793" s="3337"/>
    </row>
    <row r="12794" spans="7:16" s="1634" customFormat="1">
      <c r="G12794" s="3336"/>
      <c r="P12794" s="3337"/>
    </row>
    <row r="12795" spans="7:16" s="1634" customFormat="1">
      <c r="G12795" s="3336"/>
      <c r="P12795" s="3337"/>
    </row>
    <row r="12796" spans="7:16" s="1634" customFormat="1">
      <c r="G12796" s="3336"/>
      <c r="P12796" s="3337"/>
    </row>
    <row r="12797" spans="7:16" s="1634" customFormat="1">
      <c r="G12797" s="3336"/>
      <c r="P12797" s="3337"/>
    </row>
    <row r="12798" spans="7:16" s="1634" customFormat="1">
      <c r="G12798" s="3336"/>
      <c r="P12798" s="3337"/>
    </row>
    <row r="12799" spans="7:16" s="1634" customFormat="1">
      <c r="G12799" s="3336"/>
      <c r="P12799" s="3337"/>
    </row>
    <row r="12800" spans="7:16" s="1634" customFormat="1">
      <c r="G12800" s="3336"/>
      <c r="P12800" s="3337"/>
    </row>
    <row r="12801" spans="7:16" s="1634" customFormat="1">
      <c r="G12801" s="3336"/>
      <c r="P12801" s="3337"/>
    </row>
    <row r="12802" spans="7:16" s="1634" customFormat="1">
      <c r="G12802" s="3336"/>
      <c r="P12802" s="3337"/>
    </row>
    <row r="12803" spans="7:16" s="1634" customFormat="1">
      <c r="G12803" s="3336"/>
      <c r="P12803" s="3337"/>
    </row>
    <row r="12804" spans="7:16" s="1634" customFormat="1">
      <c r="G12804" s="3336"/>
      <c r="P12804" s="3337"/>
    </row>
    <row r="12805" spans="7:16" s="1634" customFormat="1">
      <c r="G12805" s="3336"/>
      <c r="P12805" s="3337"/>
    </row>
    <row r="12806" spans="7:16" s="1634" customFormat="1">
      <c r="G12806" s="3336"/>
      <c r="P12806" s="3337"/>
    </row>
    <row r="12807" spans="7:16" s="1634" customFormat="1">
      <c r="G12807" s="3336"/>
      <c r="P12807" s="3337"/>
    </row>
    <row r="12808" spans="7:16" s="1634" customFormat="1">
      <c r="G12808" s="3336"/>
      <c r="P12808" s="3337"/>
    </row>
    <row r="12809" spans="7:16" s="1634" customFormat="1">
      <c r="G12809" s="3336"/>
      <c r="P12809" s="3337"/>
    </row>
    <row r="12810" spans="7:16" s="1634" customFormat="1">
      <c r="G12810" s="3336"/>
      <c r="P12810" s="3337"/>
    </row>
    <row r="12811" spans="7:16" s="1634" customFormat="1">
      <c r="G12811" s="3336"/>
      <c r="P12811" s="3337"/>
    </row>
    <row r="12812" spans="7:16" s="1634" customFormat="1">
      <c r="G12812" s="3336"/>
      <c r="P12812" s="3337"/>
    </row>
    <row r="12813" spans="7:16" s="1634" customFormat="1">
      <c r="G12813" s="3336"/>
      <c r="P12813" s="3337"/>
    </row>
    <row r="12814" spans="7:16" s="1634" customFormat="1">
      <c r="G12814" s="3336"/>
      <c r="P12814" s="3337"/>
    </row>
    <row r="12815" spans="7:16" s="1634" customFormat="1">
      <c r="G12815" s="3336"/>
      <c r="P12815" s="3337"/>
    </row>
    <row r="12816" spans="7:16" s="1634" customFormat="1">
      <c r="G12816" s="3336"/>
      <c r="P12816" s="3337"/>
    </row>
    <row r="12817" spans="7:16" s="1634" customFormat="1">
      <c r="G12817" s="3336"/>
      <c r="P12817" s="3337"/>
    </row>
    <row r="12818" spans="7:16" s="1634" customFormat="1">
      <c r="G12818" s="3336"/>
      <c r="P12818" s="3337"/>
    </row>
    <row r="12819" spans="7:16" s="1634" customFormat="1">
      <c r="G12819" s="3336"/>
      <c r="P12819" s="3337"/>
    </row>
    <row r="12820" spans="7:16" s="1634" customFormat="1">
      <c r="G12820" s="3336"/>
      <c r="P12820" s="3337"/>
    </row>
    <row r="12821" spans="7:16" s="1634" customFormat="1">
      <c r="G12821" s="3336"/>
      <c r="P12821" s="3337"/>
    </row>
    <row r="12822" spans="7:16" s="1634" customFormat="1">
      <c r="G12822" s="3336"/>
      <c r="P12822" s="3337"/>
    </row>
    <row r="12823" spans="7:16" s="1634" customFormat="1">
      <c r="G12823" s="3336"/>
      <c r="P12823" s="3337"/>
    </row>
    <row r="12824" spans="7:16" s="1634" customFormat="1">
      <c r="G12824" s="3336"/>
      <c r="P12824" s="3337"/>
    </row>
    <row r="12825" spans="7:16" s="1634" customFormat="1">
      <c r="G12825" s="3336"/>
      <c r="P12825" s="3337"/>
    </row>
    <row r="12826" spans="7:16" s="1634" customFormat="1">
      <c r="G12826" s="3336"/>
      <c r="P12826" s="3337"/>
    </row>
    <row r="12827" spans="7:16" s="1634" customFormat="1">
      <c r="G12827" s="3336"/>
      <c r="P12827" s="3337"/>
    </row>
    <row r="12828" spans="7:16" s="1634" customFormat="1">
      <c r="G12828" s="3336"/>
      <c r="P12828" s="3337"/>
    </row>
    <row r="12829" spans="7:16" s="1634" customFormat="1">
      <c r="G12829" s="3336"/>
      <c r="P12829" s="3337"/>
    </row>
    <row r="12830" spans="7:16" s="1634" customFormat="1">
      <c r="G12830" s="3336"/>
      <c r="P12830" s="3337"/>
    </row>
    <row r="12831" spans="7:16" s="1634" customFormat="1">
      <c r="G12831" s="3336"/>
      <c r="P12831" s="3337"/>
    </row>
    <row r="12832" spans="7:16" s="1634" customFormat="1">
      <c r="G12832" s="3336"/>
      <c r="P12832" s="3337"/>
    </row>
    <row r="12833" spans="7:16" s="1634" customFormat="1">
      <c r="G12833" s="3336"/>
      <c r="P12833" s="3337"/>
    </row>
    <row r="12834" spans="7:16" s="1634" customFormat="1">
      <c r="G12834" s="3336"/>
      <c r="P12834" s="3337"/>
    </row>
    <row r="12835" spans="7:16" s="1634" customFormat="1">
      <c r="G12835" s="3336"/>
      <c r="P12835" s="3337"/>
    </row>
    <row r="12836" spans="7:16" s="1634" customFormat="1">
      <c r="G12836" s="3336"/>
      <c r="P12836" s="3337"/>
    </row>
    <row r="12837" spans="7:16" s="1634" customFormat="1">
      <c r="G12837" s="3336"/>
      <c r="P12837" s="3337"/>
    </row>
    <row r="12838" spans="7:16" s="1634" customFormat="1">
      <c r="G12838" s="3336"/>
      <c r="P12838" s="3337"/>
    </row>
    <row r="12839" spans="7:16" s="1634" customFormat="1">
      <c r="G12839" s="3336"/>
      <c r="P12839" s="3337"/>
    </row>
    <row r="12840" spans="7:16" s="1634" customFormat="1">
      <c r="G12840" s="3336"/>
      <c r="P12840" s="3337"/>
    </row>
    <row r="12841" spans="7:16" s="1634" customFormat="1">
      <c r="G12841" s="3336"/>
      <c r="P12841" s="3337"/>
    </row>
    <row r="12842" spans="7:16" s="1634" customFormat="1">
      <c r="G12842" s="3336"/>
      <c r="P12842" s="3337"/>
    </row>
    <row r="12843" spans="7:16" s="1634" customFormat="1">
      <c r="G12843" s="3336"/>
      <c r="P12843" s="3337"/>
    </row>
    <row r="12844" spans="7:16" s="1634" customFormat="1">
      <c r="G12844" s="3336"/>
      <c r="P12844" s="3337"/>
    </row>
    <row r="12845" spans="7:16" s="1634" customFormat="1">
      <c r="G12845" s="3336"/>
      <c r="P12845" s="3337"/>
    </row>
    <row r="12846" spans="7:16" s="1634" customFormat="1">
      <c r="G12846" s="3336"/>
      <c r="P12846" s="3337"/>
    </row>
    <row r="12847" spans="7:16" s="1634" customFormat="1">
      <c r="G12847" s="3336"/>
      <c r="P12847" s="3337"/>
    </row>
    <row r="12848" spans="7:16" s="1634" customFormat="1">
      <c r="G12848" s="3336"/>
      <c r="P12848" s="3337"/>
    </row>
    <row r="12849" spans="7:16" s="1634" customFormat="1">
      <c r="G12849" s="3336"/>
      <c r="P12849" s="3337"/>
    </row>
    <row r="12850" spans="7:16" s="1634" customFormat="1">
      <c r="G12850" s="3336"/>
      <c r="P12850" s="3337"/>
    </row>
    <row r="12851" spans="7:16" s="1634" customFormat="1">
      <c r="G12851" s="3336"/>
      <c r="P12851" s="3337"/>
    </row>
    <row r="12852" spans="7:16" s="1634" customFormat="1">
      <c r="G12852" s="3336"/>
      <c r="P12852" s="3337"/>
    </row>
    <row r="12853" spans="7:16" s="1634" customFormat="1">
      <c r="G12853" s="3336"/>
      <c r="P12853" s="3337"/>
    </row>
    <row r="12854" spans="7:16" s="1634" customFormat="1">
      <c r="G12854" s="3336"/>
      <c r="P12854" s="3337"/>
    </row>
    <row r="12855" spans="7:16" s="1634" customFormat="1">
      <c r="G12855" s="3336"/>
      <c r="P12855" s="3337"/>
    </row>
    <row r="12856" spans="7:16" s="1634" customFormat="1">
      <c r="G12856" s="3336"/>
      <c r="P12856" s="3337"/>
    </row>
    <row r="12857" spans="7:16" s="1634" customFormat="1">
      <c r="G12857" s="3336"/>
      <c r="P12857" s="3337"/>
    </row>
    <row r="12858" spans="7:16" s="1634" customFormat="1">
      <c r="G12858" s="3336"/>
      <c r="P12858" s="3337"/>
    </row>
    <row r="12859" spans="7:16" s="1634" customFormat="1">
      <c r="G12859" s="3336"/>
      <c r="P12859" s="3337"/>
    </row>
    <row r="12860" spans="7:16" s="1634" customFormat="1">
      <c r="G12860" s="3336"/>
      <c r="P12860" s="3337"/>
    </row>
    <row r="12861" spans="7:16" s="1634" customFormat="1">
      <c r="G12861" s="3336"/>
      <c r="P12861" s="3337"/>
    </row>
    <row r="12862" spans="7:16" s="1634" customFormat="1">
      <c r="G12862" s="3336"/>
      <c r="P12862" s="3337"/>
    </row>
    <row r="12863" spans="7:16" s="1634" customFormat="1">
      <c r="G12863" s="3336"/>
      <c r="P12863" s="3337"/>
    </row>
    <row r="12864" spans="7:16" s="1634" customFormat="1">
      <c r="G12864" s="3336"/>
      <c r="P12864" s="3337"/>
    </row>
    <row r="12865" spans="7:16" s="1634" customFormat="1">
      <c r="G12865" s="3336"/>
      <c r="P12865" s="3337"/>
    </row>
    <row r="12866" spans="7:16" s="1634" customFormat="1">
      <c r="G12866" s="3336"/>
      <c r="P12866" s="3337"/>
    </row>
    <row r="12867" spans="7:16" s="1634" customFormat="1">
      <c r="G12867" s="3336"/>
      <c r="P12867" s="3337"/>
    </row>
    <row r="12868" spans="7:16" s="1634" customFormat="1">
      <c r="G12868" s="3336"/>
      <c r="P12868" s="3337"/>
    </row>
    <row r="12869" spans="7:16" s="1634" customFormat="1">
      <c r="G12869" s="3336"/>
      <c r="P12869" s="3337"/>
    </row>
    <row r="12870" spans="7:16" s="1634" customFormat="1">
      <c r="G12870" s="3336"/>
      <c r="P12870" s="3337"/>
    </row>
    <row r="12871" spans="7:16" s="1634" customFormat="1">
      <c r="G12871" s="3336"/>
      <c r="P12871" s="3337"/>
    </row>
    <row r="12872" spans="7:16" s="1634" customFormat="1">
      <c r="G12872" s="3336"/>
      <c r="P12872" s="3337"/>
    </row>
    <row r="12873" spans="7:16" s="1634" customFormat="1">
      <c r="G12873" s="3336"/>
      <c r="P12873" s="3337"/>
    </row>
    <row r="12874" spans="7:16" s="1634" customFormat="1">
      <c r="G12874" s="3336"/>
      <c r="P12874" s="3337"/>
    </row>
    <row r="12875" spans="7:16" s="1634" customFormat="1">
      <c r="G12875" s="3336"/>
      <c r="P12875" s="3337"/>
    </row>
    <row r="12876" spans="7:16" s="1634" customFormat="1">
      <c r="G12876" s="3336"/>
      <c r="P12876" s="3337"/>
    </row>
    <row r="12877" spans="7:16" s="1634" customFormat="1">
      <c r="G12877" s="3336"/>
      <c r="P12877" s="3337"/>
    </row>
    <row r="12878" spans="7:16" s="1634" customFormat="1">
      <c r="G12878" s="3336"/>
      <c r="P12878" s="3337"/>
    </row>
    <row r="12879" spans="7:16" s="1634" customFormat="1">
      <c r="G12879" s="3336"/>
      <c r="P12879" s="3337"/>
    </row>
    <row r="12880" spans="7:16" s="1634" customFormat="1">
      <c r="G12880" s="3336"/>
      <c r="P12880" s="3337"/>
    </row>
    <row r="12881" spans="7:16" s="1634" customFormat="1">
      <c r="G12881" s="3336"/>
      <c r="P12881" s="3337"/>
    </row>
    <row r="12882" spans="7:16" s="1634" customFormat="1">
      <c r="G12882" s="3336"/>
      <c r="P12882" s="3337"/>
    </row>
    <row r="12883" spans="7:16" s="1634" customFormat="1">
      <c r="G12883" s="3336"/>
      <c r="P12883" s="3337"/>
    </row>
    <row r="12884" spans="7:16" s="1634" customFormat="1">
      <c r="G12884" s="3336"/>
      <c r="P12884" s="3337"/>
    </row>
    <row r="12885" spans="7:16" s="1634" customFormat="1">
      <c r="G12885" s="3336"/>
      <c r="P12885" s="3337"/>
    </row>
    <row r="12886" spans="7:16" s="1634" customFormat="1">
      <c r="G12886" s="3336"/>
      <c r="P12886" s="3337"/>
    </row>
    <row r="12887" spans="7:16" s="1634" customFormat="1">
      <c r="G12887" s="3336"/>
      <c r="P12887" s="3337"/>
    </row>
    <row r="12888" spans="7:16" s="1634" customFormat="1">
      <c r="G12888" s="3336"/>
      <c r="P12888" s="3337"/>
    </row>
    <row r="12889" spans="7:16" s="1634" customFormat="1">
      <c r="G12889" s="3336"/>
      <c r="P12889" s="3337"/>
    </row>
    <row r="12890" spans="7:16" s="1634" customFormat="1">
      <c r="G12890" s="3336"/>
      <c r="P12890" s="3337"/>
    </row>
    <row r="12891" spans="7:16" s="1634" customFormat="1">
      <c r="G12891" s="3336"/>
      <c r="P12891" s="3337"/>
    </row>
    <row r="12892" spans="7:16" s="1634" customFormat="1">
      <c r="G12892" s="3336"/>
      <c r="P12892" s="3337"/>
    </row>
    <row r="12893" spans="7:16" s="1634" customFormat="1">
      <c r="G12893" s="3336"/>
      <c r="P12893" s="3337"/>
    </row>
    <row r="12894" spans="7:16" s="1634" customFormat="1">
      <c r="G12894" s="3336"/>
      <c r="P12894" s="3337"/>
    </row>
    <row r="12895" spans="7:16" s="1634" customFormat="1">
      <c r="G12895" s="3336"/>
      <c r="P12895" s="3337"/>
    </row>
    <row r="12896" spans="7:16" s="1634" customFormat="1">
      <c r="G12896" s="3336"/>
      <c r="P12896" s="3337"/>
    </row>
    <row r="12897" spans="7:16" s="1634" customFormat="1">
      <c r="G12897" s="3336"/>
      <c r="P12897" s="3337"/>
    </row>
    <row r="12898" spans="7:16" s="1634" customFormat="1">
      <c r="G12898" s="3336"/>
      <c r="P12898" s="3337"/>
    </row>
    <row r="12899" spans="7:16" s="1634" customFormat="1">
      <c r="G12899" s="3336"/>
      <c r="P12899" s="3337"/>
    </row>
    <row r="12900" spans="7:16" s="1634" customFormat="1">
      <c r="G12900" s="3336"/>
      <c r="P12900" s="3337"/>
    </row>
    <row r="12901" spans="7:16" s="1634" customFormat="1">
      <c r="G12901" s="3336"/>
      <c r="P12901" s="3337"/>
    </row>
    <row r="12902" spans="7:16" s="1634" customFormat="1">
      <c r="G12902" s="3336"/>
      <c r="P12902" s="3337"/>
    </row>
    <row r="12903" spans="7:16" s="1634" customFormat="1">
      <c r="G12903" s="3336"/>
      <c r="P12903" s="3337"/>
    </row>
    <row r="12904" spans="7:16" s="1634" customFormat="1">
      <c r="G12904" s="3336"/>
      <c r="P12904" s="3337"/>
    </row>
    <row r="12905" spans="7:16" s="1634" customFormat="1">
      <c r="G12905" s="3336"/>
      <c r="P12905" s="3337"/>
    </row>
    <row r="12906" spans="7:16" s="1634" customFormat="1">
      <c r="G12906" s="3336"/>
      <c r="P12906" s="3337"/>
    </row>
    <row r="12907" spans="7:16" s="1634" customFormat="1">
      <c r="G12907" s="3336"/>
      <c r="P12907" s="3337"/>
    </row>
    <row r="12908" spans="7:16" s="1634" customFormat="1">
      <c r="G12908" s="3336"/>
      <c r="P12908" s="3337"/>
    </row>
    <row r="12909" spans="7:16" s="1634" customFormat="1">
      <c r="G12909" s="3336"/>
      <c r="P12909" s="3337"/>
    </row>
    <row r="12910" spans="7:16" s="1634" customFormat="1">
      <c r="G12910" s="3336"/>
      <c r="P12910" s="3337"/>
    </row>
    <row r="12911" spans="7:16" s="1634" customFormat="1">
      <c r="G12911" s="3336"/>
      <c r="P12911" s="3337"/>
    </row>
    <row r="12912" spans="7:16" s="1634" customFormat="1">
      <c r="G12912" s="3336"/>
      <c r="P12912" s="3337"/>
    </row>
    <row r="12913" spans="7:16" s="1634" customFormat="1">
      <c r="G12913" s="3336"/>
      <c r="P12913" s="3337"/>
    </row>
    <row r="12914" spans="7:16" s="1634" customFormat="1">
      <c r="G12914" s="3336"/>
      <c r="P12914" s="3337"/>
    </row>
    <row r="12915" spans="7:16" s="1634" customFormat="1">
      <c r="G12915" s="3336"/>
      <c r="P12915" s="3337"/>
    </row>
    <row r="12916" spans="7:16" s="1634" customFormat="1">
      <c r="G12916" s="3336"/>
      <c r="P12916" s="3337"/>
    </row>
    <row r="12917" spans="7:16" s="1634" customFormat="1">
      <c r="G12917" s="3336"/>
      <c r="P12917" s="3337"/>
    </row>
    <row r="12918" spans="7:16" s="1634" customFormat="1">
      <c r="G12918" s="3336"/>
      <c r="P12918" s="3337"/>
    </row>
    <row r="12919" spans="7:16" s="1634" customFormat="1">
      <c r="G12919" s="3336"/>
      <c r="P12919" s="3337"/>
    </row>
    <row r="12920" spans="7:16" s="1634" customFormat="1">
      <c r="G12920" s="3336"/>
      <c r="P12920" s="3337"/>
    </row>
    <row r="12921" spans="7:16" s="1634" customFormat="1">
      <c r="G12921" s="3336"/>
      <c r="P12921" s="3337"/>
    </row>
    <row r="12922" spans="7:16" s="1634" customFormat="1">
      <c r="G12922" s="3336"/>
      <c r="P12922" s="3337"/>
    </row>
    <row r="12923" spans="7:16" s="1634" customFormat="1">
      <c r="G12923" s="3336"/>
      <c r="P12923" s="3337"/>
    </row>
    <row r="12924" spans="7:16" s="1634" customFormat="1">
      <c r="G12924" s="3336"/>
      <c r="P12924" s="3337"/>
    </row>
    <row r="12925" spans="7:16" s="1634" customFormat="1">
      <c r="G12925" s="3336"/>
      <c r="P12925" s="3337"/>
    </row>
    <row r="12926" spans="7:16" s="1634" customFormat="1">
      <c r="G12926" s="3336"/>
      <c r="P12926" s="3337"/>
    </row>
    <row r="12927" spans="7:16" s="1634" customFormat="1">
      <c r="G12927" s="3336"/>
      <c r="P12927" s="3337"/>
    </row>
    <row r="12928" spans="7:16" s="1634" customFormat="1">
      <c r="G12928" s="3336"/>
      <c r="P12928" s="3337"/>
    </row>
    <row r="12929" spans="7:16" s="1634" customFormat="1">
      <c r="G12929" s="3336"/>
      <c r="P12929" s="3337"/>
    </row>
    <row r="12930" spans="7:16" s="1634" customFormat="1">
      <c r="G12930" s="3336"/>
      <c r="P12930" s="3337"/>
    </row>
    <row r="12931" spans="7:16" s="1634" customFormat="1">
      <c r="G12931" s="3336"/>
      <c r="P12931" s="3337"/>
    </row>
    <row r="12932" spans="7:16" s="1634" customFormat="1">
      <c r="G12932" s="3336"/>
      <c r="P12932" s="3337"/>
    </row>
    <row r="12933" spans="7:16" s="1634" customFormat="1">
      <c r="G12933" s="3336"/>
      <c r="P12933" s="3337"/>
    </row>
    <row r="12934" spans="7:16" s="1634" customFormat="1">
      <c r="G12934" s="3336"/>
      <c r="P12934" s="3337"/>
    </row>
    <row r="12935" spans="7:16" s="1634" customFormat="1">
      <c r="G12935" s="3336"/>
      <c r="P12935" s="3337"/>
    </row>
    <row r="12936" spans="7:16" s="1634" customFormat="1">
      <c r="G12936" s="3336"/>
      <c r="P12936" s="3337"/>
    </row>
    <row r="12937" spans="7:16" s="1634" customFormat="1">
      <c r="G12937" s="3336"/>
      <c r="P12937" s="3337"/>
    </row>
    <row r="12938" spans="7:16" s="1634" customFormat="1">
      <c r="G12938" s="3336"/>
      <c r="P12938" s="3337"/>
    </row>
    <row r="12939" spans="7:16" s="1634" customFormat="1">
      <c r="G12939" s="3336"/>
      <c r="P12939" s="3337"/>
    </row>
    <row r="12940" spans="7:16" s="1634" customFormat="1">
      <c r="G12940" s="3336"/>
      <c r="P12940" s="3337"/>
    </row>
    <row r="12941" spans="7:16" s="1634" customFormat="1">
      <c r="G12941" s="3336"/>
      <c r="P12941" s="3337"/>
    </row>
    <row r="12942" spans="7:16" s="1634" customFormat="1">
      <c r="G12942" s="3336"/>
      <c r="P12942" s="3337"/>
    </row>
    <row r="12943" spans="7:16" s="1634" customFormat="1">
      <c r="G12943" s="3336"/>
      <c r="P12943" s="3337"/>
    </row>
    <row r="12944" spans="7:16" s="1634" customFormat="1">
      <c r="G12944" s="3336"/>
      <c r="P12944" s="3337"/>
    </row>
    <row r="12945" spans="7:16" s="1634" customFormat="1">
      <c r="G12945" s="3336"/>
      <c r="P12945" s="3337"/>
    </row>
    <row r="12946" spans="7:16" s="1634" customFormat="1">
      <c r="G12946" s="3336"/>
      <c r="P12946" s="3337"/>
    </row>
    <row r="12947" spans="7:16" s="1634" customFormat="1">
      <c r="G12947" s="3336"/>
      <c r="P12947" s="3337"/>
    </row>
    <row r="12948" spans="7:16" s="1634" customFormat="1">
      <c r="G12948" s="3336"/>
      <c r="P12948" s="3337"/>
    </row>
    <row r="12949" spans="7:16" s="1634" customFormat="1">
      <c r="G12949" s="3336"/>
      <c r="P12949" s="3337"/>
    </row>
    <row r="12950" spans="7:16" s="1634" customFormat="1">
      <c r="G12950" s="3336"/>
      <c r="P12950" s="3337"/>
    </row>
    <row r="12951" spans="7:16" s="1634" customFormat="1">
      <c r="G12951" s="3336"/>
      <c r="P12951" s="3337"/>
    </row>
    <row r="12952" spans="7:16" s="1634" customFormat="1">
      <c r="G12952" s="3336"/>
      <c r="P12952" s="3337"/>
    </row>
    <row r="12953" spans="7:16" s="1634" customFormat="1">
      <c r="G12953" s="3336"/>
      <c r="P12953" s="3337"/>
    </row>
    <row r="12954" spans="7:16" s="1634" customFormat="1">
      <c r="G12954" s="3336"/>
      <c r="P12954" s="3337"/>
    </row>
    <row r="12955" spans="7:16" s="1634" customFormat="1">
      <c r="G12955" s="3336"/>
      <c r="P12955" s="3337"/>
    </row>
    <row r="12956" spans="7:16" s="1634" customFormat="1">
      <c r="G12956" s="3336"/>
      <c r="P12956" s="3337"/>
    </row>
    <row r="12957" spans="7:16" s="1634" customFormat="1">
      <c r="G12957" s="3336"/>
      <c r="P12957" s="3337"/>
    </row>
    <row r="12958" spans="7:16" s="1634" customFormat="1">
      <c r="G12958" s="3336"/>
      <c r="P12958" s="3337"/>
    </row>
    <row r="12959" spans="7:16" s="1634" customFormat="1">
      <c r="G12959" s="3336"/>
      <c r="P12959" s="3337"/>
    </row>
    <row r="12960" spans="7:16" s="1634" customFormat="1">
      <c r="G12960" s="3336"/>
      <c r="P12960" s="3337"/>
    </row>
    <row r="12961" spans="7:16" s="1634" customFormat="1">
      <c r="G12961" s="3336"/>
      <c r="P12961" s="3337"/>
    </row>
    <row r="12962" spans="7:16" s="1634" customFormat="1">
      <c r="G12962" s="3336"/>
      <c r="P12962" s="3337"/>
    </row>
    <row r="12963" spans="7:16" s="1634" customFormat="1">
      <c r="G12963" s="3336"/>
      <c r="P12963" s="3337"/>
    </row>
    <row r="12964" spans="7:16" s="1634" customFormat="1">
      <c r="G12964" s="3336"/>
      <c r="P12964" s="3337"/>
    </row>
    <row r="12965" spans="7:16" s="1634" customFormat="1">
      <c r="G12965" s="3336"/>
      <c r="P12965" s="3337"/>
    </row>
    <row r="12966" spans="7:16" s="1634" customFormat="1">
      <c r="G12966" s="3336"/>
      <c r="P12966" s="3337"/>
    </row>
    <row r="12967" spans="7:16" s="1634" customFormat="1">
      <c r="G12967" s="3336"/>
      <c r="P12967" s="3337"/>
    </row>
    <row r="12968" spans="7:16" s="1634" customFormat="1">
      <c r="G12968" s="3336"/>
      <c r="P12968" s="3337"/>
    </row>
    <row r="12969" spans="7:16" s="1634" customFormat="1">
      <c r="G12969" s="3336"/>
      <c r="P12969" s="3337"/>
    </row>
    <row r="12970" spans="7:16" s="1634" customFormat="1">
      <c r="G12970" s="3336"/>
      <c r="P12970" s="3337"/>
    </row>
    <row r="12971" spans="7:16" s="1634" customFormat="1">
      <c r="G12971" s="3336"/>
      <c r="P12971" s="3337"/>
    </row>
    <row r="12972" spans="7:16" s="1634" customFormat="1">
      <c r="G12972" s="3336"/>
      <c r="P12972" s="3337"/>
    </row>
    <row r="12973" spans="7:16" s="1634" customFormat="1">
      <c r="G12973" s="3336"/>
      <c r="P12973" s="3337"/>
    </row>
    <row r="12974" spans="7:16" s="1634" customFormat="1">
      <c r="G12974" s="3336"/>
      <c r="P12974" s="3337"/>
    </row>
    <row r="12975" spans="7:16" s="1634" customFormat="1">
      <c r="G12975" s="3336"/>
      <c r="P12975" s="3337"/>
    </row>
    <row r="12976" spans="7:16" s="1634" customFormat="1">
      <c r="G12976" s="3336"/>
      <c r="P12976" s="3337"/>
    </row>
    <row r="12977" spans="7:16" s="1634" customFormat="1">
      <c r="G12977" s="3336"/>
      <c r="P12977" s="3337"/>
    </row>
    <row r="12978" spans="7:16" s="1634" customFormat="1">
      <c r="G12978" s="3336"/>
      <c r="P12978" s="3337"/>
    </row>
    <row r="12979" spans="7:16" s="1634" customFormat="1">
      <c r="G12979" s="3336"/>
      <c r="P12979" s="3337"/>
    </row>
    <row r="12980" spans="7:16" s="1634" customFormat="1">
      <c r="G12980" s="3336"/>
      <c r="P12980" s="3337"/>
    </row>
    <row r="12981" spans="7:16" s="1634" customFormat="1">
      <c r="G12981" s="3336"/>
      <c r="P12981" s="3337"/>
    </row>
    <row r="12982" spans="7:16" s="1634" customFormat="1">
      <c r="G12982" s="3336"/>
      <c r="P12982" s="3337"/>
    </row>
    <row r="12983" spans="7:16" s="1634" customFormat="1">
      <c r="G12983" s="3336"/>
      <c r="P12983" s="3337"/>
    </row>
    <row r="12984" spans="7:16" s="1634" customFormat="1">
      <c r="G12984" s="3336"/>
      <c r="P12984" s="3337"/>
    </row>
    <row r="12985" spans="7:16" s="1634" customFormat="1">
      <c r="G12985" s="3336"/>
      <c r="P12985" s="3337"/>
    </row>
    <row r="12986" spans="7:16" s="1634" customFormat="1">
      <c r="G12986" s="3336"/>
      <c r="P12986" s="3337"/>
    </row>
    <row r="12987" spans="7:16" s="1634" customFormat="1">
      <c r="G12987" s="3336"/>
      <c r="P12987" s="3337"/>
    </row>
    <row r="12988" spans="7:16" s="1634" customFormat="1">
      <c r="G12988" s="3336"/>
      <c r="P12988" s="3337"/>
    </row>
    <row r="12989" spans="7:16" s="1634" customFormat="1">
      <c r="G12989" s="3336"/>
      <c r="P12989" s="3337"/>
    </row>
    <row r="12990" spans="7:16" s="1634" customFormat="1">
      <c r="G12990" s="3336"/>
      <c r="P12990" s="3337"/>
    </row>
    <row r="12991" spans="7:16" s="1634" customFormat="1">
      <c r="G12991" s="3336"/>
      <c r="P12991" s="3337"/>
    </row>
    <row r="12992" spans="7:16" s="1634" customFormat="1">
      <c r="G12992" s="3336"/>
      <c r="P12992" s="3337"/>
    </row>
    <row r="12993" spans="7:16" s="1634" customFormat="1">
      <c r="G12993" s="3336"/>
      <c r="P12993" s="3337"/>
    </row>
    <row r="12994" spans="7:16" s="1634" customFormat="1">
      <c r="G12994" s="3336"/>
      <c r="P12994" s="3337"/>
    </row>
    <row r="12995" spans="7:16" s="1634" customFormat="1">
      <c r="G12995" s="3336"/>
      <c r="P12995" s="3337"/>
    </row>
    <row r="12996" spans="7:16" s="1634" customFormat="1">
      <c r="G12996" s="3336"/>
      <c r="P12996" s="3337"/>
    </row>
    <row r="12997" spans="7:16" s="1634" customFormat="1">
      <c r="G12997" s="3336"/>
      <c r="P12997" s="3337"/>
    </row>
    <row r="12998" spans="7:16" s="1634" customFormat="1">
      <c r="G12998" s="3336"/>
      <c r="P12998" s="3337"/>
    </row>
    <row r="12999" spans="7:16" s="1634" customFormat="1">
      <c r="G12999" s="3336"/>
      <c r="P12999" s="3337"/>
    </row>
    <row r="13000" spans="7:16" s="1634" customFormat="1">
      <c r="G13000" s="3336"/>
      <c r="P13000" s="3337"/>
    </row>
    <row r="13001" spans="7:16" s="1634" customFormat="1">
      <c r="G13001" s="3336"/>
      <c r="P13001" s="3337"/>
    </row>
    <row r="13002" spans="7:16" s="1634" customFormat="1">
      <c r="G13002" s="3336"/>
      <c r="P13002" s="3337"/>
    </row>
    <row r="13003" spans="7:16" s="1634" customFormat="1">
      <c r="G13003" s="3336"/>
      <c r="P13003" s="3337"/>
    </row>
    <row r="13004" spans="7:16" s="1634" customFormat="1">
      <c r="G13004" s="3336"/>
      <c r="P13004" s="3337"/>
    </row>
    <row r="13005" spans="7:16" s="1634" customFormat="1">
      <c r="G13005" s="3336"/>
      <c r="P13005" s="3337"/>
    </row>
    <row r="13006" spans="7:16" s="1634" customFormat="1">
      <c r="G13006" s="3336"/>
      <c r="P13006" s="3337"/>
    </row>
    <row r="13007" spans="7:16" s="1634" customFormat="1">
      <c r="G13007" s="3336"/>
      <c r="P13007" s="3337"/>
    </row>
    <row r="13008" spans="7:16" s="1634" customFormat="1">
      <c r="G13008" s="3336"/>
      <c r="P13008" s="3337"/>
    </row>
    <row r="13009" spans="7:16" s="1634" customFormat="1">
      <c r="G13009" s="3336"/>
      <c r="P13009" s="3337"/>
    </row>
    <row r="13010" spans="7:16" s="1634" customFormat="1">
      <c r="G13010" s="3336"/>
      <c r="P13010" s="3337"/>
    </row>
    <row r="13011" spans="7:16" s="1634" customFormat="1">
      <c r="G13011" s="3336"/>
      <c r="P13011" s="3337"/>
    </row>
    <row r="13012" spans="7:16" s="1634" customFormat="1">
      <c r="G13012" s="3336"/>
      <c r="P13012" s="3337"/>
    </row>
    <row r="13013" spans="7:16" s="1634" customFormat="1">
      <c r="G13013" s="3336"/>
      <c r="P13013" s="3337"/>
    </row>
    <row r="13014" spans="7:16" s="1634" customFormat="1">
      <c r="G13014" s="3336"/>
      <c r="P13014" s="3337"/>
    </row>
    <row r="13015" spans="7:16" s="1634" customFormat="1">
      <c r="G13015" s="3336"/>
      <c r="P13015" s="3337"/>
    </row>
    <row r="13016" spans="7:16" s="1634" customFormat="1">
      <c r="G13016" s="3336"/>
      <c r="P13016" s="3337"/>
    </row>
    <row r="13017" spans="7:16" s="1634" customFormat="1">
      <c r="G13017" s="3336"/>
      <c r="P13017" s="3337"/>
    </row>
    <row r="13018" spans="7:16" s="1634" customFormat="1">
      <c r="G13018" s="3336"/>
      <c r="P13018" s="3337"/>
    </row>
    <row r="13019" spans="7:16" s="1634" customFormat="1">
      <c r="G13019" s="3336"/>
      <c r="P13019" s="3337"/>
    </row>
    <row r="13020" spans="7:16" s="1634" customFormat="1">
      <c r="G13020" s="3336"/>
      <c r="P13020" s="3337"/>
    </row>
    <row r="13021" spans="7:16" s="1634" customFormat="1">
      <c r="G13021" s="3336"/>
      <c r="P13021" s="3337"/>
    </row>
    <row r="13022" spans="7:16" s="1634" customFormat="1">
      <c r="G13022" s="3336"/>
      <c r="P13022" s="3337"/>
    </row>
    <row r="13023" spans="7:16" s="1634" customFormat="1">
      <c r="G13023" s="3336"/>
      <c r="P13023" s="3337"/>
    </row>
    <row r="13024" spans="7:16" s="1634" customFormat="1">
      <c r="G13024" s="3336"/>
      <c r="P13024" s="3337"/>
    </row>
    <row r="13025" spans="7:16" s="1634" customFormat="1">
      <c r="G13025" s="3336"/>
      <c r="P13025" s="3337"/>
    </row>
    <row r="13026" spans="7:16" s="1634" customFormat="1">
      <c r="G13026" s="3336"/>
      <c r="P13026" s="3337"/>
    </row>
    <row r="13027" spans="7:16" s="1634" customFormat="1">
      <c r="G13027" s="3336"/>
      <c r="P13027" s="3337"/>
    </row>
    <row r="13028" spans="7:16" s="1634" customFormat="1">
      <c r="G13028" s="3336"/>
      <c r="P13028" s="3337"/>
    </row>
    <row r="13029" spans="7:16" s="1634" customFormat="1">
      <c r="G13029" s="3336"/>
      <c r="P13029" s="3337"/>
    </row>
    <row r="13030" spans="7:16" s="1634" customFormat="1">
      <c r="G13030" s="3336"/>
      <c r="P13030" s="3337"/>
    </row>
    <row r="13031" spans="7:16" s="1634" customFormat="1">
      <c r="G13031" s="3336"/>
      <c r="P13031" s="3337"/>
    </row>
    <row r="13032" spans="7:16" s="1634" customFormat="1">
      <c r="G13032" s="3336"/>
      <c r="P13032" s="3337"/>
    </row>
    <row r="13033" spans="7:16" s="1634" customFormat="1">
      <c r="G13033" s="3336"/>
      <c r="P13033" s="3337"/>
    </row>
    <row r="13034" spans="7:16" s="1634" customFormat="1">
      <c r="G13034" s="3336"/>
      <c r="P13034" s="3337"/>
    </row>
    <row r="13035" spans="7:16" s="1634" customFormat="1">
      <c r="G13035" s="3336"/>
      <c r="P13035" s="3337"/>
    </row>
    <row r="13036" spans="7:16" s="1634" customFormat="1">
      <c r="G13036" s="3336"/>
      <c r="P13036" s="3337"/>
    </row>
    <row r="13037" spans="7:16" s="1634" customFormat="1">
      <c r="G13037" s="3336"/>
      <c r="P13037" s="3337"/>
    </row>
    <row r="13038" spans="7:16" s="1634" customFormat="1">
      <c r="G13038" s="3336"/>
      <c r="P13038" s="3337"/>
    </row>
    <row r="13039" spans="7:16" s="1634" customFormat="1">
      <c r="G13039" s="3336"/>
      <c r="P13039" s="3337"/>
    </row>
    <row r="13040" spans="7:16" s="1634" customFormat="1">
      <c r="G13040" s="3336"/>
      <c r="P13040" s="3337"/>
    </row>
    <row r="13041" spans="7:16" s="1634" customFormat="1">
      <c r="G13041" s="3336"/>
      <c r="P13041" s="3337"/>
    </row>
    <row r="13042" spans="7:16" s="1634" customFormat="1">
      <c r="G13042" s="3336"/>
      <c r="P13042" s="3337"/>
    </row>
    <row r="13043" spans="7:16" s="1634" customFormat="1">
      <c r="G13043" s="3336"/>
      <c r="P13043" s="3337"/>
    </row>
    <row r="13044" spans="7:16" s="1634" customFormat="1">
      <c r="G13044" s="3336"/>
      <c r="P13044" s="3337"/>
    </row>
    <row r="13045" spans="7:16" s="1634" customFormat="1">
      <c r="G13045" s="3336"/>
      <c r="P13045" s="3337"/>
    </row>
    <row r="13046" spans="7:16" s="1634" customFormat="1">
      <c r="G13046" s="3336"/>
      <c r="P13046" s="3337"/>
    </row>
    <row r="13047" spans="7:16" s="1634" customFormat="1">
      <c r="G13047" s="3336"/>
      <c r="P13047" s="3337"/>
    </row>
    <row r="13048" spans="7:16" s="1634" customFormat="1">
      <c r="G13048" s="3336"/>
      <c r="P13048" s="3337"/>
    </row>
    <row r="13049" spans="7:16" s="1634" customFormat="1">
      <c r="G13049" s="3336"/>
      <c r="P13049" s="3337"/>
    </row>
    <row r="13050" spans="7:16" s="1634" customFormat="1">
      <c r="G13050" s="3336"/>
      <c r="P13050" s="3337"/>
    </row>
    <row r="13051" spans="7:16" s="1634" customFormat="1">
      <c r="G13051" s="3336"/>
      <c r="P13051" s="3337"/>
    </row>
    <row r="13052" spans="7:16" s="1634" customFormat="1">
      <c r="G13052" s="3336"/>
      <c r="P13052" s="3337"/>
    </row>
    <row r="13053" spans="7:16" s="1634" customFormat="1">
      <c r="G13053" s="3336"/>
      <c r="P13053" s="3337"/>
    </row>
    <row r="13054" spans="7:16" s="1634" customFormat="1">
      <c r="G13054" s="3336"/>
      <c r="P13054" s="3337"/>
    </row>
    <row r="13055" spans="7:16" s="1634" customFormat="1">
      <c r="G13055" s="3336"/>
      <c r="P13055" s="3337"/>
    </row>
    <row r="13056" spans="7:16" s="1634" customFormat="1">
      <c r="G13056" s="3336"/>
      <c r="P13056" s="3337"/>
    </row>
    <row r="13057" spans="7:16" s="1634" customFormat="1">
      <c r="G13057" s="3336"/>
      <c r="P13057" s="3337"/>
    </row>
    <row r="13058" spans="7:16" s="1634" customFormat="1">
      <c r="G13058" s="3336"/>
      <c r="P13058" s="3337"/>
    </row>
    <row r="13059" spans="7:16" s="1634" customFormat="1">
      <c r="G13059" s="3336"/>
      <c r="P13059" s="3337"/>
    </row>
    <row r="13060" spans="7:16" s="1634" customFormat="1">
      <c r="G13060" s="3336"/>
      <c r="P13060" s="3337"/>
    </row>
    <row r="13061" spans="7:16" s="1634" customFormat="1">
      <c r="G13061" s="3336"/>
      <c r="P13061" s="3337"/>
    </row>
    <row r="13062" spans="7:16" s="1634" customFormat="1">
      <c r="G13062" s="3336"/>
      <c r="P13062" s="3337"/>
    </row>
    <row r="13063" spans="7:16" s="1634" customFormat="1">
      <c r="G13063" s="3336"/>
      <c r="P13063" s="3337"/>
    </row>
    <row r="13064" spans="7:16" s="1634" customFormat="1">
      <c r="G13064" s="3336"/>
      <c r="P13064" s="3337"/>
    </row>
    <row r="13065" spans="7:16" s="1634" customFormat="1">
      <c r="G13065" s="3336"/>
      <c r="P13065" s="3337"/>
    </row>
    <row r="13066" spans="7:16" s="1634" customFormat="1">
      <c r="G13066" s="3336"/>
      <c r="P13066" s="3337"/>
    </row>
    <row r="13067" spans="7:16" s="1634" customFormat="1">
      <c r="G13067" s="3336"/>
      <c r="P13067" s="3337"/>
    </row>
    <row r="13068" spans="7:16" s="1634" customFormat="1">
      <c r="G13068" s="3336"/>
      <c r="P13068" s="3337"/>
    </row>
    <row r="13069" spans="7:16" s="1634" customFormat="1">
      <c r="G13069" s="3336"/>
      <c r="P13069" s="3337"/>
    </row>
    <row r="13070" spans="7:16" s="1634" customFormat="1">
      <c r="G13070" s="3336"/>
      <c r="P13070" s="3337"/>
    </row>
    <row r="13071" spans="7:16" s="1634" customFormat="1">
      <c r="G13071" s="3336"/>
      <c r="P13071" s="3337"/>
    </row>
    <row r="13072" spans="7:16" s="1634" customFormat="1">
      <c r="G13072" s="3336"/>
      <c r="P13072" s="3337"/>
    </row>
    <row r="13073" spans="7:16" s="1634" customFormat="1">
      <c r="G13073" s="3336"/>
      <c r="P13073" s="3337"/>
    </row>
    <row r="13074" spans="7:16" s="1634" customFormat="1">
      <c r="G13074" s="3336"/>
      <c r="P13074" s="3337"/>
    </row>
    <row r="13075" spans="7:16" s="1634" customFormat="1">
      <c r="G13075" s="3336"/>
      <c r="P13075" s="3337"/>
    </row>
    <row r="13076" spans="7:16" s="1634" customFormat="1">
      <c r="G13076" s="3336"/>
      <c r="P13076" s="3337"/>
    </row>
    <row r="13077" spans="7:16" s="1634" customFormat="1">
      <c r="G13077" s="3336"/>
      <c r="P13077" s="3337"/>
    </row>
    <row r="13078" spans="7:16" s="1634" customFormat="1">
      <c r="G13078" s="3336"/>
      <c r="P13078" s="3337"/>
    </row>
    <row r="13079" spans="7:16" s="1634" customFormat="1">
      <c r="G13079" s="3336"/>
      <c r="P13079" s="3337"/>
    </row>
    <row r="13080" spans="7:16" s="1634" customFormat="1">
      <c r="G13080" s="3336"/>
      <c r="P13080" s="3337"/>
    </row>
    <row r="13081" spans="7:16" s="1634" customFormat="1">
      <c r="G13081" s="3336"/>
      <c r="P13081" s="3337"/>
    </row>
    <row r="13082" spans="7:16" s="1634" customFormat="1">
      <c r="G13082" s="3336"/>
      <c r="P13082" s="3337"/>
    </row>
    <row r="13083" spans="7:16" s="1634" customFormat="1">
      <c r="G13083" s="3336"/>
      <c r="P13083" s="3337"/>
    </row>
    <row r="13084" spans="7:16" s="1634" customFormat="1">
      <c r="G13084" s="3336"/>
      <c r="P13084" s="3337"/>
    </row>
    <row r="13085" spans="7:16" s="1634" customFormat="1">
      <c r="G13085" s="3336"/>
      <c r="P13085" s="3337"/>
    </row>
    <row r="13086" spans="7:16" s="1634" customFormat="1">
      <c r="G13086" s="3336"/>
      <c r="P13086" s="3337"/>
    </row>
    <row r="13087" spans="7:16" s="1634" customFormat="1">
      <c r="G13087" s="3336"/>
      <c r="P13087" s="3337"/>
    </row>
    <row r="13088" spans="7:16" s="1634" customFormat="1">
      <c r="G13088" s="3336"/>
      <c r="P13088" s="3337"/>
    </row>
    <row r="13089" spans="7:16" s="1634" customFormat="1">
      <c r="G13089" s="3336"/>
      <c r="P13089" s="3337"/>
    </row>
    <row r="13090" spans="7:16" s="1634" customFormat="1">
      <c r="G13090" s="3336"/>
      <c r="P13090" s="3337"/>
    </row>
    <row r="13091" spans="7:16" s="1634" customFormat="1">
      <c r="G13091" s="3336"/>
      <c r="P13091" s="3337"/>
    </row>
    <row r="13092" spans="7:16" s="1634" customFormat="1">
      <c r="G13092" s="3336"/>
      <c r="P13092" s="3337"/>
    </row>
    <row r="13093" spans="7:16" s="1634" customFormat="1">
      <c r="G13093" s="3336"/>
      <c r="P13093" s="3337"/>
    </row>
    <row r="13094" spans="7:16" s="1634" customFormat="1">
      <c r="G13094" s="3336"/>
      <c r="P13094" s="3337"/>
    </row>
    <row r="13095" spans="7:16" s="1634" customFormat="1">
      <c r="G13095" s="3336"/>
      <c r="P13095" s="3337"/>
    </row>
    <row r="13096" spans="7:16" s="1634" customFormat="1">
      <c r="G13096" s="3336"/>
      <c r="P13096" s="3337"/>
    </row>
    <row r="13097" spans="7:16" s="1634" customFormat="1">
      <c r="G13097" s="3336"/>
      <c r="P13097" s="3337"/>
    </row>
    <row r="13098" spans="7:16" s="1634" customFormat="1">
      <c r="G13098" s="3336"/>
      <c r="P13098" s="3337"/>
    </row>
    <row r="13099" spans="7:16" s="1634" customFormat="1">
      <c r="G13099" s="3336"/>
      <c r="P13099" s="3337"/>
    </row>
    <row r="13100" spans="7:16" s="1634" customFormat="1">
      <c r="G13100" s="3336"/>
      <c r="P13100" s="3337"/>
    </row>
    <row r="13101" spans="7:16" s="1634" customFormat="1">
      <c r="G13101" s="3336"/>
      <c r="P13101" s="3337"/>
    </row>
    <row r="13102" spans="7:16" s="1634" customFormat="1">
      <c r="G13102" s="3336"/>
      <c r="P13102" s="3337"/>
    </row>
    <row r="13103" spans="7:16" s="1634" customFormat="1">
      <c r="G13103" s="3336"/>
      <c r="P13103" s="3337"/>
    </row>
    <row r="13104" spans="7:16" s="1634" customFormat="1">
      <c r="G13104" s="3336"/>
      <c r="P13104" s="3337"/>
    </row>
    <row r="13105" spans="7:16" s="1634" customFormat="1">
      <c r="G13105" s="3336"/>
      <c r="P13105" s="3337"/>
    </row>
    <row r="13106" spans="7:16" s="1634" customFormat="1">
      <c r="G13106" s="3336"/>
      <c r="P13106" s="3337"/>
    </row>
    <row r="13107" spans="7:16" s="1634" customFormat="1">
      <c r="G13107" s="3336"/>
      <c r="P13107" s="3337"/>
    </row>
    <row r="13108" spans="7:16" s="1634" customFormat="1">
      <c r="G13108" s="3336"/>
      <c r="P13108" s="3337"/>
    </row>
    <row r="13109" spans="7:16" s="1634" customFormat="1">
      <c r="G13109" s="3336"/>
      <c r="P13109" s="3337"/>
    </row>
    <row r="13110" spans="7:16" s="1634" customFormat="1">
      <c r="G13110" s="3336"/>
      <c r="P13110" s="3337"/>
    </row>
    <row r="13111" spans="7:16" s="1634" customFormat="1">
      <c r="G13111" s="3336"/>
      <c r="P13111" s="3337"/>
    </row>
    <row r="13112" spans="7:16" s="1634" customFormat="1">
      <c r="G13112" s="3336"/>
      <c r="P13112" s="3337"/>
    </row>
    <row r="13113" spans="7:16" s="1634" customFormat="1">
      <c r="G13113" s="3336"/>
      <c r="P13113" s="3337"/>
    </row>
    <row r="13114" spans="7:16" s="1634" customFormat="1">
      <c r="G13114" s="3336"/>
      <c r="P13114" s="3337"/>
    </row>
    <row r="13115" spans="7:16" s="1634" customFormat="1">
      <c r="G13115" s="3336"/>
      <c r="P13115" s="3337"/>
    </row>
    <row r="13116" spans="7:16" s="1634" customFormat="1">
      <c r="G13116" s="3336"/>
      <c r="P13116" s="3337"/>
    </row>
    <row r="13117" spans="7:16" s="1634" customFormat="1">
      <c r="G13117" s="3336"/>
      <c r="P13117" s="3337"/>
    </row>
    <row r="13118" spans="7:16" s="1634" customFormat="1">
      <c r="G13118" s="3336"/>
      <c r="P13118" s="3337"/>
    </row>
    <row r="13119" spans="7:16" s="1634" customFormat="1">
      <c r="G13119" s="3336"/>
      <c r="P13119" s="3337"/>
    </row>
    <row r="13120" spans="7:16" s="1634" customFormat="1">
      <c r="G13120" s="3336"/>
      <c r="P13120" s="3337"/>
    </row>
    <row r="13121" spans="7:16" s="1634" customFormat="1">
      <c r="G13121" s="3336"/>
      <c r="P13121" s="3337"/>
    </row>
    <row r="13122" spans="7:16" s="1634" customFormat="1">
      <c r="G13122" s="3336"/>
      <c r="P13122" s="3337"/>
    </row>
    <row r="13123" spans="7:16" s="1634" customFormat="1">
      <c r="G13123" s="3336"/>
      <c r="P13123" s="3337"/>
    </row>
    <row r="13124" spans="7:16" s="1634" customFormat="1">
      <c r="G13124" s="3336"/>
      <c r="P13124" s="3337"/>
    </row>
    <row r="13125" spans="7:16" s="1634" customFormat="1">
      <c r="G13125" s="3336"/>
      <c r="P13125" s="3337"/>
    </row>
    <row r="13126" spans="7:16" s="1634" customFormat="1">
      <c r="G13126" s="3336"/>
      <c r="P13126" s="3337"/>
    </row>
    <row r="13127" spans="7:16" s="1634" customFormat="1">
      <c r="G13127" s="3336"/>
      <c r="P13127" s="3337"/>
    </row>
    <row r="13128" spans="7:16" s="1634" customFormat="1">
      <c r="G13128" s="3336"/>
      <c r="P13128" s="3337"/>
    </row>
    <row r="13129" spans="7:16" s="1634" customFormat="1">
      <c r="G13129" s="3336"/>
      <c r="P13129" s="3337"/>
    </row>
    <row r="13130" spans="7:16" s="1634" customFormat="1">
      <c r="G13130" s="3336"/>
      <c r="P13130" s="3337"/>
    </row>
    <row r="13131" spans="7:16" s="1634" customFormat="1">
      <c r="G13131" s="3336"/>
      <c r="P13131" s="3337"/>
    </row>
    <row r="13132" spans="7:16" s="1634" customFormat="1">
      <c r="G13132" s="3336"/>
      <c r="P13132" s="3337"/>
    </row>
    <row r="13133" spans="7:16" s="1634" customFormat="1">
      <c r="G13133" s="3336"/>
      <c r="P13133" s="3337"/>
    </row>
    <row r="13134" spans="7:16" s="1634" customFormat="1">
      <c r="G13134" s="3336"/>
      <c r="P13134" s="3337"/>
    </row>
    <row r="13135" spans="7:16" s="1634" customFormat="1">
      <c r="G13135" s="3336"/>
      <c r="P13135" s="3337"/>
    </row>
    <row r="13136" spans="7:16" s="1634" customFormat="1">
      <c r="G13136" s="3336"/>
      <c r="P13136" s="3337"/>
    </row>
    <row r="13137" spans="7:16" s="1634" customFormat="1">
      <c r="G13137" s="3336"/>
      <c r="P13137" s="3337"/>
    </row>
    <row r="13138" spans="7:16" s="1634" customFormat="1">
      <c r="G13138" s="3336"/>
      <c r="P13138" s="3337"/>
    </row>
    <row r="13139" spans="7:16" s="1634" customFormat="1">
      <c r="G13139" s="3336"/>
      <c r="P13139" s="3337"/>
    </row>
    <row r="13140" spans="7:16" s="1634" customFormat="1">
      <c r="G13140" s="3336"/>
      <c r="P13140" s="3337"/>
    </row>
    <row r="13141" spans="7:16" s="1634" customFormat="1">
      <c r="G13141" s="3336"/>
      <c r="P13141" s="3337"/>
    </row>
    <row r="13142" spans="7:16" s="1634" customFormat="1">
      <c r="G13142" s="3336"/>
      <c r="P13142" s="3337"/>
    </row>
    <row r="13143" spans="7:16" s="1634" customFormat="1">
      <c r="G13143" s="3336"/>
      <c r="P13143" s="3337"/>
    </row>
    <row r="13144" spans="7:16" s="1634" customFormat="1">
      <c r="G13144" s="3336"/>
      <c r="P13144" s="3337"/>
    </row>
    <row r="13145" spans="7:16" s="1634" customFormat="1">
      <c r="G13145" s="3336"/>
      <c r="P13145" s="3337"/>
    </row>
    <row r="13146" spans="7:16" s="1634" customFormat="1">
      <c r="G13146" s="3336"/>
      <c r="P13146" s="3337"/>
    </row>
    <row r="13147" spans="7:16" s="1634" customFormat="1">
      <c r="G13147" s="3336"/>
      <c r="P13147" s="3337"/>
    </row>
    <row r="13148" spans="7:16" s="1634" customFormat="1">
      <c r="G13148" s="3336"/>
      <c r="P13148" s="3337"/>
    </row>
    <row r="13149" spans="7:16" s="1634" customFormat="1">
      <c r="G13149" s="3336"/>
      <c r="P13149" s="3337"/>
    </row>
    <row r="13150" spans="7:16" s="1634" customFormat="1">
      <c r="G13150" s="3336"/>
      <c r="P13150" s="3337"/>
    </row>
    <row r="13151" spans="7:16" s="1634" customFormat="1">
      <c r="G13151" s="3336"/>
      <c r="P13151" s="3337"/>
    </row>
    <row r="13152" spans="7:16" s="1634" customFormat="1">
      <c r="G13152" s="3336"/>
      <c r="P13152" s="3337"/>
    </row>
    <row r="13153" spans="7:16" s="1634" customFormat="1">
      <c r="G13153" s="3336"/>
      <c r="P13153" s="3337"/>
    </row>
    <row r="13154" spans="7:16" s="1634" customFormat="1">
      <c r="G13154" s="3336"/>
      <c r="P13154" s="3337"/>
    </row>
    <row r="13155" spans="7:16" s="1634" customFormat="1">
      <c r="G13155" s="3336"/>
      <c r="P13155" s="3337"/>
    </row>
    <row r="13156" spans="7:16" s="1634" customFormat="1">
      <c r="G13156" s="3336"/>
      <c r="P13156" s="3337"/>
    </row>
    <row r="13157" spans="7:16" s="1634" customFormat="1">
      <c r="G13157" s="3336"/>
      <c r="P13157" s="3337"/>
    </row>
    <row r="13158" spans="7:16" s="1634" customFormat="1">
      <c r="G13158" s="3336"/>
      <c r="P13158" s="3337"/>
    </row>
    <row r="13159" spans="7:16" s="1634" customFormat="1">
      <c r="G13159" s="3336"/>
      <c r="P13159" s="3337"/>
    </row>
    <row r="13160" spans="7:16" s="1634" customFormat="1">
      <c r="G13160" s="3336"/>
      <c r="P13160" s="3337"/>
    </row>
    <row r="13161" spans="7:16" s="1634" customFormat="1">
      <c r="G13161" s="3336"/>
      <c r="P13161" s="3337"/>
    </row>
    <row r="13162" spans="7:16" s="1634" customFormat="1">
      <c r="G13162" s="3336"/>
      <c r="P13162" s="3337"/>
    </row>
    <row r="13163" spans="7:16" s="1634" customFormat="1">
      <c r="G13163" s="3336"/>
      <c r="P13163" s="3337"/>
    </row>
    <row r="13164" spans="7:16" s="1634" customFormat="1">
      <c r="G13164" s="3336"/>
      <c r="P13164" s="3337"/>
    </row>
    <row r="13165" spans="7:16" s="1634" customFormat="1">
      <c r="G13165" s="3336"/>
      <c r="P13165" s="3337"/>
    </row>
    <row r="13166" spans="7:16" s="1634" customFormat="1">
      <c r="G13166" s="3336"/>
      <c r="P13166" s="3337"/>
    </row>
    <row r="13167" spans="7:16" s="1634" customFormat="1">
      <c r="G13167" s="3336"/>
      <c r="P13167" s="3337"/>
    </row>
    <row r="13168" spans="7:16" s="1634" customFormat="1">
      <c r="G13168" s="3336"/>
      <c r="P13168" s="3337"/>
    </row>
    <row r="13169" spans="7:16" s="1634" customFormat="1">
      <c r="G13169" s="3336"/>
      <c r="P13169" s="3337"/>
    </row>
    <row r="13170" spans="7:16" s="1634" customFormat="1">
      <c r="G13170" s="3336"/>
      <c r="P13170" s="3337"/>
    </row>
    <row r="13171" spans="7:16" s="1634" customFormat="1">
      <c r="G13171" s="3336"/>
      <c r="P13171" s="3337"/>
    </row>
    <row r="13172" spans="7:16" s="1634" customFormat="1">
      <c r="G13172" s="3336"/>
      <c r="P13172" s="3337"/>
    </row>
    <row r="13173" spans="7:16" s="1634" customFormat="1">
      <c r="G13173" s="3336"/>
      <c r="P13173" s="3337"/>
    </row>
    <row r="13174" spans="7:16" s="1634" customFormat="1">
      <c r="G13174" s="3336"/>
      <c r="P13174" s="3337"/>
    </row>
    <row r="13175" spans="7:16" s="1634" customFormat="1">
      <c r="G13175" s="3336"/>
      <c r="P13175" s="3337"/>
    </row>
    <row r="13176" spans="7:16" s="1634" customFormat="1">
      <c r="G13176" s="3336"/>
      <c r="P13176" s="3337"/>
    </row>
    <row r="13177" spans="7:16" s="1634" customFormat="1">
      <c r="G13177" s="3336"/>
      <c r="P13177" s="3337"/>
    </row>
    <row r="13178" spans="7:16" s="1634" customFormat="1">
      <c r="G13178" s="3336"/>
      <c r="P13178" s="3337"/>
    </row>
    <row r="13179" spans="7:16" s="1634" customFormat="1">
      <c r="G13179" s="3336"/>
      <c r="P13179" s="3337"/>
    </row>
    <row r="13180" spans="7:16" s="1634" customFormat="1">
      <c r="G13180" s="3336"/>
      <c r="P13180" s="3337"/>
    </row>
    <row r="13181" spans="7:16" s="1634" customFormat="1">
      <c r="G13181" s="3336"/>
      <c r="P13181" s="3337"/>
    </row>
    <row r="13182" spans="7:16" s="1634" customFormat="1">
      <c r="G13182" s="3336"/>
      <c r="P13182" s="3337"/>
    </row>
    <row r="13183" spans="7:16" s="1634" customFormat="1">
      <c r="G13183" s="3336"/>
      <c r="P13183" s="3337"/>
    </row>
    <row r="13184" spans="7:16" s="1634" customFormat="1">
      <c r="G13184" s="3336"/>
      <c r="P13184" s="3337"/>
    </row>
    <row r="13185" spans="7:16" s="1634" customFormat="1">
      <c r="G13185" s="3336"/>
      <c r="P13185" s="3337"/>
    </row>
    <row r="13186" spans="7:16" s="1634" customFormat="1">
      <c r="G13186" s="3336"/>
      <c r="P13186" s="3337"/>
    </row>
    <row r="13187" spans="7:16" s="1634" customFormat="1">
      <c r="G13187" s="3336"/>
      <c r="P13187" s="3337"/>
    </row>
    <row r="13188" spans="7:16" s="1634" customFormat="1">
      <c r="G13188" s="3336"/>
      <c r="P13188" s="3337"/>
    </row>
    <row r="13189" spans="7:16" s="1634" customFormat="1">
      <c r="G13189" s="3336"/>
      <c r="P13189" s="3337"/>
    </row>
    <row r="13190" spans="7:16" s="1634" customFormat="1">
      <c r="G13190" s="3336"/>
      <c r="P13190" s="3337"/>
    </row>
    <row r="13191" spans="7:16" s="1634" customFormat="1">
      <c r="G13191" s="3336"/>
      <c r="P13191" s="3337"/>
    </row>
    <row r="13192" spans="7:16" s="1634" customFormat="1">
      <c r="G13192" s="3336"/>
      <c r="P13192" s="3337"/>
    </row>
    <row r="13193" spans="7:16" s="1634" customFormat="1">
      <c r="G13193" s="3336"/>
      <c r="P13193" s="3337"/>
    </row>
    <row r="13194" spans="7:16" s="1634" customFormat="1">
      <c r="G13194" s="3336"/>
      <c r="P13194" s="3337"/>
    </row>
    <row r="13195" spans="7:16" s="1634" customFormat="1">
      <c r="G13195" s="3336"/>
      <c r="P13195" s="3337"/>
    </row>
    <row r="13196" spans="7:16" s="1634" customFormat="1">
      <c r="G13196" s="3336"/>
      <c r="P13196" s="3337"/>
    </row>
    <row r="13197" spans="7:16" s="1634" customFormat="1">
      <c r="G13197" s="3336"/>
      <c r="P13197" s="3337"/>
    </row>
    <row r="13198" spans="7:16" s="1634" customFormat="1">
      <c r="G13198" s="3336"/>
      <c r="P13198" s="3337"/>
    </row>
    <row r="13199" spans="7:16" s="1634" customFormat="1">
      <c r="G13199" s="3336"/>
      <c r="P13199" s="3337"/>
    </row>
    <row r="13200" spans="7:16" s="1634" customFormat="1">
      <c r="G13200" s="3336"/>
      <c r="P13200" s="3337"/>
    </row>
    <row r="13201" spans="7:16" s="1634" customFormat="1">
      <c r="G13201" s="3336"/>
      <c r="P13201" s="3337"/>
    </row>
    <row r="13202" spans="7:16" s="1634" customFormat="1">
      <c r="G13202" s="3336"/>
      <c r="P13202" s="3337"/>
    </row>
    <row r="13203" spans="7:16" s="1634" customFormat="1">
      <c r="G13203" s="3336"/>
      <c r="P13203" s="3337"/>
    </row>
    <row r="13204" spans="7:16" s="1634" customFormat="1">
      <c r="G13204" s="3336"/>
      <c r="P13204" s="3337"/>
    </row>
    <row r="13205" spans="7:16" s="1634" customFormat="1">
      <c r="G13205" s="3336"/>
      <c r="P13205" s="3337"/>
    </row>
    <row r="13206" spans="7:16" s="1634" customFormat="1">
      <c r="G13206" s="3336"/>
      <c r="P13206" s="3337"/>
    </row>
    <row r="13207" spans="7:16" s="1634" customFormat="1">
      <c r="G13207" s="3336"/>
      <c r="P13207" s="3337"/>
    </row>
    <row r="13208" spans="7:16" s="1634" customFormat="1">
      <c r="G13208" s="3336"/>
      <c r="P13208" s="3337"/>
    </row>
    <row r="13209" spans="7:16" s="1634" customFormat="1">
      <c r="G13209" s="3336"/>
      <c r="P13209" s="3337"/>
    </row>
    <row r="13210" spans="7:16" s="1634" customFormat="1">
      <c r="G13210" s="3336"/>
      <c r="P13210" s="3337"/>
    </row>
    <row r="13211" spans="7:16" s="1634" customFormat="1">
      <c r="G13211" s="3336"/>
      <c r="P13211" s="3337"/>
    </row>
    <row r="13212" spans="7:16" s="1634" customFormat="1">
      <c r="G13212" s="3336"/>
      <c r="P13212" s="3337"/>
    </row>
    <row r="13213" spans="7:16" s="1634" customFormat="1">
      <c r="G13213" s="3336"/>
      <c r="P13213" s="3337"/>
    </row>
    <row r="13214" spans="7:16" s="1634" customFormat="1">
      <c r="G13214" s="3336"/>
      <c r="P13214" s="3337"/>
    </row>
    <row r="13215" spans="7:16" s="1634" customFormat="1">
      <c r="G13215" s="3336"/>
      <c r="P13215" s="3337"/>
    </row>
    <row r="13216" spans="7:16" s="1634" customFormat="1">
      <c r="G13216" s="3336"/>
      <c r="P13216" s="3337"/>
    </row>
    <row r="13217" spans="7:16" s="1634" customFormat="1">
      <c r="G13217" s="3336"/>
      <c r="P13217" s="3337"/>
    </row>
    <row r="13218" spans="7:16" s="1634" customFormat="1">
      <c r="G13218" s="3336"/>
      <c r="P13218" s="3337"/>
    </row>
    <row r="13219" spans="7:16" s="1634" customFormat="1">
      <c r="G13219" s="3336"/>
      <c r="P13219" s="3337"/>
    </row>
    <row r="13220" spans="7:16" s="1634" customFormat="1">
      <c r="G13220" s="3336"/>
      <c r="P13220" s="3337"/>
    </row>
    <row r="13221" spans="7:16" s="1634" customFormat="1">
      <c r="G13221" s="3336"/>
      <c r="P13221" s="3337"/>
    </row>
    <row r="13222" spans="7:16" s="1634" customFormat="1">
      <c r="G13222" s="3336"/>
      <c r="P13222" s="3337"/>
    </row>
    <row r="13223" spans="7:16" s="1634" customFormat="1">
      <c r="G13223" s="3336"/>
      <c r="P13223" s="3337"/>
    </row>
    <row r="13224" spans="7:16" s="1634" customFormat="1">
      <c r="G13224" s="3336"/>
      <c r="P13224" s="3337"/>
    </row>
    <row r="13225" spans="7:16" s="1634" customFormat="1">
      <c r="G13225" s="3336"/>
      <c r="P13225" s="3337"/>
    </row>
    <row r="13226" spans="7:16" s="1634" customFormat="1">
      <c r="G13226" s="3336"/>
      <c r="P13226" s="3337"/>
    </row>
    <row r="13227" spans="7:16" s="1634" customFormat="1">
      <c r="G13227" s="3336"/>
      <c r="P13227" s="3337"/>
    </row>
    <row r="13228" spans="7:16" s="1634" customFormat="1">
      <c r="G13228" s="3336"/>
      <c r="P13228" s="3337"/>
    </row>
    <row r="13229" spans="7:16" s="1634" customFormat="1">
      <c r="G13229" s="3336"/>
      <c r="P13229" s="3337"/>
    </row>
    <row r="13230" spans="7:16" s="1634" customFormat="1">
      <c r="G13230" s="3336"/>
      <c r="P13230" s="3337"/>
    </row>
    <row r="13231" spans="7:16" s="1634" customFormat="1">
      <c r="G13231" s="3336"/>
      <c r="P13231" s="3337"/>
    </row>
    <row r="13232" spans="7:16" s="1634" customFormat="1">
      <c r="G13232" s="3336"/>
      <c r="P13232" s="3337"/>
    </row>
    <row r="13233" spans="7:16" s="1634" customFormat="1">
      <c r="G13233" s="3336"/>
      <c r="P13233" s="3337"/>
    </row>
    <row r="13234" spans="7:16" s="1634" customFormat="1">
      <c r="G13234" s="3336"/>
      <c r="P13234" s="3337"/>
    </row>
    <row r="13235" spans="7:16" s="1634" customFormat="1">
      <c r="G13235" s="3336"/>
      <c r="P13235" s="3337"/>
    </row>
    <row r="13236" spans="7:16" s="1634" customFormat="1">
      <c r="G13236" s="3336"/>
      <c r="P13236" s="3337"/>
    </row>
    <row r="13237" spans="7:16" s="1634" customFormat="1">
      <c r="G13237" s="3336"/>
      <c r="P13237" s="3337"/>
    </row>
    <row r="13238" spans="7:16" s="1634" customFormat="1">
      <c r="G13238" s="3336"/>
      <c r="P13238" s="3337"/>
    </row>
    <row r="13239" spans="7:16" s="1634" customFormat="1">
      <c r="G13239" s="3336"/>
      <c r="P13239" s="3337"/>
    </row>
    <row r="13240" spans="7:16" s="1634" customFormat="1">
      <c r="G13240" s="3336"/>
      <c r="P13240" s="3337"/>
    </row>
    <row r="13241" spans="7:16" s="1634" customFormat="1">
      <c r="G13241" s="3336"/>
      <c r="P13241" s="3337"/>
    </row>
    <row r="13242" spans="7:16" s="1634" customFormat="1">
      <c r="G13242" s="3336"/>
      <c r="P13242" s="3337"/>
    </row>
    <row r="13243" spans="7:16" s="1634" customFormat="1">
      <c r="G13243" s="3336"/>
      <c r="P13243" s="3337"/>
    </row>
    <row r="13244" spans="7:16" s="1634" customFormat="1">
      <c r="G13244" s="3336"/>
      <c r="P13244" s="3337"/>
    </row>
    <row r="13245" spans="7:16" s="1634" customFormat="1">
      <c r="G13245" s="3336"/>
      <c r="P13245" s="3337"/>
    </row>
    <row r="13246" spans="7:16" s="1634" customFormat="1">
      <c r="G13246" s="3336"/>
      <c r="P13246" s="3337"/>
    </row>
    <row r="13247" spans="7:16" s="1634" customFormat="1">
      <c r="G13247" s="3336"/>
      <c r="P13247" s="3337"/>
    </row>
    <row r="13248" spans="7:16" s="1634" customFormat="1">
      <c r="G13248" s="3336"/>
      <c r="P13248" s="3337"/>
    </row>
    <row r="13249" spans="7:16" s="1634" customFormat="1">
      <c r="G13249" s="3336"/>
      <c r="P13249" s="3337"/>
    </row>
    <row r="13250" spans="7:16" s="1634" customFormat="1">
      <c r="G13250" s="3336"/>
      <c r="P13250" s="3337"/>
    </row>
    <row r="13251" spans="7:16" s="1634" customFormat="1">
      <c r="G13251" s="3336"/>
      <c r="P13251" s="3337"/>
    </row>
    <row r="13252" spans="7:16" s="1634" customFormat="1">
      <c r="G13252" s="3336"/>
      <c r="P13252" s="3337"/>
    </row>
    <row r="13253" spans="7:16" s="1634" customFormat="1">
      <c r="G13253" s="3336"/>
      <c r="P13253" s="3337"/>
    </row>
    <row r="13254" spans="7:16" s="1634" customFormat="1">
      <c r="G13254" s="3336"/>
      <c r="P13254" s="3337"/>
    </row>
    <row r="13255" spans="7:16" s="1634" customFormat="1">
      <c r="G13255" s="3336"/>
      <c r="P13255" s="3337"/>
    </row>
    <row r="13256" spans="7:16" s="1634" customFormat="1">
      <c r="G13256" s="3336"/>
      <c r="P13256" s="3337"/>
    </row>
    <row r="13257" spans="7:16" s="1634" customFormat="1">
      <c r="G13257" s="3336"/>
      <c r="P13257" s="3337"/>
    </row>
    <row r="13258" spans="7:16" s="1634" customFormat="1">
      <c r="G13258" s="3336"/>
      <c r="P13258" s="3337"/>
    </row>
    <row r="13259" spans="7:16" s="1634" customFormat="1">
      <c r="G13259" s="3336"/>
      <c r="P13259" s="3337"/>
    </row>
    <row r="13260" spans="7:16" s="1634" customFormat="1">
      <c r="G13260" s="3336"/>
      <c r="P13260" s="3337"/>
    </row>
    <row r="13261" spans="7:16" s="1634" customFormat="1">
      <c r="G13261" s="3336"/>
      <c r="P13261" s="3337"/>
    </row>
    <row r="13262" spans="7:16" s="1634" customFormat="1">
      <c r="G13262" s="3336"/>
      <c r="P13262" s="3337"/>
    </row>
    <row r="13263" spans="7:16" s="1634" customFormat="1">
      <c r="G13263" s="3336"/>
      <c r="P13263" s="3337"/>
    </row>
    <row r="13264" spans="7:16" s="1634" customFormat="1">
      <c r="G13264" s="3336"/>
      <c r="P13264" s="3337"/>
    </row>
    <row r="13265" spans="7:16" s="1634" customFormat="1">
      <c r="G13265" s="3336"/>
      <c r="P13265" s="3337"/>
    </row>
    <row r="13266" spans="7:16" s="1634" customFormat="1">
      <c r="G13266" s="3336"/>
      <c r="P13266" s="3337"/>
    </row>
    <row r="13267" spans="7:16" s="1634" customFormat="1">
      <c r="G13267" s="3336"/>
      <c r="P13267" s="3337"/>
    </row>
    <row r="13268" spans="7:16" s="1634" customFormat="1">
      <c r="G13268" s="3336"/>
      <c r="P13268" s="3337"/>
    </row>
    <row r="13269" spans="7:16" s="1634" customFormat="1">
      <c r="G13269" s="3336"/>
      <c r="P13269" s="3337"/>
    </row>
    <row r="13270" spans="7:16" s="1634" customFormat="1">
      <c r="G13270" s="3336"/>
      <c r="P13270" s="3337"/>
    </row>
    <row r="13271" spans="7:16" s="1634" customFormat="1">
      <c r="G13271" s="3336"/>
      <c r="P13271" s="3337"/>
    </row>
    <row r="13272" spans="7:16" s="1634" customFormat="1">
      <c r="G13272" s="3336"/>
      <c r="P13272" s="3337"/>
    </row>
    <row r="13273" spans="7:16" s="1634" customFormat="1">
      <c r="G13273" s="3336"/>
      <c r="P13273" s="3337"/>
    </row>
    <row r="13274" spans="7:16" s="1634" customFormat="1">
      <c r="G13274" s="3336"/>
      <c r="P13274" s="3337"/>
    </row>
    <row r="13275" spans="7:16" s="1634" customFormat="1">
      <c r="G13275" s="3336"/>
      <c r="P13275" s="3337"/>
    </row>
    <row r="13276" spans="7:16" s="1634" customFormat="1">
      <c r="G13276" s="3336"/>
      <c r="P13276" s="3337"/>
    </row>
    <row r="13277" spans="7:16" s="1634" customFormat="1">
      <c r="G13277" s="3336"/>
      <c r="P13277" s="3337"/>
    </row>
    <row r="13278" spans="7:16" s="1634" customFormat="1">
      <c r="G13278" s="3336"/>
      <c r="P13278" s="3337"/>
    </row>
    <row r="13279" spans="7:16" s="1634" customFormat="1">
      <c r="G13279" s="3336"/>
      <c r="P13279" s="3337"/>
    </row>
    <row r="13280" spans="7:16" s="1634" customFormat="1">
      <c r="G13280" s="3336"/>
      <c r="P13280" s="3337"/>
    </row>
    <row r="13281" spans="7:16" s="1634" customFormat="1">
      <c r="G13281" s="3336"/>
      <c r="P13281" s="3337"/>
    </row>
    <row r="13282" spans="7:16" s="1634" customFormat="1">
      <c r="G13282" s="3336"/>
      <c r="P13282" s="3337"/>
    </row>
    <row r="13283" spans="7:16" s="1634" customFormat="1">
      <c r="G13283" s="3336"/>
      <c r="P13283" s="3337"/>
    </row>
    <row r="13284" spans="7:16" s="1634" customFormat="1">
      <c r="G13284" s="3336"/>
      <c r="P13284" s="3337"/>
    </row>
    <row r="13285" spans="7:16" s="1634" customFormat="1">
      <c r="G13285" s="3336"/>
      <c r="P13285" s="3337"/>
    </row>
    <row r="13286" spans="7:16" s="1634" customFormat="1">
      <c r="G13286" s="3336"/>
      <c r="P13286" s="3337"/>
    </row>
    <row r="13287" spans="7:16" s="1634" customFormat="1">
      <c r="G13287" s="3336"/>
      <c r="P13287" s="3337"/>
    </row>
    <row r="13288" spans="7:16" s="1634" customFormat="1">
      <c r="G13288" s="3336"/>
      <c r="P13288" s="3337"/>
    </row>
    <row r="13289" spans="7:16" s="1634" customFormat="1">
      <c r="G13289" s="3336"/>
      <c r="P13289" s="3337"/>
    </row>
    <row r="13290" spans="7:16" s="1634" customFormat="1">
      <c r="G13290" s="3336"/>
      <c r="P13290" s="3337"/>
    </row>
    <row r="13291" spans="7:16" s="1634" customFormat="1">
      <c r="G13291" s="3336"/>
      <c r="P13291" s="3337"/>
    </row>
    <row r="13292" spans="7:16" s="1634" customFormat="1">
      <c r="G13292" s="3336"/>
      <c r="P13292" s="3337"/>
    </row>
    <row r="13293" spans="7:16" s="1634" customFormat="1">
      <c r="G13293" s="3336"/>
      <c r="P13293" s="3337"/>
    </row>
    <row r="13294" spans="7:16" s="1634" customFormat="1">
      <c r="G13294" s="3336"/>
      <c r="P13294" s="3337"/>
    </row>
    <row r="13295" spans="7:16" s="1634" customFormat="1">
      <c r="G13295" s="3336"/>
      <c r="P13295" s="3337"/>
    </row>
    <row r="13296" spans="7:16" s="1634" customFormat="1">
      <c r="G13296" s="3336"/>
      <c r="P13296" s="3337"/>
    </row>
    <row r="13297" spans="7:16" s="1634" customFormat="1">
      <c r="G13297" s="3336"/>
      <c r="P13297" s="3337"/>
    </row>
    <row r="13298" spans="7:16" s="1634" customFormat="1">
      <c r="G13298" s="3336"/>
      <c r="P13298" s="3337"/>
    </row>
    <row r="13299" spans="7:16" s="1634" customFormat="1">
      <c r="G13299" s="3336"/>
      <c r="P13299" s="3337"/>
    </row>
    <row r="13300" spans="7:16" s="1634" customFormat="1">
      <c r="G13300" s="3336"/>
      <c r="P13300" s="3337"/>
    </row>
    <row r="13301" spans="7:16" s="1634" customFormat="1">
      <c r="G13301" s="3336"/>
      <c r="P13301" s="3337"/>
    </row>
    <row r="13302" spans="7:16" s="1634" customFormat="1">
      <c r="G13302" s="3336"/>
      <c r="P13302" s="3337"/>
    </row>
    <row r="13303" spans="7:16" s="1634" customFormat="1">
      <c r="G13303" s="3336"/>
      <c r="P13303" s="3337"/>
    </row>
    <row r="13304" spans="7:16" s="1634" customFormat="1">
      <c r="G13304" s="3336"/>
      <c r="P13304" s="3337"/>
    </row>
    <row r="13305" spans="7:16" s="1634" customFormat="1">
      <c r="G13305" s="3336"/>
      <c r="P13305" s="3337"/>
    </row>
    <row r="13306" spans="7:16" s="1634" customFormat="1">
      <c r="G13306" s="3336"/>
      <c r="P13306" s="3337"/>
    </row>
    <row r="13307" spans="7:16" s="1634" customFormat="1">
      <c r="G13307" s="3336"/>
      <c r="P13307" s="3337"/>
    </row>
    <row r="13308" spans="7:16" s="1634" customFormat="1">
      <c r="G13308" s="3336"/>
      <c r="P13308" s="3337"/>
    </row>
    <row r="13309" spans="7:16" s="1634" customFormat="1">
      <c r="G13309" s="3336"/>
      <c r="P13309" s="3337"/>
    </row>
    <row r="13310" spans="7:16" s="1634" customFormat="1">
      <c r="G13310" s="3336"/>
      <c r="P13310" s="3337"/>
    </row>
    <row r="13311" spans="7:16" s="1634" customFormat="1">
      <c r="G13311" s="3336"/>
      <c r="P13311" s="3337"/>
    </row>
    <row r="13312" spans="7:16" s="1634" customFormat="1">
      <c r="G13312" s="3336"/>
      <c r="P13312" s="3337"/>
    </row>
    <row r="13313" spans="7:16" s="1634" customFormat="1">
      <c r="G13313" s="3336"/>
      <c r="P13313" s="3337"/>
    </row>
    <row r="13314" spans="7:16" s="1634" customFormat="1">
      <c r="G13314" s="3336"/>
      <c r="P13314" s="3337"/>
    </row>
    <row r="13315" spans="7:16" s="1634" customFormat="1">
      <c r="G13315" s="3336"/>
      <c r="P13315" s="3337"/>
    </row>
    <row r="13316" spans="7:16" s="1634" customFormat="1">
      <c r="G13316" s="3336"/>
      <c r="P13316" s="3337"/>
    </row>
    <row r="13317" spans="7:16" s="1634" customFormat="1">
      <c r="G13317" s="3336"/>
      <c r="P13317" s="3337"/>
    </row>
    <row r="13318" spans="7:16" s="1634" customFormat="1">
      <c r="G13318" s="3336"/>
      <c r="P13318" s="3337"/>
    </row>
    <row r="13319" spans="7:16" s="1634" customFormat="1">
      <c r="G13319" s="3336"/>
      <c r="P13319" s="3337"/>
    </row>
    <row r="13320" spans="7:16" s="1634" customFormat="1">
      <c r="G13320" s="3336"/>
      <c r="P13320" s="3337"/>
    </row>
    <row r="13321" spans="7:16" s="1634" customFormat="1">
      <c r="G13321" s="3336"/>
      <c r="P13321" s="3337"/>
    </row>
    <row r="13322" spans="7:16" s="1634" customFormat="1">
      <c r="G13322" s="3336"/>
      <c r="P13322" s="3337"/>
    </row>
    <row r="13323" spans="7:16" s="1634" customFormat="1">
      <c r="G13323" s="3336"/>
      <c r="P13323" s="3337"/>
    </row>
    <row r="13324" spans="7:16" s="1634" customFormat="1">
      <c r="G13324" s="3336"/>
      <c r="P13324" s="3337"/>
    </row>
    <row r="13325" spans="7:16" s="1634" customFormat="1">
      <c r="G13325" s="3336"/>
      <c r="P13325" s="3337"/>
    </row>
    <row r="13326" spans="7:16" s="1634" customFormat="1">
      <c r="G13326" s="3336"/>
      <c r="P13326" s="3337"/>
    </row>
    <row r="13327" spans="7:16" s="1634" customFormat="1">
      <c r="G13327" s="3336"/>
      <c r="P13327" s="3337"/>
    </row>
    <row r="13328" spans="7:16" s="1634" customFormat="1">
      <c r="G13328" s="3336"/>
      <c r="P13328" s="3337"/>
    </row>
    <row r="13329" spans="7:16" s="1634" customFormat="1">
      <c r="G13329" s="3336"/>
      <c r="P13329" s="3337"/>
    </row>
    <row r="13330" spans="7:16" s="1634" customFormat="1">
      <c r="G13330" s="3336"/>
      <c r="P13330" s="3337"/>
    </row>
    <row r="13331" spans="7:16" s="1634" customFormat="1">
      <c r="G13331" s="3336"/>
      <c r="P13331" s="3337"/>
    </row>
    <row r="13332" spans="7:16" s="1634" customFormat="1">
      <c r="G13332" s="3336"/>
      <c r="P13332" s="3337"/>
    </row>
    <row r="13333" spans="7:16" s="1634" customFormat="1">
      <c r="G13333" s="3336"/>
      <c r="P13333" s="3337"/>
    </row>
    <row r="13334" spans="7:16" s="1634" customFormat="1">
      <c r="G13334" s="3336"/>
      <c r="P13334" s="3337"/>
    </row>
    <row r="13335" spans="7:16" s="1634" customFormat="1">
      <c r="G13335" s="3336"/>
      <c r="P13335" s="3337"/>
    </row>
    <row r="13336" spans="7:16" s="1634" customFormat="1">
      <c r="G13336" s="3336"/>
      <c r="P13336" s="3337"/>
    </row>
    <row r="13337" spans="7:16" s="1634" customFormat="1">
      <c r="G13337" s="3336"/>
      <c r="P13337" s="3337"/>
    </row>
    <row r="13338" spans="7:16" s="1634" customFormat="1">
      <c r="G13338" s="3336"/>
      <c r="P13338" s="3337"/>
    </row>
    <row r="13339" spans="7:16" s="1634" customFormat="1">
      <c r="G13339" s="3336"/>
      <c r="P13339" s="3337"/>
    </row>
    <row r="13340" spans="7:16" s="1634" customFormat="1">
      <c r="G13340" s="3336"/>
      <c r="P13340" s="3337"/>
    </row>
    <row r="13341" spans="7:16" s="1634" customFormat="1">
      <c r="G13341" s="3336"/>
      <c r="P13341" s="3337"/>
    </row>
    <row r="13342" spans="7:16" s="1634" customFormat="1">
      <c r="G13342" s="3336"/>
      <c r="P13342" s="3337"/>
    </row>
    <row r="13343" spans="7:16" s="1634" customFormat="1">
      <c r="G13343" s="3336"/>
      <c r="P13343" s="3337"/>
    </row>
    <row r="13344" spans="7:16" s="1634" customFormat="1">
      <c r="G13344" s="3336"/>
      <c r="P13344" s="3337"/>
    </row>
    <row r="13345" spans="7:16" s="1634" customFormat="1">
      <c r="G13345" s="3336"/>
      <c r="P13345" s="3337"/>
    </row>
    <row r="13346" spans="7:16" s="1634" customFormat="1">
      <c r="G13346" s="3336"/>
      <c r="P13346" s="3337"/>
    </row>
    <row r="13347" spans="7:16" s="1634" customFormat="1">
      <c r="G13347" s="3336"/>
      <c r="P13347" s="3337"/>
    </row>
    <row r="13348" spans="7:16" s="1634" customFormat="1">
      <c r="G13348" s="3336"/>
      <c r="P13348" s="3337"/>
    </row>
    <row r="13349" spans="7:16" s="1634" customFormat="1">
      <c r="G13349" s="3336"/>
      <c r="P13349" s="3337"/>
    </row>
    <row r="13350" spans="7:16" s="1634" customFormat="1">
      <c r="G13350" s="3336"/>
      <c r="P13350" s="3337"/>
    </row>
    <row r="13351" spans="7:16" s="1634" customFormat="1">
      <c r="G13351" s="3336"/>
      <c r="P13351" s="3337"/>
    </row>
    <row r="13352" spans="7:16" s="1634" customFormat="1">
      <c r="G13352" s="3336"/>
      <c r="P13352" s="3337"/>
    </row>
    <row r="13353" spans="7:16" s="1634" customFormat="1">
      <c r="G13353" s="3336"/>
      <c r="P13353" s="3337"/>
    </row>
    <row r="13354" spans="7:16" s="1634" customFormat="1">
      <c r="G13354" s="3336"/>
      <c r="P13354" s="3337"/>
    </row>
    <row r="13355" spans="7:16" s="1634" customFormat="1">
      <c r="G13355" s="3336"/>
      <c r="P13355" s="3337"/>
    </row>
    <row r="13356" spans="7:16" s="1634" customFormat="1">
      <c r="G13356" s="3336"/>
      <c r="P13356" s="3337"/>
    </row>
    <row r="13357" spans="7:16" s="1634" customFormat="1">
      <c r="G13357" s="3336"/>
      <c r="P13357" s="3337"/>
    </row>
    <row r="13358" spans="7:16" s="1634" customFormat="1">
      <c r="G13358" s="3336"/>
      <c r="P13358" s="3337"/>
    </row>
    <row r="13359" spans="7:16" s="1634" customFormat="1">
      <c r="G13359" s="3336"/>
      <c r="P13359" s="3337"/>
    </row>
    <row r="13360" spans="7:16" s="1634" customFormat="1">
      <c r="G13360" s="3336"/>
      <c r="P13360" s="3337"/>
    </row>
    <row r="13361" spans="7:16" s="1634" customFormat="1">
      <c r="G13361" s="3336"/>
      <c r="P13361" s="3337"/>
    </row>
    <row r="13362" spans="7:16" s="1634" customFormat="1">
      <c r="G13362" s="3336"/>
      <c r="P13362" s="3337"/>
    </row>
    <row r="13363" spans="7:16" s="1634" customFormat="1">
      <c r="G13363" s="3336"/>
      <c r="P13363" s="3337"/>
    </row>
    <row r="13364" spans="7:16" s="1634" customFormat="1">
      <c r="G13364" s="3336"/>
      <c r="P13364" s="3337"/>
    </row>
    <row r="13365" spans="7:16" s="1634" customFormat="1">
      <c r="G13365" s="3336"/>
      <c r="P13365" s="3337"/>
    </row>
    <row r="13366" spans="7:16" s="1634" customFormat="1">
      <c r="G13366" s="3336"/>
      <c r="P13366" s="3337"/>
    </row>
    <row r="13367" spans="7:16" s="1634" customFormat="1">
      <c r="G13367" s="3336"/>
      <c r="P13367" s="3337"/>
    </row>
    <row r="13368" spans="7:16" s="1634" customFormat="1">
      <c r="G13368" s="3336"/>
      <c r="P13368" s="3337"/>
    </row>
    <row r="13369" spans="7:16" s="1634" customFormat="1">
      <c r="G13369" s="3336"/>
      <c r="P13369" s="3337"/>
    </row>
    <row r="13370" spans="7:16" s="1634" customFormat="1">
      <c r="G13370" s="3336"/>
      <c r="P13370" s="3337"/>
    </row>
    <row r="13371" spans="7:16" s="1634" customFormat="1">
      <c r="G13371" s="3336"/>
      <c r="P13371" s="3337"/>
    </row>
    <row r="13372" spans="7:16" s="1634" customFormat="1">
      <c r="G13372" s="3336"/>
      <c r="P13372" s="3337"/>
    </row>
    <row r="13373" spans="7:16" s="1634" customFormat="1">
      <c r="G13373" s="3336"/>
      <c r="P13373" s="3337"/>
    </row>
    <row r="13374" spans="7:16" s="1634" customFormat="1">
      <c r="G13374" s="3336"/>
      <c r="P13374" s="3337"/>
    </row>
    <row r="13375" spans="7:16" s="1634" customFormat="1">
      <c r="G13375" s="3336"/>
      <c r="P13375" s="3337"/>
    </row>
    <row r="13376" spans="7:16" s="1634" customFormat="1">
      <c r="G13376" s="3336"/>
      <c r="P13376" s="3337"/>
    </row>
    <row r="13377" spans="7:16" s="1634" customFormat="1">
      <c r="G13377" s="3336"/>
      <c r="P13377" s="3337"/>
    </row>
    <row r="13378" spans="7:16" s="1634" customFormat="1">
      <c r="G13378" s="3336"/>
      <c r="P13378" s="3337"/>
    </row>
    <row r="13379" spans="7:16" s="1634" customFormat="1">
      <c r="G13379" s="3336"/>
      <c r="P13379" s="3337"/>
    </row>
    <row r="13380" spans="7:16" s="1634" customFormat="1">
      <c r="G13380" s="3336"/>
      <c r="P13380" s="3337"/>
    </row>
    <row r="13381" spans="7:16" s="1634" customFormat="1">
      <c r="G13381" s="3336"/>
      <c r="P13381" s="3337"/>
    </row>
    <row r="13382" spans="7:16" s="1634" customFormat="1">
      <c r="G13382" s="3336"/>
      <c r="P13382" s="3337"/>
    </row>
    <row r="13383" spans="7:16" s="1634" customFormat="1">
      <c r="G13383" s="3336"/>
      <c r="P13383" s="3337"/>
    </row>
    <row r="13384" spans="7:16" s="1634" customFormat="1">
      <c r="G13384" s="3336"/>
      <c r="P13384" s="3337"/>
    </row>
    <row r="13385" spans="7:16" s="1634" customFormat="1">
      <c r="G13385" s="3336"/>
      <c r="P13385" s="3337"/>
    </row>
    <row r="13386" spans="7:16" s="1634" customFormat="1">
      <c r="G13386" s="3336"/>
      <c r="P13386" s="3337"/>
    </row>
    <row r="13387" spans="7:16" s="1634" customFormat="1">
      <c r="G13387" s="3336"/>
      <c r="P13387" s="3337"/>
    </row>
    <row r="13388" spans="7:16" s="1634" customFormat="1">
      <c r="G13388" s="3336"/>
      <c r="P13388" s="3337"/>
    </row>
    <row r="13389" spans="7:16" s="1634" customFormat="1">
      <c r="G13389" s="3336"/>
      <c r="P13389" s="3337"/>
    </row>
    <row r="13390" spans="7:16" s="1634" customFormat="1">
      <c r="G13390" s="3336"/>
      <c r="P13390" s="3337"/>
    </row>
    <row r="13391" spans="7:16" s="1634" customFormat="1">
      <c r="G13391" s="3336"/>
      <c r="P13391" s="3337"/>
    </row>
    <row r="13392" spans="7:16" s="1634" customFormat="1">
      <c r="G13392" s="3336"/>
      <c r="P13392" s="3337"/>
    </row>
    <row r="13393" spans="7:16" s="1634" customFormat="1">
      <c r="G13393" s="3336"/>
      <c r="P13393" s="3337"/>
    </row>
    <row r="13394" spans="7:16" s="1634" customFormat="1">
      <c r="G13394" s="3336"/>
      <c r="P13394" s="3337"/>
    </row>
    <row r="13395" spans="7:16" s="1634" customFormat="1">
      <c r="G13395" s="3336"/>
      <c r="P13395" s="3337"/>
    </row>
    <row r="13396" spans="7:16" s="1634" customFormat="1">
      <c r="G13396" s="3336"/>
      <c r="P13396" s="3337"/>
    </row>
    <row r="13397" spans="7:16" s="1634" customFormat="1">
      <c r="G13397" s="3336"/>
      <c r="P13397" s="3337"/>
    </row>
    <row r="13398" spans="7:16" s="1634" customFormat="1">
      <c r="G13398" s="3336"/>
      <c r="P13398" s="3337"/>
    </row>
    <row r="13399" spans="7:16" s="1634" customFormat="1">
      <c r="G13399" s="3336"/>
      <c r="P13399" s="3337"/>
    </row>
    <row r="13400" spans="7:16" s="1634" customFormat="1">
      <c r="G13400" s="3336"/>
      <c r="P13400" s="3337"/>
    </row>
    <row r="13401" spans="7:16" s="1634" customFormat="1">
      <c r="G13401" s="3336"/>
      <c r="P13401" s="3337"/>
    </row>
    <row r="13402" spans="7:16" s="1634" customFormat="1">
      <c r="G13402" s="3336"/>
      <c r="P13402" s="3337"/>
    </row>
    <row r="13403" spans="7:16" s="1634" customFormat="1">
      <c r="G13403" s="3336"/>
      <c r="P13403" s="3337"/>
    </row>
    <row r="13404" spans="7:16" s="1634" customFormat="1">
      <c r="G13404" s="3336"/>
      <c r="P13404" s="3337"/>
    </row>
    <row r="13405" spans="7:16" s="1634" customFormat="1">
      <c r="G13405" s="3336"/>
      <c r="P13405" s="3337"/>
    </row>
    <row r="13406" spans="7:16" s="1634" customFormat="1">
      <c r="G13406" s="3336"/>
      <c r="P13406" s="3337"/>
    </row>
    <row r="13407" spans="7:16" s="1634" customFormat="1">
      <c r="G13407" s="3336"/>
      <c r="P13407" s="3337"/>
    </row>
    <row r="13408" spans="7:16" s="1634" customFormat="1">
      <c r="G13408" s="3336"/>
      <c r="P13408" s="3337"/>
    </row>
    <row r="13409" spans="7:16" s="1634" customFormat="1">
      <c r="G13409" s="3336"/>
      <c r="P13409" s="3337"/>
    </row>
    <row r="13410" spans="7:16" s="1634" customFormat="1">
      <c r="G13410" s="3336"/>
      <c r="P13410" s="3337"/>
    </row>
    <row r="13411" spans="7:16" s="1634" customFormat="1">
      <c r="G13411" s="3336"/>
      <c r="P13411" s="3337"/>
    </row>
    <row r="13412" spans="7:16" s="1634" customFormat="1">
      <c r="G13412" s="3336"/>
      <c r="P13412" s="3337"/>
    </row>
    <row r="13413" spans="7:16" s="1634" customFormat="1">
      <c r="G13413" s="3336"/>
      <c r="P13413" s="3337"/>
    </row>
    <row r="13414" spans="7:16" s="1634" customFormat="1">
      <c r="G13414" s="3336"/>
      <c r="P13414" s="3337"/>
    </row>
    <row r="13415" spans="7:16" s="1634" customFormat="1">
      <c r="G13415" s="3336"/>
      <c r="P13415" s="3337"/>
    </row>
    <row r="13416" spans="7:16" s="1634" customFormat="1">
      <c r="G13416" s="3336"/>
      <c r="P13416" s="3337"/>
    </row>
    <row r="13417" spans="7:16" s="1634" customFormat="1">
      <c r="G13417" s="3336"/>
      <c r="P13417" s="3337"/>
    </row>
    <row r="13418" spans="7:16" s="1634" customFormat="1">
      <c r="G13418" s="3336"/>
      <c r="P13418" s="3337"/>
    </row>
    <row r="13419" spans="7:16" s="1634" customFormat="1">
      <c r="G13419" s="3336"/>
      <c r="P13419" s="3337"/>
    </row>
    <row r="13420" spans="7:16" s="1634" customFormat="1">
      <c r="G13420" s="3336"/>
      <c r="P13420" s="3337"/>
    </row>
    <row r="13421" spans="7:16" s="1634" customFormat="1">
      <c r="G13421" s="3336"/>
      <c r="P13421" s="3337"/>
    </row>
    <row r="13422" spans="7:16" s="1634" customFormat="1">
      <c r="G13422" s="3336"/>
      <c r="P13422" s="3337"/>
    </row>
    <row r="13423" spans="7:16" s="1634" customFormat="1">
      <c r="G13423" s="3336"/>
      <c r="P13423" s="3337"/>
    </row>
    <row r="13424" spans="7:16" s="1634" customFormat="1">
      <c r="G13424" s="3336"/>
      <c r="P13424" s="3337"/>
    </row>
    <row r="13425" spans="7:16" s="1634" customFormat="1">
      <c r="G13425" s="3336"/>
      <c r="P13425" s="3337"/>
    </row>
    <row r="13426" spans="7:16" s="1634" customFormat="1">
      <c r="G13426" s="3336"/>
      <c r="P13426" s="3337"/>
    </row>
    <row r="13427" spans="7:16" s="1634" customFormat="1">
      <c r="G13427" s="3336"/>
      <c r="P13427" s="3337"/>
    </row>
    <row r="13428" spans="7:16" s="1634" customFormat="1">
      <c r="G13428" s="3336"/>
      <c r="P13428" s="3337"/>
    </row>
    <row r="13429" spans="7:16" s="1634" customFormat="1">
      <c r="G13429" s="3336"/>
      <c r="P13429" s="3337"/>
    </row>
    <row r="13430" spans="7:16" s="1634" customFormat="1">
      <c r="G13430" s="3336"/>
      <c r="P13430" s="3337"/>
    </row>
    <row r="13431" spans="7:16" s="1634" customFormat="1">
      <c r="G13431" s="3336"/>
      <c r="P13431" s="3337"/>
    </row>
    <row r="13432" spans="7:16" s="1634" customFormat="1">
      <c r="G13432" s="3336"/>
      <c r="P13432" s="3337"/>
    </row>
    <row r="13433" spans="7:16" s="1634" customFormat="1">
      <c r="G13433" s="3336"/>
      <c r="P13433" s="3337"/>
    </row>
    <row r="13434" spans="7:16" s="1634" customFormat="1">
      <c r="G13434" s="3336"/>
      <c r="P13434" s="3337"/>
    </row>
    <row r="13435" spans="7:16" s="1634" customFormat="1">
      <c r="G13435" s="3336"/>
      <c r="P13435" s="3337"/>
    </row>
    <row r="13436" spans="7:16" s="1634" customFormat="1">
      <c r="G13436" s="3336"/>
      <c r="P13436" s="3337"/>
    </row>
    <row r="13437" spans="7:16" s="1634" customFormat="1">
      <c r="G13437" s="3336"/>
      <c r="P13437" s="3337"/>
    </row>
    <row r="13438" spans="7:16" s="1634" customFormat="1">
      <c r="G13438" s="3336"/>
      <c r="P13438" s="3337"/>
    </row>
    <row r="13439" spans="7:16" s="1634" customFormat="1">
      <c r="G13439" s="3336"/>
      <c r="P13439" s="3337"/>
    </row>
    <row r="13440" spans="7:16" s="1634" customFormat="1">
      <c r="G13440" s="3336"/>
      <c r="P13440" s="3337"/>
    </row>
    <row r="13441" spans="7:16" s="1634" customFormat="1">
      <c r="G13441" s="3336"/>
      <c r="P13441" s="3337"/>
    </row>
    <row r="13442" spans="7:16" s="1634" customFormat="1">
      <c r="G13442" s="3336"/>
      <c r="P13442" s="3337"/>
    </row>
    <row r="13443" spans="7:16" s="1634" customFormat="1">
      <c r="G13443" s="3336"/>
      <c r="P13443" s="3337"/>
    </row>
    <row r="13444" spans="7:16" s="1634" customFormat="1">
      <c r="G13444" s="3336"/>
      <c r="P13444" s="3337"/>
    </row>
    <row r="13445" spans="7:16" s="1634" customFormat="1">
      <c r="G13445" s="3336"/>
      <c r="P13445" s="3337"/>
    </row>
    <row r="13446" spans="7:16" s="1634" customFormat="1">
      <c r="G13446" s="3336"/>
      <c r="P13446" s="3337"/>
    </row>
    <row r="13447" spans="7:16" s="1634" customFormat="1">
      <c r="G13447" s="3336"/>
      <c r="P13447" s="3337"/>
    </row>
    <row r="13448" spans="7:16" s="1634" customFormat="1">
      <c r="G13448" s="3336"/>
      <c r="P13448" s="3337"/>
    </row>
    <row r="13449" spans="7:16" s="1634" customFormat="1">
      <c r="G13449" s="3336"/>
      <c r="P13449" s="3337"/>
    </row>
    <row r="13450" spans="7:16" s="1634" customFormat="1">
      <c r="G13450" s="3336"/>
      <c r="P13450" s="3337"/>
    </row>
    <row r="13451" spans="7:16" s="1634" customFormat="1">
      <c r="G13451" s="3336"/>
      <c r="P13451" s="3337"/>
    </row>
    <row r="13452" spans="7:16" s="1634" customFormat="1">
      <c r="G13452" s="3336"/>
      <c r="P13452" s="3337"/>
    </row>
    <row r="13453" spans="7:16" s="1634" customFormat="1">
      <c r="G13453" s="3336"/>
      <c r="P13453" s="3337"/>
    </row>
    <row r="13454" spans="7:16" s="1634" customFormat="1">
      <c r="G13454" s="3336"/>
      <c r="P13454" s="3337"/>
    </row>
    <row r="13455" spans="7:16" s="1634" customFormat="1">
      <c r="G13455" s="3336"/>
      <c r="P13455" s="3337"/>
    </row>
    <row r="13456" spans="7:16" s="1634" customFormat="1">
      <c r="G13456" s="3336"/>
      <c r="P13456" s="3337"/>
    </row>
    <row r="13457" spans="7:16" s="1634" customFormat="1">
      <c r="G13457" s="3336"/>
      <c r="P13457" s="3337"/>
    </row>
    <row r="13458" spans="7:16" s="1634" customFormat="1">
      <c r="G13458" s="3336"/>
      <c r="P13458" s="3337"/>
    </row>
    <row r="13459" spans="7:16" s="1634" customFormat="1">
      <c r="G13459" s="3336"/>
      <c r="P13459" s="3337"/>
    </row>
    <row r="13460" spans="7:16" s="1634" customFormat="1">
      <c r="G13460" s="3336"/>
      <c r="P13460" s="3337"/>
    </row>
    <row r="13461" spans="7:16" s="1634" customFormat="1">
      <c r="G13461" s="3336"/>
      <c r="P13461" s="3337"/>
    </row>
    <row r="13462" spans="7:16" s="1634" customFormat="1">
      <c r="G13462" s="3336"/>
      <c r="P13462" s="3337"/>
    </row>
    <row r="13463" spans="7:16" s="1634" customFormat="1">
      <c r="G13463" s="3336"/>
      <c r="P13463" s="3337"/>
    </row>
    <row r="13464" spans="7:16" s="1634" customFormat="1">
      <c r="G13464" s="3336"/>
      <c r="P13464" s="3337"/>
    </row>
    <row r="13465" spans="7:16" s="1634" customFormat="1">
      <c r="G13465" s="3336"/>
      <c r="P13465" s="3337"/>
    </row>
    <row r="13466" spans="7:16" s="1634" customFormat="1">
      <c r="G13466" s="3336"/>
      <c r="P13466" s="3337"/>
    </row>
    <row r="13467" spans="7:16" s="1634" customFormat="1">
      <c r="G13467" s="3336"/>
      <c r="P13467" s="3337"/>
    </row>
    <row r="13468" spans="7:16" s="1634" customFormat="1">
      <c r="G13468" s="3336"/>
      <c r="P13468" s="3337"/>
    </row>
    <row r="13469" spans="7:16" s="1634" customFormat="1">
      <c r="G13469" s="3336"/>
      <c r="P13469" s="3337"/>
    </row>
    <row r="13470" spans="7:16" s="1634" customFormat="1">
      <c r="G13470" s="3336"/>
      <c r="P13470" s="3337"/>
    </row>
    <row r="13471" spans="7:16" s="1634" customFormat="1">
      <c r="G13471" s="3336"/>
      <c r="P13471" s="3337"/>
    </row>
    <row r="13472" spans="7:16" s="1634" customFormat="1">
      <c r="G13472" s="3336"/>
      <c r="P13472" s="3337"/>
    </row>
    <row r="13473" spans="7:16" s="1634" customFormat="1">
      <c r="G13473" s="3336"/>
      <c r="P13473" s="3337"/>
    </row>
    <row r="13474" spans="7:16" s="1634" customFormat="1">
      <c r="G13474" s="3336"/>
      <c r="P13474" s="3337"/>
    </row>
    <row r="13475" spans="7:16" s="1634" customFormat="1">
      <c r="G13475" s="3336"/>
      <c r="P13475" s="3337"/>
    </row>
    <row r="13476" spans="7:16" s="1634" customFormat="1">
      <c r="G13476" s="3336"/>
      <c r="P13476" s="3337"/>
    </row>
    <row r="13477" spans="7:16" s="1634" customFormat="1">
      <c r="G13477" s="3336"/>
      <c r="P13477" s="3337"/>
    </row>
    <row r="13478" spans="7:16" s="1634" customFormat="1">
      <c r="G13478" s="3336"/>
      <c r="P13478" s="3337"/>
    </row>
    <row r="13479" spans="7:16" s="1634" customFormat="1">
      <c r="G13479" s="3336"/>
      <c r="P13479" s="3337"/>
    </row>
    <row r="13480" spans="7:16" s="1634" customFormat="1">
      <c r="G13480" s="3336"/>
      <c r="P13480" s="3337"/>
    </row>
    <row r="13481" spans="7:16" s="1634" customFormat="1">
      <c r="G13481" s="3336"/>
      <c r="P13481" s="3337"/>
    </row>
    <row r="13482" spans="7:16" s="1634" customFormat="1">
      <c r="G13482" s="3336"/>
      <c r="P13482" s="3337"/>
    </row>
    <row r="13483" spans="7:16" s="1634" customFormat="1">
      <c r="G13483" s="3336"/>
      <c r="P13483" s="3337"/>
    </row>
    <row r="13484" spans="7:16" s="1634" customFormat="1">
      <c r="G13484" s="3336"/>
      <c r="P13484" s="3337"/>
    </row>
    <row r="13485" spans="7:16" s="1634" customFormat="1">
      <c r="G13485" s="3336"/>
      <c r="P13485" s="3337"/>
    </row>
    <row r="13486" spans="7:16" s="1634" customFormat="1">
      <c r="G13486" s="3336"/>
      <c r="P13486" s="3337"/>
    </row>
    <row r="13487" spans="7:16" s="1634" customFormat="1">
      <c r="G13487" s="3336"/>
      <c r="P13487" s="3337"/>
    </row>
    <row r="13488" spans="7:16" s="1634" customFormat="1">
      <c r="G13488" s="3336"/>
      <c r="P13488" s="3337"/>
    </row>
    <row r="13489" spans="7:16" s="1634" customFormat="1">
      <c r="G13489" s="3336"/>
      <c r="P13489" s="3337"/>
    </row>
    <row r="13490" spans="7:16" s="1634" customFormat="1">
      <c r="G13490" s="3336"/>
      <c r="P13490" s="3337"/>
    </row>
    <row r="13491" spans="7:16" s="1634" customFormat="1">
      <c r="G13491" s="3336"/>
      <c r="P13491" s="3337"/>
    </row>
    <row r="13492" spans="7:16" s="1634" customFormat="1">
      <c r="G13492" s="3336"/>
      <c r="P13492" s="3337"/>
    </row>
    <row r="13493" spans="7:16" s="1634" customFormat="1">
      <c r="G13493" s="3336"/>
      <c r="P13493" s="3337"/>
    </row>
    <row r="13494" spans="7:16" s="1634" customFormat="1">
      <c r="G13494" s="3336"/>
      <c r="P13494" s="3337"/>
    </row>
    <row r="13495" spans="7:16" s="1634" customFormat="1">
      <c r="G13495" s="3336"/>
      <c r="P13495" s="3337"/>
    </row>
    <row r="13496" spans="7:16" s="1634" customFormat="1">
      <c r="G13496" s="3336"/>
      <c r="P13496" s="3337"/>
    </row>
    <row r="13497" spans="7:16" s="1634" customFormat="1">
      <c r="G13497" s="3336"/>
      <c r="P13497" s="3337"/>
    </row>
    <row r="13498" spans="7:16" s="1634" customFormat="1">
      <c r="G13498" s="3336"/>
      <c r="P13498" s="3337"/>
    </row>
    <row r="13499" spans="7:16" s="1634" customFormat="1">
      <c r="G13499" s="3336"/>
      <c r="P13499" s="3337"/>
    </row>
    <row r="13500" spans="7:16" s="1634" customFormat="1">
      <c r="G13500" s="3336"/>
      <c r="P13500" s="3337"/>
    </row>
    <row r="13501" spans="7:16" s="1634" customFormat="1">
      <c r="G13501" s="3336"/>
      <c r="P13501" s="3337"/>
    </row>
    <row r="13502" spans="7:16" s="1634" customFormat="1">
      <c r="G13502" s="3336"/>
      <c r="P13502" s="3337"/>
    </row>
    <row r="13503" spans="7:16" s="1634" customFormat="1">
      <c r="G13503" s="3336"/>
      <c r="P13503" s="3337"/>
    </row>
    <row r="13504" spans="7:16" s="1634" customFormat="1">
      <c r="G13504" s="3336"/>
      <c r="P13504" s="3337"/>
    </row>
    <row r="13505" spans="7:16" s="1634" customFormat="1">
      <c r="G13505" s="3336"/>
      <c r="P13505" s="3337"/>
    </row>
    <row r="13506" spans="7:16" s="1634" customFormat="1">
      <c r="G13506" s="3336"/>
      <c r="P13506" s="3337"/>
    </row>
    <row r="13507" spans="7:16" s="1634" customFormat="1">
      <c r="G13507" s="3336"/>
      <c r="P13507" s="3337"/>
    </row>
    <row r="13508" spans="7:16" s="1634" customFormat="1">
      <c r="G13508" s="3336"/>
      <c r="P13508" s="3337"/>
    </row>
    <row r="13509" spans="7:16" s="1634" customFormat="1">
      <c r="G13509" s="3336"/>
      <c r="P13509" s="3337"/>
    </row>
    <row r="13510" spans="7:16" s="1634" customFormat="1">
      <c r="G13510" s="3336"/>
      <c r="P13510" s="3337"/>
    </row>
    <row r="13511" spans="7:16" s="1634" customFormat="1">
      <c r="G13511" s="3336"/>
      <c r="P13511" s="3337"/>
    </row>
    <row r="13512" spans="7:16" s="1634" customFormat="1">
      <c r="G13512" s="3336"/>
      <c r="P13512" s="3337"/>
    </row>
    <row r="13513" spans="7:16" s="1634" customFormat="1">
      <c r="G13513" s="3336"/>
      <c r="P13513" s="3337"/>
    </row>
    <row r="13514" spans="7:16" s="1634" customFormat="1">
      <c r="G13514" s="3336"/>
      <c r="P13514" s="3337"/>
    </row>
    <row r="13515" spans="7:16" s="1634" customFormat="1">
      <c r="G13515" s="3336"/>
      <c r="P13515" s="3337"/>
    </row>
    <row r="13516" spans="7:16" s="1634" customFormat="1">
      <c r="G13516" s="3336"/>
      <c r="P13516" s="3337"/>
    </row>
    <row r="13517" spans="7:16" s="1634" customFormat="1">
      <c r="G13517" s="3336"/>
      <c r="P13517" s="3337"/>
    </row>
    <row r="13518" spans="7:16" s="1634" customFormat="1">
      <c r="G13518" s="3336"/>
      <c r="P13518" s="3337"/>
    </row>
    <row r="13519" spans="7:16" s="1634" customFormat="1">
      <c r="G13519" s="3336"/>
      <c r="P13519" s="3337"/>
    </row>
    <row r="13520" spans="7:16" s="1634" customFormat="1">
      <c r="G13520" s="3336"/>
      <c r="P13520" s="3337"/>
    </row>
    <row r="13521" spans="7:16" s="1634" customFormat="1">
      <c r="G13521" s="3336"/>
      <c r="P13521" s="3337"/>
    </row>
    <row r="13522" spans="7:16" s="1634" customFormat="1">
      <c r="G13522" s="3336"/>
      <c r="P13522" s="3337"/>
    </row>
    <row r="13523" spans="7:16" s="1634" customFormat="1">
      <c r="G13523" s="3336"/>
      <c r="P13523" s="3337"/>
    </row>
    <row r="13524" spans="7:16" s="1634" customFormat="1">
      <c r="G13524" s="3336"/>
      <c r="P13524" s="3337"/>
    </row>
    <row r="13525" spans="7:16" s="1634" customFormat="1">
      <c r="G13525" s="3336"/>
      <c r="P13525" s="3337"/>
    </row>
    <row r="13526" spans="7:16" s="1634" customFormat="1">
      <c r="G13526" s="3336"/>
      <c r="P13526" s="3337"/>
    </row>
    <row r="13527" spans="7:16" s="1634" customFormat="1">
      <c r="G13527" s="3336"/>
      <c r="P13527" s="3337"/>
    </row>
    <row r="13528" spans="7:16" s="1634" customFormat="1">
      <c r="G13528" s="3336"/>
      <c r="P13528" s="3337"/>
    </row>
    <row r="13529" spans="7:16" s="1634" customFormat="1">
      <c r="G13529" s="3336"/>
      <c r="P13529" s="3337"/>
    </row>
    <row r="13530" spans="7:16" s="1634" customFormat="1">
      <c r="G13530" s="3336"/>
      <c r="P13530" s="3337"/>
    </row>
    <row r="13531" spans="7:16" s="1634" customFormat="1">
      <c r="G13531" s="3336"/>
      <c r="P13531" s="3337"/>
    </row>
    <row r="13532" spans="7:16" s="1634" customFormat="1">
      <c r="G13532" s="3336"/>
      <c r="P13532" s="3337"/>
    </row>
    <row r="13533" spans="7:16" s="1634" customFormat="1">
      <c r="G13533" s="3336"/>
      <c r="P13533" s="3337"/>
    </row>
    <row r="13534" spans="7:16" s="1634" customFormat="1">
      <c r="G13534" s="3336"/>
      <c r="P13534" s="3337"/>
    </row>
    <row r="13535" spans="7:16" s="1634" customFormat="1">
      <c r="G13535" s="3336"/>
      <c r="P13535" s="3337"/>
    </row>
    <row r="13536" spans="7:16" s="1634" customFormat="1">
      <c r="G13536" s="3336"/>
      <c r="P13536" s="3337"/>
    </row>
    <row r="13537" spans="7:16" s="1634" customFormat="1">
      <c r="G13537" s="3336"/>
      <c r="P13537" s="3337"/>
    </row>
    <row r="13538" spans="7:16" s="1634" customFormat="1">
      <c r="G13538" s="3336"/>
      <c r="P13538" s="3337"/>
    </row>
    <row r="13539" spans="7:16" s="1634" customFormat="1">
      <c r="G13539" s="3336"/>
      <c r="P13539" s="3337"/>
    </row>
    <row r="13540" spans="7:16" s="1634" customFormat="1">
      <c r="G13540" s="3336"/>
      <c r="P13540" s="3337"/>
    </row>
    <row r="13541" spans="7:16" s="1634" customFormat="1">
      <c r="G13541" s="3336"/>
      <c r="P13541" s="3337"/>
    </row>
    <row r="13542" spans="7:16" s="1634" customFormat="1">
      <c r="G13542" s="3336"/>
      <c r="P13542" s="3337"/>
    </row>
    <row r="13543" spans="7:16" s="1634" customFormat="1">
      <c r="G13543" s="3336"/>
      <c r="P13543" s="3337"/>
    </row>
    <row r="13544" spans="7:16" s="1634" customFormat="1">
      <c r="G13544" s="3336"/>
      <c r="P13544" s="3337"/>
    </row>
    <row r="13545" spans="7:16" s="1634" customFormat="1">
      <c r="G13545" s="3336"/>
      <c r="P13545" s="3337"/>
    </row>
    <row r="13546" spans="7:16" s="1634" customFormat="1">
      <c r="G13546" s="3336"/>
      <c r="P13546" s="3337"/>
    </row>
    <row r="13547" spans="7:16" s="1634" customFormat="1">
      <c r="G13547" s="3336"/>
      <c r="P13547" s="3337"/>
    </row>
    <row r="13548" spans="7:16" s="1634" customFormat="1">
      <c r="G13548" s="3336"/>
      <c r="P13548" s="3337"/>
    </row>
    <row r="13549" spans="7:16" s="1634" customFormat="1">
      <c r="G13549" s="3336"/>
      <c r="P13549" s="3337"/>
    </row>
    <row r="13550" spans="7:16" s="1634" customFormat="1">
      <c r="G13550" s="3336"/>
      <c r="P13550" s="3337"/>
    </row>
    <row r="13551" spans="7:16" s="1634" customFormat="1">
      <c r="G13551" s="3336"/>
      <c r="P13551" s="3337"/>
    </row>
    <row r="13552" spans="7:16" s="1634" customFormat="1">
      <c r="G13552" s="3336"/>
      <c r="P13552" s="3337"/>
    </row>
    <row r="13553" spans="7:16" s="1634" customFormat="1">
      <c r="G13553" s="3336"/>
      <c r="P13553" s="3337"/>
    </row>
    <row r="13554" spans="7:16" s="1634" customFormat="1">
      <c r="G13554" s="3336"/>
      <c r="P13554" s="3337"/>
    </row>
    <row r="13555" spans="7:16" s="1634" customFormat="1">
      <c r="G13555" s="3336"/>
      <c r="P13555" s="3337"/>
    </row>
    <row r="13556" spans="7:16" s="1634" customFormat="1">
      <c r="G13556" s="3336"/>
      <c r="P13556" s="3337"/>
    </row>
    <row r="13557" spans="7:16" s="1634" customFormat="1">
      <c r="G13557" s="3336"/>
      <c r="P13557" s="3337"/>
    </row>
    <row r="13558" spans="7:16" s="1634" customFormat="1">
      <c r="G13558" s="3336"/>
      <c r="P13558" s="3337"/>
    </row>
    <row r="13559" spans="7:16" s="1634" customFormat="1">
      <c r="G13559" s="3336"/>
      <c r="P13559" s="3337"/>
    </row>
    <row r="13560" spans="7:16" s="1634" customFormat="1">
      <c r="G13560" s="3336"/>
      <c r="P13560" s="3337"/>
    </row>
    <row r="13561" spans="7:16" s="1634" customFormat="1">
      <c r="G13561" s="3336"/>
      <c r="P13561" s="3337"/>
    </row>
    <row r="13562" spans="7:16" s="1634" customFormat="1">
      <c r="G13562" s="3336"/>
      <c r="P13562" s="3337"/>
    </row>
    <row r="13563" spans="7:16" s="1634" customFormat="1">
      <c r="G13563" s="3336"/>
      <c r="P13563" s="3337"/>
    </row>
    <row r="13564" spans="7:16" s="1634" customFormat="1">
      <c r="G13564" s="3336"/>
      <c r="P13564" s="3337"/>
    </row>
    <row r="13565" spans="7:16" s="1634" customFormat="1">
      <c r="G13565" s="3336"/>
      <c r="P13565" s="3337"/>
    </row>
    <row r="13566" spans="7:16" s="1634" customFormat="1">
      <c r="G13566" s="3336"/>
      <c r="P13566" s="3337"/>
    </row>
    <row r="13567" spans="7:16" s="1634" customFormat="1">
      <c r="G13567" s="3336"/>
      <c r="P13567" s="3337"/>
    </row>
    <row r="13568" spans="7:16" s="1634" customFormat="1">
      <c r="G13568" s="3336"/>
      <c r="P13568" s="3337"/>
    </row>
    <row r="13569" spans="7:16" s="1634" customFormat="1">
      <c r="G13569" s="3336"/>
      <c r="P13569" s="3337"/>
    </row>
    <row r="13570" spans="7:16" s="1634" customFormat="1">
      <c r="G13570" s="3336"/>
      <c r="P13570" s="3337"/>
    </row>
    <row r="13571" spans="7:16" s="1634" customFormat="1">
      <c r="G13571" s="3336"/>
      <c r="P13571" s="3337"/>
    </row>
    <row r="13572" spans="7:16" s="1634" customFormat="1">
      <c r="G13572" s="3336"/>
      <c r="P13572" s="3337"/>
    </row>
    <row r="13573" spans="7:16" s="1634" customFormat="1">
      <c r="G13573" s="3336"/>
      <c r="P13573" s="3337"/>
    </row>
    <row r="13574" spans="7:16" s="1634" customFormat="1">
      <c r="G13574" s="3336"/>
      <c r="P13574" s="3337"/>
    </row>
    <row r="13575" spans="7:16" s="1634" customFormat="1">
      <c r="G13575" s="3336"/>
      <c r="P13575" s="3337"/>
    </row>
    <row r="13576" spans="7:16" s="1634" customFormat="1">
      <c r="G13576" s="3336"/>
      <c r="P13576" s="3337"/>
    </row>
    <row r="13577" spans="7:16" s="1634" customFormat="1">
      <c r="G13577" s="3336"/>
      <c r="P13577" s="3337"/>
    </row>
    <row r="13578" spans="7:16" s="1634" customFormat="1">
      <c r="G13578" s="3336"/>
      <c r="P13578" s="3337"/>
    </row>
    <row r="13579" spans="7:16" s="1634" customFormat="1">
      <c r="G13579" s="3336"/>
      <c r="P13579" s="3337"/>
    </row>
    <row r="13580" spans="7:16" s="1634" customFormat="1">
      <c r="G13580" s="3336"/>
      <c r="P13580" s="3337"/>
    </row>
    <row r="13581" spans="7:16" s="1634" customFormat="1">
      <c r="G13581" s="3336"/>
      <c r="P13581" s="3337"/>
    </row>
    <row r="13582" spans="7:16" s="1634" customFormat="1">
      <c r="G13582" s="3336"/>
      <c r="P13582" s="3337"/>
    </row>
    <row r="13583" spans="7:16" s="1634" customFormat="1">
      <c r="G13583" s="3336"/>
      <c r="P13583" s="3337"/>
    </row>
    <row r="13584" spans="7:16" s="1634" customFormat="1">
      <c r="G13584" s="3336"/>
      <c r="P13584" s="3337"/>
    </row>
    <row r="13585" spans="7:16" s="1634" customFormat="1">
      <c r="G13585" s="3336"/>
      <c r="P13585" s="3337"/>
    </row>
    <row r="13586" spans="7:16" s="1634" customFormat="1">
      <c r="G13586" s="3336"/>
      <c r="P13586" s="3337"/>
    </row>
    <row r="13587" spans="7:16" s="1634" customFormat="1">
      <c r="G13587" s="3336"/>
      <c r="P13587" s="3337"/>
    </row>
    <row r="13588" spans="7:16" s="1634" customFormat="1">
      <c r="G13588" s="3336"/>
      <c r="P13588" s="3337"/>
    </row>
    <row r="13589" spans="7:16" s="1634" customFormat="1">
      <c r="G13589" s="3336"/>
      <c r="P13589" s="3337"/>
    </row>
    <row r="13590" spans="7:16" s="1634" customFormat="1">
      <c r="G13590" s="3336"/>
      <c r="P13590" s="3337"/>
    </row>
    <row r="13591" spans="7:16" s="1634" customFormat="1">
      <c r="G13591" s="3336"/>
      <c r="P13591" s="3337"/>
    </row>
    <row r="13592" spans="7:16" s="1634" customFormat="1">
      <c r="G13592" s="3336"/>
      <c r="P13592" s="3337"/>
    </row>
    <row r="13593" spans="7:16" s="1634" customFormat="1">
      <c r="G13593" s="3336"/>
      <c r="P13593" s="3337"/>
    </row>
    <row r="13594" spans="7:16" s="1634" customFormat="1">
      <c r="G13594" s="3336"/>
      <c r="P13594" s="3337"/>
    </row>
    <row r="13595" spans="7:16" s="1634" customFormat="1">
      <c r="G13595" s="3336"/>
      <c r="P13595" s="3337"/>
    </row>
    <row r="13596" spans="7:16" s="1634" customFormat="1">
      <c r="G13596" s="3336"/>
      <c r="P13596" s="3337"/>
    </row>
    <row r="13597" spans="7:16" s="1634" customFormat="1">
      <c r="G13597" s="3336"/>
      <c r="P13597" s="3337"/>
    </row>
    <row r="13598" spans="7:16" s="1634" customFormat="1">
      <c r="G13598" s="3336"/>
      <c r="P13598" s="3337"/>
    </row>
    <row r="13599" spans="7:16" s="1634" customFormat="1">
      <c r="G13599" s="3336"/>
      <c r="P13599" s="3337"/>
    </row>
    <row r="13600" spans="7:16" s="1634" customFormat="1">
      <c r="G13600" s="3336"/>
      <c r="P13600" s="3337"/>
    </row>
    <row r="13601" spans="7:16" s="1634" customFormat="1">
      <c r="G13601" s="3336"/>
      <c r="P13601" s="3337"/>
    </row>
    <row r="13602" spans="7:16" s="1634" customFormat="1">
      <c r="G13602" s="3336"/>
      <c r="P13602" s="3337"/>
    </row>
    <row r="13603" spans="7:16" s="1634" customFormat="1">
      <c r="G13603" s="3336"/>
      <c r="P13603" s="3337"/>
    </row>
    <row r="13604" spans="7:16" s="1634" customFormat="1">
      <c r="G13604" s="3336"/>
      <c r="P13604" s="3337"/>
    </row>
    <row r="13605" spans="7:16" s="1634" customFormat="1">
      <c r="G13605" s="3336"/>
      <c r="P13605" s="3337"/>
    </row>
    <row r="13606" spans="7:16" s="1634" customFormat="1">
      <c r="G13606" s="3336"/>
      <c r="P13606" s="3337"/>
    </row>
    <row r="13607" spans="7:16" s="1634" customFormat="1">
      <c r="G13607" s="3336"/>
      <c r="P13607" s="3337"/>
    </row>
    <row r="13608" spans="7:16" s="1634" customFormat="1">
      <c r="G13608" s="3336"/>
      <c r="P13608" s="3337"/>
    </row>
    <row r="13609" spans="7:16" s="1634" customFormat="1">
      <c r="G13609" s="3336"/>
      <c r="P13609" s="3337"/>
    </row>
    <row r="13610" spans="7:16" s="1634" customFormat="1">
      <c r="G13610" s="3336"/>
      <c r="P13610" s="3337"/>
    </row>
    <row r="13611" spans="7:16" s="1634" customFormat="1">
      <c r="G13611" s="3336"/>
      <c r="P13611" s="3337"/>
    </row>
    <row r="13612" spans="7:16" s="1634" customFormat="1">
      <c r="G13612" s="3336"/>
      <c r="P13612" s="3337"/>
    </row>
    <row r="13613" spans="7:16" s="1634" customFormat="1">
      <c r="G13613" s="3336"/>
      <c r="P13613" s="3337"/>
    </row>
    <row r="13614" spans="7:16" s="1634" customFormat="1">
      <c r="G13614" s="3336"/>
      <c r="P13614" s="3337"/>
    </row>
    <row r="13615" spans="7:16" s="1634" customFormat="1">
      <c r="G13615" s="3336"/>
      <c r="P13615" s="3337"/>
    </row>
    <row r="13616" spans="7:16" s="1634" customFormat="1">
      <c r="G13616" s="3336"/>
      <c r="P13616" s="3337"/>
    </row>
    <row r="13617" spans="7:16" s="1634" customFormat="1">
      <c r="G13617" s="3336"/>
      <c r="P13617" s="3337"/>
    </row>
    <row r="13618" spans="7:16" s="1634" customFormat="1">
      <c r="G13618" s="3336"/>
      <c r="P13618" s="3337"/>
    </row>
    <row r="13619" spans="7:16" s="1634" customFormat="1">
      <c r="G13619" s="3336"/>
      <c r="P13619" s="3337"/>
    </row>
    <row r="13620" spans="7:16" s="1634" customFormat="1">
      <c r="G13620" s="3336"/>
      <c r="P13620" s="3337"/>
    </row>
    <row r="13621" spans="7:16" s="1634" customFormat="1">
      <c r="G13621" s="3336"/>
      <c r="P13621" s="3337"/>
    </row>
    <row r="13622" spans="7:16" s="1634" customFormat="1">
      <c r="G13622" s="3336"/>
      <c r="P13622" s="3337"/>
    </row>
    <row r="13623" spans="7:16" s="1634" customFormat="1">
      <c r="G13623" s="3336"/>
      <c r="P13623" s="3337"/>
    </row>
    <row r="13624" spans="7:16" s="1634" customFormat="1">
      <c r="G13624" s="3336"/>
      <c r="P13624" s="3337"/>
    </row>
    <row r="13625" spans="7:16" s="1634" customFormat="1">
      <c r="G13625" s="3336"/>
      <c r="P13625" s="3337"/>
    </row>
    <row r="13626" spans="7:16" s="1634" customFormat="1">
      <c r="G13626" s="3336"/>
      <c r="P13626" s="3337"/>
    </row>
    <row r="13627" spans="7:16" s="1634" customFormat="1">
      <c r="G13627" s="3336"/>
      <c r="P13627" s="3337"/>
    </row>
    <row r="13628" spans="7:16" s="1634" customFormat="1">
      <c r="G13628" s="3336"/>
      <c r="P13628" s="3337"/>
    </row>
    <row r="13629" spans="7:16" s="1634" customFormat="1">
      <c r="G13629" s="3336"/>
      <c r="P13629" s="3337"/>
    </row>
    <row r="13630" spans="7:16" s="1634" customFormat="1">
      <c r="G13630" s="3336"/>
      <c r="P13630" s="3337"/>
    </row>
    <row r="13631" spans="7:16" s="1634" customFormat="1">
      <c r="G13631" s="3336"/>
      <c r="P13631" s="3337"/>
    </row>
    <row r="13632" spans="7:16" s="1634" customFormat="1">
      <c r="G13632" s="3336"/>
      <c r="P13632" s="3337"/>
    </row>
    <row r="13633" spans="7:16" s="1634" customFormat="1">
      <c r="G13633" s="3336"/>
      <c r="P13633" s="3337"/>
    </row>
    <row r="13634" spans="7:16" s="1634" customFormat="1">
      <c r="G13634" s="3336"/>
      <c r="P13634" s="3337"/>
    </row>
    <row r="13635" spans="7:16" s="1634" customFormat="1">
      <c r="G13635" s="3336"/>
      <c r="P13635" s="3337"/>
    </row>
    <row r="13636" spans="7:16" s="1634" customFormat="1">
      <c r="G13636" s="3336"/>
      <c r="P13636" s="3337"/>
    </row>
    <row r="13637" spans="7:16" s="1634" customFormat="1">
      <c r="G13637" s="3336"/>
      <c r="P13637" s="3337"/>
    </row>
    <row r="13638" spans="7:16" s="1634" customFormat="1">
      <c r="G13638" s="3336"/>
      <c r="P13638" s="3337"/>
    </row>
    <row r="13639" spans="7:16" s="1634" customFormat="1">
      <c r="G13639" s="3336"/>
      <c r="P13639" s="3337"/>
    </row>
    <row r="13640" spans="7:16" s="1634" customFormat="1">
      <c r="G13640" s="3336"/>
      <c r="P13640" s="3337"/>
    </row>
    <row r="13641" spans="7:16" s="1634" customFormat="1">
      <c r="G13641" s="3336"/>
      <c r="P13641" s="3337"/>
    </row>
    <row r="13642" spans="7:16" s="1634" customFormat="1">
      <c r="G13642" s="3336"/>
      <c r="P13642" s="3337"/>
    </row>
    <row r="13643" spans="7:16" s="1634" customFormat="1">
      <c r="G13643" s="3336"/>
      <c r="P13643" s="3337"/>
    </row>
    <row r="13644" spans="7:16" s="1634" customFormat="1">
      <c r="G13644" s="3336"/>
      <c r="P13644" s="3337"/>
    </row>
    <row r="13645" spans="7:16" s="1634" customFormat="1">
      <c r="G13645" s="3336"/>
      <c r="P13645" s="3337"/>
    </row>
    <row r="13646" spans="7:16" s="1634" customFormat="1">
      <c r="G13646" s="3336"/>
      <c r="P13646" s="3337"/>
    </row>
    <row r="13647" spans="7:16" s="1634" customFormat="1">
      <c r="G13647" s="3336"/>
      <c r="P13647" s="3337"/>
    </row>
    <row r="13648" spans="7:16" s="1634" customFormat="1">
      <c r="G13648" s="3336"/>
      <c r="P13648" s="3337"/>
    </row>
    <row r="13649" spans="7:16" s="1634" customFormat="1">
      <c r="G13649" s="3336"/>
      <c r="P13649" s="3337"/>
    </row>
    <row r="13650" spans="7:16" s="1634" customFormat="1">
      <c r="G13650" s="3336"/>
      <c r="P13650" s="3337"/>
    </row>
    <row r="13651" spans="7:16" s="1634" customFormat="1">
      <c r="G13651" s="3336"/>
      <c r="P13651" s="3337"/>
    </row>
    <row r="13652" spans="7:16" s="1634" customFormat="1">
      <c r="G13652" s="3336"/>
      <c r="P13652" s="3337"/>
    </row>
    <row r="13653" spans="7:16" s="1634" customFormat="1">
      <c r="G13653" s="3336"/>
      <c r="P13653" s="3337"/>
    </row>
    <row r="13654" spans="7:16" s="1634" customFormat="1">
      <c r="G13654" s="3336"/>
      <c r="P13654" s="3337"/>
    </row>
    <row r="13655" spans="7:16" s="1634" customFormat="1">
      <c r="G13655" s="3336"/>
      <c r="P13655" s="3337"/>
    </row>
    <row r="13656" spans="7:16" s="1634" customFormat="1">
      <c r="G13656" s="3336"/>
      <c r="P13656" s="3337"/>
    </row>
    <row r="13657" spans="7:16" s="1634" customFormat="1">
      <c r="G13657" s="3336"/>
      <c r="P13657" s="3337"/>
    </row>
    <row r="13658" spans="7:16" s="1634" customFormat="1">
      <c r="G13658" s="3336"/>
      <c r="P13658" s="3337"/>
    </row>
    <row r="13659" spans="7:16" s="1634" customFormat="1">
      <c r="G13659" s="3336"/>
      <c r="P13659" s="3337"/>
    </row>
    <row r="13660" spans="7:16" s="1634" customFormat="1">
      <c r="G13660" s="3336"/>
      <c r="P13660" s="3337"/>
    </row>
    <row r="13661" spans="7:16" s="1634" customFormat="1">
      <c r="G13661" s="3336"/>
      <c r="P13661" s="3337"/>
    </row>
    <row r="13662" spans="7:16" s="1634" customFormat="1">
      <c r="G13662" s="3336"/>
      <c r="P13662" s="3337"/>
    </row>
    <row r="13663" spans="7:16" s="1634" customFormat="1">
      <c r="G13663" s="3336"/>
      <c r="P13663" s="3337"/>
    </row>
    <row r="13664" spans="7:16" s="1634" customFormat="1">
      <c r="G13664" s="3336"/>
      <c r="P13664" s="3337"/>
    </row>
    <row r="13665" spans="7:16" s="1634" customFormat="1">
      <c r="G13665" s="3336"/>
      <c r="P13665" s="3337"/>
    </row>
    <row r="13666" spans="7:16" s="1634" customFormat="1">
      <c r="G13666" s="3336"/>
      <c r="P13666" s="3337"/>
    </row>
    <row r="13667" spans="7:16" s="1634" customFormat="1">
      <c r="G13667" s="3336"/>
      <c r="P13667" s="3337"/>
    </row>
    <row r="13668" spans="7:16" s="1634" customFormat="1">
      <c r="G13668" s="3336"/>
      <c r="P13668" s="3337"/>
    </row>
    <row r="13669" spans="7:16" s="1634" customFormat="1">
      <c r="G13669" s="3336"/>
      <c r="P13669" s="3337"/>
    </row>
    <row r="13670" spans="7:16" s="1634" customFormat="1">
      <c r="G13670" s="3336"/>
      <c r="P13670" s="3337"/>
    </row>
    <row r="13671" spans="7:16" s="1634" customFormat="1">
      <c r="G13671" s="3336"/>
      <c r="P13671" s="3337"/>
    </row>
    <row r="13672" spans="7:16" s="1634" customFormat="1">
      <c r="G13672" s="3336"/>
      <c r="P13672" s="3337"/>
    </row>
    <row r="13673" spans="7:16" s="1634" customFormat="1">
      <c r="G13673" s="3336"/>
      <c r="P13673" s="3337"/>
    </row>
    <row r="13674" spans="7:16" s="1634" customFormat="1">
      <c r="G13674" s="3336"/>
      <c r="P13674" s="3337"/>
    </row>
    <row r="13675" spans="7:16" s="1634" customFormat="1">
      <c r="G13675" s="3336"/>
      <c r="P13675" s="3337"/>
    </row>
    <row r="13676" spans="7:16" s="1634" customFormat="1">
      <c r="G13676" s="3336"/>
      <c r="P13676" s="3337"/>
    </row>
    <row r="13677" spans="7:16" s="1634" customFormat="1">
      <c r="G13677" s="3336"/>
      <c r="P13677" s="3337"/>
    </row>
    <row r="13678" spans="7:16" s="1634" customFormat="1">
      <c r="G13678" s="3336"/>
      <c r="P13678" s="3337"/>
    </row>
    <row r="13679" spans="7:16" s="1634" customFormat="1">
      <c r="G13679" s="3336"/>
      <c r="P13679" s="3337"/>
    </row>
    <row r="13680" spans="7:16" s="1634" customFormat="1">
      <c r="G13680" s="3336"/>
      <c r="P13680" s="3337"/>
    </row>
    <row r="13681" spans="7:16" s="1634" customFormat="1">
      <c r="G13681" s="3336"/>
      <c r="P13681" s="3337"/>
    </row>
    <row r="13682" spans="7:16" s="1634" customFormat="1">
      <c r="G13682" s="3336"/>
      <c r="P13682" s="3337"/>
    </row>
    <row r="13683" spans="7:16" s="1634" customFormat="1">
      <c r="G13683" s="3336"/>
      <c r="P13683" s="3337"/>
    </row>
    <row r="13684" spans="7:16" s="1634" customFormat="1">
      <c r="G13684" s="3336"/>
      <c r="P13684" s="3337"/>
    </row>
    <row r="13685" spans="7:16" s="1634" customFormat="1">
      <c r="G13685" s="3336"/>
      <c r="P13685" s="3337"/>
    </row>
    <row r="13686" spans="7:16" s="1634" customFormat="1">
      <c r="G13686" s="3336"/>
      <c r="P13686" s="3337"/>
    </row>
    <row r="13687" spans="7:16" s="1634" customFormat="1">
      <c r="G13687" s="3336"/>
      <c r="P13687" s="3337"/>
    </row>
    <row r="13688" spans="7:16" s="1634" customFormat="1">
      <c r="G13688" s="3336"/>
      <c r="P13688" s="3337"/>
    </row>
    <row r="13689" spans="7:16" s="1634" customFormat="1">
      <c r="G13689" s="3336"/>
      <c r="P13689" s="3337"/>
    </row>
    <row r="13690" spans="7:16" s="1634" customFormat="1">
      <c r="G13690" s="3336"/>
      <c r="P13690" s="3337"/>
    </row>
    <row r="13691" spans="7:16" s="1634" customFormat="1">
      <c r="G13691" s="3336"/>
      <c r="P13691" s="3337"/>
    </row>
    <row r="13692" spans="7:16" s="1634" customFormat="1">
      <c r="G13692" s="3336"/>
      <c r="P13692" s="3337"/>
    </row>
    <row r="13693" spans="7:16" s="1634" customFormat="1">
      <c r="G13693" s="3336"/>
      <c r="P13693" s="3337"/>
    </row>
    <row r="13694" spans="7:16" s="1634" customFormat="1">
      <c r="G13694" s="3336"/>
      <c r="P13694" s="3337"/>
    </row>
    <row r="13695" spans="7:16" s="1634" customFormat="1">
      <c r="G13695" s="3336"/>
      <c r="P13695" s="3337"/>
    </row>
    <row r="13696" spans="7:16" s="1634" customFormat="1">
      <c r="G13696" s="3336"/>
      <c r="P13696" s="3337"/>
    </row>
    <row r="13697" spans="7:16" s="1634" customFormat="1">
      <c r="G13697" s="3336"/>
      <c r="P13697" s="3337"/>
    </row>
    <row r="13698" spans="7:16" s="1634" customFormat="1">
      <c r="G13698" s="3336"/>
      <c r="P13698" s="3337"/>
    </row>
    <row r="13699" spans="7:16" s="1634" customFormat="1">
      <c r="G13699" s="3336"/>
      <c r="P13699" s="3337"/>
    </row>
    <row r="13700" spans="7:16" s="1634" customFormat="1">
      <c r="G13700" s="3336"/>
      <c r="P13700" s="3337"/>
    </row>
    <row r="13701" spans="7:16" s="1634" customFormat="1">
      <c r="G13701" s="3336"/>
      <c r="P13701" s="3337"/>
    </row>
    <row r="13702" spans="7:16" s="1634" customFormat="1">
      <c r="G13702" s="3336"/>
      <c r="P13702" s="3337"/>
    </row>
    <row r="13703" spans="7:16" s="1634" customFormat="1">
      <c r="G13703" s="3336"/>
      <c r="P13703" s="3337"/>
    </row>
    <row r="13704" spans="7:16" s="1634" customFormat="1">
      <c r="G13704" s="3336"/>
      <c r="P13704" s="3337"/>
    </row>
    <row r="13705" spans="7:16" s="1634" customFormat="1">
      <c r="G13705" s="3336"/>
      <c r="P13705" s="3337"/>
    </row>
    <row r="13706" spans="7:16" s="1634" customFormat="1">
      <c r="G13706" s="3336"/>
      <c r="P13706" s="3337"/>
    </row>
    <row r="13707" spans="7:16" s="1634" customFormat="1">
      <c r="G13707" s="3336"/>
      <c r="P13707" s="3337"/>
    </row>
    <row r="13708" spans="7:16" s="1634" customFormat="1">
      <c r="G13708" s="3336"/>
      <c r="P13708" s="3337"/>
    </row>
    <row r="13709" spans="7:16" s="1634" customFormat="1">
      <c r="G13709" s="3336"/>
      <c r="P13709" s="3337"/>
    </row>
    <row r="13710" spans="7:16" s="1634" customFormat="1">
      <c r="G13710" s="3336"/>
      <c r="P13710" s="3337"/>
    </row>
    <row r="13711" spans="7:16" s="1634" customFormat="1">
      <c r="G13711" s="3336"/>
      <c r="P13711" s="3337"/>
    </row>
    <row r="13712" spans="7:16" s="1634" customFormat="1">
      <c r="G13712" s="3336"/>
      <c r="P13712" s="3337"/>
    </row>
    <row r="13713" spans="7:16" s="1634" customFormat="1">
      <c r="G13713" s="3336"/>
      <c r="P13713" s="3337"/>
    </row>
    <row r="13714" spans="7:16" s="1634" customFormat="1">
      <c r="G13714" s="3336"/>
      <c r="P13714" s="3337"/>
    </row>
    <row r="13715" spans="7:16" s="1634" customFormat="1">
      <c r="G13715" s="3336"/>
      <c r="P13715" s="3337"/>
    </row>
    <row r="13716" spans="7:16" s="1634" customFormat="1">
      <c r="G13716" s="3336"/>
      <c r="P13716" s="3337"/>
    </row>
    <row r="13717" spans="7:16" s="1634" customFormat="1">
      <c r="G13717" s="3336"/>
      <c r="P13717" s="3337"/>
    </row>
    <row r="13718" spans="7:16" s="1634" customFormat="1">
      <c r="G13718" s="3336"/>
      <c r="P13718" s="3337"/>
    </row>
    <row r="13719" spans="7:16" s="1634" customFormat="1">
      <c r="G13719" s="3336"/>
      <c r="P13719" s="3337"/>
    </row>
    <row r="13720" spans="7:16" s="1634" customFormat="1">
      <c r="G13720" s="3336"/>
      <c r="P13720" s="3337"/>
    </row>
    <row r="13721" spans="7:16" s="1634" customFormat="1">
      <c r="G13721" s="3336"/>
      <c r="P13721" s="3337"/>
    </row>
    <row r="13722" spans="7:16" s="1634" customFormat="1">
      <c r="G13722" s="3336"/>
      <c r="P13722" s="3337"/>
    </row>
    <row r="13723" spans="7:16" s="1634" customFormat="1">
      <c r="G13723" s="3336"/>
      <c r="P13723" s="3337"/>
    </row>
    <row r="13724" spans="7:16" s="1634" customFormat="1">
      <c r="G13724" s="3336"/>
      <c r="P13724" s="3337"/>
    </row>
    <row r="13725" spans="7:16" s="1634" customFormat="1">
      <c r="G13725" s="3336"/>
      <c r="P13725" s="3337"/>
    </row>
    <row r="13726" spans="7:16" s="1634" customFormat="1">
      <c r="G13726" s="3336"/>
      <c r="P13726" s="3337"/>
    </row>
    <row r="13727" spans="7:16" s="1634" customFormat="1">
      <c r="G13727" s="3336"/>
      <c r="P13727" s="3337"/>
    </row>
    <row r="13728" spans="7:16" s="1634" customFormat="1">
      <c r="G13728" s="3336"/>
      <c r="P13728" s="3337"/>
    </row>
    <row r="13729" spans="7:16" s="1634" customFormat="1">
      <c r="G13729" s="3336"/>
      <c r="P13729" s="3337"/>
    </row>
    <row r="13730" spans="7:16" s="1634" customFormat="1">
      <c r="G13730" s="3336"/>
      <c r="P13730" s="3337"/>
    </row>
    <row r="13731" spans="7:16" s="1634" customFormat="1">
      <c r="G13731" s="3336"/>
      <c r="P13731" s="3337"/>
    </row>
    <row r="13732" spans="7:16" s="1634" customFormat="1">
      <c r="G13732" s="3336"/>
      <c r="P13732" s="3337"/>
    </row>
    <row r="13733" spans="7:16" s="1634" customFormat="1">
      <c r="G13733" s="3336"/>
      <c r="P13733" s="3337"/>
    </row>
    <row r="13734" spans="7:16" s="1634" customFormat="1">
      <c r="G13734" s="3336"/>
      <c r="P13734" s="3337"/>
    </row>
    <row r="13735" spans="7:16" s="1634" customFormat="1">
      <c r="G13735" s="3336"/>
      <c r="P13735" s="3337"/>
    </row>
    <row r="13736" spans="7:16" s="1634" customFormat="1">
      <c r="G13736" s="3336"/>
      <c r="P13736" s="3337"/>
    </row>
    <row r="13737" spans="7:16" s="1634" customFormat="1">
      <c r="G13737" s="3336"/>
      <c r="P13737" s="3337"/>
    </row>
    <row r="13738" spans="7:16" s="1634" customFormat="1">
      <c r="G13738" s="3336"/>
      <c r="P13738" s="3337"/>
    </row>
    <row r="13739" spans="7:16" s="1634" customFormat="1">
      <c r="G13739" s="3336"/>
      <c r="P13739" s="3337"/>
    </row>
    <row r="13740" spans="7:16" s="1634" customFormat="1">
      <c r="G13740" s="3336"/>
      <c r="P13740" s="3337"/>
    </row>
    <row r="13741" spans="7:16" s="1634" customFormat="1">
      <c r="G13741" s="3336"/>
      <c r="P13741" s="3337"/>
    </row>
    <row r="13742" spans="7:16" s="1634" customFormat="1">
      <c r="G13742" s="3336"/>
      <c r="P13742" s="3337"/>
    </row>
    <row r="13743" spans="7:16" s="1634" customFormat="1">
      <c r="G13743" s="3336"/>
      <c r="P13743" s="3337"/>
    </row>
    <row r="13744" spans="7:16" s="1634" customFormat="1">
      <c r="G13744" s="3336"/>
      <c r="P13744" s="3337"/>
    </row>
    <row r="13745" spans="7:16" s="1634" customFormat="1">
      <c r="G13745" s="3336"/>
      <c r="P13745" s="3337"/>
    </row>
    <row r="13746" spans="7:16" s="1634" customFormat="1">
      <c r="G13746" s="3336"/>
      <c r="P13746" s="3337"/>
    </row>
    <row r="13747" spans="7:16" s="1634" customFormat="1">
      <c r="G13747" s="3336"/>
      <c r="P13747" s="3337"/>
    </row>
    <row r="13748" spans="7:16" s="1634" customFormat="1">
      <c r="G13748" s="3336"/>
      <c r="P13748" s="3337"/>
    </row>
    <row r="13749" spans="7:16" s="1634" customFormat="1">
      <c r="G13749" s="3336"/>
      <c r="P13749" s="3337"/>
    </row>
    <row r="13750" spans="7:16" s="1634" customFormat="1">
      <c r="G13750" s="3336"/>
      <c r="P13750" s="3337"/>
    </row>
    <row r="13751" spans="7:16" s="1634" customFormat="1">
      <c r="G13751" s="3336"/>
      <c r="P13751" s="3337"/>
    </row>
    <row r="13752" spans="7:16" s="1634" customFormat="1">
      <c r="G13752" s="3336"/>
      <c r="P13752" s="3337"/>
    </row>
    <row r="13753" spans="7:16" s="1634" customFormat="1">
      <c r="G13753" s="3336"/>
      <c r="P13753" s="3337"/>
    </row>
    <row r="13754" spans="7:16" s="1634" customFormat="1">
      <c r="G13754" s="3336"/>
      <c r="P13754" s="3337"/>
    </row>
    <row r="13755" spans="7:16" s="1634" customFormat="1">
      <c r="G13755" s="3336"/>
      <c r="P13755" s="3337"/>
    </row>
    <row r="13756" spans="7:16" s="1634" customFormat="1">
      <c r="G13756" s="3336"/>
      <c r="P13756" s="3337"/>
    </row>
    <row r="13757" spans="7:16" s="1634" customFormat="1">
      <c r="G13757" s="3336"/>
      <c r="P13757" s="3337"/>
    </row>
    <row r="13758" spans="7:16" s="1634" customFormat="1">
      <c r="G13758" s="3336"/>
      <c r="P13758" s="3337"/>
    </row>
    <row r="13759" spans="7:16" s="1634" customFormat="1">
      <c r="G13759" s="3336"/>
      <c r="P13759" s="3337"/>
    </row>
    <row r="13760" spans="7:16" s="1634" customFormat="1">
      <c r="G13760" s="3336"/>
      <c r="P13760" s="3337"/>
    </row>
    <row r="13761" spans="7:16" s="1634" customFormat="1">
      <c r="G13761" s="3336"/>
      <c r="P13761" s="3337"/>
    </row>
    <row r="13762" spans="7:16" s="1634" customFormat="1">
      <c r="G13762" s="3336"/>
      <c r="P13762" s="3337"/>
    </row>
    <row r="13763" spans="7:16" s="1634" customFormat="1">
      <c r="G13763" s="3336"/>
      <c r="P13763" s="3337"/>
    </row>
    <row r="13764" spans="7:16" s="1634" customFormat="1">
      <c r="G13764" s="3336"/>
      <c r="P13764" s="3337"/>
    </row>
    <row r="13765" spans="7:16" s="1634" customFormat="1">
      <c r="G13765" s="3336"/>
      <c r="P13765" s="3337"/>
    </row>
    <row r="13766" spans="7:16" s="1634" customFormat="1">
      <c r="G13766" s="3336"/>
      <c r="P13766" s="3337"/>
    </row>
    <row r="13767" spans="7:16" s="1634" customFormat="1">
      <c r="G13767" s="3336"/>
      <c r="P13767" s="3337"/>
    </row>
    <row r="13768" spans="7:16" s="1634" customFormat="1">
      <c r="G13768" s="3336"/>
      <c r="P13768" s="3337"/>
    </row>
    <row r="13769" spans="7:16" s="1634" customFormat="1">
      <c r="G13769" s="3336"/>
      <c r="P13769" s="3337"/>
    </row>
    <row r="13770" spans="7:16" s="1634" customFormat="1">
      <c r="G13770" s="3336"/>
      <c r="P13770" s="3337"/>
    </row>
    <row r="13771" spans="7:16" s="1634" customFormat="1">
      <c r="G13771" s="3336"/>
      <c r="P13771" s="3337"/>
    </row>
    <row r="13772" spans="7:16" s="1634" customFormat="1">
      <c r="G13772" s="3336"/>
      <c r="P13772" s="3337"/>
    </row>
    <row r="13773" spans="7:16" s="1634" customFormat="1">
      <c r="G13773" s="3336"/>
      <c r="P13773" s="3337"/>
    </row>
    <row r="13774" spans="7:16" s="1634" customFormat="1">
      <c r="G13774" s="3336"/>
      <c r="P13774" s="3337"/>
    </row>
    <row r="13775" spans="7:16" s="1634" customFormat="1">
      <c r="G13775" s="3336"/>
      <c r="P13775" s="3337"/>
    </row>
    <row r="13776" spans="7:16" s="1634" customFormat="1">
      <c r="G13776" s="3336"/>
      <c r="P13776" s="3337"/>
    </row>
    <row r="13777" spans="7:16" s="1634" customFormat="1">
      <c r="G13777" s="3336"/>
      <c r="P13777" s="3337"/>
    </row>
    <row r="13778" spans="7:16" s="1634" customFormat="1">
      <c r="G13778" s="3336"/>
      <c r="P13778" s="3337"/>
    </row>
    <row r="13779" spans="7:16" s="1634" customFormat="1">
      <c r="G13779" s="3336"/>
      <c r="P13779" s="3337"/>
    </row>
    <row r="13780" spans="7:16" s="1634" customFormat="1">
      <c r="G13780" s="3336"/>
      <c r="P13780" s="3337"/>
    </row>
    <row r="13781" spans="7:16" s="1634" customFormat="1">
      <c r="G13781" s="3336"/>
      <c r="P13781" s="3337"/>
    </row>
    <row r="13782" spans="7:16" s="1634" customFormat="1">
      <c r="G13782" s="3336"/>
      <c r="P13782" s="3337"/>
    </row>
    <row r="13783" spans="7:16" s="1634" customFormat="1">
      <c r="G13783" s="3336"/>
      <c r="P13783" s="3337"/>
    </row>
    <row r="13784" spans="7:16" s="1634" customFormat="1">
      <c r="G13784" s="3336"/>
      <c r="P13784" s="3337"/>
    </row>
    <row r="13785" spans="7:16" s="1634" customFormat="1">
      <c r="G13785" s="3336"/>
      <c r="P13785" s="3337"/>
    </row>
    <row r="13786" spans="7:16" s="1634" customFormat="1">
      <c r="G13786" s="3336"/>
      <c r="P13786" s="3337"/>
    </row>
    <row r="13787" spans="7:16" s="1634" customFormat="1">
      <c r="G13787" s="3336"/>
      <c r="P13787" s="3337"/>
    </row>
    <row r="13788" spans="7:16" s="1634" customFormat="1">
      <c r="G13788" s="3336"/>
      <c r="P13788" s="3337"/>
    </row>
    <row r="13789" spans="7:16" s="1634" customFormat="1">
      <c r="G13789" s="3336"/>
      <c r="P13789" s="3337"/>
    </row>
    <row r="13790" spans="7:16" s="1634" customFormat="1">
      <c r="G13790" s="3336"/>
      <c r="P13790" s="3337"/>
    </row>
    <row r="13791" spans="7:16" s="1634" customFormat="1">
      <c r="G13791" s="3336"/>
      <c r="P13791" s="3337"/>
    </row>
    <row r="13792" spans="7:16" s="1634" customFormat="1">
      <c r="G13792" s="3336"/>
      <c r="P13792" s="3337"/>
    </row>
    <row r="13793" spans="7:16" s="1634" customFormat="1">
      <c r="G13793" s="3336"/>
      <c r="P13793" s="3337"/>
    </row>
    <row r="13794" spans="7:16" s="1634" customFormat="1">
      <c r="G13794" s="3336"/>
      <c r="P13794" s="3337"/>
    </row>
    <row r="13795" spans="7:16" s="1634" customFormat="1">
      <c r="G13795" s="3336"/>
      <c r="P13795" s="3337"/>
    </row>
    <row r="13796" spans="7:16" s="1634" customFormat="1">
      <c r="G13796" s="3336"/>
      <c r="P13796" s="3337"/>
    </row>
    <row r="13797" spans="7:16" s="1634" customFormat="1">
      <c r="G13797" s="3336"/>
      <c r="P13797" s="3337"/>
    </row>
    <row r="13798" spans="7:16" s="1634" customFormat="1">
      <c r="G13798" s="3336"/>
      <c r="P13798" s="3337"/>
    </row>
    <row r="13799" spans="7:16" s="1634" customFormat="1">
      <c r="G13799" s="3336"/>
      <c r="P13799" s="3337"/>
    </row>
    <row r="13800" spans="7:16" s="1634" customFormat="1">
      <c r="G13800" s="3336"/>
      <c r="P13800" s="3337"/>
    </row>
    <row r="13801" spans="7:16" s="1634" customFormat="1">
      <c r="G13801" s="3336"/>
      <c r="P13801" s="3337"/>
    </row>
    <row r="13802" spans="7:16" s="1634" customFormat="1">
      <c r="G13802" s="3336"/>
      <c r="P13802" s="3337"/>
    </row>
    <row r="13803" spans="7:16" s="1634" customFormat="1">
      <c r="G13803" s="3336"/>
      <c r="P13803" s="3337"/>
    </row>
    <row r="13804" spans="7:16" s="1634" customFormat="1">
      <c r="G13804" s="3336"/>
      <c r="P13804" s="3337"/>
    </row>
    <row r="13805" spans="7:16" s="1634" customFormat="1">
      <c r="G13805" s="3336"/>
      <c r="P13805" s="3337"/>
    </row>
    <row r="13806" spans="7:16" s="1634" customFormat="1">
      <c r="G13806" s="3336"/>
      <c r="P13806" s="3337"/>
    </row>
    <row r="13807" spans="7:16" s="1634" customFormat="1">
      <c r="G13807" s="3336"/>
      <c r="P13807" s="3337"/>
    </row>
    <row r="13808" spans="7:16" s="1634" customFormat="1">
      <c r="G13808" s="3336"/>
      <c r="P13808" s="3337"/>
    </row>
    <row r="13809" spans="7:16" s="1634" customFormat="1">
      <c r="G13809" s="3336"/>
      <c r="P13809" s="3337"/>
    </row>
    <row r="13810" spans="7:16" s="1634" customFormat="1">
      <c r="G13810" s="3336"/>
      <c r="P13810" s="3337"/>
    </row>
    <row r="13811" spans="7:16" s="1634" customFormat="1">
      <c r="G13811" s="3336"/>
      <c r="P13811" s="3337"/>
    </row>
    <row r="13812" spans="7:16" s="1634" customFormat="1">
      <c r="G13812" s="3336"/>
      <c r="P13812" s="3337"/>
    </row>
    <row r="13813" spans="7:16" s="1634" customFormat="1">
      <c r="G13813" s="3336"/>
      <c r="P13813" s="3337"/>
    </row>
    <row r="13814" spans="7:16" s="1634" customFormat="1">
      <c r="G13814" s="3336"/>
      <c r="P13814" s="3337"/>
    </row>
    <row r="13815" spans="7:16" s="1634" customFormat="1">
      <c r="G13815" s="3336"/>
      <c r="P13815" s="3337"/>
    </row>
    <row r="13816" spans="7:16" s="1634" customFormat="1">
      <c r="G13816" s="3336"/>
      <c r="P13816" s="3337"/>
    </row>
    <row r="13817" spans="7:16" s="1634" customFormat="1">
      <c r="G13817" s="3336"/>
      <c r="P13817" s="3337"/>
    </row>
    <row r="13818" spans="7:16" s="1634" customFormat="1">
      <c r="G13818" s="3336"/>
      <c r="P13818" s="3337"/>
    </row>
    <row r="13819" spans="7:16" s="1634" customFormat="1">
      <c r="G13819" s="3336"/>
      <c r="P13819" s="3337"/>
    </row>
    <row r="13820" spans="7:16" s="1634" customFormat="1">
      <c r="G13820" s="3336"/>
      <c r="P13820" s="3337"/>
    </row>
    <row r="13821" spans="7:16" s="1634" customFormat="1">
      <c r="G13821" s="3336"/>
      <c r="P13821" s="3337"/>
    </row>
    <row r="13822" spans="7:16" s="1634" customFormat="1">
      <c r="G13822" s="3336"/>
      <c r="P13822" s="3337"/>
    </row>
    <row r="13823" spans="7:16" s="1634" customFormat="1">
      <c r="G13823" s="3336"/>
      <c r="P13823" s="3337"/>
    </row>
    <row r="13824" spans="7:16" s="1634" customFormat="1">
      <c r="G13824" s="3336"/>
      <c r="P13824" s="3337"/>
    </row>
    <row r="13825" spans="7:16" s="1634" customFormat="1">
      <c r="G13825" s="3336"/>
      <c r="P13825" s="3337"/>
    </row>
    <row r="13826" spans="7:16" s="1634" customFormat="1">
      <c r="G13826" s="3336"/>
      <c r="P13826" s="3337"/>
    </row>
    <row r="13827" spans="7:16" s="1634" customFormat="1">
      <c r="G13827" s="3336"/>
      <c r="P13827" s="3337"/>
    </row>
    <row r="13828" spans="7:16" s="1634" customFormat="1">
      <c r="G13828" s="3336"/>
      <c r="P13828" s="3337"/>
    </row>
    <row r="13829" spans="7:16" s="1634" customFormat="1">
      <c r="G13829" s="3336"/>
      <c r="P13829" s="3337"/>
    </row>
    <row r="13830" spans="7:16" s="1634" customFormat="1">
      <c r="G13830" s="3336"/>
      <c r="P13830" s="3337"/>
    </row>
    <row r="13831" spans="7:16" s="1634" customFormat="1">
      <c r="G13831" s="3336"/>
      <c r="P13831" s="3337"/>
    </row>
    <row r="13832" spans="7:16" s="1634" customFormat="1">
      <c r="G13832" s="3336"/>
      <c r="P13832" s="3337"/>
    </row>
    <row r="13833" spans="7:16" s="1634" customFormat="1">
      <c r="G13833" s="3336"/>
      <c r="P13833" s="3337"/>
    </row>
    <row r="13834" spans="7:16" s="1634" customFormat="1">
      <c r="G13834" s="3336"/>
      <c r="P13834" s="3337"/>
    </row>
    <row r="13835" spans="7:16" s="1634" customFormat="1">
      <c r="G13835" s="3336"/>
      <c r="P13835" s="3337"/>
    </row>
    <row r="13836" spans="7:16" s="1634" customFormat="1">
      <c r="G13836" s="3336"/>
      <c r="P13836" s="3337"/>
    </row>
    <row r="13837" spans="7:16" s="1634" customFormat="1">
      <c r="G13837" s="3336"/>
      <c r="P13837" s="3337"/>
    </row>
    <row r="13838" spans="7:16" s="1634" customFormat="1">
      <c r="G13838" s="3336"/>
      <c r="P13838" s="3337"/>
    </row>
    <row r="13839" spans="7:16" s="1634" customFormat="1">
      <c r="G13839" s="3336"/>
      <c r="P13839" s="3337"/>
    </row>
    <row r="13840" spans="7:16" s="1634" customFormat="1">
      <c r="G13840" s="3336"/>
      <c r="P13840" s="3337"/>
    </row>
    <row r="13841" spans="7:16" s="1634" customFormat="1">
      <c r="G13841" s="3336"/>
      <c r="P13841" s="3337"/>
    </row>
    <row r="13842" spans="7:16" s="1634" customFormat="1">
      <c r="G13842" s="3336"/>
      <c r="P13842" s="3337"/>
    </row>
    <row r="13843" spans="7:16" s="1634" customFormat="1">
      <c r="G13843" s="3336"/>
      <c r="P13843" s="3337"/>
    </row>
    <row r="13844" spans="7:16" s="1634" customFormat="1">
      <c r="G13844" s="3336"/>
      <c r="P13844" s="3337"/>
    </row>
    <row r="13845" spans="7:16" s="1634" customFormat="1">
      <c r="G13845" s="3336"/>
      <c r="P13845" s="3337"/>
    </row>
    <row r="13846" spans="7:16" s="1634" customFormat="1">
      <c r="G13846" s="3336"/>
      <c r="P13846" s="3337"/>
    </row>
    <row r="13847" spans="7:16" s="1634" customFormat="1">
      <c r="G13847" s="3336"/>
      <c r="P13847" s="3337"/>
    </row>
    <row r="13848" spans="7:16" s="1634" customFormat="1">
      <c r="G13848" s="3336"/>
      <c r="P13848" s="3337"/>
    </row>
    <row r="13849" spans="7:16" s="1634" customFormat="1">
      <c r="G13849" s="3336"/>
      <c r="P13849" s="3337"/>
    </row>
    <row r="13850" spans="7:16" s="1634" customFormat="1">
      <c r="G13850" s="3336"/>
      <c r="P13850" s="3337"/>
    </row>
    <row r="13851" spans="7:16" s="1634" customFormat="1">
      <c r="G13851" s="3336"/>
      <c r="P13851" s="3337"/>
    </row>
    <row r="13852" spans="7:16" s="1634" customFormat="1">
      <c r="G13852" s="3336"/>
      <c r="P13852" s="3337"/>
    </row>
    <row r="13853" spans="7:16" s="1634" customFormat="1">
      <c r="G13853" s="3336"/>
      <c r="P13853" s="3337"/>
    </row>
    <row r="13854" spans="7:16" s="1634" customFormat="1">
      <c r="G13854" s="3336"/>
      <c r="P13854" s="3337"/>
    </row>
    <row r="13855" spans="7:16" s="1634" customFormat="1">
      <c r="G13855" s="3336"/>
      <c r="P13855" s="3337"/>
    </row>
    <row r="13856" spans="7:16" s="1634" customFormat="1">
      <c r="G13856" s="3336"/>
      <c r="P13856" s="3337"/>
    </row>
    <row r="13857" spans="7:16" s="1634" customFormat="1">
      <c r="G13857" s="3336"/>
      <c r="P13857" s="3337"/>
    </row>
    <row r="13858" spans="7:16" s="1634" customFormat="1">
      <c r="G13858" s="3336"/>
      <c r="P13858" s="3337"/>
    </row>
    <row r="13859" spans="7:16" s="1634" customFormat="1">
      <c r="G13859" s="3336"/>
      <c r="P13859" s="3337"/>
    </row>
    <row r="13860" spans="7:16" s="1634" customFormat="1">
      <c r="G13860" s="3336"/>
      <c r="P13860" s="3337"/>
    </row>
    <row r="13861" spans="7:16" s="1634" customFormat="1">
      <c r="G13861" s="3336"/>
      <c r="P13861" s="3337"/>
    </row>
    <row r="13862" spans="7:16" s="1634" customFormat="1">
      <c r="G13862" s="3336"/>
      <c r="P13862" s="3337"/>
    </row>
    <row r="13863" spans="7:16" s="1634" customFormat="1">
      <c r="G13863" s="3336"/>
      <c r="P13863" s="3337"/>
    </row>
    <row r="13864" spans="7:16" s="1634" customFormat="1">
      <c r="G13864" s="3336"/>
      <c r="P13864" s="3337"/>
    </row>
    <row r="13865" spans="7:16" s="1634" customFormat="1">
      <c r="G13865" s="3336"/>
      <c r="P13865" s="3337"/>
    </row>
    <row r="13866" spans="7:16" s="1634" customFormat="1">
      <c r="G13866" s="3336"/>
      <c r="P13866" s="3337"/>
    </row>
    <row r="13867" spans="7:16" s="1634" customFormat="1">
      <c r="G13867" s="3336"/>
      <c r="P13867" s="3337"/>
    </row>
    <row r="13868" spans="7:16" s="1634" customFormat="1">
      <c r="G13868" s="3336"/>
      <c r="P13868" s="3337"/>
    </row>
    <row r="13869" spans="7:16" s="1634" customFormat="1">
      <c r="G13869" s="3336"/>
      <c r="P13869" s="3337"/>
    </row>
    <row r="13870" spans="7:16" s="1634" customFormat="1">
      <c r="G13870" s="3336"/>
      <c r="P13870" s="3337"/>
    </row>
    <row r="13871" spans="7:16" s="1634" customFormat="1">
      <c r="G13871" s="3336"/>
      <c r="P13871" s="3337"/>
    </row>
    <row r="13872" spans="7:16" s="1634" customFormat="1">
      <c r="G13872" s="3336"/>
      <c r="P13872" s="3337"/>
    </row>
    <row r="13873" spans="7:16" s="1634" customFormat="1">
      <c r="G13873" s="3336"/>
      <c r="P13873" s="3337"/>
    </row>
    <row r="13874" spans="7:16" s="1634" customFormat="1">
      <c r="G13874" s="3336"/>
      <c r="P13874" s="3337"/>
    </row>
    <row r="13875" spans="7:16" s="1634" customFormat="1">
      <c r="G13875" s="3336"/>
      <c r="P13875" s="3337"/>
    </row>
    <row r="13876" spans="7:16" s="1634" customFormat="1">
      <c r="G13876" s="3336"/>
      <c r="P13876" s="3337"/>
    </row>
    <row r="13877" spans="7:16" s="1634" customFormat="1">
      <c r="G13877" s="3336"/>
      <c r="P13877" s="3337"/>
    </row>
    <row r="13878" spans="7:16" s="1634" customFormat="1">
      <c r="G13878" s="3336"/>
      <c r="P13878" s="3337"/>
    </row>
    <row r="13879" spans="7:16" s="1634" customFormat="1">
      <c r="G13879" s="3336"/>
      <c r="P13879" s="3337"/>
    </row>
    <row r="13880" spans="7:16" s="1634" customFormat="1">
      <c r="G13880" s="3336"/>
      <c r="P13880" s="3337"/>
    </row>
    <row r="13881" spans="7:16" s="1634" customFormat="1">
      <c r="G13881" s="3336"/>
      <c r="P13881" s="3337"/>
    </row>
    <row r="13882" spans="7:16" s="1634" customFormat="1">
      <c r="G13882" s="3336"/>
      <c r="P13882" s="3337"/>
    </row>
    <row r="13883" spans="7:16" s="1634" customFormat="1">
      <c r="G13883" s="3336"/>
      <c r="P13883" s="3337"/>
    </row>
    <row r="13884" spans="7:16" s="1634" customFormat="1">
      <c r="G13884" s="3336"/>
      <c r="P13884" s="3337"/>
    </row>
    <row r="13885" spans="7:16" s="1634" customFormat="1">
      <c r="G13885" s="3336"/>
      <c r="P13885" s="3337"/>
    </row>
    <row r="13886" spans="7:16" s="1634" customFormat="1">
      <c r="G13886" s="3336"/>
      <c r="P13886" s="3337"/>
    </row>
    <row r="13887" spans="7:16" s="1634" customFormat="1">
      <c r="G13887" s="3336"/>
      <c r="P13887" s="3337"/>
    </row>
    <row r="13888" spans="7:16" s="1634" customFormat="1">
      <c r="G13888" s="3336"/>
      <c r="P13888" s="3337"/>
    </row>
    <row r="13889" spans="7:16" s="1634" customFormat="1">
      <c r="G13889" s="3336"/>
      <c r="P13889" s="3337"/>
    </row>
    <row r="13890" spans="7:16" s="1634" customFormat="1">
      <c r="G13890" s="3336"/>
      <c r="P13890" s="3337"/>
    </row>
    <row r="13891" spans="7:16" s="1634" customFormat="1">
      <c r="G13891" s="3336"/>
      <c r="P13891" s="3337"/>
    </row>
    <row r="13892" spans="7:16" s="1634" customFormat="1">
      <c r="G13892" s="3336"/>
      <c r="P13892" s="3337"/>
    </row>
    <row r="13893" spans="7:16" s="1634" customFormat="1">
      <c r="G13893" s="3336"/>
      <c r="P13893" s="3337"/>
    </row>
    <row r="13894" spans="7:16" s="1634" customFormat="1">
      <c r="G13894" s="3336"/>
      <c r="P13894" s="3337"/>
    </row>
    <row r="13895" spans="7:16" s="1634" customFormat="1">
      <c r="G13895" s="3336"/>
      <c r="P13895" s="3337"/>
    </row>
    <row r="13896" spans="7:16" s="1634" customFormat="1">
      <c r="G13896" s="3336"/>
      <c r="P13896" s="3337"/>
    </row>
    <row r="13897" spans="7:16" s="1634" customFormat="1">
      <c r="G13897" s="3336"/>
      <c r="P13897" s="3337"/>
    </row>
    <row r="13898" spans="7:16" s="1634" customFormat="1">
      <c r="G13898" s="3336"/>
      <c r="P13898" s="3337"/>
    </row>
    <row r="13899" spans="7:16" s="1634" customFormat="1">
      <c r="G13899" s="3336"/>
      <c r="P13899" s="3337"/>
    </row>
    <row r="13900" spans="7:16" s="1634" customFormat="1">
      <c r="G13900" s="3336"/>
      <c r="P13900" s="3337"/>
    </row>
    <row r="13901" spans="7:16" s="1634" customFormat="1">
      <c r="G13901" s="3336"/>
      <c r="P13901" s="3337"/>
    </row>
    <row r="13902" spans="7:16" s="1634" customFormat="1">
      <c r="G13902" s="3336"/>
      <c r="P13902" s="3337"/>
    </row>
    <row r="13903" spans="7:16" s="1634" customFormat="1">
      <c r="G13903" s="3336"/>
      <c r="P13903" s="3337"/>
    </row>
    <row r="13904" spans="7:16" s="1634" customFormat="1">
      <c r="G13904" s="3336"/>
      <c r="P13904" s="3337"/>
    </row>
    <row r="13905" spans="7:16" s="1634" customFormat="1">
      <c r="G13905" s="3336"/>
      <c r="P13905" s="3337"/>
    </row>
    <row r="13906" spans="7:16" s="1634" customFormat="1">
      <c r="G13906" s="3336"/>
      <c r="P13906" s="3337"/>
    </row>
    <row r="13907" spans="7:16" s="1634" customFormat="1">
      <c r="G13907" s="3336"/>
      <c r="P13907" s="3337"/>
    </row>
    <row r="13908" spans="7:16" s="1634" customFormat="1">
      <c r="G13908" s="3336"/>
      <c r="P13908" s="3337"/>
    </row>
    <row r="13909" spans="7:16" s="1634" customFormat="1">
      <c r="G13909" s="3336"/>
      <c r="P13909" s="3337"/>
    </row>
    <row r="13910" spans="7:16" s="1634" customFormat="1">
      <c r="G13910" s="3336"/>
      <c r="P13910" s="3337"/>
    </row>
    <row r="13911" spans="7:16" s="1634" customFormat="1">
      <c r="G13911" s="3336"/>
      <c r="P13911" s="3337"/>
    </row>
    <row r="13912" spans="7:16" s="1634" customFormat="1">
      <c r="G13912" s="3336"/>
      <c r="P13912" s="3337"/>
    </row>
    <row r="13913" spans="7:16" s="1634" customFormat="1">
      <c r="G13913" s="3336"/>
      <c r="P13913" s="3337"/>
    </row>
    <row r="13914" spans="7:16" s="1634" customFormat="1">
      <c r="G13914" s="3336"/>
      <c r="P13914" s="3337"/>
    </row>
    <row r="13915" spans="7:16" s="1634" customFormat="1">
      <c r="G13915" s="3336"/>
      <c r="P13915" s="3337"/>
    </row>
    <row r="13916" spans="7:16" s="1634" customFormat="1">
      <c r="G13916" s="3336"/>
      <c r="P13916" s="3337"/>
    </row>
    <row r="13917" spans="7:16" s="1634" customFormat="1">
      <c r="G13917" s="3336"/>
      <c r="P13917" s="3337"/>
    </row>
    <row r="13918" spans="7:16" s="1634" customFormat="1">
      <c r="G13918" s="3336"/>
      <c r="P13918" s="3337"/>
    </row>
    <row r="13919" spans="7:16" s="1634" customFormat="1">
      <c r="G13919" s="3336"/>
      <c r="P13919" s="3337"/>
    </row>
    <row r="13920" spans="7:16" s="1634" customFormat="1">
      <c r="G13920" s="3336"/>
      <c r="P13920" s="3337"/>
    </row>
    <row r="13921" spans="7:16" s="1634" customFormat="1">
      <c r="G13921" s="3336"/>
      <c r="P13921" s="3337"/>
    </row>
    <row r="13922" spans="7:16" s="1634" customFormat="1">
      <c r="G13922" s="3336"/>
      <c r="P13922" s="3337"/>
    </row>
    <row r="13923" spans="7:16" s="1634" customFormat="1">
      <c r="G13923" s="3336"/>
      <c r="P13923" s="3337"/>
    </row>
    <row r="13924" spans="7:16" s="1634" customFormat="1">
      <c r="G13924" s="3336"/>
      <c r="P13924" s="3337"/>
    </row>
    <row r="13925" spans="7:16" s="1634" customFormat="1">
      <c r="G13925" s="3336"/>
      <c r="P13925" s="3337"/>
    </row>
    <row r="13926" spans="7:16" s="1634" customFormat="1">
      <c r="G13926" s="3336"/>
      <c r="P13926" s="3337"/>
    </row>
    <row r="13927" spans="7:16" s="1634" customFormat="1">
      <c r="G13927" s="3336"/>
      <c r="P13927" s="3337"/>
    </row>
    <row r="13928" spans="7:16" s="1634" customFormat="1">
      <c r="G13928" s="3336"/>
      <c r="P13928" s="3337"/>
    </row>
    <row r="13929" spans="7:16" s="1634" customFormat="1">
      <c r="G13929" s="3336"/>
      <c r="P13929" s="3337"/>
    </row>
    <row r="13930" spans="7:16" s="1634" customFormat="1">
      <c r="G13930" s="3336"/>
      <c r="P13930" s="3337"/>
    </row>
    <row r="13931" spans="7:16" s="1634" customFormat="1">
      <c r="G13931" s="3336"/>
      <c r="P13931" s="3337"/>
    </row>
    <row r="13932" spans="7:16" s="1634" customFormat="1">
      <c r="G13932" s="3336"/>
      <c r="P13932" s="3337"/>
    </row>
    <row r="13933" spans="7:16" s="1634" customFormat="1">
      <c r="G13933" s="3336"/>
      <c r="P13933" s="3337"/>
    </row>
    <row r="13934" spans="7:16" s="1634" customFormat="1">
      <c r="G13934" s="3336"/>
      <c r="P13934" s="3337"/>
    </row>
    <row r="13935" spans="7:16" s="1634" customFormat="1">
      <c r="G13935" s="3336"/>
      <c r="P13935" s="3337"/>
    </row>
    <row r="13936" spans="7:16" s="1634" customFormat="1">
      <c r="G13936" s="3336"/>
      <c r="P13936" s="3337"/>
    </row>
    <row r="13937" spans="7:16" s="1634" customFormat="1">
      <c r="G13937" s="3336"/>
      <c r="P13937" s="3337"/>
    </row>
    <row r="13938" spans="7:16" s="1634" customFormat="1">
      <c r="G13938" s="3336"/>
      <c r="P13938" s="3337"/>
    </row>
    <row r="13939" spans="7:16" s="1634" customFormat="1">
      <c r="G13939" s="3336"/>
      <c r="P13939" s="3337"/>
    </row>
    <row r="13940" spans="7:16" s="1634" customFormat="1">
      <c r="G13940" s="3336"/>
      <c r="P13940" s="3337"/>
    </row>
    <row r="13941" spans="7:16" s="1634" customFormat="1">
      <c r="G13941" s="3336"/>
      <c r="P13941" s="3337"/>
    </row>
    <row r="13942" spans="7:16" s="1634" customFormat="1">
      <c r="G13942" s="3336"/>
      <c r="P13942" s="3337"/>
    </row>
    <row r="13943" spans="7:16" s="1634" customFormat="1">
      <c r="G13943" s="3336"/>
      <c r="P13943" s="3337"/>
    </row>
    <row r="13944" spans="7:16" s="1634" customFormat="1">
      <c r="G13944" s="3336"/>
      <c r="P13944" s="3337"/>
    </row>
    <row r="13945" spans="7:16" s="1634" customFormat="1">
      <c r="G13945" s="3336"/>
      <c r="P13945" s="3337"/>
    </row>
    <row r="13946" spans="7:16" s="1634" customFormat="1">
      <c r="G13946" s="3336"/>
      <c r="P13946" s="3337"/>
    </row>
    <row r="13947" spans="7:16" s="1634" customFormat="1">
      <c r="G13947" s="3336"/>
      <c r="P13947" s="3337"/>
    </row>
    <row r="13948" spans="7:16" s="1634" customFormat="1">
      <c r="G13948" s="3336"/>
      <c r="P13948" s="3337"/>
    </row>
    <row r="13949" spans="7:16" s="1634" customFormat="1">
      <c r="G13949" s="3336"/>
      <c r="P13949" s="3337"/>
    </row>
    <row r="13950" spans="7:16" s="1634" customFormat="1">
      <c r="G13950" s="3336"/>
      <c r="P13950" s="3337"/>
    </row>
    <row r="13951" spans="7:16" s="1634" customFormat="1">
      <c r="G13951" s="3336"/>
      <c r="P13951" s="3337"/>
    </row>
    <row r="13952" spans="7:16" s="1634" customFormat="1">
      <c r="G13952" s="3336"/>
      <c r="P13952" s="3337"/>
    </row>
    <row r="13953" spans="7:16" s="1634" customFormat="1">
      <c r="G13953" s="3336"/>
      <c r="P13953" s="3337"/>
    </row>
    <row r="13954" spans="7:16" s="1634" customFormat="1">
      <c r="G13954" s="3336"/>
      <c r="P13954" s="3337"/>
    </row>
    <row r="13955" spans="7:16" s="1634" customFormat="1">
      <c r="G13955" s="3336"/>
      <c r="P13955" s="3337"/>
    </row>
    <row r="13956" spans="7:16" s="1634" customFormat="1">
      <c r="G13956" s="3336"/>
      <c r="P13956" s="3337"/>
    </row>
    <row r="13957" spans="7:16" s="1634" customFormat="1">
      <c r="G13957" s="3336"/>
      <c r="P13957" s="3337"/>
    </row>
    <row r="13958" spans="7:16" s="1634" customFormat="1">
      <c r="G13958" s="3336"/>
      <c r="P13958" s="3337"/>
    </row>
    <row r="13959" spans="7:16" s="1634" customFormat="1">
      <c r="G13959" s="3336"/>
      <c r="P13959" s="3337"/>
    </row>
    <row r="13960" spans="7:16" s="1634" customFormat="1">
      <c r="G13960" s="3336"/>
      <c r="P13960" s="3337"/>
    </row>
    <row r="13961" spans="7:16" s="1634" customFormat="1">
      <c r="G13961" s="3336"/>
      <c r="P13961" s="3337"/>
    </row>
    <row r="13962" spans="7:16" s="1634" customFormat="1">
      <c r="G13962" s="3336"/>
      <c r="P13962" s="3337"/>
    </row>
    <row r="13963" spans="7:16" s="1634" customFormat="1">
      <c r="G13963" s="3336"/>
      <c r="P13963" s="3337"/>
    </row>
    <row r="13964" spans="7:16" s="1634" customFormat="1">
      <c r="G13964" s="3336"/>
      <c r="P13964" s="3337"/>
    </row>
    <row r="13965" spans="7:16" s="1634" customFormat="1">
      <c r="G13965" s="3336"/>
      <c r="P13965" s="3337"/>
    </row>
    <row r="13966" spans="7:16" s="1634" customFormat="1">
      <c r="G13966" s="3336"/>
      <c r="P13966" s="3337"/>
    </row>
    <row r="13967" spans="7:16" s="1634" customFormat="1">
      <c r="G13967" s="3336"/>
      <c r="P13967" s="3337"/>
    </row>
    <row r="13968" spans="7:16" s="1634" customFormat="1">
      <c r="G13968" s="3336"/>
      <c r="P13968" s="3337"/>
    </row>
    <row r="13969" spans="7:16" s="1634" customFormat="1">
      <c r="G13969" s="3336"/>
      <c r="P13969" s="3337"/>
    </row>
    <row r="13970" spans="7:16" s="1634" customFormat="1">
      <c r="G13970" s="3336"/>
      <c r="P13970" s="3337"/>
    </row>
    <row r="13971" spans="7:16" s="1634" customFormat="1">
      <c r="G13971" s="3336"/>
      <c r="P13971" s="3337"/>
    </row>
    <row r="13972" spans="7:16" s="1634" customFormat="1">
      <c r="G13972" s="3336"/>
      <c r="P13972" s="3337"/>
    </row>
    <row r="13973" spans="7:16" s="1634" customFormat="1">
      <c r="G13973" s="3336"/>
      <c r="P13973" s="3337"/>
    </row>
    <row r="13974" spans="7:16" s="1634" customFormat="1">
      <c r="G13974" s="3336"/>
      <c r="P13974" s="3337"/>
    </row>
    <row r="13975" spans="7:16" s="1634" customFormat="1">
      <c r="G13975" s="3336"/>
      <c r="P13975" s="3337"/>
    </row>
    <row r="13976" spans="7:16" s="1634" customFormat="1">
      <c r="G13976" s="3336"/>
      <c r="P13976" s="3337"/>
    </row>
    <row r="13977" spans="7:16" s="1634" customFormat="1">
      <c r="G13977" s="3336"/>
      <c r="P13977" s="3337"/>
    </row>
    <row r="13978" spans="7:16" s="1634" customFormat="1">
      <c r="G13978" s="3336"/>
      <c r="P13978" s="3337"/>
    </row>
    <row r="13979" spans="7:16" s="1634" customFormat="1">
      <c r="G13979" s="3336"/>
      <c r="P13979" s="3337"/>
    </row>
    <row r="13980" spans="7:16" s="1634" customFormat="1">
      <c r="G13980" s="3336"/>
      <c r="P13980" s="3337"/>
    </row>
    <row r="13981" spans="7:16" s="1634" customFormat="1">
      <c r="G13981" s="3336"/>
      <c r="P13981" s="3337"/>
    </row>
    <row r="13982" spans="7:16" s="1634" customFormat="1">
      <c r="G13982" s="3336"/>
      <c r="P13982" s="3337"/>
    </row>
    <row r="13983" spans="7:16" s="1634" customFormat="1">
      <c r="G13983" s="3336"/>
      <c r="P13983" s="3337"/>
    </row>
    <row r="13984" spans="7:16" s="1634" customFormat="1">
      <c r="G13984" s="3336"/>
      <c r="P13984" s="3337"/>
    </row>
    <row r="13985" spans="7:16" s="1634" customFormat="1">
      <c r="G13985" s="3336"/>
      <c r="P13985" s="3337"/>
    </row>
    <row r="13986" spans="7:16" s="1634" customFormat="1">
      <c r="G13986" s="3336"/>
      <c r="P13986" s="3337"/>
    </row>
    <row r="13987" spans="7:16" s="1634" customFormat="1">
      <c r="G13987" s="3336"/>
      <c r="P13987" s="3337"/>
    </row>
    <row r="13988" spans="7:16" s="1634" customFormat="1">
      <c r="G13988" s="3336"/>
      <c r="P13988" s="3337"/>
    </row>
    <row r="13989" spans="7:16" s="1634" customFormat="1">
      <c r="G13989" s="3336"/>
      <c r="P13989" s="3337"/>
    </row>
    <row r="13990" spans="7:16" s="1634" customFormat="1">
      <c r="G13990" s="3336"/>
      <c r="P13990" s="3337"/>
    </row>
    <row r="13991" spans="7:16" s="1634" customFormat="1">
      <c r="G13991" s="3336"/>
      <c r="P13991" s="3337"/>
    </row>
    <row r="13992" spans="7:16" s="1634" customFormat="1">
      <c r="G13992" s="3336"/>
      <c r="P13992" s="3337"/>
    </row>
    <row r="13993" spans="7:16" s="1634" customFormat="1">
      <c r="G13993" s="3336"/>
      <c r="P13993" s="3337"/>
    </row>
    <row r="13994" spans="7:16" s="1634" customFormat="1">
      <c r="G13994" s="3336"/>
      <c r="P13994" s="3337"/>
    </row>
    <row r="13995" spans="7:16" s="1634" customFormat="1">
      <c r="G13995" s="3336"/>
      <c r="P13995" s="3337"/>
    </row>
    <row r="13996" spans="7:16" s="1634" customFormat="1">
      <c r="G13996" s="3336"/>
      <c r="P13996" s="3337"/>
    </row>
    <row r="13997" spans="7:16" s="1634" customFormat="1">
      <c r="G13997" s="3336"/>
      <c r="P13997" s="3337"/>
    </row>
    <row r="13998" spans="7:16" s="1634" customFormat="1">
      <c r="G13998" s="3336"/>
      <c r="P13998" s="3337"/>
    </row>
    <row r="13999" spans="7:16" s="1634" customFormat="1">
      <c r="G13999" s="3336"/>
      <c r="P13999" s="3337"/>
    </row>
    <row r="14000" spans="7:16" s="1634" customFormat="1">
      <c r="G14000" s="3336"/>
      <c r="P14000" s="3337"/>
    </row>
    <row r="14001" spans="7:16" s="1634" customFormat="1">
      <c r="G14001" s="3336"/>
      <c r="P14001" s="3337"/>
    </row>
    <row r="14002" spans="7:16" s="1634" customFormat="1">
      <c r="G14002" s="3336"/>
      <c r="P14002" s="3337"/>
    </row>
    <row r="14003" spans="7:16" s="1634" customFormat="1">
      <c r="G14003" s="3336"/>
      <c r="P14003" s="3337"/>
    </row>
    <row r="14004" spans="7:16" s="1634" customFormat="1">
      <c r="G14004" s="3336"/>
      <c r="P14004" s="3337"/>
    </row>
    <row r="14005" spans="7:16" s="1634" customFormat="1">
      <c r="G14005" s="3336"/>
      <c r="P14005" s="3337"/>
    </row>
    <row r="14006" spans="7:16" s="1634" customFormat="1">
      <c r="G14006" s="3336"/>
      <c r="P14006" s="3337"/>
    </row>
    <row r="14007" spans="7:16" s="1634" customFormat="1">
      <c r="G14007" s="3336"/>
      <c r="P14007" s="3337"/>
    </row>
    <row r="14008" spans="7:16" s="1634" customFormat="1">
      <c r="G14008" s="3336"/>
      <c r="P14008" s="3337"/>
    </row>
    <row r="14009" spans="7:16" s="1634" customFormat="1">
      <c r="G14009" s="3336"/>
      <c r="P14009" s="3337"/>
    </row>
    <row r="14010" spans="7:16" s="1634" customFormat="1">
      <c r="G14010" s="3336"/>
      <c r="P14010" s="3337"/>
    </row>
    <row r="14011" spans="7:16" s="1634" customFormat="1">
      <c r="G14011" s="3336"/>
      <c r="P14011" s="3337"/>
    </row>
    <row r="14012" spans="7:16" s="1634" customFormat="1">
      <c r="G14012" s="3336"/>
      <c r="P14012" s="3337"/>
    </row>
    <row r="14013" spans="7:16" s="1634" customFormat="1">
      <c r="G14013" s="3336"/>
      <c r="P14013" s="3337"/>
    </row>
    <row r="14014" spans="7:16" s="1634" customFormat="1">
      <c r="G14014" s="3336"/>
      <c r="P14014" s="3337"/>
    </row>
    <row r="14015" spans="7:16" s="1634" customFormat="1">
      <c r="G14015" s="3336"/>
      <c r="P14015" s="3337"/>
    </row>
    <row r="14016" spans="7:16" s="1634" customFormat="1">
      <c r="G14016" s="3336"/>
      <c r="P14016" s="3337"/>
    </row>
    <row r="14017" spans="7:16" s="1634" customFormat="1">
      <c r="G14017" s="3336"/>
      <c r="P14017" s="3337"/>
    </row>
    <row r="14018" spans="7:16" s="1634" customFormat="1">
      <c r="G14018" s="3336"/>
      <c r="P14018" s="3337"/>
    </row>
    <row r="14019" spans="7:16" s="1634" customFormat="1">
      <c r="G14019" s="3336"/>
      <c r="P14019" s="3337"/>
    </row>
    <row r="14020" spans="7:16" s="1634" customFormat="1">
      <c r="G14020" s="3336"/>
      <c r="P14020" s="3337"/>
    </row>
    <row r="14021" spans="7:16" s="1634" customFormat="1">
      <c r="G14021" s="3336"/>
      <c r="P14021" s="3337"/>
    </row>
    <row r="14022" spans="7:16" s="1634" customFormat="1">
      <c r="G14022" s="3336"/>
      <c r="P14022" s="3337"/>
    </row>
    <row r="14023" spans="7:16" s="1634" customFormat="1">
      <c r="G14023" s="3336"/>
      <c r="P14023" s="3337"/>
    </row>
    <row r="14024" spans="7:16" s="1634" customFormat="1">
      <c r="G14024" s="3336"/>
      <c r="P14024" s="3337"/>
    </row>
    <row r="14025" spans="7:16" s="1634" customFormat="1">
      <c r="G14025" s="3336"/>
      <c r="P14025" s="3337"/>
    </row>
    <row r="14026" spans="7:16" s="1634" customFormat="1">
      <c r="G14026" s="3336"/>
      <c r="P14026" s="3337"/>
    </row>
    <row r="14027" spans="7:16" s="1634" customFormat="1">
      <c r="G14027" s="3336"/>
      <c r="P14027" s="3337"/>
    </row>
    <row r="14028" spans="7:16" s="1634" customFormat="1">
      <c r="G14028" s="3336"/>
      <c r="P14028" s="3337"/>
    </row>
    <row r="14029" spans="7:16" s="1634" customFormat="1">
      <c r="G14029" s="3336"/>
      <c r="P14029" s="3337"/>
    </row>
    <row r="14030" spans="7:16" s="1634" customFormat="1">
      <c r="G14030" s="3336"/>
      <c r="P14030" s="3337"/>
    </row>
    <row r="14031" spans="7:16" s="1634" customFormat="1">
      <c r="G14031" s="3336"/>
      <c r="P14031" s="3337"/>
    </row>
    <row r="14032" spans="7:16" s="1634" customFormat="1">
      <c r="G14032" s="3336"/>
      <c r="P14032" s="3337"/>
    </row>
    <row r="14033" spans="7:16" s="1634" customFormat="1">
      <c r="G14033" s="3336"/>
      <c r="P14033" s="3337"/>
    </row>
    <row r="14034" spans="7:16" s="1634" customFormat="1">
      <c r="G14034" s="3336"/>
      <c r="P14034" s="3337"/>
    </row>
    <row r="14035" spans="7:16" s="1634" customFormat="1">
      <c r="G14035" s="3336"/>
      <c r="P14035" s="3337"/>
    </row>
    <row r="14036" spans="7:16" s="1634" customFormat="1">
      <c r="G14036" s="3336"/>
      <c r="P14036" s="3337"/>
    </row>
    <row r="14037" spans="7:16" s="1634" customFormat="1">
      <c r="G14037" s="3336"/>
      <c r="P14037" s="3337"/>
    </row>
    <row r="14038" spans="7:16" s="1634" customFormat="1">
      <c r="G14038" s="3336"/>
      <c r="P14038" s="3337"/>
    </row>
    <row r="14039" spans="7:16" s="1634" customFormat="1">
      <c r="G14039" s="3336"/>
      <c r="P14039" s="3337"/>
    </row>
    <row r="14040" spans="7:16" s="1634" customFormat="1">
      <c r="G14040" s="3336"/>
      <c r="P14040" s="3337"/>
    </row>
    <row r="14041" spans="7:16" s="1634" customFormat="1">
      <c r="G14041" s="3336"/>
      <c r="P14041" s="3337"/>
    </row>
    <row r="14042" spans="7:16" s="1634" customFormat="1">
      <c r="G14042" s="3336"/>
      <c r="P14042" s="3337"/>
    </row>
    <row r="14043" spans="7:16" s="1634" customFormat="1">
      <c r="G14043" s="3336"/>
      <c r="P14043" s="3337"/>
    </row>
    <row r="14044" spans="7:16" s="1634" customFormat="1">
      <c r="G14044" s="3336"/>
      <c r="P14044" s="3337"/>
    </row>
    <row r="14045" spans="7:16" s="1634" customFormat="1">
      <c r="G14045" s="3336"/>
      <c r="P14045" s="3337"/>
    </row>
    <row r="14046" spans="7:16" s="1634" customFormat="1">
      <c r="G14046" s="3336"/>
      <c r="P14046" s="3337"/>
    </row>
    <row r="14047" spans="7:16" s="1634" customFormat="1">
      <c r="G14047" s="3336"/>
      <c r="P14047" s="3337"/>
    </row>
    <row r="14048" spans="7:16" s="1634" customFormat="1">
      <c r="G14048" s="3336"/>
      <c r="P14048" s="3337"/>
    </row>
    <row r="14049" spans="7:16" s="1634" customFormat="1">
      <c r="G14049" s="3336"/>
      <c r="P14049" s="3337"/>
    </row>
    <row r="14050" spans="7:16" s="1634" customFormat="1">
      <c r="G14050" s="3336"/>
      <c r="P14050" s="3337"/>
    </row>
    <row r="14051" spans="7:16" s="1634" customFormat="1">
      <c r="G14051" s="3336"/>
      <c r="P14051" s="3337"/>
    </row>
    <row r="14052" spans="7:16" s="1634" customFormat="1">
      <c r="G14052" s="3336"/>
      <c r="P14052" s="3337"/>
    </row>
    <row r="14053" spans="7:16" s="1634" customFormat="1">
      <c r="G14053" s="3336"/>
      <c r="P14053" s="3337"/>
    </row>
    <row r="14054" spans="7:16" s="1634" customFormat="1">
      <c r="G14054" s="3336"/>
      <c r="P14054" s="3337"/>
    </row>
    <row r="14055" spans="7:16" s="1634" customFormat="1">
      <c r="G14055" s="3336"/>
      <c r="P14055" s="3337"/>
    </row>
    <row r="14056" spans="7:16" s="1634" customFormat="1">
      <c r="G14056" s="3336"/>
      <c r="P14056" s="3337"/>
    </row>
    <row r="14057" spans="7:16" s="1634" customFormat="1">
      <c r="G14057" s="3336"/>
      <c r="P14057" s="3337"/>
    </row>
    <row r="14058" spans="7:16" s="1634" customFormat="1">
      <c r="G14058" s="3336"/>
      <c r="P14058" s="3337"/>
    </row>
    <row r="14059" spans="7:16" s="1634" customFormat="1">
      <c r="G14059" s="3336"/>
      <c r="P14059" s="3337"/>
    </row>
    <row r="14060" spans="7:16" s="1634" customFormat="1">
      <c r="G14060" s="3336"/>
      <c r="P14060" s="3337"/>
    </row>
    <row r="14061" spans="7:16" s="1634" customFormat="1">
      <c r="G14061" s="3336"/>
      <c r="P14061" s="3337"/>
    </row>
    <row r="14062" spans="7:16" s="1634" customFormat="1">
      <c r="G14062" s="3336"/>
      <c r="P14062" s="3337"/>
    </row>
    <row r="14063" spans="7:16" s="1634" customFormat="1">
      <c r="G14063" s="3336"/>
      <c r="P14063" s="3337"/>
    </row>
    <row r="14064" spans="7:16" s="1634" customFormat="1">
      <c r="G14064" s="3336"/>
      <c r="P14064" s="3337"/>
    </row>
    <row r="14065" spans="7:16" s="1634" customFormat="1">
      <c r="G14065" s="3336"/>
      <c r="P14065" s="3337"/>
    </row>
    <row r="14066" spans="7:16" s="1634" customFormat="1">
      <c r="G14066" s="3336"/>
      <c r="P14066" s="3337"/>
    </row>
    <row r="14067" spans="7:16" s="1634" customFormat="1">
      <c r="G14067" s="3336"/>
      <c r="P14067" s="3337"/>
    </row>
    <row r="14068" spans="7:16" s="1634" customFormat="1">
      <c r="G14068" s="3336"/>
      <c r="P14068" s="3337"/>
    </row>
    <row r="14069" spans="7:16" s="1634" customFormat="1">
      <c r="G14069" s="3336"/>
      <c r="P14069" s="3337"/>
    </row>
    <row r="14070" spans="7:16" s="1634" customFormat="1">
      <c r="G14070" s="3336"/>
      <c r="P14070" s="3337"/>
    </row>
    <row r="14071" spans="7:16" s="1634" customFormat="1">
      <c r="G14071" s="3336"/>
      <c r="P14071" s="3337"/>
    </row>
    <row r="14072" spans="7:16" s="1634" customFormat="1">
      <c r="G14072" s="3336"/>
      <c r="P14072" s="3337"/>
    </row>
    <row r="14073" spans="7:16" s="1634" customFormat="1">
      <c r="G14073" s="3336"/>
      <c r="P14073" s="3337"/>
    </row>
    <row r="14074" spans="7:16" s="1634" customFormat="1">
      <c r="G14074" s="3336"/>
      <c r="P14074" s="3337"/>
    </row>
    <row r="14075" spans="7:16" s="1634" customFormat="1">
      <c r="G14075" s="3336"/>
      <c r="P14075" s="3337"/>
    </row>
    <row r="14076" spans="7:16" s="1634" customFormat="1">
      <c r="G14076" s="3336"/>
      <c r="P14076" s="3337"/>
    </row>
    <row r="14077" spans="7:16" s="1634" customFormat="1">
      <c r="G14077" s="3336"/>
      <c r="P14077" s="3337"/>
    </row>
    <row r="14078" spans="7:16" s="1634" customFormat="1">
      <c r="G14078" s="3336"/>
      <c r="P14078" s="3337"/>
    </row>
    <row r="14079" spans="7:16" s="1634" customFormat="1">
      <c r="G14079" s="3336"/>
      <c r="P14079" s="3337"/>
    </row>
    <row r="14080" spans="7:16" s="1634" customFormat="1">
      <c r="G14080" s="3336"/>
      <c r="P14080" s="3337"/>
    </row>
    <row r="14081" spans="7:16" s="1634" customFormat="1">
      <c r="G14081" s="3336"/>
      <c r="P14081" s="3337"/>
    </row>
    <row r="14082" spans="7:16" s="1634" customFormat="1">
      <c r="G14082" s="3336"/>
      <c r="P14082" s="3337"/>
    </row>
    <row r="14083" spans="7:16" s="1634" customFormat="1">
      <c r="G14083" s="3336"/>
      <c r="P14083" s="3337"/>
    </row>
    <row r="14084" spans="7:16" s="1634" customFormat="1">
      <c r="G14084" s="3336"/>
      <c r="P14084" s="3337"/>
    </row>
    <row r="14085" spans="7:16" s="1634" customFormat="1">
      <c r="G14085" s="3336"/>
      <c r="P14085" s="3337"/>
    </row>
    <row r="14086" spans="7:16" s="1634" customFormat="1">
      <c r="G14086" s="3336"/>
      <c r="P14086" s="3337"/>
    </row>
    <row r="14087" spans="7:16" s="1634" customFormat="1">
      <c r="G14087" s="3336"/>
      <c r="P14087" s="3337"/>
    </row>
    <row r="14088" spans="7:16" s="1634" customFormat="1">
      <c r="G14088" s="3336"/>
      <c r="P14088" s="3337"/>
    </row>
    <row r="14089" spans="7:16" s="1634" customFormat="1">
      <c r="G14089" s="3336"/>
      <c r="P14089" s="3337"/>
    </row>
    <row r="14090" spans="7:16" s="1634" customFormat="1">
      <c r="G14090" s="3336"/>
      <c r="P14090" s="3337"/>
    </row>
    <row r="14091" spans="7:16" s="1634" customFormat="1">
      <c r="G14091" s="3336"/>
      <c r="P14091" s="3337"/>
    </row>
    <row r="14092" spans="7:16" s="1634" customFormat="1">
      <c r="G14092" s="3336"/>
      <c r="P14092" s="3337"/>
    </row>
    <row r="14093" spans="7:16" s="1634" customFormat="1">
      <c r="G14093" s="3336"/>
      <c r="P14093" s="3337"/>
    </row>
    <row r="14094" spans="7:16" s="1634" customFormat="1">
      <c r="G14094" s="3336"/>
      <c r="P14094" s="3337"/>
    </row>
    <row r="14095" spans="7:16" s="1634" customFormat="1">
      <c r="G14095" s="3336"/>
      <c r="P14095" s="3337"/>
    </row>
    <row r="14096" spans="7:16" s="1634" customFormat="1">
      <c r="G14096" s="3336"/>
      <c r="P14096" s="3337"/>
    </row>
    <row r="14097" spans="7:16" s="1634" customFormat="1">
      <c r="G14097" s="3336"/>
      <c r="P14097" s="3337"/>
    </row>
    <row r="14098" spans="7:16" s="1634" customFormat="1">
      <c r="G14098" s="3336"/>
      <c r="P14098" s="3337"/>
    </row>
    <row r="14099" spans="7:16" s="1634" customFormat="1">
      <c r="G14099" s="3336"/>
      <c r="P14099" s="3337"/>
    </row>
    <row r="14100" spans="7:16" s="1634" customFormat="1">
      <c r="G14100" s="3336"/>
      <c r="P14100" s="3337"/>
    </row>
    <row r="14101" spans="7:16" s="1634" customFormat="1">
      <c r="G14101" s="3336"/>
      <c r="P14101" s="3337"/>
    </row>
    <row r="14102" spans="7:16" s="1634" customFormat="1">
      <c r="G14102" s="3336"/>
      <c r="P14102" s="3337"/>
    </row>
    <row r="14103" spans="7:16" s="1634" customFormat="1">
      <c r="G14103" s="3336"/>
      <c r="P14103" s="3337"/>
    </row>
    <row r="14104" spans="7:16" s="1634" customFormat="1">
      <c r="G14104" s="3336"/>
      <c r="P14104" s="3337"/>
    </row>
    <row r="14105" spans="7:16" s="1634" customFormat="1">
      <c r="G14105" s="3336"/>
      <c r="P14105" s="3337"/>
    </row>
    <row r="14106" spans="7:16" s="1634" customFormat="1">
      <c r="G14106" s="3336"/>
      <c r="P14106" s="3337"/>
    </row>
    <row r="14107" spans="7:16" s="1634" customFormat="1">
      <c r="G14107" s="3336"/>
      <c r="P14107" s="3337"/>
    </row>
    <row r="14108" spans="7:16" s="1634" customFormat="1">
      <c r="G14108" s="3336"/>
      <c r="P14108" s="3337"/>
    </row>
    <row r="14109" spans="7:16" s="1634" customFormat="1">
      <c r="G14109" s="3336"/>
      <c r="P14109" s="3337"/>
    </row>
    <row r="14110" spans="7:16" s="1634" customFormat="1">
      <c r="G14110" s="3336"/>
      <c r="P14110" s="3337"/>
    </row>
    <row r="14111" spans="7:16" s="1634" customFormat="1">
      <c r="G14111" s="3336"/>
      <c r="P14111" s="3337"/>
    </row>
    <row r="14112" spans="7:16" s="1634" customFormat="1">
      <c r="G14112" s="3336"/>
      <c r="P14112" s="3337"/>
    </row>
    <row r="14113" spans="7:16" s="1634" customFormat="1">
      <c r="G14113" s="3336"/>
      <c r="P14113" s="3337"/>
    </row>
    <row r="14114" spans="7:16" s="1634" customFormat="1">
      <c r="G14114" s="3336"/>
      <c r="P14114" s="3337"/>
    </row>
    <row r="14115" spans="7:16" s="1634" customFormat="1">
      <c r="G14115" s="3336"/>
      <c r="P14115" s="3337"/>
    </row>
    <row r="14116" spans="7:16" s="1634" customFormat="1">
      <c r="G14116" s="3336"/>
      <c r="P14116" s="3337"/>
    </row>
    <row r="14117" spans="7:16" s="1634" customFormat="1">
      <c r="G14117" s="3336"/>
      <c r="P14117" s="3337"/>
    </row>
    <row r="14118" spans="7:16" s="1634" customFormat="1">
      <c r="G14118" s="3336"/>
      <c r="P14118" s="3337"/>
    </row>
    <row r="14119" spans="7:16" s="1634" customFormat="1">
      <c r="G14119" s="3336"/>
      <c r="P14119" s="3337"/>
    </row>
    <row r="14120" spans="7:16" s="1634" customFormat="1">
      <c r="G14120" s="3336"/>
      <c r="P14120" s="3337"/>
    </row>
    <row r="14121" spans="7:16" s="1634" customFormat="1">
      <c r="G14121" s="3336"/>
      <c r="P14121" s="3337"/>
    </row>
    <row r="14122" spans="7:16" s="1634" customFormat="1">
      <c r="G14122" s="3336"/>
      <c r="P14122" s="3337"/>
    </row>
    <row r="14123" spans="7:16" s="1634" customFormat="1">
      <c r="G14123" s="3336"/>
      <c r="P14123" s="3337"/>
    </row>
    <row r="14124" spans="7:16" s="1634" customFormat="1">
      <c r="G14124" s="3336"/>
      <c r="P14124" s="3337"/>
    </row>
    <row r="14125" spans="7:16" s="1634" customFormat="1">
      <c r="G14125" s="3336"/>
      <c r="P14125" s="3337"/>
    </row>
    <row r="14126" spans="7:16" s="1634" customFormat="1">
      <c r="G14126" s="3336"/>
      <c r="P14126" s="3337"/>
    </row>
    <row r="14127" spans="7:16" s="1634" customFormat="1">
      <c r="G14127" s="3336"/>
      <c r="P14127" s="3337"/>
    </row>
    <row r="14128" spans="7:16" s="1634" customFormat="1">
      <c r="G14128" s="3336"/>
      <c r="P14128" s="3337"/>
    </row>
    <row r="14129" spans="7:16" s="1634" customFormat="1">
      <c r="G14129" s="3336"/>
      <c r="P14129" s="3337"/>
    </row>
    <row r="14130" spans="7:16" s="1634" customFormat="1">
      <c r="G14130" s="3336"/>
      <c r="P14130" s="3337"/>
    </row>
    <row r="14131" spans="7:16" s="1634" customFormat="1">
      <c r="G14131" s="3336"/>
      <c r="P14131" s="3337"/>
    </row>
    <row r="14132" spans="7:16" s="1634" customFormat="1">
      <c r="G14132" s="3336"/>
      <c r="P14132" s="3337"/>
    </row>
    <row r="14133" spans="7:16" s="1634" customFormat="1">
      <c r="G14133" s="3336"/>
      <c r="P14133" s="3337"/>
    </row>
    <row r="14134" spans="7:16" s="1634" customFormat="1">
      <c r="G14134" s="3336"/>
      <c r="P14134" s="3337"/>
    </row>
    <row r="14135" spans="7:16" s="1634" customFormat="1">
      <c r="G14135" s="3336"/>
      <c r="P14135" s="3337"/>
    </row>
    <row r="14136" spans="7:16" s="1634" customFormat="1">
      <c r="G14136" s="3336"/>
      <c r="P14136" s="3337"/>
    </row>
    <row r="14137" spans="7:16" s="1634" customFormat="1">
      <c r="G14137" s="3336"/>
      <c r="P14137" s="3337"/>
    </row>
    <row r="14138" spans="7:16" s="1634" customFormat="1">
      <c r="G14138" s="3336"/>
      <c r="P14138" s="3337"/>
    </row>
    <row r="14139" spans="7:16" s="1634" customFormat="1">
      <c r="G14139" s="3336"/>
      <c r="P14139" s="3337"/>
    </row>
    <row r="14140" spans="7:16" s="1634" customFormat="1">
      <c r="G14140" s="3336"/>
      <c r="P14140" s="3337"/>
    </row>
    <row r="14141" spans="7:16" s="1634" customFormat="1">
      <c r="G14141" s="3336"/>
      <c r="P14141" s="3337"/>
    </row>
    <row r="14142" spans="7:16" s="1634" customFormat="1">
      <c r="G14142" s="3336"/>
      <c r="P14142" s="3337"/>
    </row>
    <row r="14143" spans="7:16" s="1634" customFormat="1">
      <c r="G14143" s="3336"/>
      <c r="P14143" s="3337"/>
    </row>
    <row r="14144" spans="7:16" s="1634" customFormat="1">
      <c r="G14144" s="3336"/>
      <c r="P14144" s="3337"/>
    </row>
    <row r="14145" spans="7:16" s="1634" customFormat="1">
      <c r="G14145" s="3336"/>
      <c r="P14145" s="3337"/>
    </row>
    <row r="14146" spans="7:16" s="1634" customFormat="1">
      <c r="G14146" s="3336"/>
      <c r="P14146" s="3337"/>
    </row>
    <row r="14147" spans="7:16" s="1634" customFormat="1">
      <c r="G14147" s="3336"/>
      <c r="P14147" s="3337"/>
    </row>
    <row r="14148" spans="7:16" s="1634" customFormat="1">
      <c r="G14148" s="3336"/>
      <c r="P14148" s="3337"/>
    </row>
    <row r="14149" spans="7:16" s="1634" customFormat="1">
      <c r="G14149" s="3336"/>
      <c r="P14149" s="3337"/>
    </row>
    <row r="14150" spans="7:16" s="1634" customFormat="1">
      <c r="G14150" s="3336"/>
      <c r="P14150" s="3337"/>
    </row>
    <row r="14151" spans="7:16" s="1634" customFormat="1">
      <c r="G14151" s="3336"/>
      <c r="P14151" s="3337"/>
    </row>
    <row r="14152" spans="7:16" s="1634" customFormat="1">
      <c r="G14152" s="3336"/>
      <c r="P14152" s="3337"/>
    </row>
    <row r="14153" spans="7:16" s="1634" customFormat="1">
      <c r="G14153" s="3336"/>
      <c r="P14153" s="3337"/>
    </row>
    <row r="14154" spans="7:16" s="1634" customFormat="1">
      <c r="G14154" s="3336"/>
      <c r="P14154" s="3337"/>
    </row>
    <row r="14155" spans="7:16" s="1634" customFormat="1">
      <c r="G14155" s="3336"/>
      <c r="P14155" s="3337"/>
    </row>
    <row r="14156" spans="7:16" s="1634" customFormat="1">
      <c r="G14156" s="3336"/>
      <c r="P14156" s="3337"/>
    </row>
    <row r="14157" spans="7:16" s="1634" customFormat="1">
      <c r="G14157" s="3336"/>
      <c r="P14157" s="3337"/>
    </row>
    <row r="14158" spans="7:16" s="1634" customFormat="1">
      <c r="G14158" s="3336"/>
      <c r="P14158" s="3337"/>
    </row>
    <row r="14159" spans="7:16" s="1634" customFormat="1">
      <c r="G14159" s="3336"/>
      <c r="P14159" s="3337"/>
    </row>
    <row r="14160" spans="7:16" s="1634" customFormat="1">
      <c r="G14160" s="3336"/>
      <c r="P14160" s="3337"/>
    </row>
    <row r="14161" spans="7:16" s="1634" customFormat="1">
      <c r="G14161" s="3336"/>
      <c r="P14161" s="3337"/>
    </row>
    <row r="14162" spans="7:16" s="1634" customFormat="1">
      <c r="G14162" s="3336"/>
      <c r="P14162" s="3337"/>
    </row>
    <row r="14163" spans="7:16" s="1634" customFormat="1">
      <c r="G14163" s="3336"/>
      <c r="P14163" s="3337"/>
    </row>
    <row r="14164" spans="7:16" s="1634" customFormat="1">
      <c r="G14164" s="3336"/>
      <c r="P14164" s="3337"/>
    </row>
    <row r="14165" spans="7:16" s="1634" customFormat="1">
      <c r="G14165" s="3336"/>
      <c r="P14165" s="3337"/>
    </row>
    <row r="14166" spans="7:16" s="1634" customFormat="1">
      <c r="G14166" s="3336"/>
      <c r="P14166" s="3337"/>
    </row>
    <row r="14167" spans="7:16" s="1634" customFormat="1">
      <c r="G14167" s="3336"/>
      <c r="P14167" s="3337"/>
    </row>
    <row r="14168" spans="7:16" s="1634" customFormat="1">
      <c r="G14168" s="3336"/>
      <c r="P14168" s="3337"/>
    </row>
    <row r="14169" spans="7:16" s="1634" customFormat="1">
      <c r="G14169" s="3336"/>
      <c r="P14169" s="3337"/>
    </row>
    <row r="14170" spans="7:16" s="1634" customFormat="1">
      <c r="G14170" s="3336"/>
      <c r="P14170" s="3337"/>
    </row>
    <row r="14171" spans="7:16" s="1634" customFormat="1">
      <c r="G14171" s="3336"/>
      <c r="P14171" s="3337"/>
    </row>
    <row r="14172" spans="7:16" s="1634" customFormat="1">
      <c r="G14172" s="3336"/>
      <c r="P14172" s="3337"/>
    </row>
    <row r="14173" spans="7:16" s="1634" customFormat="1">
      <c r="G14173" s="3336"/>
      <c r="P14173" s="3337"/>
    </row>
    <row r="14174" spans="7:16" s="1634" customFormat="1">
      <c r="G14174" s="3336"/>
      <c r="P14174" s="3337"/>
    </row>
    <row r="14175" spans="7:16" s="1634" customFormat="1">
      <c r="G14175" s="3336"/>
      <c r="P14175" s="3337"/>
    </row>
    <row r="14176" spans="7:16" s="1634" customFormat="1">
      <c r="G14176" s="3336"/>
      <c r="P14176" s="3337"/>
    </row>
    <row r="14177" spans="7:16" s="1634" customFormat="1">
      <c r="G14177" s="3336"/>
      <c r="P14177" s="3337"/>
    </row>
    <row r="14178" spans="7:16" s="1634" customFormat="1">
      <c r="G14178" s="3336"/>
      <c r="P14178" s="3337"/>
    </row>
    <row r="14179" spans="7:16" s="1634" customFormat="1">
      <c r="G14179" s="3336"/>
      <c r="P14179" s="3337"/>
    </row>
    <row r="14180" spans="7:16" s="1634" customFormat="1">
      <c r="G14180" s="3336"/>
      <c r="P14180" s="3337"/>
    </row>
    <row r="14181" spans="7:16" s="1634" customFormat="1">
      <c r="G14181" s="3336"/>
      <c r="P14181" s="3337"/>
    </row>
    <row r="14182" spans="7:16" s="1634" customFormat="1">
      <c r="G14182" s="3336"/>
      <c r="P14182" s="3337"/>
    </row>
    <row r="14183" spans="7:16" s="1634" customFormat="1">
      <c r="G14183" s="3336"/>
      <c r="P14183" s="3337"/>
    </row>
    <row r="14184" spans="7:16" s="1634" customFormat="1">
      <c r="G14184" s="3336"/>
      <c r="P14184" s="3337"/>
    </row>
    <row r="14185" spans="7:16" s="1634" customFormat="1">
      <c r="G14185" s="3336"/>
      <c r="P14185" s="3337"/>
    </row>
    <row r="14186" spans="7:16" s="1634" customFormat="1">
      <c r="G14186" s="3336"/>
      <c r="P14186" s="3337"/>
    </row>
    <row r="14187" spans="7:16" s="1634" customFormat="1">
      <c r="G14187" s="3336"/>
      <c r="P14187" s="3337"/>
    </row>
    <row r="14188" spans="7:16" s="1634" customFormat="1">
      <c r="G14188" s="3336"/>
      <c r="P14188" s="3337"/>
    </row>
    <row r="14189" spans="7:16" s="1634" customFormat="1">
      <c r="G14189" s="3336"/>
      <c r="P14189" s="3337"/>
    </row>
    <row r="14190" spans="7:16" s="1634" customFormat="1">
      <c r="G14190" s="3336"/>
      <c r="P14190" s="3337"/>
    </row>
    <row r="14191" spans="7:16" s="1634" customFormat="1">
      <c r="G14191" s="3336"/>
      <c r="P14191" s="3337"/>
    </row>
    <row r="14192" spans="7:16" s="1634" customFormat="1">
      <c r="G14192" s="3336"/>
      <c r="P14192" s="3337"/>
    </row>
    <row r="14193" spans="7:16" s="1634" customFormat="1">
      <c r="G14193" s="3336"/>
      <c r="P14193" s="3337"/>
    </row>
    <row r="14194" spans="7:16" s="1634" customFormat="1">
      <c r="G14194" s="3336"/>
      <c r="P14194" s="3337"/>
    </row>
    <row r="14195" spans="7:16" s="1634" customFormat="1">
      <c r="G14195" s="3336"/>
      <c r="P14195" s="3337"/>
    </row>
    <row r="14196" spans="7:16" s="1634" customFormat="1">
      <c r="G14196" s="3336"/>
      <c r="P14196" s="3337"/>
    </row>
    <row r="14197" spans="7:16" s="1634" customFormat="1">
      <c r="G14197" s="3336"/>
      <c r="P14197" s="3337"/>
    </row>
    <row r="14198" spans="7:16" s="1634" customFormat="1">
      <c r="G14198" s="3336"/>
      <c r="P14198" s="3337"/>
    </row>
    <row r="14199" spans="7:16" s="1634" customFormat="1">
      <c r="G14199" s="3336"/>
      <c r="P14199" s="3337"/>
    </row>
    <row r="14200" spans="7:16" s="1634" customFormat="1">
      <c r="G14200" s="3336"/>
      <c r="P14200" s="3337"/>
    </row>
    <row r="14201" spans="7:16" s="1634" customFormat="1">
      <c r="G14201" s="3336"/>
      <c r="P14201" s="3337"/>
    </row>
    <row r="14202" spans="7:16" s="1634" customFormat="1">
      <c r="G14202" s="3336"/>
      <c r="P14202" s="3337"/>
    </row>
    <row r="14203" spans="7:16" s="1634" customFormat="1">
      <c r="G14203" s="3336"/>
      <c r="P14203" s="3337"/>
    </row>
    <row r="14204" spans="7:16" s="1634" customFormat="1">
      <c r="G14204" s="3336"/>
      <c r="P14204" s="3337"/>
    </row>
    <row r="14205" spans="7:16" s="1634" customFormat="1">
      <c r="G14205" s="3336"/>
      <c r="P14205" s="3337"/>
    </row>
    <row r="14206" spans="7:16" s="1634" customFormat="1">
      <c r="G14206" s="3336"/>
      <c r="P14206" s="3337"/>
    </row>
    <row r="14207" spans="7:16" s="1634" customFormat="1">
      <c r="G14207" s="3336"/>
      <c r="P14207" s="3337"/>
    </row>
    <row r="14208" spans="7:16" s="1634" customFormat="1">
      <c r="G14208" s="3336"/>
      <c r="P14208" s="3337"/>
    </row>
    <row r="14209" spans="7:16" s="1634" customFormat="1">
      <c r="G14209" s="3336"/>
      <c r="P14209" s="3337"/>
    </row>
    <row r="14210" spans="7:16" s="1634" customFormat="1">
      <c r="G14210" s="3336"/>
      <c r="P14210" s="3337"/>
    </row>
    <row r="14211" spans="7:16" s="1634" customFormat="1">
      <c r="G14211" s="3336"/>
      <c r="P14211" s="3337"/>
    </row>
    <row r="14212" spans="7:16" s="1634" customFormat="1">
      <c r="G14212" s="3336"/>
      <c r="P14212" s="3337"/>
    </row>
    <row r="14213" spans="7:16" s="1634" customFormat="1">
      <c r="G14213" s="3336"/>
      <c r="P14213" s="3337"/>
    </row>
    <row r="14214" spans="7:16" s="1634" customFormat="1">
      <c r="G14214" s="3336"/>
      <c r="P14214" s="3337"/>
    </row>
    <row r="14215" spans="7:16" s="1634" customFormat="1">
      <c r="G14215" s="3336"/>
      <c r="P14215" s="3337"/>
    </row>
    <row r="14216" spans="7:16" s="1634" customFormat="1">
      <c r="G14216" s="3336"/>
      <c r="P14216" s="3337"/>
    </row>
    <row r="14217" spans="7:16" s="1634" customFormat="1">
      <c r="G14217" s="3336"/>
      <c r="P14217" s="3337"/>
    </row>
    <row r="14218" spans="7:16" s="1634" customFormat="1">
      <c r="G14218" s="3336"/>
      <c r="P14218" s="3337"/>
    </row>
    <row r="14219" spans="7:16" s="1634" customFormat="1">
      <c r="G14219" s="3336"/>
      <c r="P14219" s="3337"/>
    </row>
    <row r="14220" spans="7:16" s="1634" customFormat="1">
      <c r="G14220" s="3336"/>
      <c r="P14220" s="3337"/>
    </row>
    <row r="14221" spans="7:16" s="1634" customFormat="1">
      <c r="G14221" s="3336"/>
      <c r="P14221" s="3337"/>
    </row>
    <row r="14222" spans="7:16" s="1634" customFormat="1">
      <c r="G14222" s="3336"/>
      <c r="P14222" s="3337"/>
    </row>
    <row r="14223" spans="7:16" s="1634" customFormat="1">
      <c r="G14223" s="3336"/>
      <c r="P14223" s="3337"/>
    </row>
    <row r="14224" spans="7:16" s="1634" customFormat="1">
      <c r="G14224" s="3336"/>
      <c r="P14224" s="3337"/>
    </row>
    <row r="14225" spans="7:16" s="1634" customFormat="1">
      <c r="G14225" s="3336"/>
      <c r="P14225" s="3337"/>
    </row>
    <row r="14226" spans="7:16" s="1634" customFormat="1">
      <c r="G14226" s="3336"/>
      <c r="P14226" s="3337"/>
    </row>
    <row r="14227" spans="7:16" s="1634" customFormat="1">
      <c r="G14227" s="3336"/>
      <c r="P14227" s="3337"/>
    </row>
    <row r="14228" spans="7:16" s="1634" customFormat="1">
      <c r="G14228" s="3336"/>
      <c r="P14228" s="3337"/>
    </row>
    <row r="14229" spans="7:16" s="1634" customFormat="1">
      <c r="G14229" s="3336"/>
      <c r="P14229" s="3337"/>
    </row>
    <row r="14230" spans="7:16" s="1634" customFormat="1">
      <c r="G14230" s="3336"/>
      <c r="P14230" s="3337"/>
    </row>
    <row r="14231" spans="7:16" s="1634" customFormat="1">
      <c r="G14231" s="3336"/>
      <c r="P14231" s="3337"/>
    </row>
    <row r="14232" spans="7:16" s="1634" customFormat="1">
      <c r="G14232" s="3336"/>
      <c r="P14232" s="3337"/>
    </row>
    <row r="14233" spans="7:16" s="1634" customFormat="1">
      <c r="G14233" s="3336"/>
      <c r="P14233" s="3337"/>
    </row>
    <row r="14234" spans="7:16" s="1634" customFormat="1">
      <c r="G14234" s="3336"/>
      <c r="P14234" s="3337"/>
    </row>
    <row r="14235" spans="7:16" s="1634" customFormat="1">
      <c r="G14235" s="3336"/>
      <c r="P14235" s="3337"/>
    </row>
    <row r="14236" spans="7:16" s="1634" customFormat="1">
      <c r="G14236" s="3336"/>
      <c r="P14236" s="3337"/>
    </row>
    <row r="14237" spans="7:16" s="1634" customFormat="1">
      <c r="G14237" s="3336"/>
      <c r="P14237" s="3337"/>
    </row>
    <row r="14238" spans="7:16" s="1634" customFormat="1">
      <c r="G14238" s="3336"/>
      <c r="P14238" s="3337"/>
    </row>
    <row r="14239" spans="7:16" s="1634" customFormat="1">
      <c r="G14239" s="3336"/>
      <c r="P14239" s="3337"/>
    </row>
    <row r="14240" spans="7:16" s="1634" customFormat="1">
      <c r="G14240" s="3336"/>
      <c r="P14240" s="3337"/>
    </row>
    <row r="14241" spans="7:16" s="1634" customFormat="1">
      <c r="G14241" s="3336"/>
      <c r="P14241" s="3337"/>
    </row>
    <row r="14242" spans="7:16" s="1634" customFormat="1">
      <c r="G14242" s="3336"/>
      <c r="P14242" s="3337"/>
    </row>
    <row r="14243" spans="7:16" s="1634" customFormat="1">
      <c r="G14243" s="3336"/>
      <c r="P14243" s="3337"/>
    </row>
    <row r="14244" spans="7:16" s="1634" customFormat="1">
      <c r="G14244" s="3336"/>
      <c r="P14244" s="3337"/>
    </row>
    <row r="14245" spans="7:16" s="1634" customFormat="1">
      <c r="G14245" s="3336"/>
      <c r="P14245" s="3337"/>
    </row>
    <row r="14246" spans="7:16" s="1634" customFormat="1">
      <c r="G14246" s="3336"/>
      <c r="P14246" s="3337"/>
    </row>
    <row r="14247" spans="7:16" s="1634" customFormat="1">
      <c r="G14247" s="3336"/>
      <c r="P14247" s="3337"/>
    </row>
    <row r="14248" spans="7:16" s="1634" customFormat="1">
      <c r="G14248" s="3336"/>
      <c r="P14248" s="3337"/>
    </row>
    <row r="14249" spans="7:16" s="1634" customFormat="1">
      <c r="G14249" s="3336"/>
      <c r="P14249" s="3337"/>
    </row>
    <row r="14250" spans="7:16" s="1634" customFormat="1">
      <c r="G14250" s="3336"/>
      <c r="P14250" s="3337"/>
    </row>
    <row r="14251" spans="7:16" s="1634" customFormat="1">
      <c r="G14251" s="3336"/>
      <c r="P14251" s="3337"/>
    </row>
    <row r="14252" spans="7:16" s="1634" customFormat="1">
      <c r="G14252" s="3336"/>
      <c r="P14252" s="3337"/>
    </row>
    <row r="14253" spans="7:16" s="1634" customFormat="1">
      <c r="G14253" s="3336"/>
      <c r="P14253" s="3337"/>
    </row>
    <row r="14254" spans="7:16" s="1634" customFormat="1">
      <c r="G14254" s="3336"/>
      <c r="P14254" s="3337"/>
    </row>
    <row r="14255" spans="7:16" s="1634" customFormat="1">
      <c r="G14255" s="3336"/>
      <c r="P14255" s="3337"/>
    </row>
    <row r="14256" spans="7:16" s="1634" customFormat="1">
      <c r="G14256" s="3336"/>
      <c r="P14256" s="3337"/>
    </row>
    <row r="14257" spans="7:16" s="1634" customFormat="1">
      <c r="G14257" s="3336"/>
      <c r="P14257" s="3337"/>
    </row>
    <row r="14258" spans="7:16" s="1634" customFormat="1">
      <c r="G14258" s="3336"/>
      <c r="P14258" s="3337"/>
    </row>
    <row r="14259" spans="7:16" s="1634" customFormat="1">
      <c r="G14259" s="3336"/>
      <c r="P14259" s="3337"/>
    </row>
    <row r="14260" spans="7:16" s="1634" customFormat="1">
      <c r="G14260" s="3336"/>
      <c r="P14260" s="3337"/>
    </row>
    <row r="14261" spans="7:16" s="1634" customFormat="1">
      <c r="G14261" s="3336"/>
      <c r="P14261" s="3337"/>
    </row>
    <row r="14262" spans="7:16" s="1634" customFormat="1">
      <c r="G14262" s="3336"/>
      <c r="P14262" s="3337"/>
    </row>
    <row r="14263" spans="7:16" s="1634" customFormat="1">
      <c r="G14263" s="3336"/>
      <c r="P14263" s="3337"/>
    </row>
    <row r="14264" spans="7:16" s="1634" customFormat="1">
      <c r="G14264" s="3336"/>
      <c r="P14264" s="3337"/>
    </row>
    <row r="14265" spans="7:16" s="1634" customFormat="1">
      <c r="G14265" s="3336"/>
      <c r="P14265" s="3337"/>
    </row>
    <row r="14266" spans="7:16" s="1634" customFormat="1">
      <c r="G14266" s="3336"/>
      <c r="P14266" s="3337"/>
    </row>
    <row r="14267" spans="7:16" s="1634" customFormat="1">
      <c r="G14267" s="3336"/>
      <c r="P14267" s="3337"/>
    </row>
    <row r="14268" spans="7:16" s="1634" customFormat="1">
      <c r="G14268" s="3336"/>
      <c r="P14268" s="3337"/>
    </row>
    <row r="14269" spans="7:16" s="1634" customFormat="1">
      <c r="G14269" s="3336"/>
      <c r="P14269" s="3337"/>
    </row>
    <row r="14270" spans="7:16" s="1634" customFormat="1">
      <c r="G14270" s="3336"/>
      <c r="P14270" s="3337"/>
    </row>
    <row r="14271" spans="7:16" s="1634" customFormat="1">
      <c r="G14271" s="3336"/>
      <c r="P14271" s="3337"/>
    </row>
    <row r="14272" spans="7:16" s="1634" customFormat="1">
      <c r="G14272" s="3336"/>
      <c r="P14272" s="3337"/>
    </row>
    <row r="14273" spans="7:16" s="1634" customFormat="1">
      <c r="G14273" s="3336"/>
      <c r="P14273" s="3337"/>
    </row>
    <row r="14274" spans="7:16" s="1634" customFormat="1">
      <c r="G14274" s="3336"/>
      <c r="P14274" s="3337"/>
    </row>
    <row r="14275" spans="7:16" s="1634" customFormat="1">
      <c r="G14275" s="3336"/>
      <c r="P14275" s="3337"/>
    </row>
    <row r="14276" spans="7:16" s="1634" customFormat="1">
      <c r="G14276" s="3336"/>
      <c r="P14276" s="3337"/>
    </row>
    <row r="14277" spans="7:16" s="1634" customFormat="1">
      <c r="G14277" s="3336"/>
      <c r="P14277" s="3337"/>
    </row>
    <row r="14278" spans="7:16" s="1634" customFormat="1">
      <c r="G14278" s="3336"/>
      <c r="P14278" s="3337"/>
    </row>
    <row r="14279" spans="7:16" s="1634" customFormat="1">
      <c r="G14279" s="3336"/>
      <c r="P14279" s="3337"/>
    </row>
    <row r="14280" spans="7:16" s="1634" customFormat="1">
      <c r="G14280" s="3336"/>
      <c r="P14280" s="3337"/>
    </row>
    <row r="14281" spans="7:16" s="1634" customFormat="1">
      <c r="G14281" s="3336"/>
      <c r="P14281" s="3337"/>
    </row>
    <row r="14282" spans="7:16" s="1634" customFormat="1">
      <c r="G14282" s="3336"/>
      <c r="P14282" s="3337"/>
    </row>
    <row r="14283" spans="7:16" s="1634" customFormat="1">
      <c r="G14283" s="3336"/>
      <c r="P14283" s="3337"/>
    </row>
    <row r="14284" spans="7:16" s="1634" customFormat="1">
      <c r="G14284" s="3336"/>
      <c r="P14284" s="3337"/>
    </row>
    <row r="14285" spans="7:16" s="1634" customFormat="1">
      <c r="G14285" s="3336"/>
      <c r="P14285" s="3337"/>
    </row>
    <row r="14286" spans="7:16" s="1634" customFormat="1">
      <c r="G14286" s="3336"/>
      <c r="P14286" s="3337"/>
    </row>
    <row r="14287" spans="7:16" s="1634" customFormat="1">
      <c r="G14287" s="3336"/>
      <c r="P14287" s="3337"/>
    </row>
    <row r="14288" spans="7:16" s="1634" customFormat="1">
      <c r="G14288" s="3336"/>
      <c r="P14288" s="3337"/>
    </row>
    <row r="14289" spans="7:16" s="1634" customFormat="1">
      <c r="G14289" s="3336"/>
      <c r="P14289" s="3337"/>
    </row>
    <row r="14290" spans="7:16" s="1634" customFormat="1">
      <c r="G14290" s="3336"/>
      <c r="P14290" s="3337"/>
    </row>
    <row r="14291" spans="7:16" s="1634" customFormat="1">
      <c r="G14291" s="3336"/>
      <c r="P14291" s="3337"/>
    </row>
    <row r="14292" spans="7:16" s="1634" customFormat="1">
      <c r="G14292" s="3336"/>
      <c r="P14292" s="3337"/>
    </row>
    <row r="14293" spans="7:16" s="1634" customFormat="1">
      <c r="G14293" s="3336"/>
      <c r="P14293" s="3337"/>
    </row>
    <row r="14294" spans="7:16" s="1634" customFormat="1">
      <c r="G14294" s="3336"/>
      <c r="P14294" s="3337"/>
    </row>
    <row r="14295" spans="7:16" s="1634" customFormat="1">
      <c r="G14295" s="3336"/>
      <c r="P14295" s="3337"/>
    </row>
    <row r="14296" spans="7:16" s="1634" customFormat="1">
      <c r="G14296" s="3336"/>
      <c r="P14296" s="3337"/>
    </row>
    <row r="14297" spans="7:16" s="1634" customFormat="1">
      <c r="G14297" s="3336"/>
      <c r="P14297" s="3337"/>
    </row>
    <row r="14298" spans="7:16" s="1634" customFormat="1">
      <c r="G14298" s="3336"/>
      <c r="P14298" s="3337"/>
    </row>
    <row r="14299" spans="7:16" s="1634" customFormat="1">
      <c r="G14299" s="3336"/>
      <c r="P14299" s="3337"/>
    </row>
    <row r="14300" spans="7:16" s="1634" customFormat="1">
      <c r="G14300" s="3336"/>
      <c r="P14300" s="3337"/>
    </row>
    <row r="14301" spans="7:16" s="1634" customFormat="1">
      <c r="G14301" s="3336"/>
      <c r="P14301" s="3337"/>
    </row>
    <row r="14302" spans="7:16" s="1634" customFormat="1">
      <c r="G14302" s="3336"/>
      <c r="P14302" s="3337"/>
    </row>
    <row r="14303" spans="7:16" s="1634" customFormat="1">
      <c r="G14303" s="3336"/>
      <c r="P14303" s="3337"/>
    </row>
    <row r="14304" spans="7:16" s="1634" customFormat="1">
      <c r="G14304" s="3336"/>
      <c r="P14304" s="3337"/>
    </row>
    <row r="14305" spans="7:16" s="1634" customFormat="1">
      <c r="G14305" s="3336"/>
      <c r="P14305" s="3337"/>
    </row>
    <row r="14306" spans="7:16" s="1634" customFormat="1">
      <c r="G14306" s="3336"/>
      <c r="P14306" s="3337"/>
    </row>
    <row r="14307" spans="7:16" s="1634" customFormat="1">
      <c r="G14307" s="3336"/>
      <c r="P14307" s="3337"/>
    </row>
    <row r="14308" spans="7:16" s="1634" customFormat="1">
      <c r="G14308" s="3336"/>
      <c r="P14308" s="3337"/>
    </row>
    <row r="14309" spans="7:16" s="1634" customFormat="1">
      <c r="G14309" s="3336"/>
      <c r="P14309" s="3337"/>
    </row>
    <row r="14310" spans="7:16" s="1634" customFormat="1">
      <c r="G14310" s="3336"/>
      <c r="P14310" s="3337"/>
    </row>
    <row r="14311" spans="7:16" s="1634" customFormat="1">
      <c r="G14311" s="3336"/>
      <c r="P14311" s="3337"/>
    </row>
    <row r="14312" spans="7:16" s="1634" customFormat="1">
      <c r="G14312" s="3336"/>
      <c r="P14312" s="3337"/>
    </row>
    <row r="14313" spans="7:16" s="1634" customFormat="1">
      <c r="G14313" s="3336"/>
      <c r="P14313" s="3337"/>
    </row>
    <row r="14314" spans="7:16" s="1634" customFormat="1">
      <c r="G14314" s="3336"/>
      <c r="P14314" s="3337"/>
    </row>
    <row r="14315" spans="7:16" s="1634" customFormat="1">
      <c r="G14315" s="3336"/>
      <c r="P14315" s="3337"/>
    </row>
    <row r="14316" spans="7:16" s="1634" customFormat="1">
      <c r="G14316" s="3336"/>
      <c r="P14316" s="3337"/>
    </row>
    <row r="14317" spans="7:16" s="1634" customFormat="1">
      <c r="G14317" s="3336"/>
      <c r="P14317" s="3337"/>
    </row>
    <row r="14318" spans="7:16" s="1634" customFormat="1">
      <c r="G14318" s="3336"/>
      <c r="P14318" s="3337"/>
    </row>
    <row r="14319" spans="7:16" s="1634" customFormat="1">
      <c r="G14319" s="3336"/>
      <c r="P14319" s="3337"/>
    </row>
    <row r="14320" spans="7:16" s="1634" customFormat="1">
      <c r="G14320" s="3336"/>
      <c r="P14320" s="3337"/>
    </row>
    <row r="14321" spans="7:16" s="1634" customFormat="1">
      <c r="G14321" s="3336"/>
      <c r="P14321" s="3337"/>
    </row>
    <row r="14322" spans="7:16" s="1634" customFormat="1">
      <c r="G14322" s="3336"/>
      <c r="P14322" s="3337"/>
    </row>
    <row r="14323" spans="7:16" s="1634" customFormat="1">
      <c r="G14323" s="3336"/>
      <c r="P14323" s="3337"/>
    </row>
    <row r="14324" spans="7:16" s="1634" customFormat="1">
      <c r="G14324" s="3336"/>
      <c r="P14324" s="3337"/>
    </row>
    <row r="14325" spans="7:16" s="1634" customFormat="1">
      <c r="G14325" s="3336"/>
      <c r="P14325" s="3337"/>
    </row>
    <row r="14326" spans="7:16" s="1634" customFormat="1">
      <c r="G14326" s="3336"/>
      <c r="P14326" s="3337"/>
    </row>
    <row r="14327" spans="7:16" s="1634" customFormat="1">
      <c r="G14327" s="3336"/>
      <c r="P14327" s="3337"/>
    </row>
    <row r="14328" spans="7:16" s="1634" customFormat="1">
      <c r="G14328" s="3336"/>
      <c r="P14328" s="3337"/>
    </row>
    <row r="14329" spans="7:16" s="1634" customFormat="1">
      <c r="G14329" s="3336"/>
      <c r="P14329" s="3337"/>
    </row>
    <row r="14330" spans="7:16" s="1634" customFormat="1">
      <c r="G14330" s="3336"/>
      <c r="P14330" s="3337"/>
    </row>
    <row r="14331" spans="7:16" s="1634" customFormat="1">
      <c r="G14331" s="3336"/>
      <c r="P14331" s="3337"/>
    </row>
    <row r="14332" spans="7:16" s="1634" customFormat="1">
      <c r="G14332" s="3336"/>
      <c r="P14332" s="3337"/>
    </row>
    <row r="14333" spans="7:16" s="1634" customFormat="1">
      <c r="G14333" s="3336"/>
      <c r="P14333" s="3337"/>
    </row>
    <row r="14334" spans="7:16" s="1634" customFormat="1">
      <c r="G14334" s="3336"/>
      <c r="P14334" s="3337"/>
    </row>
    <row r="14335" spans="7:16" s="1634" customFormat="1">
      <c r="G14335" s="3336"/>
      <c r="P14335" s="3337"/>
    </row>
    <row r="14336" spans="7:16" s="1634" customFormat="1">
      <c r="G14336" s="3336"/>
      <c r="P14336" s="3337"/>
    </row>
    <row r="14337" spans="7:16" s="1634" customFormat="1">
      <c r="G14337" s="3336"/>
      <c r="P14337" s="3337"/>
    </row>
    <row r="14338" spans="7:16" s="1634" customFormat="1">
      <c r="G14338" s="3336"/>
      <c r="P14338" s="3337"/>
    </row>
    <row r="14339" spans="7:16" s="1634" customFormat="1">
      <c r="G14339" s="3336"/>
      <c r="P14339" s="3337"/>
    </row>
    <row r="14340" spans="7:16" s="1634" customFormat="1">
      <c r="G14340" s="3336"/>
      <c r="P14340" s="3337"/>
    </row>
    <row r="14341" spans="7:16" s="1634" customFormat="1">
      <c r="G14341" s="3336"/>
      <c r="P14341" s="3337"/>
    </row>
    <row r="14342" spans="7:16" s="1634" customFormat="1">
      <c r="G14342" s="3336"/>
      <c r="P14342" s="3337"/>
    </row>
    <row r="14343" spans="7:16" s="1634" customFormat="1">
      <c r="G14343" s="3336"/>
      <c r="P14343" s="3337"/>
    </row>
    <row r="14344" spans="7:16" s="1634" customFormat="1">
      <c r="G14344" s="3336"/>
      <c r="P14344" s="3337"/>
    </row>
    <row r="14345" spans="7:16" s="1634" customFormat="1">
      <c r="G14345" s="3336"/>
      <c r="P14345" s="3337"/>
    </row>
    <row r="14346" spans="7:16" s="1634" customFormat="1">
      <c r="G14346" s="3336"/>
      <c r="P14346" s="3337"/>
    </row>
    <row r="14347" spans="7:16" s="1634" customFormat="1">
      <c r="G14347" s="3336"/>
      <c r="P14347" s="3337"/>
    </row>
    <row r="14348" spans="7:16" s="1634" customFormat="1">
      <c r="G14348" s="3336"/>
      <c r="P14348" s="3337"/>
    </row>
    <row r="14349" spans="7:16" s="1634" customFormat="1">
      <c r="G14349" s="3336"/>
      <c r="P14349" s="3337"/>
    </row>
    <row r="14350" spans="7:16" s="1634" customFormat="1">
      <c r="G14350" s="3336"/>
      <c r="P14350" s="3337"/>
    </row>
    <row r="14351" spans="7:16" s="1634" customFormat="1">
      <c r="G14351" s="3336"/>
      <c r="P14351" s="3337"/>
    </row>
    <row r="14352" spans="7:16" s="1634" customFormat="1">
      <c r="G14352" s="3336"/>
      <c r="P14352" s="3337"/>
    </row>
    <row r="14353" spans="7:16" s="1634" customFormat="1">
      <c r="G14353" s="3336"/>
      <c r="P14353" s="3337"/>
    </row>
    <row r="14354" spans="7:16" s="1634" customFormat="1">
      <c r="G14354" s="3336"/>
      <c r="P14354" s="3337"/>
    </row>
    <row r="14355" spans="7:16" s="1634" customFormat="1">
      <c r="G14355" s="3336"/>
      <c r="P14355" s="3337"/>
    </row>
    <row r="14356" spans="7:16" s="1634" customFormat="1">
      <c r="G14356" s="3336"/>
      <c r="P14356" s="3337"/>
    </row>
    <row r="14357" spans="7:16" s="1634" customFormat="1">
      <c r="G14357" s="3336"/>
      <c r="P14357" s="3337"/>
    </row>
    <row r="14358" spans="7:16" s="1634" customFormat="1">
      <c r="G14358" s="3336"/>
      <c r="P14358" s="3337"/>
    </row>
    <row r="14359" spans="7:16" s="1634" customFormat="1">
      <c r="G14359" s="3336"/>
      <c r="P14359" s="3337"/>
    </row>
    <row r="14360" spans="7:16" s="1634" customFormat="1">
      <c r="G14360" s="3336"/>
      <c r="P14360" s="3337"/>
    </row>
    <row r="14361" spans="7:16" s="1634" customFormat="1">
      <c r="G14361" s="3336"/>
      <c r="P14361" s="3337"/>
    </row>
    <row r="14362" spans="7:16" s="1634" customFormat="1">
      <c r="G14362" s="3336"/>
      <c r="P14362" s="3337"/>
    </row>
    <row r="14363" spans="7:16" s="1634" customFormat="1">
      <c r="G14363" s="3336"/>
      <c r="P14363" s="3337"/>
    </row>
    <row r="14364" spans="7:16" s="1634" customFormat="1">
      <c r="G14364" s="3336"/>
      <c r="P14364" s="3337"/>
    </row>
    <row r="14365" spans="7:16" s="1634" customFormat="1">
      <c r="G14365" s="3336"/>
      <c r="P14365" s="3337"/>
    </row>
    <row r="14366" spans="7:16" s="1634" customFormat="1">
      <c r="G14366" s="3336"/>
      <c r="P14366" s="3337"/>
    </row>
    <row r="14367" spans="7:16" s="1634" customFormat="1">
      <c r="G14367" s="3336"/>
      <c r="P14367" s="3337"/>
    </row>
    <row r="14368" spans="7:16" s="1634" customFormat="1">
      <c r="G14368" s="3336"/>
      <c r="P14368" s="3337"/>
    </row>
    <row r="14369" spans="7:16" s="1634" customFormat="1">
      <c r="G14369" s="3336"/>
      <c r="P14369" s="3337"/>
    </row>
    <row r="14370" spans="7:16" s="1634" customFormat="1">
      <c r="G14370" s="3336"/>
      <c r="P14370" s="3337"/>
    </row>
    <row r="14371" spans="7:16" s="1634" customFormat="1">
      <c r="G14371" s="3336"/>
      <c r="P14371" s="3337"/>
    </row>
    <row r="14372" spans="7:16" s="1634" customFormat="1">
      <c r="G14372" s="3336"/>
      <c r="P14372" s="3337"/>
    </row>
    <row r="14373" spans="7:16" s="1634" customFormat="1">
      <c r="G14373" s="3336"/>
      <c r="P14373" s="3337"/>
    </row>
    <row r="14374" spans="7:16" s="1634" customFormat="1">
      <c r="G14374" s="3336"/>
      <c r="P14374" s="3337"/>
    </row>
    <row r="14375" spans="7:16" s="1634" customFormat="1">
      <c r="G14375" s="3336"/>
      <c r="P14375" s="3337"/>
    </row>
    <row r="14376" spans="7:16" s="1634" customFormat="1">
      <c r="G14376" s="3336"/>
      <c r="P14376" s="3337"/>
    </row>
    <row r="14377" spans="7:16" s="1634" customFormat="1">
      <c r="G14377" s="3336"/>
      <c r="P14377" s="3337"/>
    </row>
    <row r="14378" spans="7:16" s="1634" customFormat="1">
      <c r="G14378" s="3336"/>
      <c r="P14378" s="3337"/>
    </row>
    <row r="14379" spans="7:16" s="1634" customFormat="1">
      <c r="G14379" s="3336"/>
      <c r="P14379" s="3337"/>
    </row>
    <row r="14380" spans="7:16" s="1634" customFormat="1">
      <c r="G14380" s="3336"/>
      <c r="P14380" s="3337"/>
    </row>
    <row r="14381" spans="7:16" s="1634" customFormat="1">
      <c r="G14381" s="3336"/>
      <c r="P14381" s="3337"/>
    </row>
    <row r="14382" spans="7:16" s="1634" customFormat="1">
      <c r="G14382" s="3336"/>
      <c r="P14382" s="3337"/>
    </row>
    <row r="14383" spans="7:16" s="1634" customFormat="1">
      <c r="G14383" s="3336"/>
      <c r="P14383" s="3337"/>
    </row>
    <row r="14384" spans="7:16" s="1634" customFormat="1">
      <c r="G14384" s="3336"/>
      <c r="P14384" s="3337"/>
    </row>
    <row r="14385" spans="7:16" s="1634" customFormat="1">
      <c r="G14385" s="3336"/>
      <c r="P14385" s="3337"/>
    </row>
    <row r="14386" spans="7:16" s="1634" customFormat="1">
      <c r="G14386" s="3336"/>
      <c r="P14386" s="3337"/>
    </row>
    <row r="14387" spans="7:16" s="1634" customFormat="1">
      <c r="G14387" s="3336"/>
      <c r="P14387" s="3337"/>
    </row>
    <row r="14388" spans="7:16" s="1634" customFormat="1">
      <c r="G14388" s="3336"/>
      <c r="P14388" s="3337"/>
    </row>
    <row r="14389" spans="7:16" s="1634" customFormat="1">
      <c r="G14389" s="3336"/>
      <c r="P14389" s="3337"/>
    </row>
    <row r="14390" spans="7:16" s="1634" customFormat="1">
      <c r="G14390" s="3336"/>
      <c r="P14390" s="3337"/>
    </row>
    <row r="14391" spans="7:16" s="1634" customFormat="1">
      <c r="G14391" s="3336"/>
      <c r="P14391" s="3337"/>
    </row>
    <row r="14392" spans="7:16" s="1634" customFormat="1">
      <c r="G14392" s="3336"/>
      <c r="P14392" s="3337"/>
    </row>
    <row r="14393" spans="7:16" s="1634" customFormat="1">
      <c r="G14393" s="3336"/>
      <c r="P14393" s="3337"/>
    </row>
    <row r="14394" spans="7:16" s="1634" customFormat="1">
      <c r="G14394" s="3336"/>
      <c r="P14394" s="3337"/>
    </row>
    <row r="14395" spans="7:16" s="1634" customFormat="1">
      <c r="G14395" s="3336"/>
      <c r="P14395" s="3337"/>
    </row>
    <row r="14396" spans="7:16" s="1634" customFormat="1">
      <c r="G14396" s="3336"/>
      <c r="P14396" s="3337"/>
    </row>
    <row r="14397" spans="7:16" s="1634" customFormat="1">
      <c r="G14397" s="3336"/>
      <c r="P14397" s="3337"/>
    </row>
    <row r="14398" spans="7:16" s="1634" customFormat="1">
      <c r="G14398" s="3336"/>
      <c r="P14398" s="3337"/>
    </row>
    <row r="14399" spans="7:16" s="1634" customFormat="1">
      <c r="G14399" s="3336"/>
      <c r="P14399" s="3337"/>
    </row>
    <row r="14400" spans="7:16" s="1634" customFormat="1">
      <c r="G14400" s="3336"/>
      <c r="P14400" s="3337"/>
    </row>
    <row r="14401" spans="7:16" s="1634" customFormat="1">
      <c r="G14401" s="3336"/>
      <c r="P14401" s="3337"/>
    </row>
    <row r="14402" spans="7:16" s="1634" customFormat="1">
      <c r="G14402" s="3336"/>
      <c r="P14402" s="3337"/>
    </row>
    <row r="14403" spans="7:16" s="1634" customFormat="1">
      <c r="G14403" s="3336"/>
      <c r="P14403" s="3337"/>
    </row>
    <row r="14404" spans="7:16" s="1634" customFormat="1">
      <c r="G14404" s="3336"/>
      <c r="P14404" s="3337"/>
    </row>
    <row r="14405" spans="7:16" s="1634" customFormat="1">
      <c r="G14405" s="3336"/>
      <c r="P14405" s="3337"/>
    </row>
    <row r="14406" spans="7:16" s="1634" customFormat="1">
      <c r="G14406" s="3336"/>
      <c r="P14406" s="3337"/>
    </row>
    <row r="14407" spans="7:16" s="1634" customFormat="1">
      <c r="G14407" s="3336"/>
      <c r="P14407" s="3337"/>
    </row>
    <row r="14408" spans="7:16" s="1634" customFormat="1">
      <c r="G14408" s="3336"/>
      <c r="P14408" s="3337"/>
    </row>
    <row r="14409" spans="7:16" s="1634" customFormat="1">
      <c r="G14409" s="3336"/>
      <c r="P14409" s="3337"/>
    </row>
    <row r="14410" spans="7:16" s="1634" customFormat="1">
      <c r="G14410" s="3336"/>
      <c r="P14410" s="3337"/>
    </row>
    <row r="14411" spans="7:16" s="1634" customFormat="1">
      <c r="G14411" s="3336"/>
      <c r="P14411" s="3337"/>
    </row>
    <row r="14412" spans="7:16" s="1634" customFormat="1">
      <c r="G14412" s="3336"/>
      <c r="P14412" s="3337"/>
    </row>
    <row r="14413" spans="7:16" s="1634" customFormat="1">
      <c r="G14413" s="3336"/>
      <c r="P14413" s="3337"/>
    </row>
    <row r="14414" spans="7:16" s="1634" customFormat="1">
      <c r="G14414" s="3336"/>
      <c r="P14414" s="3337"/>
    </row>
    <row r="14415" spans="7:16" s="1634" customFormat="1">
      <c r="G14415" s="3336"/>
      <c r="P14415" s="3337"/>
    </row>
    <row r="14416" spans="7:16" s="1634" customFormat="1">
      <c r="G14416" s="3336"/>
      <c r="P14416" s="3337"/>
    </row>
    <row r="14417" spans="7:16" s="1634" customFormat="1">
      <c r="G14417" s="3336"/>
      <c r="P14417" s="3337"/>
    </row>
    <row r="14418" spans="7:16" s="1634" customFormat="1">
      <c r="G14418" s="3336"/>
      <c r="P14418" s="3337"/>
    </row>
    <row r="14419" spans="7:16" s="1634" customFormat="1">
      <c r="G14419" s="3336"/>
      <c r="P14419" s="3337"/>
    </row>
    <row r="14420" spans="7:16" s="1634" customFormat="1">
      <c r="G14420" s="3336"/>
      <c r="P14420" s="3337"/>
    </row>
    <row r="14421" spans="7:16" s="1634" customFormat="1">
      <c r="G14421" s="3336"/>
      <c r="P14421" s="3337"/>
    </row>
    <row r="14422" spans="7:16" s="1634" customFormat="1">
      <c r="G14422" s="3336"/>
      <c r="P14422" s="3337"/>
    </row>
    <row r="14423" spans="7:16" s="1634" customFormat="1">
      <c r="G14423" s="3336"/>
      <c r="P14423" s="3337"/>
    </row>
    <row r="14424" spans="7:16" s="1634" customFormat="1">
      <c r="G14424" s="3336"/>
      <c r="P14424" s="3337"/>
    </row>
    <row r="14425" spans="7:16" s="1634" customFormat="1">
      <c r="G14425" s="3336"/>
      <c r="P14425" s="3337"/>
    </row>
    <row r="14426" spans="7:16" s="1634" customFormat="1">
      <c r="G14426" s="3336"/>
      <c r="P14426" s="3337"/>
    </row>
    <row r="14427" spans="7:16" s="1634" customFormat="1">
      <c r="G14427" s="3336"/>
      <c r="P14427" s="3337"/>
    </row>
    <row r="14428" spans="7:16" s="1634" customFormat="1">
      <c r="G14428" s="3336"/>
      <c r="P14428" s="3337"/>
    </row>
    <row r="14429" spans="7:16" s="1634" customFormat="1">
      <c r="G14429" s="3336"/>
      <c r="P14429" s="3337"/>
    </row>
    <row r="14430" spans="7:16" s="1634" customFormat="1">
      <c r="G14430" s="3336"/>
      <c r="P14430" s="3337"/>
    </row>
    <row r="14431" spans="7:16" s="1634" customFormat="1">
      <c r="G14431" s="3336"/>
      <c r="P14431" s="3337"/>
    </row>
    <row r="14432" spans="7:16" s="1634" customFormat="1">
      <c r="G14432" s="3336"/>
      <c r="P14432" s="3337"/>
    </row>
    <row r="14433" spans="7:16" s="1634" customFormat="1">
      <c r="G14433" s="3336"/>
      <c r="P14433" s="3337"/>
    </row>
    <row r="14434" spans="7:16" s="1634" customFormat="1">
      <c r="G14434" s="3336"/>
      <c r="P14434" s="3337"/>
    </row>
    <row r="14435" spans="7:16" s="1634" customFormat="1">
      <c r="G14435" s="3336"/>
      <c r="P14435" s="3337"/>
    </row>
    <row r="14436" spans="7:16" s="1634" customFormat="1">
      <c r="G14436" s="3336"/>
      <c r="P14436" s="3337"/>
    </row>
    <row r="14437" spans="7:16" s="1634" customFormat="1">
      <c r="G14437" s="3336"/>
      <c r="P14437" s="3337"/>
    </row>
    <row r="14438" spans="7:16" s="1634" customFormat="1">
      <c r="G14438" s="3336"/>
      <c r="P14438" s="3337"/>
    </row>
    <row r="14439" spans="7:16" s="1634" customFormat="1">
      <c r="G14439" s="3336"/>
      <c r="P14439" s="3337"/>
    </row>
    <row r="14440" spans="7:16" s="1634" customFormat="1">
      <c r="G14440" s="3336"/>
      <c r="P14440" s="3337"/>
    </row>
    <row r="14441" spans="7:16" s="1634" customFormat="1">
      <c r="G14441" s="3336"/>
      <c r="P14441" s="3337"/>
    </row>
    <row r="14442" spans="7:16" s="1634" customFormat="1">
      <c r="G14442" s="3336"/>
      <c r="P14442" s="3337"/>
    </row>
    <row r="14443" spans="7:16" s="1634" customFormat="1">
      <c r="G14443" s="3336"/>
      <c r="P14443" s="3337"/>
    </row>
    <row r="14444" spans="7:16" s="1634" customFormat="1">
      <c r="G14444" s="3336"/>
      <c r="P14444" s="3337"/>
    </row>
    <row r="14445" spans="7:16" s="1634" customFormat="1">
      <c r="G14445" s="3336"/>
      <c r="P14445" s="3337"/>
    </row>
    <row r="14446" spans="7:16" s="1634" customFormat="1">
      <c r="G14446" s="3336"/>
      <c r="P14446" s="3337"/>
    </row>
    <row r="14447" spans="7:16" s="1634" customFormat="1">
      <c r="G14447" s="3336"/>
      <c r="P14447" s="3337"/>
    </row>
    <row r="14448" spans="7:16" s="1634" customFormat="1">
      <c r="G14448" s="3336"/>
      <c r="P14448" s="3337"/>
    </row>
    <row r="14449" spans="7:16" s="1634" customFormat="1">
      <c r="G14449" s="3336"/>
      <c r="P14449" s="3337"/>
    </row>
    <row r="14450" spans="7:16" s="1634" customFormat="1">
      <c r="G14450" s="3336"/>
      <c r="P14450" s="3337"/>
    </row>
    <row r="14451" spans="7:16" s="1634" customFormat="1">
      <c r="G14451" s="3336"/>
      <c r="P14451" s="3337"/>
    </row>
    <row r="14452" spans="7:16" s="1634" customFormat="1">
      <c r="G14452" s="3336"/>
      <c r="P14452" s="3337"/>
    </row>
    <row r="14453" spans="7:16" s="1634" customFormat="1">
      <c r="G14453" s="3336"/>
      <c r="P14453" s="3337"/>
    </row>
    <row r="14454" spans="7:16" s="1634" customFormat="1">
      <c r="G14454" s="3336"/>
      <c r="P14454" s="3337"/>
    </row>
    <row r="14455" spans="7:16" s="1634" customFormat="1">
      <c r="G14455" s="3336"/>
      <c r="P14455" s="3337"/>
    </row>
    <row r="14456" spans="7:16" s="1634" customFormat="1">
      <c r="G14456" s="3336"/>
      <c r="P14456" s="3337"/>
    </row>
    <row r="14457" spans="7:16" s="1634" customFormat="1">
      <c r="G14457" s="3336"/>
      <c r="P14457" s="3337"/>
    </row>
    <row r="14458" spans="7:16" s="1634" customFormat="1">
      <c r="G14458" s="3336"/>
      <c r="P14458" s="3337"/>
    </row>
    <row r="14459" spans="7:16" s="1634" customFormat="1">
      <c r="G14459" s="3336"/>
      <c r="P14459" s="3337"/>
    </row>
    <row r="14460" spans="7:16" s="1634" customFormat="1">
      <c r="G14460" s="3336"/>
      <c r="P14460" s="3337"/>
    </row>
    <row r="14461" spans="7:16" s="1634" customFormat="1">
      <c r="G14461" s="3336"/>
      <c r="P14461" s="3337"/>
    </row>
    <row r="14462" spans="7:16" s="1634" customFormat="1">
      <c r="G14462" s="3336"/>
      <c r="P14462" s="3337"/>
    </row>
    <row r="14463" spans="7:16" s="1634" customFormat="1">
      <c r="G14463" s="3336"/>
      <c r="P14463" s="3337"/>
    </row>
    <row r="14464" spans="7:16" s="1634" customFormat="1">
      <c r="G14464" s="3336"/>
      <c r="P14464" s="3337"/>
    </row>
    <row r="14465" spans="7:16" s="1634" customFormat="1">
      <c r="G14465" s="3336"/>
      <c r="P14465" s="3337"/>
    </row>
    <row r="14466" spans="7:16" s="1634" customFormat="1">
      <c r="G14466" s="3336"/>
      <c r="P14466" s="3337"/>
    </row>
    <row r="14467" spans="7:16" s="1634" customFormat="1">
      <c r="G14467" s="3336"/>
      <c r="P14467" s="3337"/>
    </row>
    <row r="14468" spans="7:16" s="1634" customFormat="1">
      <c r="G14468" s="3336"/>
      <c r="P14468" s="3337"/>
    </row>
    <row r="14469" spans="7:16" s="1634" customFormat="1">
      <c r="G14469" s="3336"/>
      <c r="P14469" s="3337"/>
    </row>
    <row r="14470" spans="7:16" s="1634" customFormat="1">
      <c r="G14470" s="3336"/>
      <c r="P14470" s="3337"/>
    </row>
    <row r="14471" spans="7:16" s="1634" customFormat="1">
      <c r="G14471" s="3336"/>
      <c r="P14471" s="3337"/>
    </row>
    <row r="14472" spans="7:16" s="1634" customFormat="1">
      <c r="G14472" s="3336"/>
      <c r="P14472" s="3337"/>
    </row>
    <row r="14473" spans="7:16" s="1634" customFormat="1">
      <c r="G14473" s="3336"/>
      <c r="P14473" s="3337"/>
    </row>
    <row r="14474" spans="7:16" s="1634" customFormat="1">
      <c r="G14474" s="3336"/>
      <c r="P14474" s="3337"/>
    </row>
    <row r="14475" spans="7:16" s="1634" customFormat="1">
      <c r="G14475" s="3336"/>
      <c r="P14475" s="3337"/>
    </row>
    <row r="14476" spans="7:16" s="1634" customFormat="1">
      <c r="G14476" s="3336"/>
      <c r="P14476" s="3337"/>
    </row>
    <row r="14477" spans="7:16" s="1634" customFormat="1">
      <c r="G14477" s="3336"/>
      <c r="P14477" s="3337"/>
    </row>
    <row r="14478" spans="7:16" s="1634" customFormat="1">
      <c r="G14478" s="3336"/>
      <c r="P14478" s="3337"/>
    </row>
    <row r="14479" spans="7:16" s="1634" customFormat="1">
      <c r="G14479" s="3336"/>
      <c r="P14479" s="3337"/>
    </row>
    <row r="14480" spans="7:16" s="1634" customFormat="1">
      <c r="G14480" s="3336"/>
      <c r="P14480" s="3337"/>
    </row>
    <row r="14481" spans="7:16" s="1634" customFormat="1">
      <c r="G14481" s="3336"/>
      <c r="P14481" s="3337"/>
    </row>
    <row r="14482" spans="7:16" s="1634" customFormat="1">
      <c r="G14482" s="3336"/>
      <c r="P14482" s="3337"/>
    </row>
    <row r="14483" spans="7:16" s="1634" customFormat="1">
      <c r="G14483" s="3336"/>
      <c r="P14483" s="3337"/>
    </row>
    <row r="14484" spans="7:16" s="1634" customFormat="1">
      <c r="G14484" s="3336"/>
      <c r="P14484" s="3337"/>
    </row>
    <row r="14485" spans="7:16" s="1634" customFormat="1">
      <c r="G14485" s="3336"/>
      <c r="P14485" s="3337"/>
    </row>
    <row r="14486" spans="7:16" s="1634" customFormat="1">
      <c r="G14486" s="3336"/>
      <c r="P14486" s="3337"/>
    </row>
    <row r="14487" spans="7:16" s="1634" customFormat="1">
      <c r="G14487" s="3336"/>
      <c r="P14487" s="3337"/>
    </row>
    <row r="14488" spans="7:16" s="1634" customFormat="1">
      <c r="G14488" s="3336"/>
      <c r="P14488" s="3337"/>
    </row>
    <row r="14489" spans="7:16" s="1634" customFormat="1">
      <c r="G14489" s="3336"/>
      <c r="P14489" s="3337"/>
    </row>
    <row r="14490" spans="7:16" s="1634" customFormat="1">
      <c r="G14490" s="3336"/>
      <c r="P14490" s="3337"/>
    </row>
    <row r="14491" spans="7:16" s="1634" customFormat="1">
      <c r="G14491" s="3336"/>
      <c r="P14491" s="3337"/>
    </row>
    <row r="14492" spans="7:16" s="1634" customFormat="1">
      <c r="G14492" s="3336"/>
      <c r="P14492" s="3337"/>
    </row>
    <row r="14493" spans="7:16" s="1634" customFormat="1">
      <c r="G14493" s="3336"/>
      <c r="P14493" s="3337"/>
    </row>
    <row r="14494" spans="7:16" s="1634" customFormat="1">
      <c r="G14494" s="3336"/>
      <c r="P14494" s="3337"/>
    </row>
    <row r="14495" spans="7:16" s="1634" customFormat="1">
      <c r="G14495" s="3336"/>
      <c r="P14495" s="3337"/>
    </row>
    <row r="14496" spans="7:16" s="1634" customFormat="1">
      <c r="G14496" s="3336"/>
      <c r="P14496" s="3337"/>
    </row>
    <row r="14497" spans="7:16" s="1634" customFormat="1">
      <c r="G14497" s="3336"/>
      <c r="P14497" s="3337"/>
    </row>
    <row r="14498" spans="7:16" s="1634" customFormat="1">
      <c r="G14498" s="3336"/>
      <c r="P14498" s="3337"/>
    </row>
    <row r="14499" spans="7:16" s="1634" customFormat="1">
      <c r="G14499" s="3336"/>
      <c r="P14499" s="3337"/>
    </row>
    <row r="14500" spans="7:16" s="1634" customFormat="1">
      <c r="G14500" s="3336"/>
      <c r="P14500" s="3337"/>
    </row>
    <row r="14501" spans="7:16" s="1634" customFormat="1">
      <c r="G14501" s="3336"/>
      <c r="P14501" s="3337"/>
    </row>
    <row r="14502" spans="7:16" s="1634" customFormat="1">
      <c r="G14502" s="3336"/>
      <c r="P14502" s="3337"/>
    </row>
    <row r="14503" spans="7:16" s="1634" customFormat="1">
      <c r="G14503" s="3336"/>
      <c r="P14503" s="3337"/>
    </row>
    <row r="14504" spans="7:16" s="1634" customFormat="1">
      <c r="G14504" s="3336"/>
      <c r="P14504" s="3337"/>
    </row>
    <row r="14505" spans="7:16" s="1634" customFormat="1">
      <c r="G14505" s="3336"/>
      <c r="P14505" s="3337"/>
    </row>
    <row r="14506" spans="7:16" s="1634" customFormat="1">
      <c r="G14506" s="3336"/>
      <c r="P14506" s="3337"/>
    </row>
    <row r="14507" spans="7:16" s="1634" customFormat="1">
      <c r="G14507" s="3336"/>
      <c r="P14507" s="3337"/>
    </row>
    <row r="14508" spans="7:16" s="1634" customFormat="1">
      <c r="G14508" s="3336"/>
      <c r="P14508" s="3337"/>
    </row>
    <row r="14509" spans="7:16" s="1634" customFormat="1">
      <c r="G14509" s="3336"/>
      <c r="P14509" s="3337"/>
    </row>
    <row r="14510" spans="7:16" s="1634" customFormat="1">
      <c r="G14510" s="3336"/>
      <c r="P14510" s="3337"/>
    </row>
    <row r="14511" spans="7:16" s="1634" customFormat="1">
      <c r="G14511" s="3336"/>
      <c r="P14511" s="3337"/>
    </row>
    <row r="14512" spans="7:16" s="1634" customFormat="1">
      <c r="G14512" s="3336"/>
      <c r="P14512" s="3337"/>
    </row>
    <row r="14513" spans="7:16" s="1634" customFormat="1">
      <c r="G14513" s="3336"/>
      <c r="P14513" s="3337"/>
    </row>
    <row r="14514" spans="7:16" s="1634" customFormat="1">
      <c r="G14514" s="3336"/>
      <c r="P14514" s="3337"/>
    </row>
    <row r="14515" spans="7:16" s="1634" customFormat="1">
      <c r="G14515" s="3336"/>
      <c r="P14515" s="3337"/>
    </row>
    <row r="14516" spans="7:16" s="1634" customFormat="1">
      <c r="G14516" s="3336"/>
      <c r="P14516" s="3337"/>
    </row>
    <row r="14517" spans="7:16" s="1634" customFormat="1">
      <c r="G14517" s="3336"/>
      <c r="P14517" s="3337"/>
    </row>
    <row r="14518" spans="7:16" s="1634" customFormat="1">
      <c r="G14518" s="3336"/>
      <c r="P14518" s="3337"/>
    </row>
    <row r="14519" spans="7:16" s="1634" customFormat="1">
      <c r="G14519" s="3336"/>
      <c r="P14519" s="3337"/>
    </row>
    <row r="14520" spans="7:16" s="1634" customFormat="1">
      <c r="G14520" s="3336"/>
      <c r="P14520" s="3337"/>
    </row>
    <row r="14521" spans="7:16" s="1634" customFormat="1">
      <c r="G14521" s="3336"/>
      <c r="P14521" s="3337"/>
    </row>
    <row r="14522" spans="7:16" s="1634" customFormat="1">
      <c r="G14522" s="3336"/>
      <c r="P14522" s="3337"/>
    </row>
    <row r="14523" spans="7:16" s="1634" customFormat="1">
      <c r="G14523" s="3336"/>
      <c r="P14523" s="3337"/>
    </row>
    <row r="14524" spans="7:16" s="1634" customFormat="1">
      <c r="G14524" s="3336"/>
      <c r="P14524" s="3337"/>
    </row>
    <row r="14525" spans="7:16" s="1634" customFormat="1">
      <c r="G14525" s="3336"/>
      <c r="P14525" s="3337"/>
    </row>
    <row r="14526" spans="7:16" s="1634" customFormat="1">
      <c r="G14526" s="3336"/>
      <c r="P14526" s="3337"/>
    </row>
    <row r="14527" spans="7:16" s="1634" customFormat="1">
      <c r="G14527" s="3336"/>
      <c r="P14527" s="3337"/>
    </row>
    <row r="14528" spans="7:16" s="1634" customFormat="1">
      <c r="G14528" s="3336"/>
      <c r="P14528" s="3337"/>
    </row>
    <row r="14529" spans="7:16" s="1634" customFormat="1">
      <c r="G14529" s="3336"/>
      <c r="P14529" s="3337"/>
    </row>
    <row r="14530" spans="7:16" s="1634" customFormat="1">
      <c r="G14530" s="3336"/>
      <c r="P14530" s="3337"/>
    </row>
    <row r="14531" spans="7:16" s="1634" customFormat="1">
      <c r="G14531" s="3336"/>
      <c r="P14531" s="3337"/>
    </row>
    <row r="14532" spans="7:16" s="1634" customFormat="1">
      <c r="G14532" s="3336"/>
      <c r="P14532" s="3337"/>
    </row>
    <row r="14533" spans="7:16" s="1634" customFormat="1">
      <c r="G14533" s="3336"/>
      <c r="P14533" s="3337"/>
    </row>
    <row r="14534" spans="7:16" s="1634" customFormat="1">
      <c r="G14534" s="3336"/>
      <c r="P14534" s="3337"/>
    </row>
    <row r="14535" spans="7:16" s="1634" customFormat="1">
      <c r="G14535" s="3336"/>
      <c r="P14535" s="3337"/>
    </row>
    <row r="14536" spans="7:16" s="1634" customFormat="1">
      <c r="G14536" s="3336"/>
      <c r="P14536" s="3337"/>
    </row>
    <row r="14537" spans="7:16" s="1634" customFormat="1">
      <c r="G14537" s="3336"/>
      <c r="P14537" s="3337"/>
    </row>
    <row r="14538" spans="7:16" s="1634" customFormat="1">
      <c r="G14538" s="3336"/>
      <c r="P14538" s="3337"/>
    </row>
    <row r="14539" spans="7:16" s="1634" customFormat="1">
      <c r="G14539" s="3336"/>
      <c r="P14539" s="3337"/>
    </row>
    <row r="14540" spans="7:16" s="1634" customFormat="1">
      <c r="G14540" s="3336"/>
      <c r="P14540" s="3337"/>
    </row>
    <row r="14541" spans="7:16" s="1634" customFormat="1">
      <c r="G14541" s="3336"/>
      <c r="P14541" s="3337"/>
    </row>
    <row r="14542" spans="7:16" s="1634" customFormat="1">
      <c r="G14542" s="3336"/>
      <c r="P14542" s="3337"/>
    </row>
    <row r="14543" spans="7:16" s="1634" customFormat="1">
      <c r="G14543" s="3336"/>
      <c r="P14543" s="3337"/>
    </row>
    <row r="14544" spans="7:16" s="1634" customFormat="1">
      <c r="G14544" s="3336"/>
      <c r="P14544" s="3337"/>
    </row>
    <row r="14545" spans="7:16" s="1634" customFormat="1">
      <c r="G14545" s="3336"/>
      <c r="P14545" s="3337"/>
    </row>
    <row r="14546" spans="7:16" s="1634" customFormat="1">
      <c r="G14546" s="3336"/>
      <c r="P14546" s="3337"/>
    </row>
    <row r="14547" spans="7:16" s="1634" customFormat="1">
      <c r="G14547" s="3336"/>
      <c r="P14547" s="3337"/>
    </row>
    <row r="14548" spans="7:16" s="1634" customFormat="1">
      <c r="G14548" s="3336"/>
      <c r="P14548" s="3337"/>
    </row>
    <row r="14549" spans="7:16" s="1634" customFormat="1">
      <c r="G14549" s="3336"/>
      <c r="P14549" s="3337"/>
    </row>
    <row r="14550" spans="7:16" s="1634" customFormat="1">
      <c r="G14550" s="3336"/>
      <c r="P14550" s="3337"/>
    </row>
    <row r="14551" spans="7:16" s="1634" customFormat="1">
      <c r="G14551" s="3336"/>
      <c r="P14551" s="3337"/>
    </row>
    <row r="14552" spans="7:16" s="1634" customFormat="1">
      <c r="G14552" s="3336"/>
      <c r="P14552" s="3337"/>
    </row>
    <row r="14553" spans="7:16" s="1634" customFormat="1">
      <c r="G14553" s="3336"/>
      <c r="P14553" s="3337"/>
    </row>
    <row r="14554" spans="7:16" s="1634" customFormat="1">
      <c r="G14554" s="3336"/>
      <c r="P14554" s="3337"/>
    </row>
    <row r="14555" spans="7:16" s="1634" customFormat="1">
      <c r="G14555" s="3336"/>
      <c r="P14555" s="3337"/>
    </row>
    <row r="14556" spans="7:16" s="1634" customFormat="1">
      <c r="G14556" s="3336"/>
      <c r="P14556" s="3337"/>
    </row>
    <row r="14557" spans="7:16" s="1634" customFormat="1">
      <c r="G14557" s="3336"/>
      <c r="P14557" s="3337"/>
    </row>
    <row r="14558" spans="7:16" s="1634" customFormat="1">
      <c r="G14558" s="3336"/>
      <c r="P14558" s="3337"/>
    </row>
    <row r="14559" spans="7:16" s="1634" customFormat="1">
      <c r="G14559" s="3336"/>
      <c r="P14559" s="3337"/>
    </row>
    <row r="14560" spans="7:16" s="1634" customFormat="1">
      <c r="G14560" s="3336"/>
      <c r="P14560" s="3337"/>
    </row>
    <row r="14561" spans="7:16" s="1634" customFormat="1">
      <c r="G14561" s="3336"/>
      <c r="P14561" s="3337"/>
    </row>
    <row r="14562" spans="7:16" s="1634" customFormat="1">
      <c r="G14562" s="3336"/>
      <c r="P14562" s="3337"/>
    </row>
    <row r="14563" spans="7:16" s="1634" customFormat="1">
      <c r="G14563" s="3336"/>
      <c r="P14563" s="3337"/>
    </row>
    <row r="14564" spans="7:16" s="1634" customFormat="1">
      <c r="G14564" s="3336"/>
      <c r="P14564" s="3337"/>
    </row>
    <row r="14565" spans="7:16" s="1634" customFormat="1">
      <c r="G14565" s="3336"/>
      <c r="P14565" s="3337"/>
    </row>
    <row r="14566" spans="7:16" s="1634" customFormat="1">
      <c r="G14566" s="3336"/>
      <c r="P14566" s="3337"/>
    </row>
    <row r="14567" spans="7:16" s="1634" customFormat="1">
      <c r="G14567" s="3336"/>
      <c r="P14567" s="3337"/>
    </row>
    <row r="14568" spans="7:16" s="1634" customFormat="1">
      <c r="G14568" s="3336"/>
      <c r="P14568" s="3337"/>
    </row>
    <row r="14569" spans="7:16" s="1634" customFormat="1">
      <c r="G14569" s="3336"/>
      <c r="P14569" s="3337"/>
    </row>
    <row r="14570" spans="7:16" s="1634" customFormat="1">
      <c r="G14570" s="3336"/>
      <c r="P14570" s="3337"/>
    </row>
    <row r="14571" spans="7:16" s="1634" customFormat="1">
      <c r="G14571" s="3336"/>
      <c r="P14571" s="3337"/>
    </row>
    <row r="14572" spans="7:16" s="1634" customFormat="1">
      <c r="G14572" s="3336"/>
      <c r="P14572" s="3337"/>
    </row>
    <row r="14573" spans="7:16" s="1634" customFormat="1">
      <c r="G14573" s="3336"/>
      <c r="P14573" s="3337"/>
    </row>
    <row r="14574" spans="7:16" s="1634" customFormat="1">
      <c r="G14574" s="3336"/>
      <c r="P14574" s="3337"/>
    </row>
    <row r="14575" spans="7:16" s="1634" customFormat="1">
      <c r="G14575" s="3336"/>
      <c r="P14575" s="3337"/>
    </row>
    <row r="14576" spans="7:16" s="1634" customFormat="1">
      <c r="G14576" s="3336"/>
      <c r="P14576" s="3337"/>
    </row>
    <row r="14577" spans="7:16" s="1634" customFormat="1">
      <c r="G14577" s="3336"/>
      <c r="P14577" s="3337"/>
    </row>
    <row r="14578" spans="7:16" s="1634" customFormat="1">
      <c r="G14578" s="3336"/>
      <c r="P14578" s="3337"/>
    </row>
    <row r="14579" spans="7:16" s="1634" customFormat="1">
      <c r="G14579" s="3336"/>
      <c r="P14579" s="3337"/>
    </row>
    <row r="14580" spans="7:16" s="1634" customFormat="1">
      <c r="G14580" s="3336"/>
      <c r="P14580" s="3337"/>
    </row>
    <row r="14581" spans="7:16" s="1634" customFormat="1">
      <c r="G14581" s="3336"/>
      <c r="P14581" s="3337"/>
    </row>
    <row r="14582" spans="7:16" s="1634" customFormat="1">
      <c r="G14582" s="3336"/>
      <c r="P14582" s="3337"/>
    </row>
    <row r="14583" spans="7:16" s="1634" customFormat="1">
      <c r="G14583" s="3336"/>
      <c r="P14583" s="3337"/>
    </row>
    <row r="14584" spans="7:16" s="1634" customFormat="1">
      <c r="G14584" s="3336"/>
      <c r="P14584" s="3337"/>
    </row>
    <row r="14585" spans="7:16" s="1634" customFormat="1">
      <c r="G14585" s="3336"/>
      <c r="P14585" s="3337"/>
    </row>
    <row r="14586" spans="7:16" s="1634" customFormat="1">
      <c r="G14586" s="3336"/>
      <c r="P14586" s="3337"/>
    </row>
    <row r="14587" spans="7:16" s="1634" customFormat="1">
      <c r="G14587" s="3336"/>
      <c r="P14587" s="3337"/>
    </row>
    <row r="14588" spans="7:16" s="1634" customFormat="1">
      <c r="G14588" s="3336"/>
      <c r="P14588" s="3337"/>
    </row>
    <row r="14589" spans="7:16" s="1634" customFormat="1">
      <c r="G14589" s="3336"/>
      <c r="P14589" s="3337"/>
    </row>
    <row r="14590" spans="7:16" s="1634" customFormat="1">
      <c r="G14590" s="3336"/>
      <c r="P14590" s="3337"/>
    </row>
    <row r="14591" spans="7:16" s="1634" customFormat="1">
      <c r="G14591" s="3336"/>
      <c r="P14591" s="3337"/>
    </row>
    <row r="14592" spans="7:16" s="1634" customFormat="1">
      <c r="G14592" s="3336"/>
      <c r="P14592" s="3337"/>
    </row>
    <row r="14593" spans="7:16" s="1634" customFormat="1">
      <c r="G14593" s="3336"/>
      <c r="P14593" s="3337"/>
    </row>
    <row r="14594" spans="7:16" s="1634" customFormat="1">
      <c r="G14594" s="3336"/>
      <c r="P14594" s="3337"/>
    </row>
    <row r="14595" spans="7:16" s="1634" customFormat="1">
      <c r="G14595" s="3336"/>
      <c r="P14595" s="3337"/>
    </row>
    <row r="14596" spans="7:16" s="1634" customFormat="1">
      <c r="G14596" s="3336"/>
      <c r="P14596" s="3337"/>
    </row>
    <row r="14597" spans="7:16" s="1634" customFormat="1">
      <c r="G14597" s="3336"/>
      <c r="P14597" s="3337"/>
    </row>
    <row r="14598" spans="7:16" s="1634" customFormat="1">
      <c r="G14598" s="3336"/>
      <c r="P14598" s="3337"/>
    </row>
    <row r="14599" spans="7:16" s="1634" customFormat="1">
      <c r="G14599" s="3336"/>
      <c r="P14599" s="3337"/>
    </row>
    <row r="14600" spans="7:16" s="1634" customFormat="1">
      <c r="G14600" s="3336"/>
      <c r="P14600" s="3337"/>
    </row>
    <row r="14601" spans="7:16" s="1634" customFormat="1">
      <c r="G14601" s="3336"/>
      <c r="P14601" s="3337"/>
    </row>
    <row r="14602" spans="7:16" s="1634" customFormat="1">
      <c r="G14602" s="3336"/>
      <c r="P14602" s="3337"/>
    </row>
    <row r="14603" spans="7:16" s="1634" customFormat="1">
      <c r="G14603" s="3336"/>
      <c r="P14603" s="3337"/>
    </row>
    <row r="14604" spans="7:16" s="1634" customFormat="1">
      <c r="G14604" s="3336"/>
      <c r="P14604" s="3337"/>
    </row>
    <row r="14605" spans="7:16" s="1634" customFormat="1">
      <c r="G14605" s="3336"/>
      <c r="P14605" s="3337"/>
    </row>
    <row r="14606" spans="7:16" s="1634" customFormat="1">
      <c r="G14606" s="3336"/>
      <c r="P14606" s="3337"/>
    </row>
    <row r="14607" spans="7:16" s="1634" customFormat="1">
      <c r="G14607" s="3336"/>
      <c r="P14607" s="3337"/>
    </row>
    <row r="14608" spans="7:16" s="1634" customFormat="1">
      <c r="G14608" s="3336"/>
      <c r="P14608" s="3337"/>
    </row>
    <row r="14609" spans="7:16" s="1634" customFormat="1">
      <c r="G14609" s="3336"/>
      <c r="P14609" s="3337"/>
    </row>
    <row r="14610" spans="7:16" s="1634" customFormat="1">
      <c r="G14610" s="3336"/>
      <c r="P14610" s="3337"/>
    </row>
    <row r="14611" spans="7:16" s="1634" customFormat="1">
      <c r="G14611" s="3336"/>
      <c r="P14611" s="3337"/>
    </row>
    <row r="14612" spans="7:16" s="1634" customFormat="1">
      <c r="G14612" s="3336"/>
      <c r="P14612" s="3337"/>
    </row>
    <row r="14613" spans="7:16" s="1634" customFormat="1">
      <c r="G14613" s="3336"/>
      <c r="P14613" s="3337"/>
    </row>
    <row r="14614" spans="7:16" s="1634" customFormat="1">
      <c r="G14614" s="3336"/>
      <c r="P14614" s="3337"/>
    </row>
    <row r="14615" spans="7:16" s="1634" customFormat="1">
      <c r="G14615" s="3336"/>
      <c r="P14615" s="3337"/>
    </row>
    <row r="14616" spans="7:16" s="1634" customFormat="1">
      <c r="G14616" s="3336"/>
      <c r="P14616" s="3337"/>
    </row>
    <row r="14617" spans="7:16" s="1634" customFormat="1">
      <c r="G14617" s="3336"/>
      <c r="P14617" s="3337"/>
    </row>
    <row r="14618" spans="7:16" s="1634" customFormat="1">
      <c r="G14618" s="3336"/>
      <c r="P14618" s="3337"/>
    </row>
    <row r="14619" spans="7:16" s="1634" customFormat="1">
      <c r="G14619" s="3336"/>
      <c r="P14619" s="3337"/>
    </row>
    <row r="14620" spans="7:16" s="1634" customFormat="1">
      <c r="G14620" s="3336"/>
      <c r="P14620" s="3337"/>
    </row>
    <row r="14621" spans="7:16" s="1634" customFormat="1">
      <c r="G14621" s="3336"/>
      <c r="P14621" s="3337"/>
    </row>
    <row r="14622" spans="7:16" s="1634" customFormat="1">
      <c r="G14622" s="3336"/>
      <c r="P14622" s="3337"/>
    </row>
    <row r="14623" spans="7:16" s="1634" customFormat="1">
      <c r="G14623" s="3336"/>
      <c r="P14623" s="3337"/>
    </row>
    <row r="14624" spans="7:16" s="1634" customFormat="1">
      <c r="G14624" s="3336"/>
      <c r="P14624" s="3337"/>
    </row>
    <row r="14625" spans="7:16" s="1634" customFormat="1">
      <c r="G14625" s="3336"/>
      <c r="P14625" s="3337"/>
    </row>
    <row r="14626" spans="7:16" s="1634" customFormat="1">
      <c r="G14626" s="3336"/>
      <c r="P14626" s="3337"/>
    </row>
    <row r="14627" spans="7:16" s="1634" customFormat="1">
      <c r="G14627" s="3336"/>
      <c r="P14627" s="3337"/>
    </row>
    <row r="14628" spans="7:16" s="1634" customFormat="1">
      <c r="G14628" s="3336"/>
      <c r="P14628" s="3337"/>
    </row>
    <row r="14629" spans="7:16" s="1634" customFormat="1">
      <c r="G14629" s="3336"/>
      <c r="P14629" s="3337"/>
    </row>
    <row r="14630" spans="7:16" s="1634" customFormat="1">
      <c r="G14630" s="3336"/>
      <c r="P14630" s="3337"/>
    </row>
    <row r="14631" spans="7:16" s="1634" customFormat="1">
      <c r="G14631" s="3336"/>
      <c r="P14631" s="3337"/>
    </row>
    <row r="14632" spans="7:16" s="1634" customFormat="1">
      <c r="G14632" s="3336"/>
      <c r="P14632" s="3337"/>
    </row>
    <row r="14633" spans="7:16" s="1634" customFormat="1">
      <c r="G14633" s="3336"/>
      <c r="P14633" s="3337"/>
    </row>
    <row r="14634" spans="7:16" s="1634" customFormat="1">
      <c r="G14634" s="3336"/>
      <c r="P14634" s="3337"/>
    </row>
    <row r="14635" spans="7:16" s="1634" customFormat="1">
      <c r="G14635" s="3336"/>
      <c r="P14635" s="3337"/>
    </row>
    <row r="14636" spans="7:16" s="1634" customFormat="1">
      <c r="G14636" s="3336"/>
      <c r="P14636" s="3337"/>
    </row>
    <row r="14637" spans="7:16" s="1634" customFormat="1">
      <c r="G14637" s="3336"/>
      <c r="P14637" s="3337"/>
    </row>
    <row r="14638" spans="7:16" s="1634" customFormat="1">
      <c r="G14638" s="3336"/>
      <c r="P14638" s="3337"/>
    </row>
    <row r="14639" spans="7:16" s="1634" customFormat="1">
      <c r="G14639" s="3336"/>
      <c r="P14639" s="3337"/>
    </row>
    <row r="14640" spans="7:16" s="1634" customFormat="1">
      <c r="G14640" s="3336"/>
      <c r="P14640" s="3337"/>
    </row>
    <row r="14641" spans="7:16" s="1634" customFormat="1">
      <c r="G14641" s="3336"/>
      <c r="P14641" s="3337"/>
    </row>
    <row r="14642" spans="7:16" s="1634" customFormat="1">
      <c r="G14642" s="3336"/>
      <c r="P14642" s="3337"/>
    </row>
    <row r="14643" spans="7:16" s="1634" customFormat="1">
      <c r="G14643" s="3336"/>
      <c r="P14643" s="3337"/>
    </row>
    <row r="14644" spans="7:16" s="1634" customFormat="1">
      <c r="G14644" s="3336"/>
      <c r="P14644" s="3337"/>
    </row>
    <row r="14645" spans="7:16" s="1634" customFormat="1">
      <c r="G14645" s="3336"/>
      <c r="P14645" s="3337"/>
    </row>
    <row r="14646" spans="7:16" s="1634" customFormat="1">
      <c r="G14646" s="3336"/>
      <c r="P14646" s="3337"/>
    </row>
    <row r="14647" spans="7:16" s="1634" customFormat="1">
      <c r="G14647" s="3336"/>
      <c r="P14647" s="3337"/>
    </row>
    <row r="14648" spans="7:16" s="1634" customFormat="1">
      <c r="G14648" s="3336"/>
      <c r="P14648" s="3337"/>
    </row>
    <row r="14649" spans="7:16" s="1634" customFormat="1">
      <c r="G14649" s="3336"/>
      <c r="P14649" s="3337"/>
    </row>
    <row r="14650" spans="7:16" s="1634" customFormat="1">
      <c r="G14650" s="3336"/>
      <c r="P14650" s="3337"/>
    </row>
    <row r="14651" spans="7:16" s="1634" customFormat="1">
      <c r="G14651" s="3336"/>
      <c r="P14651" s="3337"/>
    </row>
    <row r="14652" spans="7:16" s="1634" customFormat="1">
      <c r="G14652" s="3336"/>
      <c r="P14652" s="3337"/>
    </row>
    <row r="14653" spans="7:16" s="1634" customFormat="1">
      <c r="G14653" s="3336"/>
      <c r="P14653" s="3337"/>
    </row>
    <row r="14654" spans="7:16" s="1634" customFormat="1">
      <c r="G14654" s="3336"/>
      <c r="P14654" s="3337"/>
    </row>
    <row r="14655" spans="7:16" s="1634" customFormat="1">
      <c r="G14655" s="3336"/>
      <c r="P14655" s="3337"/>
    </row>
    <row r="14656" spans="7:16" s="1634" customFormat="1">
      <c r="G14656" s="3336"/>
      <c r="P14656" s="3337"/>
    </row>
    <row r="14657" spans="7:16" s="1634" customFormat="1">
      <c r="G14657" s="3336"/>
      <c r="P14657" s="3337"/>
    </row>
    <row r="14658" spans="7:16" s="1634" customFormat="1">
      <c r="G14658" s="3336"/>
      <c r="P14658" s="3337"/>
    </row>
    <row r="14659" spans="7:16" s="1634" customFormat="1">
      <c r="G14659" s="3336"/>
      <c r="P14659" s="3337"/>
    </row>
    <row r="14660" spans="7:16" s="1634" customFormat="1">
      <c r="G14660" s="3336"/>
      <c r="P14660" s="3337"/>
    </row>
    <row r="14661" spans="7:16" s="1634" customFormat="1">
      <c r="G14661" s="3336"/>
      <c r="P14661" s="3337"/>
    </row>
    <row r="14662" spans="7:16" s="1634" customFormat="1">
      <c r="G14662" s="3336"/>
      <c r="P14662" s="3337"/>
    </row>
    <row r="14663" spans="7:16" s="1634" customFormat="1">
      <c r="G14663" s="3336"/>
      <c r="P14663" s="3337"/>
    </row>
    <row r="14664" spans="7:16" s="1634" customFormat="1">
      <c r="G14664" s="3336"/>
      <c r="P14664" s="3337"/>
    </row>
    <row r="14665" spans="7:16" s="1634" customFormat="1">
      <c r="G14665" s="3336"/>
      <c r="P14665" s="3337"/>
    </row>
    <row r="14666" spans="7:16" s="1634" customFormat="1">
      <c r="G14666" s="3336"/>
      <c r="P14666" s="3337"/>
    </row>
    <row r="14667" spans="7:16" s="1634" customFormat="1">
      <c r="G14667" s="3336"/>
      <c r="P14667" s="3337"/>
    </row>
    <row r="14668" spans="7:16" s="1634" customFormat="1">
      <c r="G14668" s="3336"/>
      <c r="P14668" s="3337"/>
    </row>
    <row r="14669" spans="7:16" s="1634" customFormat="1">
      <c r="G14669" s="3336"/>
      <c r="P14669" s="3337"/>
    </row>
    <row r="14670" spans="7:16" s="1634" customFormat="1">
      <c r="G14670" s="3336"/>
      <c r="P14670" s="3337"/>
    </row>
    <row r="14671" spans="7:16" s="1634" customFormat="1">
      <c r="G14671" s="3336"/>
      <c r="P14671" s="3337"/>
    </row>
    <row r="14672" spans="7:16" s="1634" customFormat="1">
      <c r="G14672" s="3336"/>
      <c r="P14672" s="3337"/>
    </row>
    <row r="14673" spans="7:16" s="1634" customFormat="1">
      <c r="G14673" s="3336"/>
      <c r="P14673" s="3337"/>
    </row>
    <row r="14674" spans="7:16" s="1634" customFormat="1">
      <c r="G14674" s="3336"/>
      <c r="P14674" s="3337"/>
    </row>
    <row r="14675" spans="7:16" s="1634" customFormat="1">
      <c r="G14675" s="3336"/>
      <c r="P14675" s="3337"/>
    </row>
    <row r="14676" spans="7:16" s="1634" customFormat="1">
      <c r="G14676" s="3336"/>
      <c r="P14676" s="3337"/>
    </row>
    <row r="14677" spans="7:16" s="1634" customFormat="1">
      <c r="G14677" s="3336"/>
      <c r="P14677" s="3337"/>
    </row>
    <row r="14678" spans="7:16" s="1634" customFormat="1">
      <c r="G14678" s="3336"/>
      <c r="P14678" s="3337"/>
    </row>
    <row r="14679" spans="7:16" s="1634" customFormat="1">
      <c r="G14679" s="3336"/>
      <c r="P14679" s="3337"/>
    </row>
    <row r="14680" spans="7:16" s="1634" customFormat="1">
      <c r="G14680" s="3336"/>
      <c r="P14680" s="3337"/>
    </row>
    <row r="14681" spans="7:16" s="1634" customFormat="1">
      <c r="G14681" s="3336"/>
      <c r="P14681" s="3337"/>
    </row>
    <row r="14682" spans="7:16" s="1634" customFormat="1">
      <c r="G14682" s="3336"/>
      <c r="P14682" s="3337"/>
    </row>
    <row r="14683" spans="7:16" s="1634" customFormat="1">
      <c r="G14683" s="3336"/>
      <c r="P14683" s="3337"/>
    </row>
    <row r="14684" spans="7:16" s="1634" customFormat="1">
      <c r="G14684" s="3336"/>
      <c r="P14684" s="3337"/>
    </row>
    <row r="14685" spans="7:16" s="1634" customFormat="1">
      <c r="G14685" s="3336"/>
      <c r="P14685" s="3337"/>
    </row>
    <row r="14686" spans="7:16" s="1634" customFormat="1">
      <c r="G14686" s="3336"/>
      <c r="P14686" s="3337"/>
    </row>
    <row r="14687" spans="7:16" s="1634" customFormat="1">
      <c r="G14687" s="3336"/>
      <c r="P14687" s="3337"/>
    </row>
    <row r="14688" spans="7:16" s="1634" customFormat="1">
      <c r="G14688" s="3336"/>
      <c r="P14688" s="3337"/>
    </row>
    <row r="14689" spans="7:16" s="1634" customFormat="1">
      <c r="G14689" s="3336"/>
      <c r="P14689" s="3337"/>
    </row>
    <row r="14690" spans="7:16" s="1634" customFormat="1">
      <c r="G14690" s="3336"/>
      <c r="P14690" s="3337"/>
    </row>
    <row r="14691" spans="7:16" s="1634" customFormat="1">
      <c r="G14691" s="3336"/>
      <c r="P14691" s="3337"/>
    </row>
    <row r="14692" spans="7:16" s="1634" customFormat="1">
      <c r="G14692" s="3336"/>
      <c r="P14692" s="3337"/>
    </row>
    <row r="14693" spans="7:16" s="1634" customFormat="1">
      <c r="G14693" s="3336"/>
      <c r="P14693" s="3337"/>
    </row>
    <row r="14694" spans="7:16" s="1634" customFormat="1">
      <c r="G14694" s="3336"/>
      <c r="P14694" s="3337"/>
    </row>
    <row r="14695" spans="7:16" s="1634" customFormat="1">
      <c r="G14695" s="3336"/>
      <c r="P14695" s="3337"/>
    </row>
    <row r="14696" spans="7:16" s="1634" customFormat="1">
      <c r="G14696" s="3336"/>
      <c r="P14696" s="3337"/>
    </row>
    <row r="14697" spans="7:16" s="1634" customFormat="1">
      <c r="G14697" s="3336"/>
      <c r="P14697" s="3337"/>
    </row>
    <row r="14698" spans="7:16" s="1634" customFormat="1">
      <c r="G14698" s="3336"/>
      <c r="P14698" s="3337"/>
    </row>
    <row r="14699" spans="7:16" s="1634" customFormat="1">
      <c r="G14699" s="3336"/>
      <c r="P14699" s="3337"/>
    </row>
    <row r="14700" spans="7:16" s="1634" customFormat="1">
      <c r="G14700" s="3336"/>
      <c r="P14700" s="3337"/>
    </row>
    <row r="14701" spans="7:16" s="1634" customFormat="1">
      <c r="G14701" s="3336"/>
      <c r="P14701" s="3337"/>
    </row>
    <row r="14702" spans="7:16" s="1634" customFormat="1">
      <c r="G14702" s="3336"/>
      <c r="P14702" s="3337"/>
    </row>
    <row r="14703" spans="7:16" s="1634" customFormat="1">
      <c r="G14703" s="3336"/>
      <c r="P14703" s="3337"/>
    </row>
    <row r="14704" spans="7:16" s="1634" customFormat="1">
      <c r="G14704" s="3336"/>
      <c r="P14704" s="3337"/>
    </row>
    <row r="14705" spans="7:16" s="1634" customFormat="1">
      <c r="G14705" s="3336"/>
      <c r="P14705" s="3337"/>
    </row>
    <row r="14706" spans="7:16" s="1634" customFormat="1">
      <c r="G14706" s="3336"/>
      <c r="P14706" s="3337"/>
    </row>
    <row r="14707" spans="7:16" s="1634" customFormat="1">
      <c r="G14707" s="3336"/>
      <c r="P14707" s="3337"/>
    </row>
    <row r="14708" spans="7:16" s="1634" customFormat="1">
      <c r="G14708" s="3336"/>
      <c r="P14708" s="3337"/>
    </row>
    <row r="14709" spans="7:16" s="1634" customFormat="1">
      <c r="G14709" s="3336"/>
      <c r="P14709" s="3337"/>
    </row>
    <row r="14710" spans="7:16" s="1634" customFormat="1">
      <c r="G14710" s="3336"/>
      <c r="P14710" s="3337"/>
    </row>
    <row r="14711" spans="7:16" s="1634" customFormat="1">
      <c r="G14711" s="3336"/>
      <c r="P14711" s="3337"/>
    </row>
    <row r="14712" spans="7:16" s="1634" customFormat="1">
      <c r="G14712" s="3336"/>
      <c r="P14712" s="3337"/>
    </row>
    <row r="14713" spans="7:16" s="1634" customFormat="1">
      <c r="G14713" s="3336"/>
      <c r="P14713" s="3337"/>
    </row>
    <row r="14714" spans="7:16" s="1634" customFormat="1">
      <c r="G14714" s="3336"/>
      <c r="P14714" s="3337"/>
    </row>
    <row r="14715" spans="7:16" s="1634" customFormat="1">
      <c r="G14715" s="3336"/>
      <c r="P14715" s="3337"/>
    </row>
    <row r="14716" spans="7:16" s="1634" customFormat="1">
      <c r="G14716" s="3336"/>
      <c r="P14716" s="3337"/>
    </row>
    <row r="14717" spans="7:16" s="1634" customFormat="1">
      <c r="G14717" s="3336"/>
      <c r="P14717" s="3337"/>
    </row>
    <row r="14718" spans="7:16" s="1634" customFormat="1">
      <c r="G14718" s="3336"/>
      <c r="P14718" s="3337"/>
    </row>
    <row r="14719" spans="7:16" s="1634" customFormat="1">
      <c r="G14719" s="3336"/>
      <c r="P14719" s="3337"/>
    </row>
    <row r="14720" spans="7:16" s="1634" customFormat="1">
      <c r="G14720" s="3336"/>
      <c r="P14720" s="3337"/>
    </row>
    <row r="14721" spans="7:16" s="1634" customFormat="1">
      <c r="G14721" s="3336"/>
      <c r="P14721" s="3337"/>
    </row>
    <row r="14722" spans="7:16" s="1634" customFormat="1">
      <c r="G14722" s="3336"/>
      <c r="P14722" s="3337"/>
    </row>
    <row r="14723" spans="7:16" s="1634" customFormat="1">
      <c r="G14723" s="3336"/>
      <c r="P14723" s="3337"/>
    </row>
    <row r="14724" spans="7:16" s="1634" customFormat="1">
      <c r="G14724" s="3336"/>
      <c r="P14724" s="3337"/>
    </row>
    <row r="14725" spans="7:16" s="1634" customFormat="1">
      <c r="G14725" s="3336"/>
      <c r="P14725" s="3337"/>
    </row>
    <row r="14726" spans="7:16" s="1634" customFormat="1">
      <c r="G14726" s="3336"/>
      <c r="P14726" s="3337"/>
    </row>
    <row r="14727" spans="7:16" s="1634" customFormat="1">
      <c r="G14727" s="3336"/>
      <c r="P14727" s="3337"/>
    </row>
    <row r="14728" spans="7:16" s="1634" customFormat="1">
      <c r="G14728" s="3336"/>
      <c r="P14728" s="3337"/>
    </row>
    <row r="14729" spans="7:16" s="1634" customFormat="1">
      <c r="G14729" s="3336"/>
      <c r="P14729" s="3337"/>
    </row>
    <row r="14730" spans="7:16" s="1634" customFormat="1">
      <c r="G14730" s="3336"/>
      <c r="P14730" s="3337"/>
    </row>
    <row r="14731" spans="7:16" s="1634" customFormat="1">
      <c r="G14731" s="3336"/>
      <c r="P14731" s="3337"/>
    </row>
    <row r="14732" spans="7:16" s="1634" customFormat="1">
      <c r="G14732" s="3336"/>
      <c r="P14732" s="3337"/>
    </row>
    <row r="14733" spans="7:16" s="1634" customFormat="1">
      <c r="G14733" s="3336"/>
      <c r="P14733" s="3337"/>
    </row>
    <row r="14734" spans="7:16" s="1634" customFormat="1">
      <c r="G14734" s="3336"/>
      <c r="P14734" s="3337"/>
    </row>
    <row r="14735" spans="7:16" s="1634" customFormat="1">
      <c r="G14735" s="3336"/>
      <c r="P14735" s="3337"/>
    </row>
    <row r="14736" spans="7:16" s="1634" customFormat="1">
      <c r="G14736" s="3336"/>
      <c r="P14736" s="3337"/>
    </row>
    <row r="14737" spans="7:16" s="1634" customFormat="1">
      <c r="G14737" s="3336"/>
      <c r="P14737" s="3337"/>
    </row>
    <row r="14738" spans="7:16" s="1634" customFormat="1">
      <c r="G14738" s="3336"/>
      <c r="P14738" s="3337"/>
    </row>
    <row r="14739" spans="7:16" s="1634" customFormat="1">
      <c r="G14739" s="3336"/>
      <c r="P14739" s="3337"/>
    </row>
    <row r="14740" spans="7:16" s="1634" customFormat="1">
      <c r="G14740" s="3336"/>
      <c r="P14740" s="3337"/>
    </row>
    <row r="14741" spans="7:16" s="1634" customFormat="1">
      <c r="G14741" s="3336"/>
      <c r="P14741" s="3337"/>
    </row>
    <row r="14742" spans="7:16" s="1634" customFormat="1">
      <c r="G14742" s="3336"/>
      <c r="P14742" s="3337"/>
    </row>
    <row r="14743" spans="7:16" s="1634" customFormat="1">
      <c r="G14743" s="3336"/>
      <c r="P14743" s="3337"/>
    </row>
    <row r="14744" spans="7:16" s="1634" customFormat="1">
      <c r="G14744" s="3336"/>
      <c r="P14744" s="3337"/>
    </row>
    <row r="14745" spans="7:16" s="1634" customFormat="1">
      <c r="G14745" s="3336"/>
      <c r="P14745" s="3337"/>
    </row>
    <row r="14746" spans="7:16" s="1634" customFormat="1">
      <c r="G14746" s="3336"/>
      <c r="P14746" s="3337"/>
    </row>
    <row r="14747" spans="7:16" s="1634" customFormat="1">
      <c r="G14747" s="3336"/>
      <c r="P14747" s="3337"/>
    </row>
    <row r="14748" spans="7:16" s="1634" customFormat="1">
      <c r="G14748" s="3336"/>
      <c r="P14748" s="3337"/>
    </row>
    <row r="14749" spans="7:16" s="1634" customFormat="1">
      <c r="G14749" s="3336"/>
      <c r="P14749" s="3337"/>
    </row>
    <row r="14750" spans="7:16" s="1634" customFormat="1">
      <c r="G14750" s="3336"/>
      <c r="P14750" s="3337"/>
    </row>
    <row r="14751" spans="7:16" s="1634" customFormat="1">
      <c r="G14751" s="3336"/>
      <c r="P14751" s="3337"/>
    </row>
    <row r="14752" spans="7:16" s="1634" customFormat="1">
      <c r="G14752" s="3336"/>
      <c r="P14752" s="3337"/>
    </row>
    <row r="14753" spans="7:16" s="1634" customFormat="1">
      <c r="G14753" s="3336"/>
      <c r="P14753" s="3337"/>
    </row>
    <row r="14754" spans="7:16" s="1634" customFormat="1">
      <c r="G14754" s="3336"/>
      <c r="P14754" s="3337"/>
    </row>
    <row r="14755" spans="7:16" s="1634" customFormat="1">
      <c r="G14755" s="3336"/>
      <c r="P14755" s="3337"/>
    </row>
    <row r="14756" spans="7:16" s="1634" customFormat="1">
      <c r="G14756" s="3336"/>
      <c r="P14756" s="3337"/>
    </row>
    <row r="14757" spans="7:16" s="1634" customFormat="1">
      <c r="G14757" s="3336"/>
      <c r="P14757" s="3337"/>
    </row>
    <row r="14758" spans="7:16" s="1634" customFormat="1">
      <c r="G14758" s="3336"/>
      <c r="P14758" s="3337"/>
    </row>
    <row r="14759" spans="7:16" s="1634" customFormat="1">
      <c r="G14759" s="3336"/>
      <c r="P14759" s="3337"/>
    </row>
    <row r="14760" spans="7:16" s="1634" customFormat="1">
      <c r="G14760" s="3336"/>
      <c r="P14760" s="3337"/>
    </row>
    <row r="14761" spans="7:16" s="1634" customFormat="1">
      <c r="G14761" s="3336"/>
      <c r="P14761" s="3337"/>
    </row>
    <row r="14762" spans="7:16" s="1634" customFormat="1">
      <c r="G14762" s="3336"/>
      <c r="P14762" s="3337"/>
    </row>
    <row r="14763" spans="7:16" s="1634" customFormat="1">
      <c r="G14763" s="3336"/>
      <c r="P14763" s="3337"/>
    </row>
    <row r="14764" spans="7:16" s="1634" customFormat="1">
      <c r="G14764" s="3336"/>
      <c r="P14764" s="3337"/>
    </row>
    <row r="14765" spans="7:16" s="1634" customFormat="1">
      <c r="G14765" s="3336"/>
      <c r="P14765" s="3337"/>
    </row>
    <row r="14766" spans="7:16" s="1634" customFormat="1">
      <c r="G14766" s="3336"/>
      <c r="P14766" s="3337"/>
    </row>
    <row r="14767" spans="7:16" s="1634" customFormat="1">
      <c r="G14767" s="3336"/>
      <c r="P14767" s="3337"/>
    </row>
    <row r="14768" spans="7:16" s="1634" customFormat="1">
      <c r="G14768" s="3336"/>
      <c r="P14768" s="3337"/>
    </row>
    <row r="14769" spans="7:16" s="1634" customFormat="1">
      <c r="G14769" s="3336"/>
      <c r="P14769" s="3337"/>
    </row>
    <row r="14770" spans="7:16" s="1634" customFormat="1">
      <c r="G14770" s="3336"/>
      <c r="P14770" s="3337"/>
    </row>
    <row r="14771" spans="7:16" s="1634" customFormat="1">
      <c r="G14771" s="3336"/>
      <c r="P14771" s="3337"/>
    </row>
    <row r="14772" spans="7:16" s="1634" customFormat="1">
      <c r="G14772" s="3336"/>
      <c r="P14772" s="3337"/>
    </row>
    <row r="14773" spans="7:16" s="1634" customFormat="1">
      <c r="G14773" s="3336"/>
      <c r="P14773" s="3337"/>
    </row>
    <row r="14774" spans="7:16" s="1634" customFormat="1">
      <c r="G14774" s="3336"/>
      <c r="P14774" s="3337"/>
    </row>
    <row r="14775" spans="7:16" s="1634" customFormat="1">
      <c r="G14775" s="3336"/>
      <c r="P14775" s="3337"/>
    </row>
    <row r="14776" spans="7:16" s="1634" customFormat="1">
      <c r="G14776" s="3336"/>
      <c r="P14776" s="3337"/>
    </row>
    <row r="14777" spans="7:16" s="1634" customFormat="1">
      <c r="G14777" s="3336"/>
      <c r="P14777" s="3337"/>
    </row>
    <row r="14778" spans="7:16" s="1634" customFormat="1">
      <c r="G14778" s="3336"/>
      <c r="P14778" s="3337"/>
    </row>
    <row r="14779" spans="7:16" s="1634" customFormat="1">
      <c r="G14779" s="3336"/>
      <c r="P14779" s="3337"/>
    </row>
    <row r="14780" spans="7:16" s="1634" customFormat="1">
      <c r="G14780" s="3336"/>
      <c r="P14780" s="3337"/>
    </row>
    <row r="14781" spans="7:16" s="1634" customFormat="1">
      <c r="G14781" s="3336"/>
      <c r="P14781" s="3337"/>
    </row>
    <row r="14782" spans="7:16" s="1634" customFormat="1">
      <c r="G14782" s="3336"/>
      <c r="P14782" s="3337"/>
    </row>
    <row r="14783" spans="7:16" s="1634" customFormat="1">
      <c r="G14783" s="3336"/>
      <c r="P14783" s="3337"/>
    </row>
    <row r="14784" spans="7:16" s="1634" customFormat="1">
      <c r="G14784" s="3336"/>
      <c r="P14784" s="3337"/>
    </row>
    <row r="14785" spans="7:16" s="1634" customFormat="1">
      <c r="G14785" s="3336"/>
      <c r="P14785" s="3337"/>
    </row>
    <row r="14786" spans="7:16" s="1634" customFormat="1">
      <c r="G14786" s="3336"/>
      <c r="P14786" s="3337"/>
    </row>
    <row r="14787" spans="7:16" s="1634" customFormat="1">
      <c r="G14787" s="3336"/>
      <c r="P14787" s="3337"/>
    </row>
    <row r="14788" spans="7:16" s="1634" customFormat="1">
      <c r="G14788" s="3336"/>
      <c r="P14788" s="3337"/>
    </row>
    <row r="14789" spans="7:16" s="1634" customFormat="1">
      <c r="G14789" s="3336"/>
      <c r="P14789" s="3337"/>
    </row>
    <row r="14790" spans="7:16" s="1634" customFormat="1">
      <c r="G14790" s="3336"/>
      <c r="P14790" s="3337"/>
    </row>
    <row r="14791" spans="7:16" s="1634" customFormat="1">
      <c r="G14791" s="3336"/>
      <c r="P14791" s="3337"/>
    </row>
    <row r="14792" spans="7:16" s="1634" customFormat="1">
      <c r="G14792" s="3336"/>
      <c r="P14792" s="3337"/>
    </row>
    <row r="14793" spans="7:16" s="1634" customFormat="1">
      <c r="G14793" s="3336"/>
      <c r="P14793" s="3337"/>
    </row>
    <row r="14794" spans="7:16" s="1634" customFormat="1">
      <c r="G14794" s="3336"/>
      <c r="P14794" s="3337"/>
    </row>
    <row r="14795" spans="7:16" s="1634" customFormat="1">
      <c r="G14795" s="3336"/>
      <c r="P14795" s="3337"/>
    </row>
    <row r="14796" spans="7:16" s="1634" customFormat="1">
      <c r="G14796" s="3336"/>
      <c r="P14796" s="3337"/>
    </row>
    <row r="14797" spans="7:16" s="1634" customFormat="1">
      <c r="G14797" s="3336"/>
      <c r="P14797" s="3337"/>
    </row>
    <row r="14798" spans="7:16" s="1634" customFormat="1">
      <c r="G14798" s="3336"/>
      <c r="P14798" s="3337"/>
    </row>
    <row r="14799" spans="7:16" s="1634" customFormat="1">
      <c r="G14799" s="3336"/>
      <c r="P14799" s="3337"/>
    </row>
    <row r="14800" spans="7:16" s="1634" customFormat="1">
      <c r="G14800" s="3336"/>
      <c r="P14800" s="3337"/>
    </row>
    <row r="14801" spans="7:16" s="1634" customFormat="1">
      <c r="G14801" s="3336"/>
      <c r="P14801" s="3337"/>
    </row>
    <row r="14802" spans="7:16" s="1634" customFormat="1">
      <c r="G14802" s="3336"/>
      <c r="P14802" s="3337"/>
    </row>
    <row r="14803" spans="7:16" s="1634" customFormat="1">
      <c r="G14803" s="3336"/>
      <c r="P14803" s="3337"/>
    </row>
    <row r="14804" spans="7:16" s="1634" customFormat="1">
      <c r="G14804" s="3336"/>
      <c r="P14804" s="3337"/>
    </row>
    <row r="14805" spans="7:16" s="1634" customFormat="1">
      <c r="G14805" s="3336"/>
      <c r="P14805" s="3337"/>
    </row>
    <row r="14806" spans="7:16" s="1634" customFormat="1">
      <c r="G14806" s="3336"/>
      <c r="P14806" s="3337"/>
    </row>
    <row r="14807" spans="7:16" s="1634" customFormat="1">
      <c r="G14807" s="3336"/>
      <c r="P14807" s="3337"/>
    </row>
    <row r="14808" spans="7:16" s="1634" customFormat="1">
      <c r="G14808" s="3336"/>
      <c r="P14808" s="3337"/>
    </row>
    <row r="14809" spans="7:16" s="1634" customFormat="1">
      <c r="G14809" s="3336"/>
      <c r="P14809" s="3337"/>
    </row>
    <row r="14810" spans="7:16" s="1634" customFormat="1">
      <c r="G14810" s="3336"/>
      <c r="P14810" s="3337"/>
    </row>
    <row r="14811" spans="7:16" s="1634" customFormat="1">
      <c r="G14811" s="3336"/>
      <c r="P14811" s="3337"/>
    </row>
    <row r="14812" spans="7:16" s="1634" customFormat="1">
      <c r="G14812" s="3336"/>
      <c r="P14812" s="3337"/>
    </row>
    <row r="14813" spans="7:16" s="1634" customFormat="1">
      <c r="G14813" s="3336"/>
      <c r="P14813" s="3337"/>
    </row>
    <row r="14814" spans="7:16" s="1634" customFormat="1">
      <c r="G14814" s="3336"/>
      <c r="P14814" s="3337"/>
    </row>
    <row r="14815" spans="7:16" s="1634" customFormat="1">
      <c r="G14815" s="3336"/>
      <c r="P14815" s="3337"/>
    </row>
    <row r="14816" spans="7:16" s="1634" customFormat="1">
      <c r="G14816" s="3336"/>
      <c r="P14816" s="3337"/>
    </row>
    <row r="14817" spans="7:16" s="1634" customFormat="1">
      <c r="G14817" s="3336"/>
      <c r="P14817" s="3337"/>
    </row>
    <row r="14818" spans="7:16" s="1634" customFormat="1">
      <c r="G14818" s="3336"/>
      <c r="P14818" s="3337"/>
    </row>
    <row r="14819" spans="7:16" s="1634" customFormat="1">
      <c r="G14819" s="3336"/>
      <c r="P14819" s="3337"/>
    </row>
    <row r="14820" spans="7:16" s="1634" customFormat="1">
      <c r="G14820" s="3336"/>
      <c r="P14820" s="3337"/>
    </row>
    <row r="14821" spans="7:16" s="1634" customFormat="1">
      <c r="G14821" s="3336"/>
      <c r="P14821" s="3337"/>
    </row>
    <row r="14822" spans="7:16" s="1634" customFormat="1">
      <c r="G14822" s="3336"/>
      <c r="P14822" s="3337"/>
    </row>
    <row r="14823" spans="7:16" s="1634" customFormat="1">
      <c r="G14823" s="3336"/>
      <c r="P14823" s="3337"/>
    </row>
    <row r="14824" spans="7:16" s="1634" customFormat="1">
      <c r="G14824" s="3336"/>
      <c r="P14824" s="3337"/>
    </row>
    <row r="14825" spans="7:16" s="1634" customFormat="1">
      <c r="G14825" s="3336"/>
      <c r="P14825" s="3337"/>
    </row>
    <row r="14826" spans="7:16" s="1634" customFormat="1">
      <c r="G14826" s="3336"/>
      <c r="P14826" s="3337"/>
    </row>
    <row r="14827" spans="7:16" s="1634" customFormat="1">
      <c r="G14827" s="3336"/>
      <c r="P14827" s="3337"/>
    </row>
    <row r="14828" spans="7:16" s="1634" customFormat="1">
      <c r="G14828" s="3336"/>
      <c r="P14828" s="3337"/>
    </row>
    <row r="14829" spans="7:16" s="1634" customFormat="1">
      <c r="G14829" s="3336"/>
      <c r="P14829" s="3337"/>
    </row>
    <row r="14830" spans="7:16" s="1634" customFormat="1">
      <c r="G14830" s="3336"/>
      <c r="P14830" s="3337"/>
    </row>
    <row r="14831" spans="7:16" s="1634" customFormat="1">
      <c r="G14831" s="3336"/>
      <c r="P14831" s="3337"/>
    </row>
    <row r="14832" spans="7:16" s="1634" customFormat="1">
      <c r="G14832" s="3336"/>
      <c r="P14832" s="3337"/>
    </row>
    <row r="14833" spans="7:16" s="1634" customFormat="1">
      <c r="G14833" s="3336"/>
      <c r="P14833" s="3337"/>
    </row>
    <row r="14834" spans="7:16" s="1634" customFormat="1">
      <c r="G14834" s="3336"/>
      <c r="P14834" s="3337"/>
    </row>
    <row r="14835" spans="7:16" s="1634" customFormat="1">
      <c r="G14835" s="3336"/>
      <c r="P14835" s="3337"/>
    </row>
    <row r="14836" spans="7:16" s="1634" customFormat="1">
      <c r="G14836" s="3336"/>
      <c r="P14836" s="3337"/>
    </row>
    <row r="14837" spans="7:16" s="1634" customFormat="1">
      <c r="G14837" s="3336"/>
      <c r="P14837" s="3337"/>
    </row>
    <row r="14838" spans="7:16" s="1634" customFormat="1">
      <c r="G14838" s="3336"/>
      <c r="P14838" s="3337"/>
    </row>
    <row r="14839" spans="7:16" s="1634" customFormat="1">
      <c r="G14839" s="3336"/>
      <c r="P14839" s="3337"/>
    </row>
    <row r="14840" spans="7:16" s="1634" customFormat="1">
      <c r="G14840" s="3336"/>
      <c r="P14840" s="3337"/>
    </row>
    <row r="14841" spans="7:16" s="1634" customFormat="1">
      <c r="G14841" s="3336"/>
      <c r="P14841" s="3337"/>
    </row>
    <row r="14842" spans="7:16" s="1634" customFormat="1">
      <c r="G14842" s="3336"/>
      <c r="P14842" s="3337"/>
    </row>
    <row r="14843" spans="7:16" s="1634" customFormat="1">
      <c r="G14843" s="3336"/>
      <c r="P14843" s="3337"/>
    </row>
    <row r="14844" spans="7:16" s="1634" customFormat="1">
      <c r="G14844" s="3336"/>
      <c r="P14844" s="3337"/>
    </row>
    <row r="14845" spans="7:16" s="1634" customFormat="1">
      <c r="G14845" s="3336"/>
      <c r="P14845" s="3337"/>
    </row>
    <row r="14846" spans="7:16" s="1634" customFormat="1">
      <c r="G14846" s="3336"/>
      <c r="P14846" s="3337"/>
    </row>
    <row r="14847" spans="7:16" s="1634" customFormat="1">
      <c r="G14847" s="3336"/>
      <c r="P14847" s="3337"/>
    </row>
    <row r="14848" spans="7:16" s="1634" customFormat="1">
      <c r="G14848" s="3336"/>
      <c r="P14848" s="3337"/>
    </row>
    <row r="14849" spans="7:16" s="1634" customFormat="1">
      <c r="G14849" s="3336"/>
      <c r="P14849" s="3337"/>
    </row>
    <row r="14850" spans="7:16" s="1634" customFormat="1">
      <c r="G14850" s="3336"/>
      <c r="P14850" s="3337"/>
    </row>
    <row r="14851" spans="7:16" s="1634" customFormat="1">
      <c r="G14851" s="3336"/>
      <c r="P14851" s="3337"/>
    </row>
    <row r="14852" spans="7:16" s="1634" customFormat="1">
      <c r="G14852" s="3336"/>
      <c r="P14852" s="3337"/>
    </row>
    <row r="14853" spans="7:16" s="1634" customFormat="1">
      <c r="G14853" s="3336"/>
      <c r="P14853" s="3337"/>
    </row>
    <row r="14854" spans="7:16" s="1634" customFormat="1">
      <c r="G14854" s="3336"/>
      <c r="P14854" s="3337"/>
    </row>
    <row r="14855" spans="7:16" s="1634" customFormat="1">
      <c r="G14855" s="3336"/>
      <c r="P14855" s="3337"/>
    </row>
    <row r="14856" spans="7:16" s="1634" customFormat="1">
      <c r="G14856" s="3336"/>
      <c r="P14856" s="3337"/>
    </row>
    <row r="14857" spans="7:16" s="1634" customFormat="1">
      <c r="G14857" s="3336"/>
      <c r="P14857" s="3337"/>
    </row>
    <row r="14858" spans="7:16" s="1634" customFormat="1">
      <c r="G14858" s="3336"/>
      <c r="P14858" s="3337"/>
    </row>
    <row r="14859" spans="7:16" s="1634" customFormat="1">
      <c r="G14859" s="3336"/>
      <c r="P14859" s="3337"/>
    </row>
    <row r="14860" spans="7:16" s="1634" customFormat="1">
      <c r="G14860" s="3336"/>
      <c r="P14860" s="3337"/>
    </row>
    <row r="14861" spans="7:16" s="1634" customFormat="1">
      <c r="G14861" s="3336"/>
      <c r="P14861" s="3337"/>
    </row>
    <row r="14862" spans="7:16" s="1634" customFormat="1">
      <c r="G14862" s="3336"/>
      <c r="P14862" s="3337"/>
    </row>
    <row r="14863" spans="7:16" s="1634" customFormat="1">
      <c r="G14863" s="3336"/>
      <c r="P14863" s="3337"/>
    </row>
    <row r="14864" spans="7:16" s="1634" customFormat="1">
      <c r="G14864" s="3336"/>
      <c r="P14864" s="3337"/>
    </row>
    <row r="14865" spans="7:16" s="1634" customFormat="1">
      <c r="G14865" s="3336"/>
      <c r="P14865" s="3337"/>
    </row>
    <row r="14866" spans="7:16" s="1634" customFormat="1">
      <c r="G14866" s="3336"/>
      <c r="P14866" s="3337"/>
    </row>
    <row r="14867" spans="7:16" s="1634" customFormat="1">
      <c r="G14867" s="3336"/>
      <c r="P14867" s="3337"/>
    </row>
    <row r="14868" spans="7:16" s="1634" customFormat="1">
      <c r="G14868" s="3336"/>
      <c r="P14868" s="3337"/>
    </row>
    <row r="14869" spans="7:16" s="1634" customFormat="1">
      <c r="G14869" s="3336"/>
      <c r="P14869" s="3337"/>
    </row>
    <row r="14870" spans="7:16" s="1634" customFormat="1">
      <c r="G14870" s="3336"/>
      <c r="P14870" s="3337"/>
    </row>
    <row r="14871" spans="7:16" s="1634" customFormat="1">
      <c r="G14871" s="3336"/>
      <c r="P14871" s="3337"/>
    </row>
    <row r="14872" spans="7:16" s="1634" customFormat="1">
      <c r="G14872" s="3336"/>
      <c r="P14872" s="3337"/>
    </row>
    <row r="14873" spans="7:16" s="1634" customFormat="1">
      <c r="G14873" s="3336"/>
      <c r="P14873" s="3337"/>
    </row>
    <row r="14874" spans="7:16" s="1634" customFormat="1">
      <c r="G14874" s="3336"/>
      <c r="P14874" s="3337"/>
    </row>
    <row r="14875" spans="7:16" s="1634" customFormat="1">
      <c r="G14875" s="3336"/>
      <c r="P14875" s="3337"/>
    </row>
    <row r="14876" spans="7:16" s="1634" customFormat="1">
      <c r="G14876" s="3336"/>
      <c r="P14876" s="3337"/>
    </row>
    <row r="14877" spans="7:16" s="1634" customFormat="1">
      <c r="G14877" s="3336"/>
      <c r="P14877" s="3337"/>
    </row>
    <row r="14878" spans="7:16" s="1634" customFormat="1">
      <c r="G14878" s="3336"/>
      <c r="P14878" s="3337"/>
    </row>
    <row r="14879" spans="7:16" s="1634" customFormat="1">
      <c r="G14879" s="3336"/>
      <c r="P14879" s="3337"/>
    </row>
    <row r="14880" spans="7:16" s="1634" customFormat="1">
      <c r="G14880" s="3336"/>
      <c r="P14880" s="3337"/>
    </row>
    <row r="14881" spans="7:16" s="1634" customFormat="1">
      <c r="G14881" s="3336"/>
      <c r="P14881" s="3337"/>
    </row>
    <row r="14882" spans="7:16" s="1634" customFormat="1">
      <c r="G14882" s="3336"/>
      <c r="P14882" s="3337"/>
    </row>
    <row r="14883" spans="7:16" s="1634" customFormat="1">
      <c r="G14883" s="3336"/>
      <c r="P14883" s="3337"/>
    </row>
    <row r="14884" spans="7:16" s="1634" customFormat="1">
      <c r="G14884" s="3336"/>
      <c r="P14884" s="3337"/>
    </row>
    <row r="14885" spans="7:16" s="1634" customFormat="1">
      <c r="G14885" s="3336"/>
      <c r="P14885" s="3337"/>
    </row>
    <row r="14886" spans="7:16" s="1634" customFormat="1">
      <c r="G14886" s="3336"/>
      <c r="P14886" s="3337"/>
    </row>
    <row r="14887" spans="7:16" s="1634" customFormat="1">
      <c r="G14887" s="3336"/>
      <c r="P14887" s="3337"/>
    </row>
    <row r="14888" spans="7:16" s="1634" customFormat="1">
      <c r="G14888" s="3336"/>
      <c r="P14888" s="3337"/>
    </row>
    <row r="14889" spans="7:16" s="1634" customFormat="1">
      <c r="G14889" s="3336"/>
      <c r="P14889" s="3337"/>
    </row>
    <row r="14890" spans="7:16" s="1634" customFormat="1">
      <c r="G14890" s="3336"/>
      <c r="P14890" s="3337"/>
    </row>
    <row r="14891" spans="7:16" s="1634" customFormat="1">
      <c r="G14891" s="3336"/>
      <c r="P14891" s="3337"/>
    </row>
    <row r="14892" spans="7:16" s="1634" customFormat="1">
      <c r="G14892" s="3336"/>
      <c r="P14892" s="3337"/>
    </row>
    <row r="14893" spans="7:16" s="1634" customFormat="1">
      <c r="G14893" s="3336"/>
      <c r="P14893" s="3337"/>
    </row>
    <row r="14894" spans="7:16" s="1634" customFormat="1">
      <c r="G14894" s="3336"/>
      <c r="P14894" s="3337"/>
    </row>
    <row r="14895" spans="7:16" s="1634" customFormat="1">
      <c r="G14895" s="3336"/>
      <c r="P14895" s="3337"/>
    </row>
    <row r="14896" spans="7:16" s="1634" customFormat="1">
      <c r="G14896" s="3336"/>
      <c r="P14896" s="3337"/>
    </row>
    <row r="14897" spans="7:16" s="1634" customFormat="1">
      <c r="G14897" s="3336"/>
      <c r="P14897" s="3337"/>
    </row>
    <row r="14898" spans="7:16" s="1634" customFormat="1">
      <c r="G14898" s="3336"/>
      <c r="P14898" s="3337"/>
    </row>
    <row r="14899" spans="7:16" s="1634" customFormat="1">
      <c r="G14899" s="3336"/>
      <c r="P14899" s="3337"/>
    </row>
    <row r="14900" spans="7:16" s="1634" customFormat="1">
      <c r="G14900" s="3336"/>
      <c r="P14900" s="3337"/>
    </row>
    <row r="14901" spans="7:16" s="1634" customFormat="1">
      <c r="G14901" s="3336"/>
      <c r="P14901" s="3337"/>
    </row>
    <row r="14902" spans="7:16" s="1634" customFormat="1">
      <c r="G14902" s="3336"/>
      <c r="P14902" s="3337"/>
    </row>
    <row r="14903" spans="7:16" s="1634" customFormat="1">
      <c r="G14903" s="3336"/>
      <c r="P14903" s="3337"/>
    </row>
    <row r="14904" spans="7:16" s="1634" customFormat="1">
      <c r="G14904" s="3336"/>
      <c r="P14904" s="3337"/>
    </row>
    <row r="14905" spans="7:16" s="1634" customFormat="1">
      <c r="G14905" s="3336"/>
      <c r="P14905" s="3337"/>
    </row>
    <row r="14906" spans="7:16" s="1634" customFormat="1">
      <c r="G14906" s="3336"/>
      <c r="P14906" s="3337"/>
    </row>
    <row r="14907" spans="7:16" s="1634" customFormat="1">
      <c r="G14907" s="3336"/>
      <c r="P14907" s="3337"/>
    </row>
    <row r="14908" spans="7:16" s="1634" customFormat="1">
      <c r="G14908" s="3336"/>
      <c r="P14908" s="3337"/>
    </row>
    <row r="14909" spans="7:16" s="1634" customFormat="1">
      <c r="G14909" s="3336"/>
      <c r="P14909" s="3337"/>
    </row>
    <row r="14910" spans="7:16" s="1634" customFormat="1">
      <c r="G14910" s="3336"/>
      <c r="P14910" s="3337"/>
    </row>
    <row r="14911" spans="7:16" s="1634" customFormat="1">
      <c r="G14911" s="3336"/>
      <c r="P14911" s="3337"/>
    </row>
    <row r="14912" spans="7:16" s="1634" customFormat="1">
      <c r="G14912" s="3336"/>
      <c r="P14912" s="3337"/>
    </row>
    <row r="14913" spans="7:16" s="1634" customFormat="1">
      <c r="G14913" s="3336"/>
      <c r="P14913" s="3337"/>
    </row>
    <row r="14914" spans="7:16" s="1634" customFormat="1">
      <c r="G14914" s="3336"/>
      <c r="P14914" s="3337"/>
    </row>
    <row r="14915" spans="7:16" s="1634" customFormat="1">
      <c r="G14915" s="3336"/>
      <c r="P14915" s="3337"/>
    </row>
    <row r="14916" spans="7:16" s="1634" customFormat="1">
      <c r="G14916" s="3336"/>
      <c r="P14916" s="3337"/>
    </row>
    <row r="14917" spans="7:16" s="1634" customFormat="1">
      <c r="G14917" s="3336"/>
      <c r="P14917" s="3337"/>
    </row>
    <row r="14918" spans="7:16" s="1634" customFormat="1">
      <c r="G14918" s="3336"/>
      <c r="P14918" s="3337"/>
    </row>
    <row r="14919" spans="7:16" s="1634" customFormat="1">
      <c r="G14919" s="3336"/>
      <c r="P14919" s="3337"/>
    </row>
    <row r="14920" spans="7:16" s="1634" customFormat="1">
      <c r="G14920" s="3336"/>
      <c r="P14920" s="3337"/>
    </row>
    <row r="14921" spans="7:16" s="1634" customFormat="1">
      <c r="G14921" s="3336"/>
      <c r="P14921" s="3337"/>
    </row>
    <row r="14922" spans="7:16" s="1634" customFormat="1">
      <c r="G14922" s="3336"/>
      <c r="P14922" s="3337"/>
    </row>
    <row r="14923" spans="7:16" s="1634" customFormat="1">
      <c r="G14923" s="3336"/>
      <c r="P14923" s="3337"/>
    </row>
    <row r="14924" spans="7:16" s="1634" customFormat="1">
      <c r="G14924" s="3336"/>
      <c r="P14924" s="3337"/>
    </row>
    <row r="14925" spans="7:16" s="1634" customFormat="1">
      <c r="G14925" s="3336"/>
      <c r="P14925" s="3337"/>
    </row>
    <row r="14926" spans="7:16" s="1634" customFormat="1">
      <c r="G14926" s="3336"/>
      <c r="P14926" s="3337"/>
    </row>
    <row r="14927" spans="7:16" s="1634" customFormat="1">
      <c r="G14927" s="3336"/>
      <c r="P14927" s="3337"/>
    </row>
    <row r="14928" spans="7:16" s="1634" customFormat="1">
      <c r="G14928" s="3336"/>
      <c r="P14928" s="3337"/>
    </row>
    <row r="14929" spans="7:16" s="1634" customFormat="1">
      <c r="G14929" s="3336"/>
      <c r="P14929" s="3337"/>
    </row>
    <row r="14930" spans="7:16" s="1634" customFormat="1">
      <c r="G14930" s="3336"/>
      <c r="P14930" s="3337"/>
    </row>
    <row r="14931" spans="7:16" s="1634" customFormat="1">
      <c r="G14931" s="3336"/>
      <c r="P14931" s="3337"/>
    </row>
    <row r="14932" spans="7:16" s="1634" customFormat="1">
      <c r="G14932" s="3336"/>
      <c r="P14932" s="3337"/>
    </row>
    <row r="14933" spans="7:16" s="1634" customFormat="1">
      <c r="G14933" s="3336"/>
      <c r="P14933" s="3337"/>
    </row>
    <row r="14934" spans="7:16" s="1634" customFormat="1">
      <c r="G14934" s="3336"/>
      <c r="P14934" s="3337"/>
    </row>
    <row r="14935" spans="7:16" s="1634" customFormat="1">
      <c r="G14935" s="3336"/>
      <c r="P14935" s="3337"/>
    </row>
    <row r="14936" spans="7:16" s="1634" customFormat="1">
      <c r="G14936" s="3336"/>
      <c r="P14936" s="3337"/>
    </row>
    <row r="14937" spans="7:16" s="1634" customFormat="1">
      <c r="G14937" s="3336"/>
      <c r="P14937" s="3337"/>
    </row>
    <row r="14938" spans="7:16" s="1634" customFormat="1">
      <c r="G14938" s="3336"/>
      <c r="P14938" s="3337"/>
    </row>
    <row r="14939" spans="7:16" s="1634" customFormat="1">
      <c r="G14939" s="3336"/>
      <c r="P14939" s="3337"/>
    </row>
    <row r="14940" spans="7:16" s="1634" customFormat="1">
      <c r="G14940" s="3336"/>
      <c r="P14940" s="3337"/>
    </row>
    <row r="14941" spans="7:16" s="1634" customFormat="1">
      <c r="G14941" s="3336"/>
      <c r="P14941" s="3337"/>
    </row>
    <row r="14942" spans="7:16" s="1634" customFormat="1">
      <c r="G14942" s="3336"/>
      <c r="P14942" s="3337"/>
    </row>
    <row r="14943" spans="7:16" s="1634" customFormat="1">
      <c r="G14943" s="3336"/>
      <c r="P14943" s="3337"/>
    </row>
    <row r="14944" spans="7:16" s="1634" customFormat="1">
      <c r="G14944" s="3336"/>
      <c r="P14944" s="3337"/>
    </row>
    <row r="14945" spans="7:16" s="1634" customFormat="1">
      <c r="G14945" s="3336"/>
      <c r="P14945" s="3337"/>
    </row>
    <row r="14946" spans="7:16" s="1634" customFormat="1">
      <c r="G14946" s="3336"/>
      <c r="P14946" s="3337"/>
    </row>
    <row r="14947" spans="7:16" s="1634" customFormat="1">
      <c r="G14947" s="3336"/>
      <c r="P14947" s="3337"/>
    </row>
    <row r="14948" spans="7:16" s="1634" customFormat="1">
      <c r="G14948" s="3336"/>
      <c r="P14948" s="3337"/>
    </row>
    <row r="14949" spans="7:16" s="1634" customFormat="1">
      <c r="G14949" s="3336"/>
      <c r="P14949" s="3337"/>
    </row>
    <row r="14950" spans="7:16" s="1634" customFormat="1">
      <c r="G14950" s="3336"/>
      <c r="P14950" s="3337"/>
    </row>
    <row r="14951" spans="7:16" s="1634" customFormat="1">
      <c r="G14951" s="3336"/>
      <c r="P14951" s="3337"/>
    </row>
    <row r="14952" spans="7:16" s="1634" customFormat="1">
      <c r="G14952" s="3336"/>
      <c r="P14952" s="3337"/>
    </row>
    <row r="14953" spans="7:16" s="1634" customFormat="1">
      <c r="G14953" s="3336"/>
      <c r="P14953" s="3337"/>
    </row>
    <row r="14954" spans="7:16" s="1634" customFormat="1">
      <c r="G14954" s="3336"/>
      <c r="P14954" s="3337"/>
    </row>
    <row r="14955" spans="7:16" s="1634" customFormat="1">
      <c r="G14955" s="3336"/>
      <c r="P14955" s="3337"/>
    </row>
    <row r="14956" spans="7:16" s="1634" customFormat="1">
      <c r="G14956" s="3336"/>
      <c r="P14956" s="3337"/>
    </row>
    <row r="14957" spans="7:16" s="1634" customFormat="1">
      <c r="G14957" s="3336"/>
      <c r="P14957" s="3337"/>
    </row>
    <row r="14958" spans="7:16" s="1634" customFormat="1">
      <c r="G14958" s="3336"/>
      <c r="P14958" s="3337"/>
    </row>
    <row r="14959" spans="7:16" s="1634" customFormat="1">
      <c r="G14959" s="3336"/>
      <c r="P14959" s="3337"/>
    </row>
    <row r="14960" spans="7:16" s="1634" customFormat="1">
      <c r="G14960" s="3336"/>
      <c r="P14960" s="3337"/>
    </row>
    <row r="14961" spans="7:16" s="1634" customFormat="1">
      <c r="G14961" s="3336"/>
      <c r="P14961" s="3337"/>
    </row>
    <row r="14962" spans="7:16" s="1634" customFormat="1">
      <c r="G14962" s="3336"/>
      <c r="P14962" s="3337"/>
    </row>
    <row r="14963" spans="7:16" s="1634" customFormat="1">
      <c r="G14963" s="3336"/>
      <c r="P14963" s="3337"/>
    </row>
    <row r="14964" spans="7:16" s="1634" customFormat="1">
      <c r="G14964" s="3336"/>
      <c r="P14964" s="3337"/>
    </row>
    <row r="14965" spans="7:16" s="1634" customFormat="1">
      <c r="G14965" s="3336"/>
      <c r="P14965" s="3337"/>
    </row>
    <row r="14966" spans="7:16" s="1634" customFormat="1">
      <c r="G14966" s="3336"/>
      <c r="P14966" s="3337"/>
    </row>
    <row r="14967" spans="7:16" s="1634" customFormat="1">
      <c r="G14967" s="3336"/>
      <c r="P14967" s="3337"/>
    </row>
    <row r="14968" spans="7:16" s="1634" customFormat="1">
      <c r="G14968" s="3336"/>
      <c r="P14968" s="3337"/>
    </row>
    <row r="14969" spans="7:16" s="1634" customFormat="1">
      <c r="G14969" s="3336"/>
      <c r="P14969" s="3337"/>
    </row>
    <row r="14970" spans="7:16" s="1634" customFormat="1">
      <c r="G14970" s="3336"/>
      <c r="P14970" s="3337"/>
    </row>
    <row r="14971" spans="7:16" s="1634" customFormat="1">
      <c r="G14971" s="3336"/>
      <c r="P14971" s="3337"/>
    </row>
    <row r="14972" spans="7:16" s="1634" customFormat="1">
      <c r="G14972" s="3336"/>
      <c r="P14972" s="3337"/>
    </row>
    <row r="14973" spans="7:16" s="1634" customFormat="1">
      <c r="G14973" s="3336"/>
      <c r="P14973" s="3337"/>
    </row>
    <row r="14974" spans="7:16" s="1634" customFormat="1">
      <c r="G14974" s="3336"/>
      <c r="P14974" s="3337"/>
    </row>
    <row r="14975" spans="7:16" s="1634" customFormat="1">
      <c r="G14975" s="3336"/>
      <c r="P14975" s="3337"/>
    </row>
    <row r="14976" spans="7:16" s="1634" customFormat="1">
      <c r="G14976" s="3336"/>
      <c r="P14976" s="3337"/>
    </row>
    <row r="14977" spans="7:16" s="1634" customFormat="1">
      <c r="G14977" s="3336"/>
      <c r="P14977" s="3337"/>
    </row>
    <row r="14978" spans="7:16" s="1634" customFormat="1">
      <c r="G14978" s="3336"/>
      <c r="P14978" s="3337"/>
    </row>
    <row r="14979" spans="7:16" s="1634" customFormat="1">
      <c r="G14979" s="3336"/>
      <c r="P14979" s="3337"/>
    </row>
    <row r="14980" spans="7:16" s="1634" customFormat="1">
      <c r="G14980" s="3336"/>
      <c r="P14980" s="3337"/>
    </row>
    <row r="14981" spans="7:16" s="1634" customFormat="1">
      <c r="G14981" s="3336"/>
      <c r="P14981" s="3337"/>
    </row>
    <row r="14982" spans="7:16" s="1634" customFormat="1">
      <c r="G14982" s="3336"/>
      <c r="P14982" s="3337"/>
    </row>
    <row r="14983" spans="7:16" s="1634" customFormat="1">
      <c r="G14983" s="3336"/>
      <c r="P14983" s="3337"/>
    </row>
    <row r="14984" spans="7:16" s="1634" customFormat="1">
      <c r="G14984" s="3336"/>
      <c r="P14984" s="3337"/>
    </row>
    <row r="14985" spans="7:16" s="1634" customFormat="1">
      <c r="G14985" s="3336"/>
      <c r="P14985" s="3337"/>
    </row>
    <row r="14986" spans="7:16" s="1634" customFormat="1">
      <c r="G14986" s="3336"/>
      <c r="P14986" s="3337"/>
    </row>
    <row r="14987" spans="7:16" s="1634" customFormat="1">
      <c r="G14987" s="3336"/>
      <c r="P14987" s="3337"/>
    </row>
    <row r="14988" spans="7:16" s="1634" customFormat="1">
      <c r="G14988" s="3336"/>
      <c r="P14988" s="3337"/>
    </row>
    <row r="14989" spans="7:16" s="1634" customFormat="1">
      <c r="G14989" s="3336"/>
      <c r="P14989" s="3337"/>
    </row>
    <row r="14990" spans="7:16" s="1634" customFormat="1">
      <c r="G14990" s="3336"/>
      <c r="P14990" s="3337"/>
    </row>
    <row r="14991" spans="7:16" s="1634" customFormat="1">
      <c r="G14991" s="3336"/>
      <c r="P14991" s="3337"/>
    </row>
    <row r="14992" spans="7:16" s="1634" customFormat="1">
      <c r="G14992" s="3336"/>
      <c r="P14992" s="3337"/>
    </row>
    <row r="14993" spans="7:16" s="1634" customFormat="1">
      <c r="G14993" s="3336"/>
      <c r="P14993" s="3337"/>
    </row>
    <row r="14994" spans="7:16" s="1634" customFormat="1">
      <c r="G14994" s="3336"/>
      <c r="P14994" s="3337"/>
    </row>
    <row r="14995" spans="7:16" s="1634" customFormat="1">
      <c r="G14995" s="3336"/>
      <c r="P14995" s="3337"/>
    </row>
    <row r="14996" spans="7:16" s="1634" customFormat="1">
      <c r="G14996" s="3336"/>
      <c r="P14996" s="3337"/>
    </row>
    <row r="14997" spans="7:16" s="1634" customFormat="1">
      <c r="G14997" s="3336"/>
      <c r="P14997" s="3337"/>
    </row>
    <row r="14998" spans="7:16" s="1634" customFormat="1">
      <c r="G14998" s="3336"/>
      <c r="P14998" s="3337"/>
    </row>
    <row r="14999" spans="7:16" s="1634" customFormat="1">
      <c r="G14999" s="3336"/>
      <c r="P14999" s="3337"/>
    </row>
    <row r="15000" spans="7:16" s="1634" customFormat="1">
      <c r="G15000" s="3336"/>
      <c r="P15000" s="3337"/>
    </row>
    <row r="15001" spans="7:16" s="1634" customFormat="1">
      <c r="G15001" s="3336"/>
      <c r="P15001" s="3337"/>
    </row>
    <row r="15002" spans="7:16" s="1634" customFormat="1">
      <c r="G15002" s="3336"/>
      <c r="P15002" s="3337"/>
    </row>
    <row r="15003" spans="7:16" s="1634" customFormat="1">
      <c r="G15003" s="3336"/>
      <c r="P15003" s="3337"/>
    </row>
    <row r="15004" spans="7:16" s="1634" customFormat="1">
      <c r="G15004" s="3336"/>
      <c r="P15004" s="3337"/>
    </row>
    <row r="15005" spans="7:16" s="1634" customFormat="1">
      <c r="G15005" s="3336"/>
      <c r="P15005" s="3337"/>
    </row>
    <row r="15006" spans="7:16" s="1634" customFormat="1">
      <c r="G15006" s="3336"/>
      <c r="P15006" s="3337"/>
    </row>
    <row r="15007" spans="7:16" s="1634" customFormat="1">
      <c r="G15007" s="3336"/>
      <c r="P15007" s="3337"/>
    </row>
    <row r="15008" spans="7:16" s="1634" customFormat="1">
      <c r="G15008" s="3336"/>
      <c r="P15008" s="3337"/>
    </row>
    <row r="15009" spans="7:16" s="1634" customFormat="1">
      <c r="G15009" s="3336"/>
      <c r="P15009" s="3337"/>
    </row>
    <row r="15010" spans="7:16" s="1634" customFormat="1">
      <c r="G15010" s="3336"/>
      <c r="P15010" s="3337"/>
    </row>
    <row r="15011" spans="7:16" s="1634" customFormat="1">
      <c r="G15011" s="3336"/>
      <c r="P15011" s="3337"/>
    </row>
    <row r="15012" spans="7:16" s="1634" customFormat="1">
      <c r="G15012" s="3336"/>
      <c r="P15012" s="3337"/>
    </row>
    <row r="15013" spans="7:16" s="1634" customFormat="1">
      <c r="G15013" s="3336"/>
      <c r="P15013" s="3337"/>
    </row>
    <row r="15014" spans="7:16" s="1634" customFormat="1">
      <c r="G15014" s="3336"/>
      <c r="P15014" s="3337"/>
    </row>
    <row r="15015" spans="7:16" s="1634" customFormat="1">
      <c r="G15015" s="3336"/>
      <c r="P15015" s="3337"/>
    </row>
    <row r="15016" spans="7:16" s="1634" customFormat="1">
      <c r="G15016" s="3336"/>
      <c r="P15016" s="3337"/>
    </row>
    <row r="15017" spans="7:16" s="1634" customFormat="1">
      <c r="G15017" s="3336"/>
      <c r="P15017" s="3337"/>
    </row>
    <row r="15018" spans="7:16" s="1634" customFormat="1">
      <c r="G15018" s="3336"/>
      <c r="P15018" s="3337"/>
    </row>
    <row r="15019" spans="7:16" s="1634" customFormat="1">
      <c r="G15019" s="3336"/>
      <c r="P15019" s="3337"/>
    </row>
    <row r="15020" spans="7:16" s="1634" customFormat="1">
      <c r="G15020" s="3336"/>
      <c r="P15020" s="3337"/>
    </row>
    <row r="15021" spans="7:16" s="1634" customFormat="1">
      <c r="G15021" s="3336"/>
      <c r="P15021" s="3337"/>
    </row>
    <row r="15022" spans="7:16" s="1634" customFormat="1">
      <c r="G15022" s="3336"/>
      <c r="P15022" s="3337"/>
    </row>
    <row r="15023" spans="7:16" s="1634" customFormat="1">
      <c r="G15023" s="3336"/>
      <c r="P15023" s="3337"/>
    </row>
    <row r="15024" spans="7:16" s="1634" customFormat="1">
      <c r="G15024" s="3336"/>
      <c r="P15024" s="3337"/>
    </row>
    <row r="15025" spans="7:16" s="1634" customFormat="1">
      <c r="G15025" s="3336"/>
      <c r="P15025" s="3337"/>
    </row>
    <row r="15026" spans="7:16" s="1634" customFormat="1">
      <c r="G15026" s="3336"/>
      <c r="P15026" s="3337"/>
    </row>
    <row r="15027" spans="7:16" s="1634" customFormat="1">
      <c r="G15027" s="3336"/>
      <c r="P15027" s="3337"/>
    </row>
    <row r="15028" spans="7:16" s="1634" customFormat="1">
      <c r="G15028" s="3336"/>
      <c r="P15028" s="3337"/>
    </row>
    <row r="15029" spans="7:16" s="1634" customFormat="1">
      <c r="G15029" s="3336"/>
      <c r="P15029" s="3337"/>
    </row>
    <row r="15030" spans="7:16" s="1634" customFormat="1">
      <c r="G15030" s="3336"/>
      <c r="P15030" s="3337"/>
    </row>
    <row r="15031" spans="7:16" s="1634" customFormat="1">
      <c r="G15031" s="3336"/>
      <c r="P15031" s="3337"/>
    </row>
    <row r="15032" spans="7:16" s="1634" customFormat="1">
      <c r="G15032" s="3336"/>
      <c r="P15032" s="3337"/>
    </row>
    <row r="15033" spans="7:16" s="1634" customFormat="1">
      <c r="G15033" s="3336"/>
      <c r="P15033" s="3337"/>
    </row>
    <row r="15034" spans="7:16" s="1634" customFormat="1">
      <c r="G15034" s="3336"/>
      <c r="P15034" s="3337"/>
    </row>
    <row r="15035" spans="7:16" s="1634" customFormat="1">
      <c r="G15035" s="3336"/>
      <c r="P15035" s="3337"/>
    </row>
    <row r="15036" spans="7:16" s="1634" customFormat="1">
      <c r="G15036" s="3336"/>
      <c r="P15036" s="3337"/>
    </row>
    <row r="15037" spans="7:16" s="1634" customFormat="1">
      <c r="G15037" s="3336"/>
      <c r="P15037" s="3337"/>
    </row>
    <row r="15038" spans="7:16" s="1634" customFormat="1">
      <c r="G15038" s="3336"/>
      <c r="P15038" s="3337"/>
    </row>
    <row r="15039" spans="7:16" s="1634" customFormat="1">
      <c r="G15039" s="3336"/>
      <c r="P15039" s="3337"/>
    </row>
    <row r="15040" spans="7:16" s="1634" customFormat="1">
      <c r="G15040" s="3336"/>
      <c r="P15040" s="3337"/>
    </row>
    <row r="15041" spans="7:16" s="1634" customFormat="1">
      <c r="G15041" s="3336"/>
      <c r="P15041" s="3337"/>
    </row>
    <row r="15042" spans="7:16" s="1634" customFormat="1">
      <c r="G15042" s="3336"/>
      <c r="P15042" s="3337"/>
    </row>
    <row r="15043" spans="7:16" s="1634" customFormat="1">
      <c r="G15043" s="3336"/>
      <c r="P15043" s="3337"/>
    </row>
    <row r="15044" spans="7:16" s="1634" customFormat="1">
      <c r="G15044" s="3336"/>
      <c r="P15044" s="3337"/>
    </row>
    <row r="15045" spans="7:16" s="1634" customFormat="1">
      <c r="G15045" s="3336"/>
      <c r="P15045" s="3337"/>
    </row>
    <row r="15046" spans="7:16" s="1634" customFormat="1">
      <c r="G15046" s="3336"/>
      <c r="P15046" s="3337"/>
    </row>
    <row r="15047" spans="7:16" s="1634" customFormat="1">
      <c r="G15047" s="3336"/>
      <c r="P15047" s="3337"/>
    </row>
    <row r="15048" spans="7:16" s="1634" customFormat="1">
      <c r="G15048" s="3336"/>
      <c r="P15048" s="3337"/>
    </row>
    <row r="15049" spans="7:16" s="1634" customFormat="1">
      <c r="G15049" s="3336"/>
      <c r="P15049" s="3337"/>
    </row>
    <row r="15050" spans="7:16" s="1634" customFormat="1">
      <c r="G15050" s="3336"/>
      <c r="P15050" s="3337"/>
    </row>
    <row r="15051" spans="7:16" s="1634" customFormat="1">
      <c r="G15051" s="3336"/>
      <c r="P15051" s="3337"/>
    </row>
    <row r="15052" spans="7:16" s="1634" customFormat="1">
      <c r="G15052" s="3336"/>
      <c r="P15052" s="3337"/>
    </row>
    <row r="15053" spans="7:16" s="1634" customFormat="1">
      <c r="G15053" s="3336"/>
      <c r="P15053" s="3337"/>
    </row>
    <row r="15054" spans="7:16" s="1634" customFormat="1">
      <c r="G15054" s="3336"/>
      <c r="P15054" s="3337"/>
    </row>
    <row r="15055" spans="7:16" s="1634" customFormat="1">
      <c r="G15055" s="3336"/>
      <c r="P15055" s="3337"/>
    </row>
    <row r="15056" spans="7:16" s="1634" customFormat="1">
      <c r="G15056" s="3336"/>
      <c r="P15056" s="3337"/>
    </row>
    <row r="15057" spans="7:16" s="1634" customFormat="1">
      <c r="G15057" s="3336"/>
      <c r="P15057" s="3337"/>
    </row>
    <row r="15058" spans="7:16" s="1634" customFormat="1">
      <c r="G15058" s="3336"/>
      <c r="P15058" s="3337"/>
    </row>
    <row r="15059" spans="7:16" s="1634" customFormat="1">
      <c r="G15059" s="3336"/>
      <c r="P15059" s="3337"/>
    </row>
    <row r="15060" spans="7:16" s="1634" customFormat="1">
      <c r="G15060" s="3336"/>
      <c r="P15060" s="3337"/>
    </row>
    <row r="15061" spans="7:16" s="1634" customFormat="1">
      <c r="G15061" s="3336"/>
      <c r="P15061" s="3337"/>
    </row>
    <row r="15062" spans="7:16" s="1634" customFormat="1">
      <c r="G15062" s="3336"/>
      <c r="P15062" s="3337"/>
    </row>
    <row r="15063" spans="7:16" s="1634" customFormat="1">
      <c r="G15063" s="3336"/>
      <c r="P15063" s="3337"/>
    </row>
    <row r="15064" spans="7:16" s="1634" customFormat="1">
      <c r="G15064" s="3336"/>
      <c r="P15064" s="3337"/>
    </row>
    <row r="15065" spans="7:16" s="1634" customFormat="1">
      <c r="G15065" s="3336"/>
      <c r="P15065" s="3337"/>
    </row>
    <row r="15066" spans="7:16" s="1634" customFormat="1">
      <c r="G15066" s="3336"/>
      <c r="P15066" s="3337"/>
    </row>
    <row r="15067" spans="7:16" s="1634" customFormat="1">
      <c r="G15067" s="3336"/>
      <c r="P15067" s="3337"/>
    </row>
    <row r="15068" spans="7:16" s="1634" customFormat="1">
      <c r="G15068" s="3336"/>
      <c r="P15068" s="3337"/>
    </row>
    <row r="15069" spans="7:16" s="1634" customFormat="1">
      <c r="G15069" s="3336"/>
      <c r="P15069" s="3337"/>
    </row>
    <row r="15070" spans="7:16" s="1634" customFormat="1">
      <c r="G15070" s="3336"/>
      <c r="P15070" s="3337"/>
    </row>
    <row r="15071" spans="7:16" s="1634" customFormat="1">
      <c r="G15071" s="3336"/>
      <c r="P15071" s="3337"/>
    </row>
    <row r="15072" spans="7:16" s="1634" customFormat="1">
      <c r="G15072" s="3336"/>
      <c r="P15072" s="3337"/>
    </row>
    <row r="15073" spans="7:16" s="1634" customFormat="1">
      <c r="G15073" s="3336"/>
      <c r="P15073" s="3337"/>
    </row>
    <row r="15074" spans="7:16" s="1634" customFormat="1">
      <c r="G15074" s="3336"/>
      <c r="P15074" s="3337"/>
    </row>
    <row r="15075" spans="7:16" s="1634" customFormat="1">
      <c r="G15075" s="3336"/>
      <c r="P15075" s="3337"/>
    </row>
    <row r="15076" spans="7:16" s="1634" customFormat="1">
      <c r="G15076" s="3336"/>
      <c r="P15076" s="3337"/>
    </row>
    <row r="15077" spans="7:16" s="1634" customFormat="1">
      <c r="G15077" s="3336"/>
      <c r="P15077" s="3337"/>
    </row>
    <row r="15078" spans="7:16" s="1634" customFormat="1">
      <c r="G15078" s="3336"/>
      <c r="P15078" s="3337"/>
    </row>
    <row r="15079" spans="7:16" s="1634" customFormat="1">
      <c r="G15079" s="3336"/>
      <c r="P15079" s="3337"/>
    </row>
    <row r="15080" spans="7:16" s="1634" customFormat="1">
      <c r="G15080" s="3336"/>
      <c r="P15080" s="3337"/>
    </row>
    <row r="15081" spans="7:16" s="1634" customFormat="1">
      <c r="G15081" s="3336"/>
      <c r="P15081" s="3337"/>
    </row>
    <row r="15082" spans="7:16" s="1634" customFormat="1">
      <c r="G15082" s="3336"/>
      <c r="P15082" s="3337"/>
    </row>
    <row r="15083" spans="7:16" s="1634" customFormat="1">
      <c r="G15083" s="3336"/>
      <c r="P15083" s="3337"/>
    </row>
    <row r="15084" spans="7:16" s="1634" customFormat="1">
      <c r="G15084" s="3336"/>
      <c r="P15084" s="3337"/>
    </row>
    <row r="15085" spans="7:16" s="1634" customFormat="1">
      <c r="G15085" s="3336"/>
      <c r="P15085" s="3337"/>
    </row>
    <row r="15086" spans="7:16" s="1634" customFormat="1">
      <c r="G15086" s="3336"/>
      <c r="P15086" s="3337"/>
    </row>
    <row r="15087" spans="7:16" s="1634" customFormat="1">
      <c r="G15087" s="3336"/>
      <c r="P15087" s="3337"/>
    </row>
    <row r="15088" spans="7:16" s="1634" customFormat="1">
      <c r="G15088" s="3336"/>
      <c r="P15088" s="3337"/>
    </row>
    <row r="15089" spans="7:16" s="1634" customFormat="1">
      <c r="G15089" s="3336"/>
      <c r="P15089" s="3337"/>
    </row>
    <row r="15090" spans="7:16" s="1634" customFormat="1">
      <c r="G15090" s="3336"/>
      <c r="P15090" s="3337"/>
    </row>
    <row r="15091" spans="7:16" s="1634" customFormat="1">
      <c r="G15091" s="3336"/>
      <c r="P15091" s="3337"/>
    </row>
    <row r="15092" spans="7:16" s="1634" customFormat="1">
      <c r="G15092" s="3336"/>
      <c r="P15092" s="3337"/>
    </row>
    <row r="15093" spans="7:16" s="1634" customFormat="1">
      <c r="G15093" s="3336"/>
      <c r="P15093" s="3337"/>
    </row>
    <row r="15094" spans="7:16" s="1634" customFormat="1">
      <c r="G15094" s="3336"/>
      <c r="P15094" s="3337"/>
    </row>
    <row r="15095" spans="7:16" s="1634" customFormat="1">
      <c r="G15095" s="3336"/>
      <c r="P15095" s="3337"/>
    </row>
    <row r="15096" spans="7:16" s="1634" customFormat="1">
      <c r="G15096" s="3336"/>
      <c r="P15096" s="3337"/>
    </row>
    <row r="15097" spans="7:16" s="1634" customFormat="1">
      <c r="G15097" s="3336"/>
      <c r="P15097" s="3337"/>
    </row>
    <row r="15098" spans="7:16" s="1634" customFormat="1">
      <c r="G15098" s="3336"/>
      <c r="P15098" s="3337"/>
    </row>
    <row r="15099" spans="7:16" s="1634" customFormat="1">
      <c r="G15099" s="3336"/>
      <c r="P15099" s="3337"/>
    </row>
    <row r="15100" spans="7:16" s="1634" customFormat="1">
      <c r="G15100" s="3336"/>
      <c r="P15100" s="3337"/>
    </row>
    <row r="15101" spans="7:16" s="1634" customFormat="1">
      <c r="G15101" s="3336"/>
      <c r="P15101" s="3337"/>
    </row>
    <row r="15102" spans="7:16" s="1634" customFormat="1">
      <c r="G15102" s="3336"/>
      <c r="P15102" s="3337"/>
    </row>
    <row r="15103" spans="7:16" s="1634" customFormat="1">
      <c r="G15103" s="3336"/>
      <c r="P15103" s="3337"/>
    </row>
    <row r="15104" spans="7:16" s="1634" customFormat="1">
      <c r="G15104" s="3336"/>
      <c r="P15104" s="3337"/>
    </row>
    <row r="15105" spans="7:16" s="1634" customFormat="1">
      <c r="G15105" s="3336"/>
      <c r="P15105" s="3337"/>
    </row>
    <row r="15106" spans="7:16" s="1634" customFormat="1">
      <c r="G15106" s="3336"/>
      <c r="P15106" s="3337"/>
    </row>
    <row r="15107" spans="7:16" s="1634" customFormat="1">
      <c r="G15107" s="3336"/>
      <c r="P15107" s="3337"/>
    </row>
    <row r="15108" spans="7:16" s="1634" customFormat="1">
      <c r="G15108" s="3336"/>
      <c r="P15108" s="3337"/>
    </row>
    <row r="15109" spans="7:16" s="1634" customFormat="1">
      <c r="G15109" s="3336"/>
      <c r="P15109" s="3337"/>
    </row>
    <row r="15110" spans="7:16" s="1634" customFormat="1">
      <c r="G15110" s="3336"/>
      <c r="P15110" s="3337"/>
    </row>
    <row r="15111" spans="7:16" s="1634" customFormat="1">
      <c r="G15111" s="3336"/>
      <c r="P15111" s="3337"/>
    </row>
    <row r="15112" spans="7:16" s="1634" customFormat="1">
      <c r="G15112" s="3336"/>
      <c r="P15112" s="3337"/>
    </row>
    <row r="15113" spans="7:16" s="1634" customFormat="1">
      <c r="G15113" s="3336"/>
      <c r="P15113" s="3337"/>
    </row>
    <row r="15114" spans="7:16" s="1634" customFormat="1">
      <c r="G15114" s="3336"/>
      <c r="P15114" s="3337"/>
    </row>
    <row r="15115" spans="7:16" s="1634" customFormat="1">
      <c r="G15115" s="3336"/>
      <c r="P15115" s="3337"/>
    </row>
    <row r="15116" spans="7:16" s="1634" customFormat="1">
      <c r="G15116" s="3336"/>
      <c r="P15116" s="3337"/>
    </row>
    <row r="15117" spans="7:16" s="1634" customFormat="1">
      <c r="G15117" s="3336"/>
      <c r="P15117" s="3337"/>
    </row>
    <row r="15118" spans="7:16" s="1634" customFormat="1">
      <c r="G15118" s="3336"/>
      <c r="P15118" s="3337"/>
    </row>
    <row r="15119" spans="7:16" s="1634" customFormat="1">
      <c r="G15119" s="3336"/>
      <c r="P15119" s="3337"/>
    </row>
    <row r="15120" spans="7:16" s="1634" customFormat="1">
      <c r="G15120" s="3336"/>
      <c r="P15120" s="3337"/>
    </row>
    <row r="15121" spans="7:16" s="1634" customFormat="1">
      <c r="G15121" s="3336"/>
      <c r="P15121" s="3337"/>
    </row>
    <row r="15122" spans="7:16" s="1634" customFormat="1">
      <c r="G15122" s="3336"/>
      <c r="P15122" s="3337"/>
    </row>
    <row r="15123" spans="7:16" s="1634" customFormat="1">
      <c r="G15123" s="3336"/>
      <c r="P15123" s="3337"/>
    </row>
    <row r="15124" spans="7:16" s="1634" customFormat="1">
      <c r="G15124" s="3336"/>
      <c r="P15124" s="3337"/>
    </row>
    <row r="15125" spans="7:16" s="1634" customFormat="1">
      <c r="G15125" s="3336"/>
      <c r="P15125" s="3337"/>
    </row>
    <row r="15126" spans="7:16" s="1634" customFormat="1">
      <c r="G15126" s="3336"/>
      <c r="P15126" s="3337"/>
    </row>
    <row r="15127" spans="7:16" s="1634" customFormat="1">
      <c r="G15127" s="3336"/>
      <c r="P15127" s="3337"/>
    </row>
    <row r="15128" spans="7:16" s="1634" customFormat="1">
      <c r="G15128" s="3336"/>
      <c r="P15128" s="3337"/>
    </row>
    <row r="15129" spans="7:16" s="1634" customFormat="1">
      <c r="G15129" s="3336"/>
      <c r="P15129" s="3337"/>
    </row>
    <row r="15130" spans="7:16" s="1634" customFormat="1">
      <c r="G15130" s="3336"/>
      <c r="P15130" s="3337"/>
    </row>
    <row r="15131" spans="7:16" s="1634" customFormat="1">
      <c r="G15131" s="3336"/>
      <c r="P15131" s="3337"/>
    </row>
    <row r="15132" spans="7:16" s="1634" customFormat="1">
      <c r="G15132" s="3336"/>
      <c r="P15132" s="3337"/>
    </row>
    <row r="15133" spans="7:16" s="1634" customFormat="1">
      <c r="G15133" s="3336"/>
      <c r="P15133" s="3337"/>
    </row>
    <row r="15134" spans="7:16" s="1634" customFormat="1">
      <c r="G15134" s="3336"/>
      <c r="P15134" s="3337"/>
    </row>
    <row r="15135" spans="7:16" s="1634" customFormat="1">
      <c r="G15135" s="3336"/>
      <c r="P15135" s="3337"/>
    </row>
    <row r="15136" spans="7:16" s="1634" customFormat="1">
      <c r="G15136" s="3336"/>
      <c r="P15136" s="3337"/>
    </row>
    <row r="15137" spans="7:16" s="1634" customFormat="1">
      <c r="G15137" s="3336"/>
      <c r="P15137" s="3337"/>
    </row>
    <row r="15138" spans="7:16" s="1634" customFormat="1">
      <c r="G15138" s="3336"/>
      <c r="P15138" s="3337"/>
    </row>
    <row r="15139" spans="7:16" s="1634" customFormat="1">
      <c r="G15139" s="3336"/>
      <c r="P15139" s="3337"/>
    </row>
    <row r="15140" spans="7:16" s="1634" customFormat="1">
      <c r="G15140" s="3336"/>
      <c r="P15140" s="3337"/>
    </row>
    <row r="15141" spans="7:16" s="1634" customFormat="1">
      <c r="G15141" s="3336"/>
      <c r="P15141" s="3337"/>
    </row>
    <row r="15142" spans="7:16" s="1634" customFormat="1">
      <c r="G15142" s="3336"/>
      <c r="P15142" s="3337"/>
    </row>
    <row r="15143" spans="7:16" s="1634" customFormat="1">
      <c r="G15143" s="3336"/>
      <c r="P15143" s="3337"/>
    </row>
    <row r="15144" spans="7:16" s="1634" customFormat="1">
      <c r="G15144" s="3336"/>
      <c r="P15144" s="3337"/>
    </row>
    <row r="15145" spans="7:16" s="1634" customFormat="1">
      <c r="G15145" s="3336"/>
      <c r="P15145" s="3337"/>
    </row>
    <row r="15146" spans="7:16" s="1634" customFormat="1">
      <c r="G15146" s="3336"/>
      <c r="P15146" s="3337"/>
    </row>
    <row r="15147" spans="7:16" s="1634" customFormat="1">
      <c r="G15147" s="3336"/>
      <c r="P15147" s="3337"/>
    </row>
    <row r="15148" spans="7:16" s="1634" customFormat="1">
      <c r="G15148" s="3336"/>
      <c r="P15148" s="3337"/>
    </row>
    <row r="15149" spans="7:16" s="1634" customFormat="1">
      <c r="G15149" s="3336"/>
      <c r="P15149" s="3337"/>
    </row>
    <row r="15150" spans="7:16" s="1634" customFormat="1">
      <c r="G15150" s="3336"/>
      <c r="P15150" s="3337"/>
    </row>
    <row r="15151" spans="7:16" s="1634" customFormat="1">
      <c r="G15151" s="3336"/>
      <c r="P15151" s="3337"/>
    </row>
    <row r="15152" spans="7:16" s="1634" customFormat="1">
      <c r="G15152" s="3336"/>
      <c r="P15152" s="3337"/>
    </row>
    <row r="15153" spans="7:16" s="1634" customFormat="1">
      <c r="G15153" s="3336"/>
      <c r="P15153" s="3337"/>
    </row>
    <row r="15154" spans="7:16" s="1634" customFormat="1">
      <c r="G15154" s="3336"/>
      <c r="P15154" s="3337"/>
    </row>
    <row r="15155" spans="7:16" s="1634" customFormat="1">
      <c r="G15155" s="3336"/>
      <c r="P15155" s="3337"/>
    </row>
    <row r="15156" spans="7:16" s="1634" customFormat="1">
      <c r="G15156" s="3336"/>
      <c r="P15156" s="3337"/>
    </row>
    <row r="15157" spans="7:16" s="1634" customFormat="1">
      <c r="G15157" s="3336"/>
      <c r="P15157" s="3337"/>
    </row>
    <row r="15158" spans="7:16" s="1634" customFormat="1">
      <c r="G15158" s="3336"/>
      <c r="P15158" s="3337"/>
    </row>
    <row r="15159" spans="7:16" s="1634" customFormat="1">
      <c r="G15159" s="3336"/>
      <c r="P15159" s="3337"/>
    </row>
    <row r="15160" spans="7:16" s="1634" customFormat="1">
      <c r="G15160" s="3336"/>
      <c r="P15160" s="3337"/>
    </row>
    <row r="15161" spans="7:16" s="1634" customFormat="1">
      <c r="G15161" s="3336"/>
      <c r="P15161" s="3337"/>
    </row>
    <row r="15162" spans="7:16" s="1634" customFormat="1">
      <c r="G15162" s="3336"/>
      <c r="P15162" s="3337"/>
    </row>
    <row r="15163" spans="7:16" s="1634" customFormat="1">
      <c r="G15163" s="3336"/>
      <c r="P15163" s="3337"/>
    </row>
    <row r="15164" spans="7:16" s="1634" customFormat="1">
      <c r="G15164" s="3336"/>
      <c r="P15164" s="3337"/>
    </row>
    <row r="15165" spans="7:16" s="1634" customFormat="1">
      <c r="G15165" s="3336"/>
      <c r="P15165" s="3337"/>
    </row>
    <row r="15166" spans="7:16" s="1634" customFormat="1">
      <c r="G15166" s="3336"/>
      <c r="P15166" s="3337"/>
    </row>
    <row r="15167" spans="7:16" s="1634" customFormat="1">
      <c r="G15167" s="3336"/>
      <c r="P15167" s="3337"/>
    </row>
    <row r="15168" spans="7:16" s="1634" customFormat="1">
      <c r="G15168" s="3336"/>
      <c r="P15168" s="3337"/>
    </row>
    <row r="15169" spans="7:16" s="1634" customFormat="1">
      <c r="G15169" s="3336"/>
      <c r="P15169" s="3337"/>
    </row>
    <row r="15170" spans="7:16" s="1634" customFormat="1">
      <c r="G15170" s="3336"/>
      <c r="P15170" s="3337"/>
    </row>
    <row r="15171" spans="7:16" s="1634" customFormat="1">
      <c r="G15171" s="3336"/>
      <c r="P15171" s="3337"/>
    </row>
    <row r="15172" spans="7:16" s="1634" customFormat="1">
      <c r="G15172" s="3336"/>
      <c r="P15172" s="3337"/>
    </row>
    <row r="15173" spans="7:16" s="1634" customFormat="1">
      <c r="G15173" s="3336"/>
      <c r="P15173" s="3337"/>
    </row>
    <row r="15174" spans="7:16" s="1634" customFormat="1">
      <c r="G15174" s="3336"/>
      <c r="P15174" s="3337"/>
    </row>
    <row r="15175" spans="7:16" s="1634" customFormat="1">
      <c r="G15175" s="3336"/>
      <c r="P15175" s="3337"/>
    </row>
    <row r="15176" spans="7:16" s="1634" customFormat="1">
      <c r="G15176" s="3336"/>
      <c r="P15176" s="3337"/>
    </row>
    <row r="15177" spans="7:16" s="1634" customFormat="1">
      <c r="G15177" s="3336"/>
      <c r="P15177" s="3337"/>
    </row>
    <row r="15178" spans="7:16" s="1634" customFormat="1">
      <c r="G15178" s="3336"/>
      <c r="P15178" s="3337"/>
    </row>
    <row r="15179" spans="7:16" s="1634" customFormat="1">
      <c r="G15179" s="3336"/>
      <c r="P15179" s="3337"/>
    </row>
    <row r="15180" spans="7:16" s="1634" customFormat="1">
      <c r="G15180" s="3336"/>
      <c r="P15180" s="3337"/>
    </row>
    <row r="15181" spans="7:16" s="1634" customFormat="1">
      <c r="G15181" s="3336"/>
      <c r="P15181" s="3337"/>
    </row>
    <row r="15182" spans="7:16" s="1634" customFormat="1">
      <c r="G15182" s="3336"/>
      <c r="P15182" s="3337"/>
    </row>
    <row r="15183" spans="7:16" s="1634" customFormat="1">
      <c r="G15183" s="3336"/>
      <c r="P15183" s="3337"/>
    </row>
    <row r="15184" spans="7:16" s="1634" customFormat="1">
      <c r="G15184" s="3336"/>
      <c r="P15184" s="3337"/>
    </row>
    <row r="15185" spans="7:16" s="1634" customFormat="1">
      <c r="G15185" s="3336"/>
      <c r="P15185" s="3337"/>
    </row>
    <row r="15186" spans="7:16" s="1634" customFormat="1">
      <c r="G15186" s="3336"/>
      <c r="P15186" s="3337"/>
    </row>
    <row r="15187" spans="7:16" s="1634" customFormat="1">
      <c r="G15187" s="3336"/>
      <c r="P15187" s="3337"/>
    </row>
    <row r="15188" spans="7:16" s="1634" customFormat="1">
      <c r="G15188" s="3336"/>
      <c r="P15188" s="3337"/>
    </row>
    <row r="15189" spans="7:16" s="1634" customFormat="1">
      <c r="G15189" s="3336"/>
      <c r="P15189" s="3337"/>
    </row>
    <row r="15190" spans="7:16" s="1634" customFormat="1">
      <c r="G15190" s="3336"/>
      <c r="P15190" s="3337"/>
    </row>
    <row r="15191" spans="7:16" s="1634" customFormat="1">
      <c r="G15191" s="3336"/>
      <c r="P15191" s="3337"/>
    </row>
    <row r="15192" spans="7:16" s="1634" customFormat="1">
      <c r="G15192" s="3336"/>
      <c r="P15192" s="3337"/>
    </row>
    <row r="15193" spans="7:16" s="1634" customFormat="1">
      <c r="G15193" s="3336"/>
      <c r="P15193" s="3337"/>
    </row>
    <row r="15194" spans="7:16" s="1634" customFormat="1">
      <c r="G15194" s="3336"/>
      <c r="P15194" s="3337"/>
    </row>
    <row r="15195" spans="7:16" s="1634" customFormat="1">
      <c r="G15195" s="3336"/>
      <c r="P15195" s="3337"/>
    </row>
    <row r="15196" spans="7:16" s="1634" customFormat="1">
      <c r="G15196" s="3336"/>
      <c r="P15196" s="3337"/>
    </row>
    <row r="15197" spans="7:16" s="1634" customFormat="1">
      <c r="G15197" s="3336"/>
      <c r="P15197" s="3337"/>
    </row>
    <row r="15198" spans="7:16" s="1634" customFormat="1">
      <c r="G15198" s="3336"/>
      <c r="P15198" s="3337"/>
    </row>
    <row r="15199" spans="7:16" s="1634" customFormat="1">
      <c r="G15199" s="3336"/>
      <c r="P15199" s="3337"/>
    </row>
    <row r="15200" spans="7:16" s="1634" customFormat="1">
      <c r="G15200" s="3336"/>
      <c r="P15200" s="3337"/>
    </row>
    <row r="15201" spans="7:16" s="1634" customFormat="1">
      <c r="G15201" s="3336"/>
      <c r="P15201" s="3337"/>
    </row>
    <row r="15202" spans="7:16" s="1634" customFormat="1">
      <c r="G15202" s="3336"/>
      <c r="P15202" s="3337"/>
    </row>
    <row r="15203" spans="7:16" s="1634" customFormat="1">
      <c r="G15203" s="3336"/>
      <c r="P15203" s="3337"/>
    </row>
    <row r="15204" spans="7:16" s="1634" customFormat="1">
      <c r="G15204" s="3336"/>
      <c r="P15204" s="3337"/>
    </row>
    <row r="15205" spans="7:16" s="1634" customFormat="1">
      <c r="G15205" s="3336"/>
      <c r="P15205" s="3337"/>
    </row>
    <row r="15206" spans="7:16" s="1634" customFormat="1">
      <c r="G15206" s="3336"/>
      <c r="P15206" s="3337"/>
    </row>
    <row r="15207" spans="7:16" s="1634" customFormat="1">
      <c r="G15207" s="3336"/>
      <c r="P15207" s="3337"/>
    </row>
    <row r="15208" spans="7:16" s="1634" customFormat="1">
      <c r="G15208" s="3336"/>
      <c r="P15208" s="3337"/>
    </row>
    <row r="15209" spans="7:16" s="1634" customFormat="1">
      <c r="G15209" s="3336"/>
      <c r="P15209" s="3337"/>
    </row>
    <row r="15210" spans="7:16" s="1634" customFormat="1">
      <c r="G15210" s="3336"/>
      <c r="P15210" s="3337"/>
    </row>
    <row r="15211" spans="7:16" s="1634" customFormat="1">
      <c r="G15211" s="3336"/>
      <c r="P15211" s="3337"/>
    </row>
    <row r="15212" spans="7:16" s="1634" customFormat="1">
      <c r="G15212" s="3336"/>
      <c r="P15212" s="3337"/>
    </row>
    <row r="15213" spans="7:16" s="1634" customFormat="1">
      <c r="G15213" s="3336"/>
      <c r="P15213" s="3337"/>
    </row>
    <row r="15214" spans="7:16" s="1634" customFormat="1">
      <c r="G15214" s="3336"/>
      <c r="P15214" s="3337"/>
    </row>
    <row r="15215" spans="7:16" s="1634" customFormat="1">
      <c r="G15215" s="3336"/>
      <c r="P15215" s="3337"/>
    </row>
    <row r="15216" spans="7:16" s="1634" customFormat="1">
      <c r="G15216" s="3336"/>
      <c r="P15216" s="3337"/>
    </row>
    <row r="15217" spans="7:16" s="1634" customFormat="1">
      <c r="G15217" s="3336"/>
      <c r="P15217" s="3337"/>
    </row>
    <row r="15218" spans="7:16" s="1634" customFormat="1">
      <c r="G15218" s="3336"/>
      <c r="P15218" s="3337"/>
    </row>
    <row r="15219" spans="7:16" s="1634" customFormat="1">
      <c r="G15219" s="3336"/>
      <c r="P15219" s="3337"/>
    </row>
    <row r="15220" spans="7:16" s="1634" customFormat="1">
      <c r="G15220" s="3336"/>
      <c r="P15220" s="3337"/>
    </row>
    <row r="15221" spans="7:16" s="1634" customFormat="1">
      <c r="G15221" s="3336"/>
      <c r="P15221" s="3337"/>
    </row>
    <row r="15222" spans="7:16" s="1634" customFormat="1">
      <c r="G15222" s="3336"/>
      <c r="P15222" s="3337"/>
    </row>
    <row r="15223" spans="7:16" s="1634" customFormat="1">
      <c r="G15223" s="3336"/>
      <c r="P15223" s="3337"/>
    </row>
    <row r="15224" spans="7:16" s="1634" customFormat="1">
      <c r="G15224" s="3336"/>
      <c r="P15224" s="3337"/>
    </row>
    <row r="15225" spans="7:16" s="1634" customFormat="1">
      <c r="G15225" s="3336"/>
      <c r="P15225" s="3337"/>
    </row>
    <row r="15226" spans="7:16" s="1634" customFormat="1">
      <c r="G15226" s="3336"/>
      <c r="P15226" s="3337"/>
    </row>
    <row r="15227" spans="7:16" s="1634" customFormat="1">
      <c r="G15227" s="3336"/>
      <c r="P15227" s="3337"/>
    </row>
    <row r="15228" spans="7:16" s="1634" customFormat="1">
      <c r="G15228" s="3336"/>
      <c r="P15228" s="3337"/>
    </row>
    <row r="15229" spans="7:16" s="1634" customFormat="1">
      <c r="G15229" s="3336"/>
      <c r="P15229" s="3337"/>
    </row>
    <row r="15230" spans="7:16" s="1634" customFormat="1">
      <c r="G15230" s="3336"/>
      <c r="P15230" s="3337"/>
    </row>
    <row r="15231" spans="7:16" s="1634" customFormat="1">
      <c r="G15231" s="3336"/>
      <c r="P15231" s="3337"/>
    </row>
    <row r="15232" spans="7:16" s="1634" customFormat="1">
      <c r="G15232" s="3336"/>
      <c r="P15232" s="3337"/>
    </row>
    <row r="15233" spans="7:16" s="1634" customFormat="1">
      <c r="G15233" s="3336"/>
      <c r="P15233" s="3337"/>
    </row>
    <row r="15234" spans="7:16" s="1634" customFormat="1">
      <c r="G15234" s="3336"/>
      <c r="P15234" s="3337"/>
    </row>
    <row r="15235" spans="7:16" s="1634" customFormat="1">
      <c r="G15235" s="3336"/>
      <c r="P15235" s="3337"/>
    </row>
    <row r="15236" spans="7:16" s="1634" customFormat="1">
      <c r="G15236" s="3336"/>
      <c r="P15236" s="3337"/>
    </row>
    <row r="15237" spans="7:16" s="1634" customFormat="1">
      <c r="G15237" s="3336"/>
      <c r="P15237" s="3337"/>
    </row>
    <row r="15238" spans="7:16" s="1634" customFormat="1">
      <c r="G15238" s="3336"/>
      <c r="P15238" s="3337"/>
    </row>
    <row r="15239" spans="7:16" s="1634" customFormat="1">
      <c r="G15239" s="3336"/>
      <c r="P15239" s="3337"/>
    </row>
    <row r="15240" spans="7:16" s="1634" customFormat="1">
      <c r="G15240" s="3336"/>
      <c r="P15240" s="3337"/>
    </row>
    <row r="15241" spans="7:16" s="1634" customFormat="1">
      <c r="G15241" s="3336"/>
      <c r="P15241" s="3337"/>
    </row>
    <row r="15242" spans="7:16" s="1634" customFormat="1">
      <c r="G15242" s="3336"/>
      <c r="P15242" s="3337"/>
    </row>
    <row r="15243" spans="7:16" s="1634" customFormat="1">
      <c r="G15243" s="3336"/>
      <c r="P15243" s="3337"/>
    </row>
    <row r="15244" spans="7:16" s="1634" customFormat="1">
      <c r="G15244" s="3336"/>
      <c r="P15244" s="3337"/>
    </row>
    <row r="15245" spans="7:16" s="1634" customFormat="1">
      <c r="G15245" s="3336"/>
      <c r="P15245" s="3337"/>
    </row>
    <row r="15246" spans="7:16" s="1634" customFormat="1">
      <c r="G15246" s="3336"/>
      <c r="P15246" s="3337"/>
    </row>
    <row r="15247" spans="7:16" s="1634" customFormat="1">
      <c r="G15247" s="3336"/>
      <c r="P15247" s="3337"/>
    </row>
    <row r="15248" spans="7:16" s="1634" customFormat="1">
      <c r="G15248" s="3336"/>
      <c r="P15248" s="3337"/>
    </row>
    <row r="15249" spans="7:16" s="1634" customFormat="1">
      <c r="G15249" s="3336"/>
      <c r="P15249" s="3337"/>
    </row>
    <row r="15250" spans="7:16" s="1634" customFormat="1">
      <c r="G15250" s="3336"/>
      <c r="P15250" s="3337"/>
    </row>
    <row r="15251" spans="7:16" s="1634" customFormat="1">
      <c r="G15251" s="3336"/>
      <c r="P15251" s="3337"/>
    </row>
    <row r="15252" spans="7:16" s="1634" customFormat="1">
      <c r="G15252" s="3336"/>
      <c r="P15252" s="3337"/>
    </row>
    <row r="15253" spans="7:16" s="1634" customFormat="1">
      <c r="G15253" s="3336"/>
      <c r="P15253" s="3337"/>
    </row>
    <row r="15254" spans="7:16" s="1634" customFormat="1">
      <c r="G15254" s="3336"/>
      <c r="P15254" s="3337"/>
    </row>
    <row r="15255" spans="7:16" s="1634" customFormat="1">
      <c r="G15255" s="3336"/>
      <c r="P15255" s="3337"/>
    </row>
    <row r="15256" spans="7:16" s="1634" customFormat="1">
      <c r="G15256" s="3336"/>
      <c r="P15256" s="3337"/>
    </row>
    <row r="15257" spans="7:16" s="1634" customFormat="1">
      <c r="G15257" s="3336"/>
      <c r="P15257" s="3337"/>
    </row>
    <row r="15258" spans="7:16" s="1634" customFormat="1">
      <c r="G15258" s="3336"/>
      <c r="P15258" s="3337"/>
    </row>
    <row r="15259" spans="7:16" s="1634" customFormat="1">
      <c r="G15259" s="3336"/>
      <c r="P15259" s="3337"/>
    </row>
    <row r="15260" spans="7:16" s="1634" customFormat="1">
      <c r="G15260" s="3336"/>
      <c r="P15260" s="3337"/>
    </row>
    <row r="15261" spans="7:16" s="1634" customFormat="1">
      <c r="G15261" s="3336"/>
      <c r="P15261" s="3337"/>
    </row>
    <row r="15262" spans="7:16" s="1634" customFormat="1">
      <c r="G15262" s="3336"/>
      <c r="P15262" s="3337"/>
    </row>
    <row r="15263" spans="7:16" s="1634" customFormat="1">
      <c r="G15263" s="3336"/>
      <c r="P15263" s="3337"/>
    </row>
    <row r="15264" spans="7:16" s="1634" customFormat="1">
      <c r="G15264" s="3336"/>
      <c r="P15264" s="3337"/>
    </row>
    <row r="15265" spans="7:16" s="1634" customFormat="1">
      <c r="G15265" s="3336"/>
      <c r="P15265" s="3337"/>
    </row>
    <row r="15266" spans="7:16" s="1634" customFormat="1">
      <c r="G15266" s="3336"/>
      <c r="P15266" s="3337"/>
    </row>
    <row r="15267" spans="7:16" s="1634" customFormat="1">
      <c r="G15267" s="3336"/>
      <c r="P15267" s="3337"/>
    </row>
    <row r="15268" spans="7:16" s="1634" customFormat="1">
      <c r="G15268" s="3336"/>
      <c r="P15268" s="3337"/>
    </row>
    <row r="15269" spans="7:16" s="1634" customFormat="1">
      <c r="G15269" s="3336"/>
      <c r="P15269" s="3337"/>
    </row>
    <row r="15270" spans="7:16" s="1634" customFormat="1">
      <c r="G15270" s="3336"/>
      <c r="P15270" s="3337"/>
    </row>
    <row r="15271" spans="7:16" s="1634" customFormat="1">
      <c r="G15271" s="3336"/>
      <c r="P15271" s="3337"/>
    </row>
    <row r="15272" spans="7:16" s="1634" customFormat="1">
      <c r="G15272" s="3336"/>
      <c r="P15272" s="3337"/>
    </row>
    <row r="15273" spans="7:16" s="1634" customFormat="1">
      <c r="G15273" s="3336"/>
      <c r="P15273" s="3337"/>
    </row>
    <row r="15274" spans="7:16" s="1634" customFormat="1">
      <c r="G15274" s="3336"/>
      <c r="P15274" s="3337"/>
    </row>
    <row r="15275" spans="7:16" s="1634" customFormat="1">
      <c r="G15275" s="3336"/>
      <c r="P15275" s="3337"/>
    </row>
    <row r="15276" spans="7:16" s="1634" customFormat="1">
      <c r="G15276" s="3336"/>
      <c r="P15276" s="3337"/>
    </row>
    <row r="15277" spans="7:16" s="1634" customFormat="1">
      <c r="G15277" s="3336"/>
      <c r="P15277" s="3337"/>
    </row>
    <row r="15278" spans="7:16" s="1634" customFormat="1">
      <c r="G15278" s="3336"/>
      <c r="P15278" s="3337"/>
    </row>
    <row r="15279" spans="7:16" s="1634" customFormat="1">
      <c r="G15279" s="3336"/>
      <c r="P15279" s="3337"/>
    </row>
    <row r="15280" spans="7:16" s="1634" customFormat="1">
      <c r="G15280" s="3336"/>
      <c r="P15280" s="3337"/>
    </row>
    <row r="15281" spans="7:16" s="1634" customFormat="1">
      <c r="G15281" s="3336"/>
      <c r="P15281" s="3337"/>
    </row>
    <row r="15282" spans="7:16" s="1634" customFormat="1">
      <c r="G15282" s="3336"/>
      <c r="P15282" s="3337"/>
    </row>
    <row r="15283" spans="7:16" s="1634" customFormat="1">
      <c r="G15283" s="3336"/>
      <c r="P15283" s="3337"/>
    </row>
    <row r="15284" spans="7:16" s="1634" customFormat="1">
      <c r="G15284" s="3336"/>
      <c r="P15284" s="3337"/>
    </row>
    <row r="15285" spans="7:16" s="1634" customFormat="1">
      <c r="G15285" s="3336"/>
      <c r="P15285" s="3337"/>
    </row>
    <row r="15286" spans="7:16" s="1634" customFormat="1">
      <c r="G15286" s="3336"/>
      <c r="P15286" s="3337"/>
    </row>
    <row r="15287" spans="7:16" s="1634" customFormat="1">
      <c r="G15287" s="3336"/>
      <c r="P15287" s="3337"/>
    </row>
    <row r="15288" spans="7:16" s="1634" customFormat="1">
      <c r="G15288" s="3336"/>
      <c r="P15288" s="3337"/>
    </row>
    <row r="15289" spans="7:16" s="1634" customFormat="1">
      <c r="G15289" s="3336"/>
      <c r="P15289" s="3337"/>
    </row>
    <row r="15290" spans="7:16" s="1634" customFormat="1">
      <c r="G15290" s="3336"/>
      <c r="P15290" s="3337"/>
    </row>
    <row r="15291" spans="7:16" s="1634" customFormat="1">
      <c r="G15291" s="3336"/>
      <c r="P15291" s="3337"/>
    </row>
    <row r="15292" spans="7:16" s="1634" customFormat="1">
      <c r="G15292" s="3336"/>
      <c r="P15292" s="3337"/>
    </row>
    <row r="15293" spans="7:16" s="1634" customFormat="1">
      <c r="G15293" s="3336"/>
      <c r="P15293" s="3337"/>
    </row>
    <row r="15294" spans="7:16" s="1634" customFormat="1">
      <c r="G15294" s="3336"/>
      <c r="P15294" s="3337"/>
    </row>
    <row r="15295" spans="7:16" s="1634" customFormat="1">
      <c r="G15295" s="3336"/>
      <c r="P15295" s="3337"/>
    </row>
    <row r="15296" spans="7:16" s="1634" customFormat="1">
      <c r="G15296" s="3336"/>
      <c r="P15296" s="3337"/>
    </row>
    <row r="15297" spans="7:16" s="1634" customFormat="1">
      <c r="G15297" s="3336"/>
      <c r="P15297" s="3337"/>
    </row>
    <row r="15298" spans="7:16" s="1634" customFormat="1">
      <c r="G15298" s="3336"/>
      <c r="P15298" s="3337"/>
    </row>
    <row r="15299" spans="7:16" s="1634" customFormat="1">
      <c r="G15299" s="3336"/>
      <c r="P15299" s="3337"/>
    </row>
    <row r="15300" spans="7:16" s="1634" customFormat="1">
      <c r="G15300" s="3336"/>
      <c r="P15300" s="3337"/>
    </row>
    <row r="15301" spans="7:16" s="1634" customFormat="1">
      <c r="G15301" s="3336"/>
      <c r="P15301" s="3337"/>
    </row>
    <row r="15302" spans="7:16" s="1634" customFormat="1">
      <c r="G15302" s="3336"/>
      <c r="P15302" s="3337"/>
    </row>
    <row r="15303" spans="7:16" s="1634" customFormat="1">
      <c r="G15303" s="3336"/>
      <c r="P15303" s="3337"/>
    </row>
    <row r="15304" spans="7:16" s="1634" customFormat="1">
      <c r="G15304" s="3336"/>
      <c r="P15304" s="3337"/>
    </row>
    <row r="15305" spans="7:16" s="1634" customFormat="1">
      <c r="G15305" s="3336"/>
      <c r="P15305" s="3337"/>
    </row>
    <row r="15306" spans="7:16" s="1634" customFormat="1">
      <c r="G15306" s="3336"/>
      <c r="P15306" s="3337"/>
    </row>
    <row r="15307" spans="7:16" s="1634" customFormat="1">
      <c r="G15307" s="3336"/>
      <c r="P15307" s="3337"/>
    </row>
    <row r="15308" spans="7:16" s="1634" customFormat="1">
      <c r="G15308" s="3336"/>
      <c r="P15308" s="3337"/>
    </row>
    <row r="15309" spans="7:16" s="1634" customFormat="1">
      <c r="G15309" s="3336"/>
      <c r="P15309" s="3337"/>
    </row>
    <row r="15310" spans="7:16" s="1634" customFormat="1">
      <c r="G15310" s="3336"/>
      <c r="P15310" s="3337"/>
    </row>
    <row r="15311" spans="7:16" s="1634" customFormat="1">
      <c r="G15311" s="3336"/>
      <c r="P15311" s="3337"/>
    </row>
    <row r="15312" spans="7:16" s="1634" customFormat="1">
      <c r="G15312" s="3336"/>
      <c r="P15312" s="3337"/>
    </row>
    <row r="15313" spans="7:16" s="1634" customFormat="1">
      <c r="G15313" s="3336"/>
      <c r="P15313" s="3337"/>
    </row>
    <row r="15314" spans="7:16" s="1634" customFormat="1">
      <c r="G15314" s="3336"/>
      <c r="P15314" s="3337"/>
    </row>
    <row r="15315" spans="7:16" s="1634" customFormat="1">
      <c r="G15315" s="3336"/>
      <c r="P15315" s="3337"/>
    </row>
    <row r="15316" spans="7:16" s="1634" customFormat="1">
      <c r="G15316" s="3336"/>
      <c r="P15316" s="3337"/>
    </row>
    <row r="15317" spans="7:16" s="1634" customFormat="1">
      <c r="G15317" s="3336"/>
      <c r="P15317" s="3337"/>
    </row>
    <row r="15318" spans="7:16" s="1634" customFormat="1">
      <c r="G15318" s="3336"/>
      <c r="P15318" s="3337"/>
    </row>
    <row r="15319" spans="7:16" s="1634" customFormat="1">
      <c r="G15319" s="3336"/>
      <c r="P15319" s="3337"/>
    </row>
    <row r="15320" spans="7:16" s="1634" customFormat="1">
      <c r="G15320" s="3336"/>
      <c r="P15320" s="3337"/>
    </row>
    <row r="15321" spans="7:16" s="1634" customFormat="1">
      <c r="G15321" s="3336"/>
      <c r="P15321" s="3337"/>
    </row>
    <row r="15322" spans="7:16" s="1634" customFormat="1">
      <c r="G15322" s="3336"/>
      <c r="P15322" s="3337"/>
    </row>
    <row r="15323" spans="7:16" s="1634" customFormat="1">
      <c r="G15323" s="3336"/>
      <c r="P15323" s="3337"/>
    </row>
    <row r="15324" spans="7:16" s="1634" customFormat="1">
      <c r="G15324" s="3336"/>
      <c r="P15324" s="3337"/>
    </row>
    <row r="15325" spans="7:16" s="1634" customFormat="1">
      <c r="G15325" s="3336"/>
      <c r="P15325" s="3337"/>
    </row>
    <row r="15326" spans="7:16" s="1634" customFormat="1">
      <c r="G15326" s="3336"/>
      <c r="P15326" s="3337"/>
    </row>
    <row r="15327" spans="7:16" s="1634" customFormat="1">
      <c r="G15327" s="3336"/>
      <c r="P15327" s="3337"/>
    </row>
    <row r="15328" spans="7:16" s="1634" customFormat="1">
      <c r="G15328" s="3336"/>
      <c r="P15328" s="3337"/>
    </row>
    <row r="15329" spans="7:16" s="1634" customFormat="1">
      <c r="G15329" s="3336"/>
      <c r="P15329" s="3337"/>
    </row>
    <row r="15330" spans="7:16" s="1634" customFormat="1">
      <c r="G15330" s="3336"/>
      <c r="P15330" s="3337"/>
    </row>
    <row r="15331" spans="7:16" s="1634" customFormat="1">
      <c r="G15331" s="3336"/>
      <c r="P15331" s="3337"/>
    </row>
    <row r="15332" spans="7:16" s="1634" customFormat="1">
      <c r="G15332" s="3336"/>
      <c r="P15332" s="3337"/>
    </row>
    <row r="15333" spans="7:16" s="1634" customFormat="1">
      <c r="G15333" s="3336"/>
      <c r="P15333" s="3337"/>
    </row>
    <row r="15334" spans="7:16" s="1634" customFormat="1">
      <c r="G15334" s="3336"/>
      <c r="P15334" s="3337"/>
    </row>
    <row r="15335" spans="7:16" s="1634" customFormat="1">
      <c r="G15335" s="3336"/>
      <c r="P15335" s="3337"/>
    </row>
    <row r="15336" spans="7:16" s="1634" customFormat="1">
      <c r="G15336" s="3336"/>
      <c r="P15336" s="3337"/>
    </row>
    <row r="15337" spans="7:16" s="1634" customFormat="1">
      <c r="G15337" s="3336"/>
      <c r="P15337" s="3337"/>
    </row>
    <row r="15338" spans="7:16" s="1634" customFormat="1">
      <c r="G15338" s="3336"/>
      <c r="P15338" s="3337"/>
    </row>
    <row r="15339" spans="7:16" s="1634" customFormat="1">
      <c r="G15339" s="3336"/>
      <c r="P15339" s="3337"/>
    </row>
    <row r="15340" spans="7:16" s="1634" customFormat="1">
      <c r="G15340" s="3336"/>
      <c r="P15340" s="3337"/>
    </row>
    <row r="15341" spans="7:16" s="1634" customFormat="1">
      <c r="G15341" s="3336"/>
      <c r="P15341" s="3337"/>
    </row>
    <row r="15342" spans="7:16" s="1634" customFormat="1">
      <c r="G15342" s="3336"/>
      <c r="P15342" s="3337"/>
    </row>
    <row r="15343" spans="7:16" s="1634" customFormat="1">
      <c r="G15343" s="3336"/>
      <c r="P15343" s="3337"/>
    </row>
    <row r="15344" spans="7:16" s="1634" customFormat="1">
      <c r="G15344" s="3336"/>
      <c r="P15344" s="3337"/>
    </row>
    <row r="15345" spans="7:16" s="1634" customFormat="1">
      <c r="G15345" s="3336"/>
      <c r="P15345" s="3337"/>
    </row>
    <row r="15346" spans="7:16" s="1634" customFormat="1">
      <c r="G15346" s="3336"/>
      <c r="P15346" s="3337"/>
    </row>
    <row r="15347" spans="7:16" s="1634" customFormat="1">
      <c r="G15347" s="3336"/>
      <c r="P15347" s="3337"/>
    </row>
    <row r="15348" spans="7:16" s="1634" customFormat="1">
      <c r="G15348" s="3336"/>
      <c r="P15348" s="3337"/>
    </row>
    <row r="15349" spans="7:16" s="1634" customFormat="1">
      <c r="G15349" s="3336"/>
      <c r="P15349" s="3337"/>
    </row>
    <row r="15350" spans="7:16" s="1634" customFormat="1">
      <c r="G15350" s="3336"/>
      <c r="P15350" s="3337"/>
    </row>
    <row r="15351" spans="7:16" s="1634" customFormat="1">
      <c r="G15351" s="3336"/>
      <c r="P15351" s="3337"/>
    </row>
    <row r="15352" spans="7:16" s="1634" customFormat="1">
      <c r="G15352" s="3336"/>
      <c r="P15352" s="3337"/>
    </row>
    <row r="15353" spans="7:16" s="1634" customFormat="1">
      <c r="G15353" s="3336"/>
      <c r="P15353" s="3337"/>
    </row>
    <row r="15354" spans="7:16" s="1634" customFormat="1">
      <c r="G15354" s="3336"/>
      <c r="P15354" s="3337"/>
    </row>
    <row r="15355" spans="7:16" s="1634" customFormat="1">
      <c r="G15355" s="3336"/>
      <c r="P15355" s="3337"/>
    </row>
    <row r="15356" spans="7:16" s="1634" customFormat="1">
      <c r="G15356" s="3336"/>
      <c r="P15356" s="3337"/>
    </row>
    <row r="15357" spans="7:16" s="1634" customFormat="1">
      <c r="G15357" s="3336"/>
      <c r="P15357" s="3337"/>
    </row>
    <row r="15358" spans="7:16" s="1634" customFormat="1">
      <c r="G15358" s="3336"/>
      <c r="P15358" s="3337"/>
    </row>
    <row r="15359" spans="7:16" s="1634" customFormat="1">
      <c r="G15359" s="3336"/>
      <c r="P15359" s="3337"/>
    </row>
    <row r="15360" spans="7:16" s="1634" customFormat="1">
      <c r="G15360" s="3336"/>
      <c r="P15360" s="3337"/>
    </row>
    <row r="15361" spans="7:16" s="1634" customFormat="1">
      <c r="G15361" s="3336"/>
      <c r="P15361" s="3337"/>
    </row>
    <row r="15362" spans="7:16" s="1634" customFormat="1">
      <c r="G15362" s="3336"/>
      <c r="P15362" s="3337"/>
    </row>
    <row r="15363" spans="7:16" s="1634" customFormat="1">
      <c r="G15363" s="3336"/>
      <c r="P15363" s="3337"/>
    </row>
    <row r="15364" spans="7:16" s="1634" customFormat="1">
      <c r="G15364" s="3336"/>
      <c r="P15364" s="3337"/>
    </row>
    <row r="15365" spans="7:16" s="1634" customFormat="1">
      <c r="G15365" s="3336"/>
      <c r="P15365" s="3337"/>
    </row>
    <row r="15366" spans="7:16" s="1634" customFormat="1">
      <c r="G15366" s="3336"/>
      <c r="P15366" s="3337"/>
    </row>
    <row r="15367" spans="7:16" s="1634" customFormat="1">
      <c r="G15367" s="3336"/>
      <c r="P15367" s="3337"/>
    </row>
    <row r="15368" spans="7:16" s="1634" customFormat="1">
      <c r="G15368" s="3336"/>
      <c r="P15368" s="3337"/>
    </row>
    <row r="15369" spans="7:16" s="1634" customFormat="1">
      <c r="G15369" s="3336"/>
      <c r="P15369" s="3337"/>
    </row>
    <row r="15370" spans="7:16" s="1634" customFormat="1">
      <c r="G15370" s="3336"/>
      <c r="P15370" s="3337"/>
    </row>
    <row r="15371" spans="7:16" s="1634" customFormat="1">
      <c r="G15371" s="3336"/>
      <c r="P15371" s="3337"/>
    </row>
    <row r="15372" spans="7:16" s="1634" customFormat="1">
      <c r="G15372" s="3336"/>
      <c r="P15372" s="3337"/>
    </row>
    <row r="15373" spans="7:16" s="1634" customFormat="1">
      <c r="G15373" s="3336"/>
      <c r="P15373" s="3337"/>
    </row>
    <row r="15374" spans="7:16" s="1634" customFormat="1">
      <c r="G15374" s="3336"/>
      <c r="P15374" s="3337"/>
    </row>
    <row r="15375" spans="7:16" s="1634" customFormat="1">
      <c r="G15375" s="3336"/>
      <c r="P15375" s="3337"/>
    </row>
    <row r="15376" spans="7:16" s="1634" customFormat="1">
      <c r="G15376" s="3336"/>
      <c r="P15376" s="3337"/>
    </row>
    <row r="15377" spans="7:16" s="1634" customFormat="1">
      <c r="G15377" s="3336"/>
      <c r="P15377" s="3337"/>
    </row>
    <row r="15378" spans="7:16" s="1634" customFormat="1">
      <c r="G15378" s="3336"/>
      <c r="P15378" s="3337"/>
    </row>
    <row r="15379" spans="7:16" s="1634" customFormat="1">
      <c r="G15379" s="3336"/>
      <c r="P15379" s="3337"/>
    </row>
    <row r="15380" spans="7:16" s="1634" customFormat="1">
      <c r="G15380" s="3336"/>
      <c r="P15380" s="3337"/>
    </row>
    <row r="15381" spans="7:16" s="1634" customFormat="1">
      <c r="G15381" s="3336"/>
      <c r="P15381" s="3337"/>
    </row>
    <row r="15382" spans="7:16" s="1634" customFormat="1">
      <c r="G15382" s="3336"/>
      <c r="P15382" s="3337"/>
    </row>
    <row r="15383" spans="7:16" s="1634" customFormat="1">
      <c r="G15383" s="3336"/>
      <c r="P15383" s="3337"/>
    </row>
    <row r="15384" spans="7:16" s="1634" customFormat="1">
      <c r="G15384" s="3336"/>
      <c r="P15384" s="3337"/>
    </row>
    <row r="15385" spans="7:16" s="1634" customFormat="1">
      <c r="G15385" s="3336"/>
      <c r="P15385" s="3337"/>
    </row>
    <row r="15386" spans="7:16" s="1634" customFormat="1">
      <c r="G15386" s="3336"/>
      <c r="P15386" s="3337"/>
    </row>
    <row r="15387" spans="7:16" s="1634" customFormat="1">
      <c r="G15387" s="3336"/>
      <c r="P15387" s="3337"/>
    </row>
    <row r="15388" spans="7:16" s="1634" customFormat="1">
      <c r="G15388" s="3336"/>
      <c r="P15388" s="3337"/>
    </row>
    <row r="15389" spans="7:16" s="1634" customFormat="1">
      <c r="G15389" s="3336"/>
      <c r="P15389" s="3337"/>
    </row>
    <row r="15390" spans="7:16" s="1634" customFormat="1">
      <c r="G15390" s="3336"/>
      <c r="P15390" s="3337"/>
    </row>
    <row r="15391" spans="7:16" s="1634" customFormat="1">
      <c r="G15391" s="3336"/>
      <c r="P15391" s="3337"/>
    </row>
    <row r="15392" spans="7:16" s="1634" customFormat="1">
      <c r="G15392" s="3336"/>
      <c r="P15392" s="3337"/>
    </row>
    <row r="15393" spans="7:16" s="1634" customFormat="1">
      <c r="G15393" s="3336"/>
      <c r="P15393" s="3337"/>
    </row>
    <row r="15394" spans="7:16" s="1634" customFormat="1">
      <c r="G15394" s="3336"/>
      <c r="P15394" s="3337"/>
    </row>
    <row r="15395" spans="7:16" s="1634" customFormat="1">
      <c r="G15395" s="3336"/>
      <c r="P15395" s="3337"/>
    </row>
    <row r="15396" spans="7:16" s="1634" customFormat="1">
      <c r="G15396" s="3336"/>
      <c r="P15396" s="3337"/>
    </row>
    <row r="15397" spans="7:16" s="1634" customFormat="1">
      <c r="G15397" s="3336"/>
      <c r="P15397" s="3337"/>
    </row>
    <row r="15398" spans="7:16" s="1634" customFormat="1">
      <c r="G15398" s="3336"/>
      <c r="P15398" s="3337"/>
    </row>
    <row r="15399" spans="7:16" s="1634" customFormat="1">
      <c r="G15399" s="3336"/>
      <c r="P15399" s="3337"/>
    </row>
    <row r="15400" spans="7:16" s="1634" customFormat="1">
      <c r="G15400" s="3336"/>
      <c r="P15400" s="3337"/>
    </row>
    <row r="15401" spans="7:16" s="1634" customFormat="1">
      <c r="G15401" s="3336"/>
      <c r="P15401" s="3337"/>
    </row>
    <row r="15402" spans="7:16" s="1634" customFormat="1">
      <c r="G15402" s="3336"/>
      <c r="P15402" s="3337"/>
    </row>
    <row r="15403" spans="7:16" s="1634" customFormat="1">
      <c r="G15403" s="3336"/>
      <c r="P15403" s="3337"/>
    </row>
    <row r="15404" spans="7:16" s="1634" customFormat="1">
      <c r="G15404" s="3336"/>
      <c r="P15404" s="3337"/>
    </row>
    <row r="15405" spans="7:16" s="1634" customFormat="1">
      <c r="G15405" s="3336"/>
      <c r="P15405" s="3337"/>
    </row>
    <row r="15406" spans="7:16" s="1634" customFormat="1">
      <c r="G15406" s="3336"/>
      <c r="P15406" s="3337"/>
    </row>
    <row r="15407" spans="7:16" s="1634" customFormat="1">
      <c r="G15407" s="3336"/>
      <c r="P15407" s="3337"/>
    </row>
    <row r="15408" spans="7:16" s="1634" customFormat="1">
      <c r="G15408" s="3336"/>
      <c r="P15408" s="3337"/>
    </row>
    <row r="15409" spans="7:16" s="1634" customFormat="1">
      <c r="G15409" s="3336"/>
      <c r="P15409" s="3337"/>
    </row>
    <row r="15410" spans="7:16" s="1634" customFormat="1">
      <c r="G15410" s="3336"/>
      <c r="P15410" s="3337"/>
    </row>
    <row r="15411" spans="7:16" s="1634" customFormat="1">
      <c r="G15411" s="3336"/>
      <c r="P15411" s="3337"/>
    </row>
    <row r="15412" spans="7:16" s="1634" customFormat="1">
      <c r="G15412" s="3336"/>
      <c r="P15412" s="3337"/>
    </row>
    <row r="15413" spans="7:16" s="1634" customFormat="1">
      <c r="G15413" s="3336"/>
      <c r="P15413" s="3337"/>
    </row>
    <row r="15414" spans="7:16" s="1634" customFormat="1">
      <c r="G15414" s="3336"/>
      <c r="P15414" s="3337"/>
    </row>
    <row r="15415" spans="7:16" s="1634" customFormat="1">
      <c r="G15415" s="3336"/>
      <c r="P15415" s="3337"/>
    </row>
    <row r="15416" spans="7:16" s="1634" customFormat="1">
      <c r="G15416" s="3336"/>
      <c r="P15416" s="3337"/>
    </row>
    <row r="15417" spans="7:16" s="1634" customFormat="1">
      <c r="G15417" s="3336"/>
      <c r="P15417" s="3337"/>
    </row>
    <row r="15418" spans="7:16" s="1634" customFormat="1">
      <c r="G15418" s="3336"/>
      <c r="P15418" s="3337"/>
    </row>
    <row r="15419" spans="7:16" s="1634" customFormat="1">
      <c r="G15419" s="3336"/>
      <c r="P15419" s="3337"/>
    </row>
    <row r="15420" spans="7:16" s="1634" customFormat="1">
      <c r="G15420" s="3336"/>
      <c r="P15420" s="3337"/>
    </row>
    <row r="15421" spans="7:16" s="1634" customFormat="1">
      <c r="G15421" s="3336"/>
      <c r="P15421" s="3337"/>
    </row>
    <row r="15422" spans="7:16" s="1634" customFormat="1">
      <c r="G15422" s="3336"/>
      <c r="P15422" s="3337"/>
    </row>
    <row r="15423" spans="7:16" s="1634" customFormat="1">
      <c r="G15423" s="3336"/>
      <c r="P15423" s="3337"/>
    </row>
    <row r="15424" spans="7:16" s="1634" customFormat="1">
      <c r="G15424" s="3336"/>
      <c r="P15424" s="3337"/>
    </row>
    <row r="15425" spans="7:16" s="1634" customFormat="1">
      <c r="G15425" s="3336"/>
      <c r="P15425" s="3337"/>
    </row>
    <row r="15426" spans="7:16" s="1634" customFormat="1">
      <c r="G15426" s="3336"/>
      <c r="P15426" s="3337"/>
    </row>
    <row r="15427" spans="7:16" s="1634" customFormat="1">
      <c r="G15427" s="3336"/>
      <c r="P15427" s="3337"/>
    </row>
    <row r="15428" spans="7:16" s="1634" customFormat="1">
      <c r="G15428" s="3336"/>
      <c r="P15428" s="3337"/>
    </row>
    <row r="15429" spans="7:16" s="1634" customFormat="1">
      <c r="G15429" s="3336"/>
      <c r="P15429" s="3337"/>
    </row>
    <row r="15430" spans="7:16" s="1634" customFormat="1">
      <c r="G15430" s="3336"/>
      <c r="P15430" s="3337"/>
    </row>
    <row r="15431" spans="7:16" s="1634" customFormat="1">
      <c r="G15431" s="3336"/>
      <c r="P15431" s="3337"/>
    </row>
    <row r="15432" spans="7:16" s="1634" customFormat="1">
      <c r="G15432" s="3336"/>
      <c r="P15432" s="3337"/>
    </row>
    <row r="15433" spans="7:16" s="1634" customFormat="1">
      <c r="G15433" s="3336"/>
      <c r="P15433" s="3337"/>
    </row>
    <row r="15434" spans="7:16" s="1634" customFormat="1">
      <c r="G15434" s="3336"/>
      <c r="P15434" s="3337"/>
    </row>
    <row r="15435" spans="7:16" s="1634" customFormat="1">
      <c r="G15435" s="3336"/>
      <c r="P15435" s="3337"/>
    </row>
    <row r="15436" spans="7:16" s="1634" customFormat="1">
      <c r="G15436" s="3336"/>
      <c r="P15436" s="3337"/>
    </row>
    <row r="15437" spans="7:16" s="1634" customFormat="1">
      <c r="G15437" s="3336"/>
      <c r="P15437" s="3337"/>
    </row>
    <row r="15438" spans="7:16" s="1634" customFormat="1">
      <c r="G15438" s="3336"/>
      <c r="P15438" s="3337"/>
    </row>
    <row r="15439" spans="7:16" s="1634" customFormat="1">
      <c r="G15439" s="3336"/>
      <c r="P15439" s="3337"/>
    </row>
    <row r="15440" spans="7:16" s="1634" customFormat="1">
      <c r="G15440" s="3336"/>
      <c r="P15440" s="3337"/>
    </row>
    <row r="15441" spans="7:16" s="1634" customFormat="1">
      <c r="G15441" s="3336"/>
      <c r="P15441" s="3337"/>
    </row>
    <row r="15442" spans="7:16" s="1634" customFormat="1">
      <c r="G15442" s="3336"/>
      <c r="P15442" s="3337"/>
    </row>
    <row r="15443" spans="7:16" s="1634" customFormat="1">
      <c r="G15443" s="3336"/>
      <c r="P15443" s="3337"/>
    </row>
    <row r="15444" spans="7:16" s="1634" customFormat="1">
      <c r="G15444" s="3336"/>
      <c r="P15444" s="3337"/>
    </row>
    <row r="15445" spans="7:16" s="1634" customFormat="1">
      <c r="G15445" s="3336"/>
      <c r="P15445" s="3337"/>
    </row>
    <row r="15446" spans="7:16" s="1634" customFormat="1">
      <c r="G15446" s="3336"/>
      <c r="P15446" s="3337"/>
    </row>
    <row r="15447" spans="7:16" s="1634" customFormat="1">
      <c r="G15447" s="3336"/>
      <c r="P15447" s="3337"/>
    </row>
    <row r="15448" spans="7:16" s="1634" customFormat="1">
      <c r="G15448" s="3336"/>
      <c r="P15448" s="3337"/>
    </row>
    <row r="15449" spans="7:16" s="1634" customFormat="1">
      <c r="G15449" s="3336"/>
      <c r="P15449" s="3337"/>
    </row>
    <row r="15450" spans="7:16" s="1634" customFormat="1">
      <c r="G15450" s="3336"/>
      <c r="P15450" s="3337"/>
    </row>
    <row r="15451" spans="7:16" s="1634" customFormat="1">
      <c r="G15451" s="3336"/>
      <c r="P15451" s="3337"/>
    </row>
    <row r="15452" spans="7:16" s="1634" customFormat="1">
      <c r="G15452" s="3336"/>
      <c r="P15452" s="3337"/>
    </row>
    <row r="15453" spans="7:16" s="1634" customFormat="1">
      <c r="G15453" s="3336"/>
      <c r="P15453" s="3337"/>
    </row>
    <row r="15454" spans="7:16" s="1634" customFormat="1">
      <c r="G15454" s="3336"/>
      <c r="P15454" s="3337"/>
    </row>
    <row r="15455" spans="7:16" s="1634" customFormat="1">
      <c r="G15455" s="3336"/>
      <c r="P15455" s="3337"/>
    </row>
    <row r="15456" spans="7:16" s="1634" customFormat="1">
      <c r="G15456" s="3336"/>
      <c r="P15456" s="3337"/>
    </row>
    <row r="15457" spans="7:16" s="1634" customFormat="1">
      <c r="G15457" s="3336"/>
      <c r="P15457" s="3337"/>
    </row>
    <row r="15458" spans="7:16" s="1634" customFormat="1">
      <c r="G15458" s="3336"/>
      <c r="P15458" s="3337"/>
    </row>
    <row r="15459" spans="7:16" s="1634" customFormat="1">
      <c r="G15459" s="3336"/>
      <c r="P15459" s="3337"/>
    </row>
    <row r="15460" spans="7:16" s="1634" customFormat="1">
      <c r="G15460" s="3336"/>
      <c r="P15460" s="3337"/>
    </row>
    <row r="15461" spans="7:16" s="1634" customFormat="1">
      <c r="G15461" s="3336"/>
      <c r="P15461" s="3337"/>
    </row>
    <row r="15462" spans="7:16" s="1634" customFormat="1">
      <c r="G15462" s="3336"/>
      <c r="P15462" s="3337"/>
    </row>
    <row r="15463" spans="7:16" s="1634" customFormat="1">
      <c r="G15463" s="3336"/>
      <c r="P15463" s="3337"/>
    </row>
    <row r="15464" spans="7:16" s="1634" customFormat="1">
      <c r="G15464" s="3336"/>
      <c r="P15464" s="3337"/>
    </row>
    <row r="15465" spans="7:16" s="1634" customFormat="1">
      <c r="G15465" s="3336"/>
      <c r="P15465" s="3337"/>
    </row>
    <row r="15466" spans="7:16" s="1634" customFormat="1">
      <c r="G15466" s="3336"/>
      <c r="P15466" s="3337"/>
    </row>
    <row r="15467" spans="7:16" s="1634" customFormat="1">
      <c r="G15467" s="3336"/>
      <c r="P15467" s="3337"/>
    </row>
    <row r="15468" spans="7:16" s="1634" customFormat="1">
      <c r="G15468" s="3336"/>
      <c r="P15468" s="3337"/>
    </row>
    <row r="15469" spans="7:16" s="1634" customFormat="1">
      <c r="G15469" s="3336"/>
      <c r="P15469" s="3337"/>
    </row>
    <row r="15470" spans="7:16" s="1634" customFormat="1">
      <c r="G15470" s="3336"/>
      <c r="P15470" s="3337"/>
    </row>
    <row r="15471" spans="7:16" s="1634" customFormat="1">
      <c r="G15471" s="3336"/>
      <c r="P15471" s="3337"/>
    </row>
    <row r="15472" spans="7:16" s="1634" customFormat="1">
      <c r="G15472" s="3336"/>
      <c r="P15472" s="3337"/>
    </row>
    <row r="15473" spans="7:16" s="1634" customFormat="1">
      <c r="G15473" s="3336"/>
      <c r="P15473" s="3337"/>
    </row>
    <row r="15474" spans="7:16" s="1634" customFormat="1">
      <c r="G15474" s="3336"/>
      <c r="P15474" s="3337"/>
    </row>
    <row r="15475" spans="7:16" s="1634" customFormat="1">
      <c r="G15475" s="3336"/>
      <c r="P15475" s="3337"/>
    </row>
    <row r="15476" spans="7:16" s="1634" customFormat="1">
      <c r="G15476" s="3336"/>
      <c r="P15476" s="3337"/>
    </row>
    <row r="15477" spans="7:16" s="1634" customFormat="1">
      <c r="G15477" s="3336"/>
      <c r="P15477" s="3337"/>
    </row>
    <row r="15478" spans="7:16" s="1634" customFormat="1">
      <c r="G15478" s="3336"/>
      <c r="P15478" s="3337"/>
    </row>
    <row r="15479" spans="7:16" s="1634" customFormat="1">
      <c r="G15479" s="3336"/>
      <c r="P15479" s="3337"/>
    </row>
    <row r="15480" spans="7:16" s="1634" customFormat="1">
      <c r="G15480" s="3336"/>
      <c r="P15480" s="3337"/>
    </row>
    <row r="15481" spans="7:16" s="1634" customFormat="1">
      <c r="G15481" s="3336"/>
      <c r="P15481" s="3337"/>
    </row>
    <row r="15482" spans="7:16" s="1634" customFormat="1">
      <c r="G15482" s="3336"/>
      <c r="P15482" s="3337"/>
    </row>
    <row r="15483" spans="7:16" s="1634" customFormat="1">
      <c r="G15483" s="3336"/>
      <c r="P15483" s="3337"/>
    </row>
    <row r="15484" spans="7:16" s="1634" customFormat="1">
      <c r="G15484" s="3336"/>
      <c r="P15484" s="3337"/>
    </row>
    <row r="15485" spans="7:16" s="1634" customFormat="1">
      <c r="G15485" s="3336"/>
      <c r="P15485" s="3337"/>
    </row>
    <row r="15486" spans="7:16" s="1634" customFormat="1">
      <c r="G15486" s="3336"/>
      <c r="P15486" s="3337"/>
    </row>
    <row r="15487" spans="7:16" s="1634" customFormat="1">
      <c r="G15487" s="3336"/>
      <c r="P15487" s="3337"/>
    </row>
    <row r="15488" spans="7:16" s="1634" customFormat="1">
      <c r="G15488" s="3336"/>
      <c r="P15488" s="3337"/>
    </row>
    <row r="15489" spans="7:16" s="1634" customFormat="1">
      <c r="G15489" s="3336"/>
      <c r="P15489" s="3337"/>
    </row>
    <row r="15490" spans="7:16" s="1634" customFormat="1">
      <c r="G15490" s="3336"/>
      <c r="P15490" s="3337"/>
    </row>
    <row r="15491" spans="7:16" s="1634" customFormat="1">
      <c r="G15491" s="3336"/>
      <c r="P15491" s="3337"/>
    </row>
    <row r="15492" spans="7:16" s="1634" customFormat="1">
      <c r="G15492" s="3336"/>
      <c r="P15492" s="3337"/>
    </row>
    <row r="15493" spans="7:16" s="1634" customFormat="1">
      <c r="G15493" s="3336"/>
      <c r="P15493" s="3337"/>
    </row>
    <row r="15494" spans="7:16" s="1634" customFormat="1">
      <c r="G15494" s="3336"/>
      <c r="P15494" s="3337"/>
    </row>
    <row r="15495" spans="7:16" s="1634" customFormat="1">
      <c r="G15495" s="3336"/>
      <c r="P15495" s="3337"/>
    </row>
    <row r="15496" spans="7:16" s="1634" customFormat="1">
      <c r="G15496" s="3336"/>
      <c r="P15496" s="3337"/>
    </row>
    <row r="15497" spans="7:16" s="1634" customFormat="1">
      <c r="G15497" s="3336"/>
      <c r="P15497" s="3337"/>
    </row>
    <row r="15498" spans="7:16" s="1634" customFormat="1">
      <c r="G15498" s="3336"/>
      <c r="P15498" s="3337"/>
    </row>
    <row r="15499" spans="7:16" s="1634" customFormat="1">
      <c r="G15499" s="3336"/>
      <c r="P15499" s="3337"/>
    </row>
    <row r="15500" spans="7:16" s="1634" customFormat="1">
      <c r="G15500" s="3336"/>
      <c r="P15500" s="3337"/>
    </row>
    <row r="15501" spans="7:16" s="1634" customFormat="1">
      <c r="G15501" s="3336"/>
      <c r="P15501" s="3337"/>
    </row>
    <row r="15502" spans="7:16" s="1634" customFormat="1">
      <c r="G15502" s="3336"/>
      <c r="P15502" s="3337"/>
    </row>
    <row r="15503" spans="7:16" s="1634" customFormat="1">
      <c r="G15503" s="3336"/>
      <c r="P15503" s="3337"/>
    </row>
    <row r="15504" spans="7:16" s="1634" customFormat="1">
      <c r="G15504" s="3336"/>
      <c r="P15504" s="3337"/>
    </row>
    <row r="15505" spans="7:16" s="1634" customFormat="1">
      <c r="G15505" s="3336"/>
      <c r="P15505" s="3337"/>
    </row>
    <row r="15506" spans="7:16" s="1634" customFormat="1">
      <c r="G15506" s="3336"/>
      <c r="P15506" s="3337"/>
    </row>
    <row r="15507" spans="7:16" s="1634" customFormat="1">
      <c r="G15507" s="3336"/>
      <c r="P15507" s="3337"/>
    </row>
    <row r="15508" spans="7:16" s="1634" customFormat="1">
      <c r="G15508" s="3336"/>
      <c r="P15508" s="3337"/>
    </row>
    <row r="15509" spans="7:16" s="1634" customFormat="1">
      <c r="G15509" s="3336"/>
      <c r="P15509" s="3337"/>
    </row>
    <row r="15510" spans="7:16" s="1634" customFormat="1">
      <c r="G15510" s="3336"/>
      <c r="P15510" s="3337"/>
    </row>
    <row r="15511" spans="7:16" s="1634" customFormat="1">
      <c r="G15511" s="3336"/>
      <c r="P15511" s="3337"/>
    </row>
    <row r="15512" spans="7:16" s="1634" customFormat="1">
      <c r="G15512" s="3336"/>
      <c r="P15512" s="3337"/>
    </row>
    <row r="15513" spans="7:16" s="1634" customFormat="1">
      <c r="G15513" s="3336"/>
      <c r="P15513" s="3337"/>
    </row>
    <row r="15514" spans="7:16" s="1634" customFormat="1">
      <c r="G15514" s="3336"/>
      <c r="P15514" s="3337"/>
    </row>
    <row r="15515" spans="7:16" s="1634" customFormat="1">
      <c r="G15515" s="3336"/>
      <c r="P15515" s="3337"/>
    </row>
    <row r="15516" spans="7:16" s="1634" customFormat="1">
      <c r="G15516" s="3336"/>
      <c r="P15516" s="3337"/>
    </row>
    <row r="15517" spans="7:16" s="1634" customFormat="1">
      <c r="G15517" s="3336"/>
      <c r="P15517" s="3337"/>
    </row>
    <row r="15518" spans="7:16" s="1634" customFormat="1">
      <c r="G15518" s="3336"/>
      <c r="P15518" s="3337"/>
    </row>
    <row r="15519" spans="7:16" s="1634" customFormat="1">
      <c r="G15519" s="3336"/>
      <c r="P15519" s="3337"/>
    </row>
    <row r="15520" spans="7:16" s="1634" customFormat="1">
      <c r="G15520" s="3336"/>
      <c r="P15520" s="3337"/>
    </row>
    <row r="15521" spans="7:16" s="1634" customFormat="1">
      <c r="G15521" s="3336"/>
      <c r="P15521" s="3337"/>
    </row>
    <row r="15522" spans="7:16" s="1634" customFormat="1">
      <c r="G15522" s="3336"/>
      <c r="P15522" s="3337"/>
    </row>
    <row r="15523" spans="7:16" s="1634" customFormat="1">
      <c r="G15523" s="3336"/>
      <c r="P15523" s="3337"/>
    </row>
    <row r="15524" spans="7:16" s="1634" customFormat="1">
      <c r="G15524" s="3336"/>
      <c r="P15524" s="3337"/>
    </row>
    <row r="15525" spans="7:16" s="1634" customFormat="1">
      <c r="G15525" s="3336"/>
      <c r="P15525" s="3337"/>
    </row>
    <row r="15526" spans="7:16" s="1634" customFormat="1">
      <c r="G15526" s="3336"/>
      <c r="P15526" s="3337"/>
    </row>
    <row r="15527" spans="7:16" s="1634" customFormat="1">
      <c r="G15527" s="3336"/>
      <c r="P15527" s="3337"/>
    </row>
    <row r="15528" spans="7:16" s="1634" customFormat="1">
      <c r="G15528" s="3336"/>
      <c r="P15528" s="3337"/>
    </row>
    <row r="15529" spans="7:16" s="1634" customFormat="1">
      <c r="G15529" s="3336"/>
      <c r="P15529" s="3337"/>
    </row>
    <row r="15530" spans="7:16" s="1634" customFormat="1">
      <c r="G15530" s="3336"/>
      <c r="P15530" s="3337"/>
    </row>
    <row r="15531" spans="7:16" s="1634" customFormat="1">
      <c r="G15531" s="3336"/>
      <c r="P15531" s="3337"/>
    </row>
    <row r="15532" spans="7:16" s="1634" customFormat="1">
      <c r="G15532" s="3336"/>
      <c r="P15532" s="3337"/>
    </row>
    <row r="15533" spans="7:16" s="1634" customFormat="1">
      <c r="G15533" s="3336"/>
      <c r="P15533" s="3337"/>
    </row>
    <row r="15534" spans="7:16" s="1634" customFormat="1">
      <c r="G15534" s="3336"/>
      <c r="P15534" s="3337"/>
    </row>
    <row r="15535" spans="7:16" s="1634" customFormat="1">
      <c r="G15535" s="3336"/>
      <c r="P15535" s="3337"/>
    </row>
    <row r="15536" spans="7:16" s="1634" customFormat="1">
      <c r="G15536" s="3336"/>
      <c r="P15536" s="3337"/>
    </row>
    <row r="15537" spans="7:16" s="1634" customFormat="1">
      <c r="G15537" s="3336"/>
      <c r="P15537" s="3337"/>
    </row>
    <row r="15538" spans="7:16" s="1634" customFormat="1">
      <c r="G15538" s="3336"/>
      <c r="P15538" s="3337"/>
    </row>
    <row r="15539" spans="7:16" s="1634" customFormat="1">
      <c r="G15539" s="3336"/>
      <c r="P15539" s="3337"/>
    </row>
    <row r="15540" spans="7:16" s="1634" customFormat="1">
      <c r="G15540" s="3336"/>
      <c r="P15540" s="3337"/>
    </row>
    <row r="15541" spans="7:16" s="1634" customFormat="1">
      <c r="G15541" s="3336"/>
      <c r="P15541" s="3337"/>
    </row>
    <row r="15542" spans="7:16" s="1634" customFormat="1">
      <c r="G15542" s="3336"/>
      <c r="P15542" s="3337"/>
    </row>
    <row r="15543" spans="7:16" s="1634" customFormat="1">
      <c r="G15543" s="3336"/>
      <c r="P15543" s="3337"/>
    </row>
    <row r="15544" spans="7:16" s="1634" customFormat="1">
      <c r="G15544" s="3336"/>
      <c r="P15544" s="3337"/>
    </row>
    <row r="15545" spans="7:16" s="1634" customFormat="1">
      <c r="G15545" s="3336"/>
      <c r="P15545" s="3337"/>
    </row>
    <row r="15546" spans="7:16" s="1634" customFormat="1">
      <c r="G15546" s="3336"/>
      <c r="P15546" s="3337"/>
    </row>
    <row r="15547" spans="7:16" s="1634" customFormat="1">
      <c r="G15547" s="3336"/>
      <c r="P15547" s="3337"/>
    </row>
    <row r="15548" spans="7:16" s="1634" customFormat="1">
      <c r="G15548" s="3336"/>
      <c r="P15548" s="3337"/>
    </row>
    <row r="15549" spans="7:16" s="1634" customFormat="1">
      <c r="G15549" s="3336"/>
      <c r="P15549" s="3337"/>
    </row>
    <row r="15550" spans="7:16" s="1634" customFormat="1">
      <c r="G15550" s="3336"/>
      <c r="P15550" s="3337"/>
    </row>
    <row r="15551" spans="7:16" s="1634" customFormat="1">
      <c r="G15551" s="3336"/>
      <c r="P15551" s="3337"/>
    </row>
    <row r="15552" spans="7:16" s="1634" customFormat="1">
      <c r="G15552" s="3336"/>
      <c r="P15552" s="3337"/>
    </row>
    <row r="15553" spans="7:16" s="1634" customFormat="1">
      <c r="G15553" s="3336"/>
      <c r="P15553" s="3337"/>
    </row>
    <row r="15554" spans="7:16" s="1634" customFormat="1">
      <c r="G15554" s="3336"/>
      <c r="P15554" s="3337"/>
    </row>
    <row r="15555" spans="7:16" s="1634" customFormat="1">
      <c r="G15555" s="3336"/>
      <c r="P15555" s="3337"/>
    </row>
    <row r="15556" spans="7:16" s="1634" customFormat="1">
      <c r="G15556" s="3336"/>
      <c r="P15556" s="3337"/>
    </row>
    <row r="15557" spans="7:16" s="1634" customFormat="1">
      <c r="G15557" s="3336"/>
      <c r="P15557" s="3337"/>
    </row>
    <row r="15558" spans="7:16" s="1634" customFormat="1">
      <c r="G15558" s="3336"/>
      <c r="P15558" s="3337"/>
    </row>
    <row r="15559" spans="7:16" s="1634" customFormat="1">
      <c r="G15559" s="3336"/>
      <c r="P15559" s="3337"/>
    </row>
    <row r="15560" spans="7:16" s="1634" customFormat="1">
      <c r="G15560" s="3336"/>
      <c r="P15560" s="3337"/>
    </row>
    <row r="15561" spans="7:16" s="1634" customFormat="1">
      <c r="G15561" s="3336"/>
      <c r="P15561" s="3337"/>
    </row>
    <row r="15562" spans="7:16" s="1634" customFormat="1">
      <c r="G15562" s="3336"/>
      <c r="P15562" s="3337"/>
    </row>
    <row r="15563" spans="7:16" s="1634" customFormat="1">
      <c r="G15563" s="3336"/>
      <c r="P15563" s="3337"/>
    </row>
    <row r="15564" spans="7:16" s="1634" customFormat="1">
      <c r="G15564" s="3336"/>
      <c r="P15564" s="3337"/>
    </row>
    <row r="15565" spans="7:16" s="1634" customFormat="1">
      <c r="G15565" s="3336"/>
      <c r="P15565" s="3337"/>
    </row>
    <row r="15566" spans="7:16" s="1634" customFormat="1">
      <c r="G15566" s="3336"/>
      <c r="P15566" s="3337"/>
    </row>
    <row r="15567" spans="7:16" s="1634" customFormat="1">
      <c r="G15567" s="3336"/>
      <c r="P15567" s="3337"/>
    </row>
    <row r="15568" spans="7:16" s="1634" customFormat="1">
      <c r="G15568" s="3336"/>
      <c r="P15568" s="3337"/>
    </row>
    <row r="15569" spans="7:16" s="1634" customFormat="1">
      <c r="G15569" s="3336"/>
      <c r="P15569" s="3337"/>
    </row>
    <row r="15570" spans="7:16" s="1634" customFormat="1">
      <c r="G15570" s="3336"/>
      <c r="P15570" s="3337"/>
    </row>
    <row r="15571" spans="7:16" s="1634" customFormat="1">
      <c r="G15571" s="3336"/>
      <c r="P15571" s="3337"/>
    </row>
    <row r="15572" spans="7:16" s="1634" customFormat="1">
      <c r="G15572" s="3336"/>
      <c r="P15572" s="3337"/>
    </row>
    <row r="15573" spans="7:16" s="1634" customFormat="1">
      <c r="G15573" s="3336"/>
      <c r="P15573" s="3337"/>
    </row>
    <row r="15574" spans="7:16" s="1634" customFormat="1">
      <c r="G15574" s="3336"/>
      <c r="P15574" s="3337"/>
    </row>
    <row r="15575" spans="7:16" s="1634" customFormat="1">
      <c r="G15575" s="3336"/>
      <c r="P15575" s="3337"/>
    </row>
    <row r="15576" spans="7:16" s="1634" customFormat="1">
      <c r="G15576" s="3336"/>
      <c r="P15576" s="3337"/>
    </row>
    <row r="15577" spans="7:16" s="1634" customFormat="1">
      <c r="G15577" s="3336"/>
      <c r="P15577" s="3337"/>
    </row>
    <row r="15578" spans="7:16" s="1634" customFormat="1">
      <c r="G15578" s="3336"/>
      <c r="P15578" s="3337"/>
    </row>
    <row r="15579" spans="7:16" s="1634" customFormat="1">
      <c r="G15579" s="3336"/>
      <c r="P15579" s="3337"/>
    </row>
    <row r="15580" spans="7:16" s="1634" customFormat="1">
      <c r="G15580" s="3336"/>
      <c r="P15580" s="3337"/>
    </row>
    <row r="15581" spans="7:16" s="1634" customFormat="1">
      <c r="G15581" s="3336"/>
      <c r="P15581" s="3337"/>
    </row>
    <row r="15582" spans="7:16" s="1634" customFormat="1">
      <c r="G15582" s="3336"/>
      <c r="P15582" s="3337"/>
    </row>
    <row r="15583" spans="7:16" s="1634" customFormat="1">
      <c r="G15583" s="3336"/>
      <c r="P15583" s="3337"/>
    </row>
    <row r="15584" spans="7:16" s="1634" customFormat="1">
      <c r="G15584" s="3336"/>
      <c r="P15584" s="3337"/>
    </row>
    <row r="15585" spans="7:16" s="1634" customFormat="1">
      <c r="G15585" s="3336"/>
      <c r="P15585" s="3337"/>
    </row>
    <row r="15586" spans="7:16" s="1634" customFormat="1">
      <c r="G15586" s="3336"/>
      <c r="P15586" s="3337"/>
    </row>
    <row r="15587" spans="7:16" s="1634" customFormat="1">
      <c r="G15587" s="3336"/>
      <c r="P15587" s="3337"/>
    </row>
    <row r="15588" spans="7:16" s="1634" customFormat="1">
      <c r="G15588" s="3336"/>
      <c r="P15588" s="3337"/>
    </row>
    <row r="15589" spans="7:16" s="1634" customFormat="1">
      <c r="G15589" s="3336"/>
      <c r="P15589" s="3337"/>
    </row>
    <row r="15590" spans="7:16" s="1634" customFormat="1">
      <c r="G15590" s="3336"/>
      <c r="P15590" s="3337"/>
    </row>
    <row r="15591" spans="7:16" s="1634" customFormat="1">
      <c r="G15591" s="3336"/>
      <c r="P15591" s="3337"/>
    </row>
    <row r="15592" spans="7:16" s="1634" customFormat="1">
      <c r="G15592" s="3336"/>
      <c r="P15592" s="3337"/>
    </row>
    <row r="15593" spans="7:16" s="1634" customFormat="1">
      <c r="G15593" s="3336"/>
      <c r="P15593" s="3337"/>
    </row>
    <row r="15594" spans="7:16" s="1634" customFormat="1">
      <c r="G15594" s="3336"/>
      <c r="P15594" s="3337"/>
    </row>
    <row r="15595" spans="7:16" s="1634" customFormat="1">
      <c r="G15595" s="3336"/>
      <c r="P15595" s="3337"/>
    </row>
    <row r="15596" spans="7:16" s="1634" customFormat="1">
      <c r="G15596" s="3336"/>
      <c r="P15596" s="3337"/>
    </row>
    <row r="15597" spans="7:16" s="1634" customFormat="1">
      <c r="G15597" s="3336"/>
      <c r="P15597" s="3337"/>
    </row>
    <row r="15598" spans="7:16" s="1634" customFormat="1">
      <c r="G15598" s="3336"/>
      <c r="P15598" s="3337"/>
    </row>
    <row r="15599" spans="7:16" s="1634" customFormat="1">
      <c r="G15599" s="3336"/>
      <c r="P15599" s="3337"/>
    </row>
    <row r="15600" spans="7:16" s="1634" customFormat="1">
      <c r="G15600" s="3336"/>
      <c r="P15600" s="3337"/>
    </row>
    <row r="15601" spans="7:16" s="1634" customFormat="1">
      <c r="G15601" s="3336"/>
      <c r="P15601" s="3337"/>
    </row>
    <row r="15602" spans="7:16" s="1634" customFormat="1">
      <c r="G15602" s="3336"/>
      <c r="P15602" s="3337"/>
    </row>
    <row r="15603" spans="7:16" s="1634" customFormat="1">
      <c r="G15603" s="3336"/>
      <c r="P15603" s="3337"/>
    </row>
    <row r="15604" spans="7:16" s="1634" customFormat="1">
      <c r="G15604" s="3336"/>
      <c r="P15604" s="3337"/>
    </row>
    <row r="15605" spans="7:16" s="1634" customFormat="1">
      <c r="G15605" s="3336"/>
      <c r="P15605" s="3337"/>
    </row>
    <row r="15606" spans="7:16" s="1634" customFormat="1">
      <c r="G15606" s="3336"/>
      <c r="P15606" s="3337"/>
    </row>
    <row r="15607" spans="7:16" s="1634" customFormat="1">
      <c r="G15607" s="3336"/>
      <c r="P15607" s="3337"/>
    </row>
    <row r="15608" spans="7:16" s="1634" customFormat="1">
      <c r="G15608" s="3336"/>
      <c r="P15608" s="3337"/>
    </row>
    <row r="15609" spans="7:16" s="1634" customFormat="1">
      <c r="G15609" s="3336"/>
      <c r="P15609" s="3337"/>
    </row>
    <row r="15610" spans="7:16" s="1634" customFormat="1">
      <c r="G15610" s="3336"/>
      <c r="P15610" s="3337"/>
    </row>
    <row r="15611" spans="7:16" s="1634" customFormat="1">
      <c r="G15611" s="3336"/>
      <c r="P15611" s="3337"/>
    </row>
    <row r="15612" spans="7:16" s="1634" customFormat="1">
      <c r="G15612" s="3336"/>
      <c r="P15612" s="3337"/>
    </row>
    <row r="15613" spans="7:16" s="1634" customFormat="1">
      <c r="G15613" s="3336"/>
      <c r="P15613" s="3337"/>
    </row>
    <row r="15614" spans="7:16" s="1634" customFormat="1">
      <c r="G15614" s="3336"/>
      <c r="P15614" s="3337"/>
    </row>
    <row r="15615" spans="7:16" s="1634" customFormat="1">
      <c r="G15615" s="3336"/>
      <c r="P15615" s="3337"/>
    </row>
    <row r="15616" spans="7:16" s="1634" customFormat="1">
      <c r="G15616" s="3336"/>
      <c r="P15616" s="3337"/>
    </row>
    <row r="15617" spans="7:16" s="1634" customFormat="1">
      <c r="G15617" s="3336"/>
      <c r="P15617" s="3337"/>
    </row>
    <row r="15618" spans="7:16" s="1634" customFormat="1">
      <c r="G15618" s="3336"/>
      <c r="P15618" s="3337"/>
    </row>
    <row r="15619" spans="7:16" s="1634" customFormat="1">
      <c r="G15619" s="3336"/>
      <c r="P15619" s="3337"/>
    </row>
    <row r="15620" spans="7:16" s="1634" customFormat="1">
      <c r="G15620" s="3336"/>
      <c r="P15620" s="3337"/>
    </row>
    <row r="15621" spans="7:16" s="1634" customFormat="1">
      <c r="G15621" s="3336"/>
      <c r="P15621" s="3337"/>
    </row>
    <row r="15622" spans="7:16" s="1634" customFormat="1">
      <c r="G15622" s="3336"/>
      <c r="P15622" s="3337"/>
    </row>
    <row r="15623" spans="7:16" s="1634" customFormat="1">
      <c r="G15623" s="3336"/>
      <c r="P15623" s="3337"/>
    </row>
    <row r="15624" spans="7:16" s="1634" customFormat="1">
      <c r="G15624" s="3336"/>
      <c r="P15624" s="3337"/>
    </row>
    <row r="15625" spans="7:16" s="1634" customFormat="1">
      <c r="G15625" s="3336"/>
      <c r="P15625" s="3337"/>
    </row>
    <row r="15626" spans="7:16" s="1634" customFormat="1">
      <c r="G15626" s="3336"/>
      <c r="P15626" s="3337"/>
    </row>
    <row r="15627" spans="7:16" s="1634" customFormat="1">
      <c r="G15627" s="3336"/>
      <c r="P15627" s="3337"/>
    </row>
    <row r="15628" spans="7:16" s="1634" customFormat="1">
      <c r="G15628" s="3336"/>
      <c r="P15628" s="3337"/>
    </row>
    <row r="15629" spans="7:16" s="1634" customFormat="1">
      <c r="G15629" s="3336"/>
      <c r="P15629" s="3337"/>
    </row>
    <row r="15630" spans="7:16" s="1634" customFormat="1">
      <c r="G15630" s="3336"/>
      <c r="P15630" s="3337"/>
    </row>
    <row r="15631" spans="7:16" s="1634" customFormat="1">
      <c r="G15631" s="3336"/>
      <c r="P15631" s="3337"/>
    </row>
    <row r="15632" spans="7:16" s="1634" customFormat="1">
      <c r="G15632" s="3336"/>
      <c r="P15632" s="3337"/>
    </row>
    <row r="15633" spans="7:16" s="1634" customFormat="1">
      <c r="G15633" s="3336"/>
      <c r="P15633" s="3337"/>
    </row>
    <row r="15634" spans="7:16" s="1634" customFormat="1">
      <c r="G15634" s="3336"/>
      <c r="P15634" s="3337"/>
    </row>
    <row r="15635" spans="7:16" s="1634" customFormat="1">
      <c r="G15635" s="3336"/>
      <c r="P15635" s="3337"/>
    </row>
    <row r="15636" spans="7:16" s="1634" customFormat="1">
      <c r="G15636" s="3336"/>
      <c r="P15636" s="3337"/>
    </row>
    <row r="15637" spans="7:16" s="1634" customFormat="1">
      <c r="G15637" s="3336"/>
      <c r="P15637" s="3337"/>
    </row>
    <row r="15638" spans="7:16" s="1634" customFormat="1">
      <c r="G15638" s="3336"/>
      <c r="P15638" s="3337"/>
    </row>
    <row r="15639" spans="7:16" s="1634" customFormat="1">
      <c r="G15639" s="3336"/>
      <c r="P15639" s="3337"/>
    </row>
    <row r="15640" spans="7:16" s="1634" customFormat="1">
      <c r="G15640" s="3336"/>
      <c r="P15640" s="3337"/>
    </row>
    <row r="15641" spans="7:16" s="1634" customFormat="1">
      <c r="G15641" s="3336"/>
      <c r="P15641" s="3337"/>
    </row>
    <row r="15642" spans="7:16" s="1634" customFormat="1">
      <c r="G15642" s="3336"/>
      <c r="P15642" s="3337"/>
    </row>
    <row r="15643" spans="7:16" s="1634" customFormat="1">
      <c r="G15643" s="3336"/>
      <c r="P15643" s="3337"/>
    </row>
    <row r="15644" spans="7:16" s="1634" customFormat="1">
      <c r="G15644" s="3336"/>
      <c r="P15644" s="3337"/>
    </row>
    <row r="15645" spans="7:16" s="1634" customFormat="1">
      <c r="G15645" s="3336"/>
      <c r="P15645" s="3337"/>
    </row>
    <row r="15646" spans="7:16" s="1634" customFormat="1">
      <c r="G15646" s="3336"/>
      <c r="P15646" s="3337"/>
    </row>
    <row r="15647" spans="7:16" s="1634" customFormat="1">
      <c r="G15647" s="3336"/>
      <c r="P15647" s="3337"/>
    </row>
    <row r="15648" spans="7:16" s="1634" customFormat="1">
      <c r="G15648" s="3336"/>
      <c r="P15648" s="3337"/>
    </row>
    <row r="15649" spans="7:16" s="1634" customFormat="1">
      <c r="G15649" s="3336"/>
      <c r="P15649" s="3337"/>
    </row>
    <row r="15650" spans="7:16" s="1634" customFormat="1">
      <c r="G15650" s="3336"/>
      <c r="P15650" s="3337"/>
    </row>
    <row r="15651" spans="7:16" s="1634" customFormat="1">
      <c r="G15651" s="3336"/>
      <c r="P15651" s="3337"/>
    </row>
    <row r="15652" spans="7:16" s="1634" customFormat="1">
      <c r="G15652" s="3336"/>
      <c r="P15652" s="3337"/>
    </row>
    <row r="15653" spans="7:16" s="1634" customFormat="1">
      <c r="G15653" s="3336"/>
      <c r="P15653" s="3337"/>
    </row>
    <row r="15654" spans="7:16" s="1634" customFormat="1">
      <c r="G15654" s="3336"/>
      <c r="P15654" s="3337"/>
    </row>
    <row r="15655" spans="7:16" s="1634" customFormat="1">
      <c r="G15655" s="3336"/>
      <c r="P15655" s="3337"/>
    </row>
    <row r="15656" spans="7:16" s="1634" customFormat="1">
      <c r="G15656" s="3336"/>
      <c r="P15656" s="3337"/>
    </row>
    <row r="15657" spans="7:16" s="1634" customFormat="1">
      <c r="G15657" s="3336"/>
      <c r="P15657" s="3337"/>
    </row>
    <row r="15658" spans="7:16" s="1634" customFormat="1">
      <c r="G15658" s="3336"/>
      <c r="P15658" s="3337"/>
    </row>
    <row r="15659" spans="7:16" s="1634" customFormat="1">
      <c r="G15659" s="3336"/>
      <c r="P15659" s="3337"/>
    </row>
    <row r="15660" spans="7:16" s="1634" customFormat="1">
      <c r="G15660" s="3336"/>
      <c r="P15660" s="3337"/>
    </row>
    <row r="15661" spans="7:16" s="1634" customFormat="1">
      <c r="G15661" s="3336"/>
      <c r="P15661" s="3337"/>
    </row>
    <row r="15662" spans="7:16" s="1634" customFormat="1">
      <c r="G15662" s="3336"/>
      <c r="P15662" s="3337"/>
    </row>
    <row r="15663" spans="7:16" s="1634" customFormat="1">
      <c r="G15663" s="3336"/>
      <c r="P15663" s="3337"/>
    </row>
    <row r="15664" spans="7:16" s="1634" customFormat="1">
      <c r="G15664" s="3336"/>
      <c r="P15664" s="3337"/>
    </row>
    <row r="15665" spans="7:16" s="1634" customFormat="1">
      <c r="G15665" s="3336"/>
      <c r="P15665" s="3337"/>
    </row>
    <row r="15666" spans="7:16" s="1634" customFormat="1">
      <c r="G15666" s="3336"/>
      <c r="P15666" s="3337"/>
    </row>
    <row r="15667" spans="7:16" s="1634" customFormat="1">
      <c r="G15667" s="3336"/>
      <c r="P15667" s="3337"/>
    </row>
    <row r="15668" spans="7:16" s="1634" customFormat="1">
      <c r="G15668" s="3336"/>
      <c r="P15668" s="3337"/>
    </row>
    <row r="15669" spans="7:16" s="1634" customFormat="1">
      <c r="G15669" s="3336"/>
      <c r="P15669" s="3337"/>
    </row>
    <row r="15670" spans="7:16" s="1634" customFormat="1">
      <c r="G15670" s="3336"/>
      <c r="P15670" s="3337"/>
    </row>
    <row r="15671" spans="7:16" s="1634" customFormat="1">
      <c r="G15671" s="3336"/>
      <c r="P15671" s="3337"/>
    </row>
    <row r="15672" spans="7:16" s="1634" customFormat="1">
      <c r="G15672" s="3336"/>
      <c r="P15672" s="3337"/>
    </row>
    <row r="15673" spans="7:16" s="1634" customFormat="1">
      <c r="G15673" s="3336"/>
      <c r="P15673" s="3337"/>
    </row>
    <row r="15674" spans="7:16" s="1634" customFormat="1">
      <c r="G15674" s="3336"/>
      <c r="P15674" s="3337"/>
    </row>
    <row r="15675" spans="7:16" s="1634" customFormat="1">
      <c r="G15675" s="3336"/>
      <c r="P15675" s="3337"/>
    </row>
    <row r="15676" spans="7:16" s="1634" customFormat="1">
      <c r="G15676" s="3336"/>
      <c r="P15676" s="3337"/>
    </row>
    <row r="15677" spans="7:16" s="1634" customFormat="1">
      <c r="G15677" s="3336"/>
      <c r="P15677" s="3337"/>
    </row>
    <row r="15678" spans="7:16" s="1634" customFormat="1">
      <c r="G15678" s="3336"/>
      <c r="P15678" s="3337"/>
    </row>
    <row r="15679" spans="7:16" s="1634" customFormat="1">
      <c r="G15679" s="3336"/>
      <c r="P15679" s="3337"/>
    </row>
    <row r="15680" spans="7:16" s="1634" customFormat="1">
      <c r="G15680" s="3336"/>
      <c r="P15680" s="3337"/>
    </row>
    <row r="15681" spans="7:16" s="1634" customFormat="1">
      <c r="G15681" s="3336"/>
      <c r="P15681" s="3337"/>
    </row>
    <row r="15682" spans="7:16" s="1634" customFormat="1">
      <c r="G15682" s="3336"/>
      <c r="P15682" s="3337"/>
    </row>
    <row r="15683" spans="7:16" s="1634" customFormat="1">
      <c r="G15683" s="3336"/>
      <c r="P15683" s="3337"/>
    </row>
    <row r="15684" spans="7:16" s="1634" customFormat="1">
      <c r="G15684" s="3336"/>
      <c r="P15684" s="3337"/>
    </row>
    <row r="15685" spans="7:16" s="1634" customFormat="1">
      <c r="G15685" s="3336"/>
      <c r="P15685" s="3337"/>
    </row>
    <row r="15686" spans="7:16" s="1634" customFormat="1">
      <c r="G15686" s="3336"/>
      <c r="P15686" s="3337"/>
    </row>
    <row r="15687" spans="7:16" s="1634" customFormat="1">
      <c r="G15687" s="3336"/>
      <c r="P15687" s="3337"/>
    </row>
    <row r="15688" spans="7:16" s="1634" customFormat="1">
      <c r="G15688" s="3336"/>
      <c r="P15688" s="3337"/>
    </row>
    <row r="15689" spans="7:16" s="1634" customFormat="1">
      <c r="G15689" s="3336"/>
      <c r="P15689" s="3337"/>
    </row>
    <row r="15690" spans="7:16" s="1634" customFormat="1">
      <c r="G15690" s="3336"/>
      <c r="P15690" s="3337"/>
    </row>
    <row r="15691" spans="7:16" s="1634" customFormat="1">
      <c r="G15691" s="3336"/>
      <c r="P15691" s="3337"/>
    </row>
    <row r="15692" spans="7:16" s="1634" customFormat="1">
      <c r="G15692" s="3336"/>
      <c r="P15692" s="3337"/>
    </row>
    <row r="15693" spans="7:16" s="1634" customFormat="1">
      <c r="G15693" s="3336"/>
      <c r="P15693" s="3337"/>
    </row>
    <row r="15694" spans="7:16" s="1634" customFormat="1">
      <c r="G15694" s="3336"/>
      <c r="P15694" s="3337"/>
    </row>
    <row r="15695" spans="7:16" s="1634" customFormat="1">
      <c r="G15695" s="3336"/>
      <c r="P15695" s="3337"/>
    </row>
    <row r="15696" spans="7:16" s="1634" customFormat="1">
      <c r="G15696" s="3336"/>
      <c r="P15696" s="3337"/>
    </row>
    <row r="15697" spans="7:16" s="1634" customFormat="1">
      <c r="G15697" s="3336"/>
      <c r="P15697" s="3337"/>
    </row>
    <row r="15698" spans="7:16" s="1634" customFormat="1">
      <c r="G15698" s="3336"/>
      <c r="P15698" s="3337"/>
    </row>
    <row r="15699" spans="7:16" s="1634" customFormat="1">
      <c r="G15699" s="3336"/>
      <c r="P15699" s="3337"/>
    </row>
    <row r="15700" spans="7:16" s="1634" customFormat="1">
      <c r="G15700" s="3336"/>
      <c r="P15700" s="3337"/>
    </row>
    <row r="15701" spans="7:16" s="1634" customFormat="1">
      <c r="G15701" s="3336"/>
      <c r="P15701" s="3337"/>
    </row>
    <row r="15702" spans="7:16" s="1634" customFormat="1">
      <c r="G15702" s="3336"/>
      <c r="P15702" s="3337"/>
    </row>
    <row r="15703" spans="7:16" s="1634" customFormat="1">
      <c r="G15703" s="3336"/>
      <c r="P15703" s="3337"/>
    </row>
    <row r="15704" spans="7:16" s="1634" customFormat="1">
      <c r="G15704" s="3336"/>
      <c r="P15704" s="3337"/>
    </row>
    <row r="15705" spans="7:16" s="1634" customFormat="1">
      <c r="G15705" s="3336"/>
      <c r="P15705" s="3337"/>
    </row>
    <row r="15706" spans="7:16" s="1634" customFormat="1">
      <c r="G15706" s="3336"/>
      <c r="P15706" s="3337"/>
    </row>
    <row r="15707" spans="7:16" s="1634" customFormat="1">
      <c r="G15707" s="3336"/>
      <c r="P15707" s="3337"/>
    </row>
    <row r="15708" spans="7:16" s="1634" customFormat="1">
      <c r="G15708" s="3336"/>
      <c r="P15708" s="3337"/>
    </row>
    <row r="15709" spans="7:16" s="1634" customFormat="1">
      <c r="G15709" s="3336"/>
      <c r="P15709" s="3337"/>
    </row>
    <row r="15710" spans="7:16" s="1634" customFormat="1">
      <c r="G15710" s="3336"/>
      <c r="P15710" s="3337"/>
    </row>
    <row r="15711" spans="7:16" s="1634" customFormat="1">
      <c r="G15711" s="3336"/>
      <c r="P15711" s="3337"/>
    </row>
    <row r="15712" spans="7:16" s="1634" customFormat="1">
      <c r="G15712" s="3336"/>
      <c r="P15712" s="3337"/>
    </row>
    <row r="15713" spans="7:16" s="1634" customFormat="1">
      <c r="G15713" s="3336"/>
      <c r="P15713" s="3337"/>
    </row>
    <row r="15714" spans="7:16" s="1634" customFormat="1">
      <c r="G15714" s="3336"/>
      <c r="P15714" s="3337"/>
    </row>
    <row r="15715" spans="7:16" s="1634" customFormat="1">
      <c r="G15715" s="3336"/>
      <c r="P15715" s="3337"/>
    </row>
    <row r="15716" spans="7:16" s="1634" customFormat="1">
      <c r="G15716" s="3336"/>
      <c r="P15716" s="3337"/>
    </row>
    <row r="15717" spans="7:16" s="1634" customFormat="1">
      <c r="G15717" s="3336"/>
      <c r="P15717" s="3337"/>
    </row>
    <row r="15718" spans="7:16" s="1634" customFormat="1">
      <c r="G15718" s="3336"/>
      <c r="P15718" s="3337"/>
    </row>
    <row r="15719" spans="7:16" s="1634" customFormat="1">
      <c r="G15719" s="3336"/>
      <c r="P15719" s="3337"/>
    </row>
    <row r="15720" spans="7:16" s="1634" customFormat="1">
      <c r="G15720" s="3336"/>
      <c r="P15720" s="3337"/>
    </row>
    <row r="15721" spans="7:16" s="1634" customFormat="1">
      <c r="G15721" s="3336"/>
      <c r="P15721" s="3337"/>
    </row>
    <row r="15722" spans="7:16" s="1634" customFormat="1">
      <c r="G15722" s="3336"/>
      <c r="P15722" s="3337"/>
    </row>
    <row r="15723" spans="7:16" s="1634" customFormat="1">
      <c r="G15723" s="3336"/>
      <c r="P15723" s="3337"/>
    </row>
    <row r="15724" spans="7:16" s="1634" customFormat="1">
      <c r="G15724" s="3336"/>
      <c r="P15724" s="3337"/>
    </row>
    <row r="15725" spans="7:16" s="1634" customFormat="1">
      <c r="G15725" s="3336"/>
      <c r="P15725" s="3337"/>
    </row>
    <row r="15726" spans="7:16" s="1634" customFormat="1">
      <c r="G15726" s="3336"/>
      <c r="P15726" s="3337"/>
    </row>
    <row r="15727" spans="7:16" s="1634" customFormat="1">
      <c r="G15727" s="3336"/>
      <c r="P15727" s="3337"/>
    </row>
    <row r="15728" spans="7:16" s="1634" customFormat="1">
      <c r="G15728" s="3336"/>
      <c r="P15728" s="3337"/>
    </row>
    <row r="15729" spans="7:16" s="1634" customFormat="1">
      <c r="G15729" s="3336"/>
      <c r="P15729" s="3337"/>
    </row>
    <row r="15730" spans="7:16" s="1634" customFormat="1">
      <c r="G15730" s="3336"/>
      <c r="P15730" s="3337"/>
    </row>
    <row r="15731" spans="7:16" s="1634" customFormat="1">
      <c r="G15731" s="3336"/>
      <c r="P15731" s="3337"/>
    </row>
    <row r="15732" spans="7:16" s="1634" customFormat="1">
      <c r="G15732" s="3336"/>
      <c r="P15732" s="3337"/>
    </row>
    <row r="15733" spans="7:16" s="1634" customFormat="1">
      <c r="G15733" s="3336"/>
      <c r="P15733" s="3337"/>
    </row>
    <row r="15734" spans="7:16" s="1634" customFormat="1">
      <c r="G15734" s="3336"/>
      <c r="P15734" s="3337"/>
    </row>
    <row r="15735" spans="7:16" s="1634" customFormat="1">
      <c r="G15735" s="3336"/>
      <c r="P15735" s="3337"/>
    </row>
    <row r="15736" spans="7:16" s="1634" customFormat="1">
      <c r="G15736" s="3336"/>
      <c r="P15736" s="3337"/>
    </row>
    <row r="15737" spans="7:16" s="1634" customFormat="1">
      <c r="G15737" s="3336"/>
      <c r="P15737" s="3337"/>
    </row>
    <row r="15738" spans="7:16" s="1634" customFormat="1">
      <c r="G15738" s="3336"/>
      <c r="P15738" s="3337"/>
    </row>
    <row r="15739" spans="7:16" s="1634" customFormat="1">
      <c r="G15739" s="3336"/>
      <c r="P15739" s="3337"/>
    </row>
    <row r="15740" spans="7:16" s="1634" customFormat="1">
      <c r="G15740" s="3336"/>
      <c r="P15740" s="3337"/>
    </row>
    <row r="15741" spans="7:16" s="1634" customFormat="1">
      <c r="G15741" s="3336"/>
      <c r="P15741" s="3337"/>
    </row>
    <row r="15742" spans="7:16" s="1634" customFormat="1">
      <c r="G15742" s="3336"/>
      <c r="P15742" s="3337"/>
    </row>
    <row r="15743" spans="7:16" s="1634" customFormat="1">
      <c r="G15743" s="3336"/>
      <c r="P15743" s="3337"/>
    </row>
    <row r="15744" spans="7:16" s="1634" customFormat="1">
      <c r="G15744" s="3336"/>
      <c r="P15744" s="3337"/>
    </row>
    <row r="15745" spans="7:16" s="1634" customFormat="1">
      <c r="G15745" s="3336"/>
      <c r="P15745" s="3337"/>
    </row>
    <row r="15746" spans="7:16" s="1634" customFormat="1">
      <c r="G15746" s="3336"/>
      <c r="P15746" s="3337"/>
    </row>
    <row r="15747" spans="7:16" s="1634" customFormat="1">
      <c r="G15747" s="3336"/>
      <c r="P15747" s="3337"/>
    </row>
    <row r="15748" spans="7:16" s="1634" customFormat="1">
      <c r="G15748" s="3336"/>
      <c r="P15748" s="3337"/>
    </row>
    <row r="15749" spans="7:16" s="1634" customFormat="1">
      <c r="G15749" s="3336"/>
      <c r="P15749" s="3337"/>
    </row>
    <row r="15750" spans="7:16" s="1634" customFormat="1">
      <c r="G15750" s="3336"/>
      <c r="P15750" s="3337"/>
    </row>
    <row r="15751" spans="7:16" s="1634" customFormat="1">
      <c r="G15751" s="3336"/>
      <c r="P15751" s="3337"/>
    </row>
    <row r="15752" spans="7:16" s="1634" customFormat="1">
      <c r="G15752" s="3336"/>
      <c r="P15752" s="3337"/>
    </row>
    <row r="15753" spans="7:16" s="1634" customFormat="1">
      <c r="G15753" s="3336"/>
      <c r="P15753" s="3337"/>
    </row>
    <row r="15754" spans="7:16" s="1634" customFormat="1">
      <c r="G15754" s="3336"/>
      <c r="P15754" s="3337"/>
    </row>
    <row r="15755" spans="7:16" s="1634" customFormat="1">
      <c r="G15755" s="3336"/>
      <c r="P15755" s="3337"/>
    </row>
    <row r="15756" spans="7:16" s="1634" customFormat="1">
      <c r="G15756" s="3336"/>
      <c r="P15756" s="3337"/>
    </row>
    <row r="15757" spans="7:16" s="1634" customFormat="1">
      <c r="G15757" s="3336"/>
      <c r="P15757" s="3337"/>
    </row>
    <row r="15758" spans="7:16" s="1634" customFormat="1">
      <c r="G15758" s="3336"/>
      <c r="P15758" s="3337"/>
    </row>
    <row r="15759" spans="7:16" s="1634" customFormat="1">
      <c r="G15759" s="3336"/>
      <c r="P15759" s="3337"/>
    </row>
    <row r="15760" spans="7:16" s="1634" customFormat="1">
      <c r="G15760" s="3336"/>
      <c r="P15760" s="3337"/>
    </row>
    <row r="15761" spans="7:16" s="1634" customFormat="1">
      <c r="G15761" s="3336"/>
      <c r="P15761" s="3337"/>
    </row>
    <row r="15762" spans="7:16" s="1634" customFormat="1">
      <c r="G15762" s="3336"/>
      <c r="P15762" s="3337"/>
    </row>
    <row r="15763" spans="7:16" s="1634" customFormat="1">
      <c r="G15763" s="3336"/>
      <c r="P15763" s="3337"/>
    </row>
    <row r="15764" spans="7:16" s="1634" customFormat="1">
      <c r="G15764" s="3336"/>
      <c r="P15764" s="3337"/>
    </row>
    <row r="15765" spans="7:16" s="1634" customFormat="1">
      <c r="G15765" s="3336"/>
      <c r="P15765" s="3337"/>
    </row>
    <row r="15766" spans="7:16" s="1634" customFormat="1">
      <c r="G15766" s="3336"/>
      <c r="P15766" s="3337"/>
    </row>
    <row r="15767" spans="7:16" s="1634" customFormat="1">
      <c r="G15767" s="3336"/>
      <c r="P15767" s="3337"/>
    </row>
    <row r="15768" spans="7:16" s="1634" customFormat="1">
      <c r="G15768" s="3336"/>
      <c r="P15768" s="3337"/>
    </row>
    <row r="15769" spans="7:16" s="1634" customFormat="1">
      <c r="G15769" s="3336"/>
      <c r="P15769" s="3337"/>
    </row>
    <row r="15770" spans="7:16" s="1634" customFormat="1">
      <c r="G15770" s="3336"/>
      <c r="P15770" s="3337"/>
    </row>
    <row r="15771" spans="7:16" s="1634" customFormat="1">
      <c r="G15771" s="3336"/>
      <c r="P15771" s="3337"/>
    </row>
    <row r="15772" spans="7:16" s="1634" customFormat="1">
      <c r="G15772" s="3336"/>
      <c r="P15772" s="3337"/>
    </row>
    <row r="15773" spans="7:16" s="1634" customFormat="1">
      <c r="G15773" s="3336"/>
      <c r="P15773" s="3337"/>
    </row>
    <row r="15774" spans="7:16" s="1634" customFormat="1">
      <c r="G15774" s="3336"/>
      <c r="P15774" s="3337"/>
    </row>
    <row r="15775" spans="7:16" s="1634" customFormat="1">
      <c r="G15775" s="3336"/>
      <c r="P15775" s="3337"/>
    </row>
    <row r="15776" spans="7:16" s="1634" customFormat="1">
      <c r="G15776" s="3336"/>
      <c r="P15776" s="3337"/>
    </row>
    <row r="15777" spans="7:16" s="1634" customFormat="1">
      <c r="G15777" s="3336"/>
      <c r="P15777" s="3337"/>
    </row>
    <row r="15778" spans="7:16" s="1634" customFormat="1">
      <c r="G15778" s="3336"/>
      <c r="P15778" s="3337"/>
    </row>
    <row r="15779" spans="7:16" s="1634" customFormat="1">
      <c r="G15779" s="3336"/>
      <c r="P15779" s="3337"/>
    </row>
    <row r="15780" spans="7:16" s="1634" customFormat="1">
      <c r="G15780" s="3336"/>
      <c r="P15780" s="3337"/>
    </row>
    <row r="15781" spans="7:16" s="1634" customFormat="1">
      <c r="G15781" s="3336"/>
      <c r="P15781" s="3337"/>
    </row>
    <row r="15782" spans="7:16" s="1634" customFormat="1">
      <c r="G15782" s="3336"/>
      <c r="P15782" s="3337"/>
    </row>
    <row r="15783" spans="7:16" s="1634" customFormat="1">
      <c r="G15783" s="3336"/>
      <c r="P15783" s="3337"/>
    </row>
    <row r="15784" spans="7:16" s="1634" customFormat="1">
      <c r="G15784" s="3336"/>
      <c r="P15784" s="3337"/>
    </row>
    <row r="15785" spans="7:16" s="1634" customFormat="1">
      <c r="G15785" s="3336"/>
      <c r="P15785" s="3337"/>
    </row>
    <row r="15786" spans="7:16" s="1634" customFormat="1">
      <c r="G15786" s="3336"/>
      <c r="P15786" s="3337"/>
    </row>
    <row r="15787" spans="7:16" s="1634" customFormat="1">
      <c r="G15787" s="3336"/>
      <c r="P15787" s="3337"/>
    </row>
    <row r="15788" spans="7:16" s="1634" customFormat="1">
      <c r="G15788" s="3336"/>
      <c r="P15788" s="3337"/>
    </row>
    <row r="15789" spans="7:16" s="1634" customFormat="1">
      <c r="G15789" s="3336"/>
      <c r="P15789" s="3337"/>
    </row>
    <row r="15790" spans="7:16" s="1634" customFormat="1">
      <c r="G15790" s="3336"/>
      <c r="P15790" s="3337"/>
    </row>
    <row r="15791" spans="7:16" s="1634" customFormat="1">
      <c r="G15791" s="3336"/>
      <c r="P15791" s="3337"/>
    </row>
    <row r="15792" spans="7:16" s="1634" customFormat="1">
      <c r="G15792" s="3336"/>
      <c r="P15792" s="3337"/>
    </row>
    <row r="15793" spans="7:16" s="1634" customFormat="1">
      <c r="G15793" s="3336"/>
      <c r="P15793" s="3337"/>
    </row>
    <row r="15794" spans="7:16" s="1634" customFormat="1">
      <c r="G15794" s="3336"/>
      <c r="P15794" s="3337"/>
    </row>
    <row r="15795" spans="7:16" s="1634" customFormat="1">
      <c r="G15795" s="3336"/>
      <c r="P15795" s="3337"/>
    </row>
    <row r="15796" spans="7:16" s="1634" customFormat="1">
      <c r="G15796" s="3336"/>
      <c r="P15796" s="3337"/>
    </row>
    <row r="15797" spans="7:16" s="1634" customFormat="1">
      <c r="G15797" s="3336"/>
      <c r="P15797" s="3337"/>
    </row>
    <row r="15798" spans="7:16" s="1634" customFormat="1">
      <c r="G15798" s="3336"/>
      <c r="P15798" s="3337"/>
    </row>
    <row r="15799" spans="7:16" s="1634" customFormat="1">
      <c r="G15799" s="3336"/>
      <c r="P15799" s="3337"/>
    </row>
    <row r="15800" spans="7:16" s="1634" customFormat="1">
      <c r="G15800" s="3336"/>
      <c r="P15800" s="3337"/>
    </row>
    <row r="15801" spans="7:16" s="1634" customFormat="1">
      <c r="G15801" s="3336"/>
      <c r="P15801" s="3337"/>
    </row>
    <row r="15802" spans="7:16" s="1634" customFormat="1">
      <c r="G15802" s="3336"/>
      <c r="P15802" s="3337"/>
    </row>
    <row r="15803" spans="7:16" s="1634" customFormat="1">
      <c r="G15803" s="3336"/>
      <c r="P15803" s="3337"/>
    </row>
    <row r="15804" spans="7:16" s="1634" customFormat="1">
      <c r="G15804" s="3336"/>
      <c r="P15804" s="3337"/>
    </row>
    <row r="15805" spans="7:16" s="1634" customFormat="1">
      <c r="G15805" s="3336"/>
      <c r="P15805" s="3337"/>
    </row>
    <row r="15806" spans="7:16" s="1634" customFormat="1">
      <c r="G15806" s="3336"/>
      <c r="P15806" s="3337"/>
    </row>
    <row r="15807" spans="7:16" s="1634" customFormat="1">
      <c r="G15807" s="3336"/>
      <c r="P15807" s="3337"/>
    </row>
    <row r="15808" spans="7:16" s="1634" customFormat="1">
      <c r="G15808" s="3336"/>
      <c r="P15808" s="3337"/>
    </row>
    <row r="15809" spans="7:16" s="1634" customFormat="1">
      <c r="G15809" s="3336"/>
      <c r="P15809" s="3337"/>
    </row>
    <row r="15810" spans="7:16" s="1634" customFormat="1">
      <c r="G15810" s="3336"/>
      <c r="P15810" s="3337"/>
    </row>
    <row r="15811" spans="7:16" s="1634" customFormat="1">
      <c r="G15811" s="3336"/>
      <c r="P15811" s="3337"/>
    </row>
    <row r="15812" spans="7:16" s="1634" customFormat="1">
      <c r="G15812" s="3336"/>
      <c r="P15812" s="3337"/>
    </row>
    <row r="15813" spans="7:16" s="1634" customFormat="1">
      <c r="G15813" s="3336"/>
      <c r="P15813" s="3337"/>
    </row>
    <row r="15814" spans="7:16" s="1634" customFormat="1">
      <c r="G15814" s="3336"/>
      <c r="P15814" s="3337"/>
    </row>
    <row r="15815" spans="7:16" s="1634" customFormat="1">
      <c r="G15815" s="3336"/>
      <c r="P15815" s="3337"/>
    </row>
    <row r="15816" spans="7:16" s="1634" customFormat="1">
      <c r="G15816" s="3336"/>
      <c r="P15816" s="3337"/>
    </row>
    <row r="15817" spans="7:16" s="1634" customFormat="1">
      <c r="G15817" s="3336"/>
      <c r="P15817" s="3337"/>
    </row>
    <row r="15818" spans="7:16" s="1634" customFormat="1">
      <c r="G15818" s="3336"/>
      <c r="P15818" s="3337"/>
    </row>
    <row r="15819" spans="7:16" s="1634" customFormat="1">
      <c r="G15819" s="3336"/>
      <c r="P15819" s="3337"/>
    </row>
    <row r="15820" spans="7:16" s="1634" customFormat="1">
      <c r="G15820" s="3336"/>
      <c r="P15820" s="3337"/>
    </row>
    <row r="15821" spans="7:16" s="1634" customFormat="1">
      <c r="G15821" s="3336"/>
      <c r="P15821" s="3337"/>
    </row>
    <row r="15822" spans="7:16" s="1634" customFormat="1">
      <c r="G15822" s="3336"/>
      <c r="P15822" s="3337"/>
    </row>
    <row r="15823" spans="7:16" s="1634" customFormat="1">
      <c r="G15823" s="3336"/>
      <c r="P15823" s="3337"/>
    </row>
    <row r="15824" spans="7:16" s="1634" customFormat="1">
      <c r="G15824" s="3336"/>
      <c r="P15824" s="3337"/>
    </row>
    <row r="15825" spans="7:16" s="1634" customFormat="1">
      <c r="G15825" s="3336"/>
      <c r="P15825" s="3337"/>
    </row>
    <row r="15826" spans="7:16" s="1634" customFormat="1">
      <c r="G15826" s="3336"/>
      <c r="P15826" s="3337"/>
    </row>
    <row r="15827" spans="7:16" s="1634" customFormat="1">
      <c r="G15827" s="3336"/>
      <c r="P15827" s="3337"/>
    </row>
    <row r="15828" spans="7:16" s="1634" customFormat="1">
      <c r="G15828" s="3336"/>
      <c r="P15828" s="3337"/>
    </row>
    <row r="15829" spans="7:16" s="1634" customFormat="1">
      <c r="G15829" s="3336"/>
      <c r="P15829" s="3337"/>
    </row>
    <row r="15830" spans="7:16" s="1634" customFormat="1">
      <c r="G15830" s="3336"/>
      <c r="P15830" s="3337"/>
    </row>
    <row r="15831" spans="7:16" s="1634" customFormat="1">
      <c r="G15831" s="3336"/>
      <c r="P15831" s="3337"/>
    </row>
    <row r="15832" spans="7:16" s="1634" customFormat="1">
      <c r="G15832" s="3336"/>
      <c r="P15832" s="3337"/>
    </row>
    <row r="15833" spans="7:16" s="1634" customFormat="1">
      <c r="G15833" s="3336"/>
      <c r="P15833" s="3337"/>
    </row>
    <row r="15834" spans="7:16" s="1634" customFormat="1">
      <c r="G15834" s="3336"/>
      <c r="P15834" s="3337"/>
    </row>
    <row r="15835" spans="7:16" s="1634" customFormat="1">
      <c r="G15835" s="3336"/>
      <c r="P15835" s="3337"/>
    </row>
    <row r="15836" spans="7:16" s="1634" customFormat="1">
      <c r="G15836" s="3336"/>
      <c r="P15836" s="3337"/>
    </row>
    <row r="15837" spans="7:16" s="1634" customFormat="1">
      <c r="G15837" s="3336"/>
      <c r="P15837" s="3337"/>
    </row>
    <row r="15838" spans="7:16" s="1634" customFormat="1">
      <c r="G15838" s="3336"/>
      <c r="P15838" s="3337"/>
    </row>
    <row r="15839" spans="7:16" s="1634" customFormat="1">
      <c r="G15839" s="3336"/>
      <c r="P15839" s="3337"/>
    </row>
    <row r="15840" spans="7:16" s="1634" customFormat="1">
      <c r="G15840" s="3336"/>
      <c r="P15840" s="3337"/>
    </row>
    <row r="15841" spans="7:16" s="1634" customFormat="1">
      <c r="G15841" s="3336"/>
      <c r="P15841" s="3337"/>
    </row>
    <row r="15842" spans="7:16" s="1634" customFormat="1">
      <c r="G15842" s="3336"/>
      <c r="P15842" s="3337"/>
    </row>
    <row r="15843" spans="7:16" s="1634" customFormat="1">
      <c r="G15843" s="3336"/>
      <c r="P15843" s="3337"/>
    </row>
    <row r="15844" spans="7:16" s="1634" customFormat="1">
      <c r="G15844" s="3336"/>
      <c r="P15844" s="3337"/>
    </row>
    <row r="15845" spans="7:16" s="1634" customFormat="1">
      <c r="G15845" s="3336"/>
      <c r="P15845" s="3337"/>
    </row>
    <row r="15846" spans="7:16" s="1634" customFormat="1">
      <c r="G15846" s="3336"/>
      <c r="P15846" s="3337"/>
    </row>
    <row r="15847" spans="7:16" s="1634" customFormat="1">
      <c r="G15847" s="3336"/>
      <c r="P15847" s="3337"/>
    </row>
    <row r="15848" spans="7:16" s="1634" customFormat="1">
      <c r="G15848" s="3336"/>
      <c r="P15848" s="3337"/>
    </row>
    <row r="15849" spans="7:16" s="1634" customFormat="1">
      <c r="G15849" s="3336"/>
      <c r="P15849" s="3337"/>
    </row>
    <row r="15850" spans="7:16" s="1634" customFormat="1">
      <c r="G15850" s="3336"/>
      <c r="P15850" s="3337"/>
    </row>
    <row r="15851" spans="7:16" s="1634" customFormat="1">
      <c r="G15851" s="3336"/>
      <c r="P15851" s="3337"/>
    </row>
    <row r="15852" spans="7:16" s="1634" customFormat="1">
      <c r="G15852" s="3336"/>
      <c r="P15852" s="3337"/>
    </row>
    <row r="15853" spans="7:16" s="1634" customFormat="1">
      <c r="G15853" s="3336"/>
      <c r="P15853" s="3337"/>
    </row>
    <row r="15854" spans="7:16" s="1634" customFormat="1">
      <c r="G15854" s="3336"/>
      <c r="P15854" s="3337"/>
    </row>
    <row r="15855" spans="7:16" s="1634" customFormat="1">
      <c r="G15855" s="3336"/>
      <c r="P15855" s="3337"/>
    </row>
    <row r="15856" spans="7:16" s="1634" customFormat="1">
      <c r="G15856" s="3336"/>
      <c r="P15856" s="3337"/>
    </row>
    <row r="15857" spans="7:16" s="1634" customFormat="1">
      <c r="G15857" s="3336"/>
      <c r="P15857" s="3337"/>
    </row>
    <row r="15858" spans="7:16" s="1634" customFormat="1">
      <c r="G15858" s="3336"/>
      <c r="P15858" s="3337"/>
    </row>
    <row r="15859" spans="7:16" s="1634" customFormat="1">
      <c r="G15859" s="3336"/>
      <c r="P15859" s="3337"/>
    </row>
    <row r="15860" spans="7:16" s="1634" customFormat="1">
      <c r="G15860" s="3336"/>
      <c r="P15860" s="3337"/>
    </row>
    <row r="15861" spans="7:16" s="1634" customFormat="1">
      <c r="G15861" s="3336"/>
      <c r="P15861" s="3337"/>
    </row>
    <row r="15862" spans="7:16" s="1634" customFormat="1">
      <c r="G15862" s="3336"/>
      <c r="P15862" s="3337"/>
    </row>
    <row r="15863" spans="7:16" s="1634" customFormat="1">
      <c r="G15863" s="3336"/>
      <c r="P15863" s="3337"/>
    </row>
    <row r="15864" spans="7:16" s="1634" customFormat="1">
      <c r="G15864" s="3336"/>
      <c r="P15864" s="3337"/>
    </row>
    <row r="15865" spans="7:16" s="1634" customFormat="1">
      <c r="G15865" s="3336"/>
      <c r="P15865" s="3337"/>
    </row>
    <row r="15866" spans="7:16" s="1634" customFormat="1">
      <c r="G15866" s="3336"/>
      <c r="P15866" s="3337"/>
    </row>
    <row r="15867" spans="7:16" s="1634" customFormat="1">
      <c r="G15867" s="3336"/>
      <c r="P15867" s="3337"/>
    </row>
    <row r="15868" spans="7:16" s="1634" customFormat="1">
      <c r="G15868" s="3336"/>
      <c r="P15868" s="3337"/>
    </row>
    <row r="15869" spans="7:16" s="1634" customFormat="1">
      <c r="G15869" s="3336"/>
      <c r="P15869" s="3337"/>
    </row>
    <row r="15870" spans="7:16" s="1634" customFormat="1">
      <c r="G15870" s="3336"/>
      <c r="P15870" s="3337"/>
    </row>
    <row r="15871" spans="7:16" s="1634" customFormat="1">
      <c r="G15871" s="3336"/>
      <c r="P15871" s="3337"/>
    </row>
    <row r="15872" spans="7:16" s="1634" customFormat="1">
      <c r="G15872" s="3336"/>
      <c r="P15872" s="3337"/>
    </row>
    <row r="15873" spans="7:16" s="1634" customFormat="1">
      <c r="G15873" s="3336"/>
      <c r="P15873" s="3337"/>
    </row>
    <row r="15874" spans="7:16" s="1634" customFormat="1">
      <c r="G15874" s="3336"/>
      <c r="P15874" s="3337"/>
    </row>
    <row r="15875" spans="7:16" s="1634" customFormat="1">
      <c r="G15875" s="3336"/>
      <c r="P15875" s="3337"/>
    </row>
    <row r="15876" spans="7:16" s="1634" customFormat="1">
      <c r="G15876" s="3336"/>
      <c r="P15876" s="3337"/>
    </row>
    <row r="15877" spans="7:16" s="1634" customFormat="1">
      <c r="G15877" s="3336"/>
      <c r="P15877" s="3337"/>
    </row>
    <row r="15878" spans="7:16" s="1634" customFormat="1">
      <c r="G15878" s="3336"/>
      <c r="P15878" s="3337"/>
    </row>
    <row r="15879" spans="7:16" s="1634" customFormat="1">
      <c r="G15879" s="3336"/>
      <c r="P15879" s="3337"/>
    </row>
    <row r="15880" spans="7:16" s="1634" customFormat="1">
      <c r="G15880" s="3336"/>
      <c r="P15880" s="3337"/>
    </row>
    <row r="15881" spans="7:16" s="1634" customFormat="1">
      <c r="G15881" s="3336"/>
      <c r="P15881" s="3337"/>
    </row>
    <row r="15882" spans="7:16" s="1634" customFormat="1">
      <c r="G15882" s="3336"/>
      <c r="P15882" s="3337"/>
    </row>
    <row r="15883" spans="7:16" s="1634" customFormat="1">
      <c r="G15883" s="3336"/>
      <c r="P15883" s="3337"/>
    </row>
    <row r="15884" spans="7:16" s="1634" customFormat="1">
      <c r="G15884" s="3336"/>
      <c r="P15884" s="3337"/>
    </row>
    <row r="15885" spans="7:16" s="1634" customFormat="1">
      <c r="G15885" s="3336"/>
      <c r="P15885" s="3337"/>
    </row>
    <row r="15886" spans="7:16" s="1634" customFormat="1">
      <c r="G15886" s="3336"/>
      <c r="P15886" s="3337"/>
    </row>
    <row r="15887" spans="7:16" s="1634" customFormat="1">
      <c r="G15887" s="3336"/>
      <c r="P15887" s="3337"/>
    </row>
    <row r="15888" spans="7:16" s="1634" customFormat="1">
      <c r="G15888" s="3336"/>
      <c r="P15888" s="3337"/>
    </row>
    <row r="15889" spans="7:16" s="1634" customFormat="1">
      <c r="G15889" s="3336"/>
      <c r="P15889" s="3337"/>
    </row>
    <row r="15890" spans="7:16" s="1634" customFormat="1">
      <c r="G15890" s="3336"/>
      <c r="P15890" s="3337"/>
    </row>
    <row r="15891" spans="7:16" s="1634" customFormat="1">
      <c r="G15891" s="3336"/>
      <c r="P15891" s="3337"/>
    </row>
    <row r="15892" spans="7:16" s="1634" customFormat="1">
      <c r="G15892" s="3336"/>
      <c r="P15892" s="3337"/>
    </row>
    <row r="15893" spans="7:16" s="1634" customFormat="1">
      <c r="G15893" s="3336"/>
      <c r="P15893" s="3337"/>
    </row>
    <row r="15894" spans="7:16" s="1634" customFormat="1">
      <c r="G15894" s="3336"/>
      <c r="P15894" s="3337"/>
    </row>
    <row r="15895" spans="7:16" s="1634" customFormat="1">
      <c r="G15895" s="3336"/>
      <c r="P15895" s="3337"/>
    </row>
    <row r="15896" spans="7:16" s="1634" customFormat="1">
      <c r="G15896" s="3336"/>
      <c r="P15896" s="3337"/>
    </row>
    <row r="15897" spans="7:16" s="1634" customFormat="1">
      <c r="G15897" s="3336"/>
      <c r="P15897" s="3337"/>
    </row>
    <row r="15898" spans="7:16" s="1634" customFormat="1">
      <c r="G15898" s="3336"/>
      <c r="P15898" s="3337"/>
    </row>
    <row r="15899" spans="7:16" s="1634" customFormat="1">
      <c r="G15899" s="3336"/>
      <c r="P15899" s="3337"/>
    </row>
    <row r="15900" spans="7:16" s="1634" customFormat="1">
      <c r="G15900" s="3336"/>
      <c r="P15900" s="3337"/>
    </row>
    <row r="15901" spans="7:16" s="1634" customFormat="1">
      <c r="G15901" s="3336"/>
      <c r="P15901" s="3337"/>
    </row>
    <row r="15902" spans="7:16" s="1634" customFormat="1">
      <c r="G15902" s="3336"/>
      <c r="P15902" s="3337"/>
    </row>
    <row r="15903" spans="7:16" s="1634" customFormat="1">
      <c r="G15903" s="3336"/>
      <c r="P15903" s="3337"/>
    </row>
    <row r="15904" spans="7:16" s="1634" customFormat="1">
      <c r="G15904" s="3336"/>
      <c r="P15904" s="3337"/>
    </row>
    <row r="15905" spans="7:16" s="1634" customFormat="1">
      <c r="G15905" s="3336"/>
      <c r="P15905" s="3337"/>
    </row>
    <row r="15906" spans="7:16" s="1634" customFormat="1">
      <c r="G15906" s="3336"/>
      <c r="P15906" s="3337"/>
    </row>
    <row r="15907" spans="7:16" s="1634" customFormat="1">
      <c r="G15907" s="3336"/>
      <c r="P15907" s="3337"/>
    </row>
    <row r="15908" spans="7:16" s="1634" customFormat="1">
      <c r="G15908" s="3336"/>
      <c r="P15908" s="3337"/>
    </row>
    <row r="15909" spans="7:16" s="1634" customFormat="1">
      <c r="G15909" s="3336"/>
      <c r="P15909" s="3337"/>
    </row>
    <row r="15910" spans="7:16" s="1634" customFormat="1">
      <c r="G15910" s="3336"/>
      <c r="P15910" s="3337"/>
    </row>
    <row r="15911" spans="7:16" s="1634" customFormat="1">
      <c r="G15911" s="3336"/>
      <c r="P15911" s="3337"/>
    </row>
    <row r="15912" spans="7:16" s="1634" customFormat="1">
      <c r="G15912" s="3336"/>
      <c r="P15912" s="3337"/>
    </row>
    <row r="15913" spans="7:16" s="1634" customFormat="1">
      <c r="G15913" s="3336"/>
      <c r="P15913" s="3337"/>
    </row>
    <row r="15914" spans="7:16" s="1634" customFormat="1">
      <c r="G15914" s="3336"/>
      <c r="P15914" s="3337"/>
    </row>
    <row r="15915" spans="7:16" s="1634" customFormat="1">
      <c r="G15915" s="3336"/>
      <c r="P15915" s="3337"/>
    </row>
    <row r="15916" spans="7:16" s="1634" customFormat="1">
      <c r="G15916" s="3336"/>
      <c r="P15916" s="3337"/>
    </row>
    <row r="15917" spans="7:16" s="1634" customFormat="1">
      <c r="G15917" s="3336"/>
      <c r="P15917" s="3337"/>
    </row>
    <row r="15918" spans="7:16" s="1634" customFormat="1">
      <c r="G15918" s="3336"/>
      <c r="P15918" s="3337"/>
    </row>
    <row r="15919" spans="7:16" s="1634" customFormat="1">
      <c r="G15919" s="3336"/>
      <c r="P15919" s="3337"/>
    </row>
    <row r="15920" spans="7:16" s="1634" customFormat="1">
      <c r="G15920" s="3336"/>
      <c r="P15920" s="3337"/>
    </row>
    <row r="15921" spans="7:16" s="1634" customFormat="1">
      <c r="G15921" s="3336"/>
      <c r="P15921" s="3337"/>
    </row>
    <row r="15922" spans="7:16" s="1634" customFormat="1">
      <c r="G15922" s="3336"/>
      <c r="P15922" s="3337"/>
    </row>
    <row r="15923" spans="7:16" s="1634" customFormat="1">
      <c r="G15923" s="3336"/>
      <c r="P15923" s="3337"/>
    </row>
    <row r="15924" spans="7:16" s="1634" customFormat="1">
      <c r="G15924" s="3336"/>
      <c r="P15924" s="3337"/>
    </row>
    <row r="15925" spans="7:16" s="1634" customFormat="1">
      <c r="G15925" s="3336"/>
      <c r="P15925" s="3337"/>
    </row>
    <row r="15926" spans="7:16" s="1634" customFormat="1">
      <c r="G15926" s="3336"/>
      <c r="P15926" s="3337"/>
    </row>
    <row r="15927" spans="7:16" s="1634" customFormat="1">
      <c r="G15927" s="3336"/>
      <c r="P15927" s="3337"/>
    </row>
    <row r="15928" spans="7:16" s="1634" customFormat="1">
      <c r="G15928" s="3336"/>
      <c r="P15928" s="3337"/>
    </row>
    <row r="15929" spans="7:16" s="1634" customFormat="1">
      <c r="G15929" s="3336"/>
      <c r="P15929" s="3337"/>
    </row>
    <row r="15930" spans="7:16" s="1634" customFormat="1">
      <c r="G15930" s="3336"/>
      <c r="P15930" s="3337"/>
    </row>
    <row r="15931" spans="7:16" s="1634" customFormat="1">
      <c r="G15931" s="3336"/>
      <c r="P15931" s="3337"/>
    </row>
    <row r="15932" spans="7:16" s="1634" customFormat="1">
      <c r="G15932" s="3336"/>
      <c r="P15932" s="3337"/>
    </row>
    <row r="15933" spans="7:16" s="1634" customFormat="1">
      <c r="G15933" s="3336"/>
      <c r="P15933" s="3337"/>
    </row>
    <row r="15934" spans="7:16" s="1634" customFormat="1">
      <c r="G15934" s="3336"/>
      <c r="P15934" s="3337"/>
    </row>
    <row r="15935" spans="7:16" s="1634" customFormat="1">
      <c r="G15935" s="3336"/>
      <c r="P15935" s="3337"/>
    </row>
    <row r="15936" spans="7:16" s="1634" customFormat="1">
      <c r="G15936" s="3336"/>
      <c r="P15936" s="3337"/>
    </row>
    <row r="15937" spans="7:16" s="1634" customFormat="1">
      <c r="G15937" s="3336"/>
      <c r="P15937" s="3337"/>
    </row>
    <row r="15938" spans="7:16" s="1634" customFormat="1">
      <c r="G15938" s="3336"/>
      <c r="P15938" s="3337"/>
    </row>
    <row r="15939" spans="7:16" s="1634" customFormat="1">
      <c r="G15939" s="3336"/>
      <c r="P15939" s="3337"/>
    </row>
    <row r="15940" spans="7:16" s="1634" customFormat="1">
      <c r="G15940" s="3336"/>
      <c r="P15940" s="3337"/>
    </row>
    <row r="15941" spans="7:16" s="1634" customFormat="1">
      <c r="G15941" s="3336"/>
      <c r="P15941" s="3337"/>
    </row>
    <row r="15942" spans="7:16" s="1634" customFormat="1">
      <c r="G15942" s="3336"/>
      <c r="P15942" s="3337"/>
    </row>
    <row r="15943" spans="7:16" s="1634" customFormat="1">
      <c r="G15943" s="3336"/>
      <c r="P15943" s="3337"/>
    </row>
    <row r="15944" spans="7:16" s="1634" customFormat="1">
      <c r="G15944" s="3336"/>
      <c r="P15944" s="3337"/>
    </row>
    <row r="15945" spans="7:16" s="1634" customFormat="1">
      <c r="G15945" s="3336"/>
      <c r="P15945" s="3337"/>
    </row>
    <row r="15946" spans="7:16" s="1634" customFormat="1">
      <c r="G15946" s="3336"/>
      <c r="P15946" s="3337"/>
    </row>
    <row r="15947" spans="7:16" s="1634" customFormat="1">
      <c r="G15947" s="3336"/>
      <c r="P15947" s="3337"/>
    </row>
    <row r="15948" spans="7:16" s="1634" customFormat="1">
      <c r="G15948" s="3336"/>
      <c r="P15948" s="3337"/>
    </row>
    <row r="15949" spans="7:16" s="1634" customFormat="1">
      <c r="G15949" s="3336"/>
      <c r="P15949" s="3337"/>
    </row>
    <row r="15950" spans="7:16" s="1634" customFormat="1">
      <c r="G15950" s="3336"/>
      <c r="P15950" s="3337"/>
    </row>
    <row r="15951" spans="7:16" s="1634" customFormat="1">
      <c r="G15951" s="3336"/>
      <c r="P15951" s="3337"/>
    </row>
    <row r="15952" spans="7:16" s="1634" customFormat="1">
      <c r="G15952" s="3336"/>
      <c r="P15952" s="3337"/>
    </row>
    <row r="15953" spans="7:16" s="1634" customFormat="1">
      <c r="G15953" s="3336"/>
      <c r="P15953" s="3337"/>
    </row>
    <row r="15954" spans="7:16" s="1634" customFormat="1">
      <c r="G15954" s="3336"/>
      <c r="P15954" s="3337"/>
    </row>
    <row r="15955" spans="7:16" s="1634" customFormat="1">
      <c r="G15955" s="3336"/>
      <c r="P15955" s="3337"/>
    </row>
    <row r="15956" spans="7:16" s="1634" customFormat="1">
      <c r="G15956" s="3336"/>
      <c r="P15956" s="3337"/>
    </row>
    <row r="15957" spans="7:16" s="1634" customFormat="1">
      <c r="G15957" s="3336"/>
      <c r="P15957" s="3337"/>
    </row>
    <row r="15958" spans="7:16" s="1634" customFormat="1">
      <c r="G15958" s="3336"/>
      <c r="P15958" s="3337"/>
    </row>
    <row r="15959" spans="7:16" s="1634" customFormat="1">
      <c r="G15959" s="3336"/>
      <c r="P15959" s="3337"/>
    </row>
    <row r="15960" spans="7:16" s="1634" customFormat="1">
      <c r="G15960" s="3336"/>
      <c r="P15960" s="3337"/>
    </row>
    <row r="15961" spans="7:16" s="1634" customFormat="1">
      <c r="G15961" s="3336"/>
      <c r="P15961" s="3337"/>
    </row>
    <row r="15962" spans="7:16" s="1634" customFormat="1">
      <c r="G15962" s="3336"/>
      <c r="P15962" s="3337"/>
    </row>
    <row r="15963" spans="7:16" s="1634" customFormat="1">
      <c r="G15963" s="3336"/>
      <c r="P15963" s="3337"/>
    </row>
    <row r="15964" spans="7:16" s="1634" customFormat="1">
      <c r="G15964" s="3336"/>
      <c r="P15964" s="3337"/>
    </row>
    <row r="15965" spans="7:16" s="1634" customFormat="1">
      <c r="G15965" s="3336"/>
      <c r="P15965" s="3337"/>
    </row>
    <row r="15966" spans="7:16" s="1634" customFormat="1">
      <c r="G15966" s="3336"/>
      <c r="P15966" s="3337"/>
    </row>
    <row r="15967" spans="7:16" s="1634" customFormat="1">
      <c r="G15967" s="3336"/>
      <c r="P15967" s="3337"/>
    </row>
    <row r="15968" spans="7:16" s="1634" customFormat="1">
      <c r="G15968" s="3336"/>
      <c r="P15968" s="3337"/>
    </row>
    <row r="15969" spans="7:16" s="1634" customFormat="1">
      <c r="G15969" s="3336"/>
      <c r="P15969" s="3337"/>
    </row>
    <row r="15970" spans="7:16" s="1634" customFormat="1">
      <c r="G15970" s="3336"/>
      <c r="P15970" s="3337"/>
    </row>
    <row r="15971" spans="7:16" s="1634" customFormat="1">
      <c r="G15971" s="3336"/>
      <c r="P15971" s="3337"/>
    </row>
    <row r="15972" spans="7:16" s="1634" customFormat="1">
      <c r="G15972" s="3336"/>
      <c r="P15972" s="3337"/>
    </row>
    <row r="15973" spans="7:16" s="1634" customFormat="1">
      <c r="G15973" s="3336"/>
      <c r="P15973" s="3337"/>
    </row>
    <row r="15974" spans="7:16" s="1634" customFormat="1">
      <c r="G15974" s="3336"/>
      <c r="P15974" s="3337"/>
    </row>
    <row r="15975" spans="7:16" s="1634" customFormat="1">
      <c r="G15975" s="3336"/>
      <c r="P15975" s="3337"/>
    </row>
    <row r="15976" spans="7:16" s="1634" customFormat="1">
      <c r="G15976" s="3336"/>
      <c r="P15976" s="3337"/>
    </row>
    <row r="15977" spans="7:16" s="1634" customFormat="1">
      <c r="G15977" s="3336"/>
      <c r="P15977" s="3337"/>
    </row>
    <row r="15978" spans="7:16" s="1634" customFormat="1">
      <c r="G15978" s="3336"/>
      <c r="P15978" s="3337"/>
    </row>
    <row r="15979" spans="7:16" s="1634" customFormat="1">
      <c r="G15979" s="3336"/>
      <c r="P15979" s="3337"/>
    </row>
    <row r="15980" spans="7:16" s="1634" customFormat="1">
      <c r="G15980" s="3336"/>
      <c r="P15980" s="3337"/>
    </row>
    <row r="15981" spans="7:16" s="1634" customFormat="1">
      <c r="G15981" s="3336"/>
      <c r="P15981" s="3337"/>
    </row>
    <row r="15982" spans="7:16" s="1634" customFormat="1">
      <c r="G15982" s="3336"/>
      <c r="P15982" s="3337"/>
    </row>
    <row r="15983" spans="7:16" s="1634" customFormat="1">
      <c r="G15983" s="3336"/>
      <c r="P15983" s="3337"/>
    </row>
    <row r="15984" spans="7:16" s="1634" customFormat="1">
      <c r="G15984" s="3336"/>
      <c r="P15984" s="3337"/>
    </row>
    <row r="15985" spans="7:16" s="1634" customFormat="1">
      <c r="G15985" s="3336"/>
      <c r="P15985" s="3337"/>
    </row>
    <row r="15986" spans="7:16" s="1634" customFormat="1">
      <c r="G15986" s="3336"/>
      <c r="P15986" s="3337"/>
    </row>
    <row r="15987" spans="7:16" s="1634" customFormat="1">
      <c r="G15987" s="3336"/>
      <c r="P15987" s="3337"/>
    </row>
    <row r="15988" spans="7:16" s="1634" customFormat="1">
      <c r="G15988" s="3336"/>
      <c r="P15988" s="3337"/>
    </row>
    <row r="15989" spans="7:16" s="1634" customFormat="1">
      <c r="G15989" s="3336"/>
      <c r="P15989" s="3337"/>
    </row>
    <row r="15990" spans="7:16" s="1634" customFormat="1">
      <c r="G15990" s="3336"/>
      <c r="P15990" s="3337"/>
    </row>
    <row r="15991" spans="7:16" s="1634" customFormat="1">
      <c r="G15991" s="3336"/>
      <c r="P15991" s="3337"/>
    </row>
    <row r="15992" spans="7:16" s="1634" customFormat="1">
      <c r="G15992" s="3336"/>
      <c r="P15992" s="3337"/>
    </row>
    <row r="15993" spans="7:16" s="1634" customFormat="1">
      <c r="G15993" s="3336"/>
      <c r="P15993" s="3337"/>
    </row>
    <row r="15994" spans="7:16" s="1634" customFormat="1">
      <c r="G15994" s="3336"/>
      <c r="P15994" s="3337"/>
    </row>
    <row r="15995" spans="7:16" s="1634" customFormat="1">
      <c r="G15995" s="3336"/>
      <c r="P15995" s="3337"/>
    </row>
    <row r="15996" spans="7:16" s="1634" customFormat="1">
      <c r="G15996" s="3336"/>
      <c r="P15996" s="3337"/>
    </row>
    <row r="15997" spans="7:16" s="1634" customFormat="1">
      <c r="G15997" s="3336"/>
      <c r="P15997" s="3337"/>
    </row>
    <row r="15998" spans="7:16" s="1634" customFormat="1">
      <c r="G15998" s="3336"/>
      <c r="P15998" s="3337"/>
    </row>
    <row r="15999" spans="7:16" s="1634" customFormat="1">
      <c r="G15999" s="3336"/>
      <c r="P15999" s="3337"/>
    </row>
    <row r="16000" spans="7:16" s="1634" customFormat="1">
      <c r="G16000" s="3336"/>
      <c r="P16000" s="3337"/>
    </row>
    <row r="16001" spans="7:16" s="1634" customFormat="1">
      <c r="G16001" s="3336"/>
      <c r="P16001" s="3337"/>
    </row>
    <row r="16002" spans="7:16" s="1634" customFormat="1">
      <c r="G16002" s="3336"/>
      <c r="P16002" s="3337"/>
    </row>
    <row r="16003" spans="7:16" s="1634" customFormat="1">
      <c r="G16003" s="3336"/>
      <c r="P16003" s="3337"/>
    </row>
    <row r="16004" spans="7:16" s="1634" customFormat="1">
      <c r="G16004" s="3336"/>
      <c r="P16004" s="3337"/>
    </row>
    <row r="16005" spans="7:16" s="1634" customFormat="1">
      <c r="G16005" s="3336"/>
      <c r="P16005" s="3337"/>
    </row>
    <row r="16006" spans="7:16" s="1634" customFormat="1">
      <c r="G16006" s="3336"/>
      <c r="P16006" s="3337"/>
    </row>
    <row r="16007" spans="7:16" s="1634" customFormat="1">
      <c r="G16007" s="3336"/>
      <c r="P16007" s="3337"/>
    </row>
    <row r="16008" spans="7:16" s="1634" customFormat="1">
      <c r="G16008" s="3336"/>
      <c r="P16008" s="3337"/>
    </row>
    <row r="16009" spans="7:16" s="1634" customFormat="1">
      <c r="G16009" s="3336"/>
      <c r="P16009" s="3337"/>
    </row>
    <row r="16010" spans="7:16" s="1634" customFormat="1">
      <c r="G16010" s="3336"/>
      <c r="P16010" s="3337"/>
    </row>
    <row r="16011" spans="7:16" s="1634" customFormat="1">
      <c r="G16011" s="3336"/>
      <c r="P16011" s="3337"/>
    </row>
    <row r="16012" spans="7:16" s="1634" customFormat="1">
      <c r="G16012" s="3336"/>
      <c r="P16012" s="3337"/>
    </row>
    <row r="16013" spans="7:16" s="1634" customFormat="1">
      <c r="G16013" s="3336"/>
      <c r="P16013" s="3337"/>
    </row>
    <row r="16014" spans="7:16" s="1634" customFormat="1">
      <c r="G16014" s="3336"/>
      <c r="P16014" s="3337"/>
    </row>
    <row r="16015" spans="7:16" s="1634" customFormat="1">
      <c r="G16015" s="3336"/>
      <c r="P16015" s="3337"/>
    </row>
    <row r="16016" spans="7:16" s="1634" customFormat="1">
      <c r="G16016" s="3336"/>
      <c r="P16016" s="3337"/>
    </row>
    <row r="16017" spans="7:16" s="1634" customFormat="1">
      <c r="G16017" s="3336"/>
      <c r="P16017" s="3337"/>
    </row>
    <row r="16018" spans="7:16" s="1634" customFormat="1">
      <c r="G16018" s="3336"/>
      <c r="P16018" s="3337"/>
    </row>
    <row r="16019" spans="7:16" s="1634" customFormat="1">
      <c r="G16019" s="3336"/>
      <c r="P16019" s="3337"/>
    </row>
    <row r="16020" spans="7:16" s="1634" customFormat="1">
      <c r="G16020" s="3336"/>
      <c r="P16020" s="3337"/>
    </row>
    <row r="16021" spans="7:16" s="1634" customFormat="1">
      <c r="G16021" s="3336"/>
      <c r="P16021" s="3337"/>
    </row>
    <row r="16022" spans="7:16" s="1634" customFormat="1">
      <c r="G16022" s="3336"/>
      <c r="P16022" s="3337"/>
    </row>
    <row r="16023" spans="7:16" s="1634" customFormat="1">
      <c r="G16023" s="3336"/>
      <c r="P16023" s="3337"/>
    </row>
    <row r="16024" spans="7:16" s="1634" customFormat="1">
      <c r="G16024" s="3336"/>
      <c r="P16024" s="3337"/>
    </row>
    <row r="16025" spans="7:16" s="1634" customFormat="1">
      <c r="G16025" s="3336"/>
      <c r="P16025" s="3337"/>
    </row>
    <row r="16026" spans="7:16" s="1634" customFormat="1">
      <c r="G16026" s="3336"/>
      <c r="P16026" s="3337"/>
    </row>
    <row r="16027" spans="7:16" s="1634" customFormat="1">
      <c r="G16027" s="3336"/>
      <c r="P16027" s="3337"/>
    </row>
    <row r="16028" spans="7:16" s="1634" customFormat="1">
      <c r="G16028" s="3336"/>
      <c r="P16028" s="3337"/>
    </row>
    <row r="16029" spans="7:16" s="1634" customFormat="1">
      <c r="G16029" s="3336"/>
      <c r="P16029" s="3337"/>
    </row>
    <row r="16030" spans="7:16" s="1634" customFormat="1">
      <c r="G16030" s="3336"/>
      <c r="P16030" s="3337"/>
    </row>
    <row r="16031" spans="7:16" s="1634" customFormat="1">
      <c r="G16031" s="3336"/>
      <c r="P16031" s="3337"/>
    </row>
    <row r="16032" spans="7:16" s="1634" customFormat="1">
      <c r="G16032" s="3336"/>
      <c r="P16032" s="3337"/>
    </row>
    <row r="16033" spans="7:16" s="1634" customFormat="1">
      <c r="G16033" s="3336"/>
      <c r="P16033" s="3337"/>
    </row>
    <row r="16034" spans="7:16" s="1634" customFormat="1">
      <c r="G16034" s="3336"/>
      <c r="P16034" s="3337"/>
    </row>
    <row r="16035" spans="7:16" s="1634" customFormat="1">
      <c r="G16035" s="3336"/>
      <c r="P16035" s="3337"/>
    </row>
    <row r="16036" spans="7:16" s="1634" customFormat="1">
      <c r="G16036" s="3336"/>
      <c r="P16036" s="3337"/>
    </row>
    <row r="16037" spans="7:16" s="1634" customFormat="1">
      <c r="G16037" s="3336"/>
      <c r="P16037" s="3337"/>
    </row>
    <row r="16038" spans="7:16" s="1634" customFormat="1">
      <c r="G16038" s="3336"/>
      <c r="P16038" s="3337"/>
    </row>
    <row r="16039" spans="7:16" s="1634" customFormat="1">
      <c r="G16039" s="3336"/>
      <c r="P16039" s="3337"/>
    </row>
    <row r="16040" spans="7:16" s="1634" customFormat="1">
      <c r="G16040" s="3336"/>
      <c r="P16040" s="3337"/>
    </row>
    <row r="16041" spans="7:16" s="1634" customFormat="1">
      <c r="G16041" s="3336"/>
      <c r="P16041" s="3337"/>
    </row>
    <row r="16042" spans="7:16" s="1634" customFormat="1">
      <c r="G16042" s="3336"/>
      <c r="P16042" s="3337"/>
    </row>
    <row r="16043" spans="7:16" s="1634" customFormat="1">
      <c r="G16043" s="3336"/>
      <c r="P16043" s="3337"/>
    </row>
    <row r="16044" spans="7:16" s="1634" customFormat="1">
      <c r="G16044" s="3336"/>
      <c r="P16044" s="3337"/>
    </row>
    <row r="16045" spans="7:16" s="1634" customFormat="1">
      <c r="G16045" s="3336"/>
      <c r="P16045" s="3337"/>
    </row>
    <row r="16046" spans="7:16" s="1634" customFormat="1">
      <c r="G16046" s="3336"/>
      <c r="P16046" s="3337"/>
    </row>
    <row r="16047" spans="7:16" s="1634" customFormat="1">
      <c r="G16047" s="3336"/>
      <c r="P16047" s="3337"/>
    </row>
    <row r="16048" spans="7:16" s="1634" customFormat="1">
      <c r="G16048" s="3336"/>
      <c r="P16048" s="3337"/>
    </row>
    <row r="16049" spans="7:16" s="1634" customFormat="1">
      <c r="G16049" s="3336"/>
      <c r="P16049" s="3337"/>
    </row>
    <row r="16050" spans="7:16" s="1634" customFormat="1">
      <c r="G16050" s="3336"/>
      <c r="P16050" s="3337"/>
    </row>
    <row r="16051" spans="7:16" s="1634" customFormat="1">
      <c r="G16051" s="3336"/>
      <c r="P16051" s="3337"/>
    </row>
    <row r="16052" spans="7:16" s="1634" customFormat="1">
      <c r="G16052" s="3336"/>
      <c r="P16052" s="3337"/>
    </row>
    <row r="16053" spans="7:16" s="1634" customFormat="1">
      <c r="G16053" s="3336"/>
      <c r="P16053" s="3337"/>
    </row>
    <row r="16054" spans="7:16" s="1634" customFormat="1">
      <c r="G16054" s="3336"/>
      <c r="P16054" s="3337"/>
    </row>
    <row r="16055" spans="7:16" s="1634" customFormat="1">
      <c r="G16055" s="3336"/>
      <c r="P16055" s="3337"/>
    </row>
    <row r="16056" spans="7:16" s="1634" customFormat="1">
      <c r="G16056" s="3336"/>
      <c r="P16056" s="3337"/>
    </row>
    <row r="16057" spans="7:16" s="1634" customFormat="1">
      <c r="G16057" s="3336"/>
      <c r="P16057" s="3337"/>
    </row>
    <row r="16058" spans="7:16" s="1634" customFormat="1">
      <c r="G16058" s="3336"/>
      <c r="P16058" s="3337"/>
    </row>
    <row r="16059" spans="7:16" s="1634" customFormat="1">
      <c r="G16059" s="3336"/>
      <c r="P16059" s="3337"/>
    </row>
    <row r="16060" spans="7:16" s="1634" customFormat="1">
      <c r="G16060" s="3336"/>
      <c r="P16060" s="3337"/>
    </row>
    <row r="16061" spans="7:16" s="1634" customFormat="1">
      <c r="G16061" s="3336"/>
      <c r="P16061" s="3337"/>
    </row>
    <row r="16062" spans="7:16" s="1634" customFormat="1">
      <c r="G16062" s="3336"/>
      <c r="P16062" s="3337"/>
    </row>
    <row r="16063" spans="7:16" s="1634" customFormat="1">
      <c r="G16063" s="3336"/>
      <c r="P16063" s="3337"/>
    </row>
    <row r="16064" spans="7:16" s="1634" customFormat="1">
      <c r="G16064" s="3336"/>
      <c r="P16064" s="3337"/>
    </row>
    <row r="16065" spans="7:16" s="1634" customFormat="1">
      <c r="G16065" s="3336"/>
      <c r="P16065" s="3337"/>
    </row>
    <row r="16066" spans="7:16" s="1634" customFormat="1">
      <c r="G16066" s="3336"/>
      <c r="P16066" s="3337"/>
    </row>
    <row r="16067" spans="7:16" s="1634" customFormat="1">
      <c r="G16067" s="3336"/>
      <c r="P16067" s="3337"/>
    </row>
    <row r="16068" spans="7:16" s="1634" customFormat="1">
      <c r="G16068" s="3336"/>
      <c r="P16068" s="3337"/>
    </row>
    <row r="16069" spans="7:16" s="1634" customFormat="1">
      <c r="G16069" s="3336"/>
      <c r="P16069" s="3337"/>
    </row>
    <row r="16070" spans="7:16" s="1634" customFormat="1">
      <c r="G16070" s="3336"/>
      <c r="P16070" s="3337"/>
    </row>
    <row r="16071" spans="7:16" s="1634" customFormat="1">
      <c r="G16071" s="3336"/>
      <c r="P16071" s="3337"/>
    </row>
    <row r="16072" spans="7:16" s="1634" customFormat="1">
      <c r="G16072" s="3336"/>
      <c r="P16072" s="3337"/>
    </row>
    <row r="16073" spans="7:16" s="1634" customFormat="1">
      <c r="G16073" s="3336"/>
      <c r="P16073" s="3337"/>
    </row>
    <row r="16074" spans="7:16" s="1634" customFormat="1">
      <c r="G16074" s="3336"/>
      <c r="P16074" s="3337"/>
    </row>
    <row r="16075" spans="7:16" s="1634" customFormat="1">
      <c r="G16075" s="3336"/>
      <c r="P16075" s="3337"/>
    </row>
    <row r="16076" spans="7:16" s="1634" customFormat="1">
      <c r="G16076" s="3336"/>
      <c r="P16076" s="3337"/>
    </row>
    <row r="16077" spans="7:16" s="1634" customFormat="1">
      <c r="G16077" s="3336"/>
      <c r="P16077" s="3337"/>
    </row>
    <row r="16078" spans="7:16" s="1634" customFormat="1">
      <c r="G16078" s="3336"/>
      <c r="P16078" s="3337"/>
    </row>
    <row r="16079" spans="7:16" s="1634" customFormat="1">
      <c r="G16079" s="3336"/>
      <c r="P16079" s="3337"/>
    </row>
    <row r="16080" spans="7:16" s="1634" customFormat="1">
      <c r="G16080" s="3336"/>
      <c r="P16080" s="3337"/>
    </row>
    <row r="16081" spans="7:16" s="1634" customFormat="1">
      <c r="G16081" s="3336"/>
      <c r="P16081" s="3337"/>
    </row>
    <row r="16082" spans="7:16" s="1634" customFormat="1">
      <c r="G16082" s="3336"/>
      <c r="P16082" s="3337"/>
    </row>
    <row r="16083" spans="7:16" s="1634" customFormat="1">
      <c r="G16083" s="3336"/>
      <c r="P16083" s="3337"/>
    </row>
    <row r="16084" spans="7:16" s="1634" customFormat="1">
      <c r="G16084" s="3336"/>
      <c r="P16084" s="3337"/>
    </row>
    <row r="16085" spans="7:16" s="1634" customFormat="1">
      <c r="G16085" s="3336"/>
      <c r="P16085" s="3337"/>
    </row>
    <row r="16086" spans="7:16" s="1634" customFormat="1">
      <c r="G16086" s="3336"/>
      <c r="P16086" s="3337"/>
    </row>
    <row r="16087" spans="7:16" s="1634" customFormat="1">
      <c r="G16087" s="3336"/>
      <c r="P16087" s="3337"/>
    </row>
    <row r="16088" spans="7:16" s="1634" customFormat="1">
      <c r="G16088" s="3336"/>
      <c r="P16088" s="3337"/>
    </row>
    <row r="16089" spans="7:16" s="1634" customFormat="1">
      <c r="G16089" s="3336"/>
      <c r="P16089" s="3337"/>
    </row>
    <row r="16090" spans="7:16" s="1634" customFormat="1">
      <c r="G16090" s="3336"/>
      <c r="P16090" s="3337"/>
    </row>
    <row r="16091" spans="7:16" s="1634" customFormat="1">
      <c r="G16091" s="3336"/>
      <c r="P16091" s="3337"/>
    </row>
    <row r="16092" spans="7:16" s="1634" customFormat="1">
      <c r="G16092" s="3336"/>
      <c r="P16092" s="3337"/>
    </row>
    <row r="16093" spans="7:16" s="1634" customFormat="1">
      <c r="G16093" s="3336"/>
      <c r="P16093" s="3337"/>
    </row>
    <row r="16094" spans="7:16" s="1634" customFormat="1">
      <c r="G16094" s="3336"/>
      <c r="P16094" s="3337"/>
    </row>
    <row r="16095" spans="7:16" s="1634" customFormat="1">
      <c r="G16095" s="3336"/>
      <c r="P16095" s="3337"/>
    </row>
    <row r="16096" spans="7:16" s="1634" customFormat="1">
      <c r="G16096" s="3336"/>
      <c r="P16096" s="3337"/>
    </row>
    <row r="16097" spans="7:16" s="1634" customFormat="1">
      <c r="G16097" s="3336"/>
      <c r="P16097" s="3337"/>
    </row>
    <row r="16098" spans="7:16" s="1634" customFormat="1">
      <c r="G16098" s="3336"/>
      <c r="P16098" s="3337"/>
    </row>
    <row r="16099" spans="7:16" s="1634" customFormat="1">
      <c r="G16099" s="3336"/>
      <c r="P16099" s="3337"/>
    </row>
    <row r="16100" spans="7:16" s="1634" customFormat="1">
      <c r="G16100" s="3336"/>
      <c r="P16100" s="3337"/>
    </row>
    <row r="16101" spans="7:16" s="1634" customFormat="1">
      <c r="G16101" s="3336"/>
      <c r="P16101" s="3337"/>
    </row>
    <row r="16102" spans="7:16" s="1634" customFormat="1">
      <c r="G16102" s="3336"/>
      <c r="P16102" s="3337"/>
    </row>
    <row r="16103" spans="7:16" s="1634" customFormat="1">
      <c r="G16103" s="3336"/>
      <c r="P16103" s="3337"/>
    </row>
    <row r="16104" spans="7:16" s="1634" customFormat="1">
      <c r="G16104" s="3336"/>
      <c r="P16104" s="3337"/>
    </row>
    <row r="16105" spans="7:16" s="1634" customFormat="1">
      <c r="G16105" s="3336"/>
      <c r="P16105" s="3337"/>
    </row>
    <row r="16106" spans="7:16" s="1634" customFormat="1">
      <c r="G16106" s="3336"/>
      <c r="P16106" s="3337"/>
    </row>
    <row r="16107" spans="7:16" s="1634" customFormat="1">
      <c r="G16107" s="3336"/>
      <c r="P16107" s="3337"/>
    </row>
    <row r="16108" spans="7:16" s="1634" customFormat="1">
      <c r="G16108" s="3336"/>
      <c r="P16108" s="3337"/>
    </row>
    <row r="16109" spans="7:16" s="1634" customFormat="1">
      <c r="G16109" s="3336"/>
      <c r="P16109" s="3337"/>
    </row>
    <row r="16110" spans="7:16" s="1634" customFormat="1">
      <c r="G16110" s="3336"/>
      <c r="P16110" s="3337"/>
    </row>
    <row r="16111" spans="7:16" s="1634" customFormat="1">
      <c r="G16111" s="3336"/>
      <c r="P16111" s="3337"/>
    </row>
    <row r="16112" spans="7:16" s="1634" customFormat="1">
      <c r="G16112" s="3336"/>
      <c r="P16112" s="3337"/>
    </row>
    <row r="16113" spans="7:16" s="1634" customFormat="1">
      <c r="G16113" s="3336"/>
      <c r="P16113" s="3337"/>
    </row>
    <row r="16114" spans="7:16" s="1634" customFormat="1">
      <c r="G16114" s="3336"/>
      <c r="P16114" s="3337"/>
    </row>
    <row r="16115" spans="7:16" s="1634" customFormat="1">
      <c r="G16115" s="3336"/>
      <c r="P16115" s="3337"/>
    </row>
    <row r="16116" spans="7:16" s="1634" customFormat="1">
      <c r="G16116" s="3336"/>
      <c r="P16116" s="3337"/>
    </row>
    <row r="16117" spans="7:16" s="1634" customFormat="1">
      <c r="G16117" s="3336"/>
      <c r="P16117" s="3337"/>
    </row>
    <row r="16118" spans="7:16" s="1634" customFormat="1">
      <c r="G16118" s="3336"/>
      <c r="P16118" s="3337"/>
    </row>
    <row r="16119" spans="7:16" s="1634" customFormat="1">
      <c r="G16119" s="3336"/>
      <c r="P16119" s="3337"/>
    </row>
    <row r="16120" spans="7:16" s="1634" customFormat="1">
      <c r="G16120" s="3336"/>
      <c r="P16120" s="3337"/>
    </row>
    <row r="16121" spans="7:16" s="1634" customFormat="1">
      <c r="G16121" s="3336"/>
      <c r="P16121" s="3337"/>
    </row>
    <row r="16122" spans="7:16" s="1634" customFormat="1">
      <c r="G16122" s="3336"/>
      <c r="P16122" s="3337"/>
    </row>
    <row r="16123" spans="7:16" s="1634" customFormat="1">
      <c r="G16123" s="3336"/>
      <c r="P16123" s="3337"/>
    </row>
    <row r="16124" spans="7:16" s="1634" customFormat="1">
      <c r="G16124" s="3336"/>
      <c r="P16124" s="3337"/>
    </row>
    <row r="16125" spans="7:16" s="1634" customFormat="1">
      <c r="G16125" s="3336"/>
      <c r="P16125" s="3337"/>
    </row>
    <row r="16126" spans="7:16" s="1634" customFormat="1">
      <c r="G16126" s="3336"/>
      <c r="P16126" s="3337"/>
    </row>
    <row r="16127" spans="7:16" s="1634" customFormat="1">
      <c r="G16127" s="3336"/>
      <c r="P16127" s="3337"/>
    </row>
    <row r="16128" spans="7:16" s="1634" customFormat="1">
      <c r="G16128" s="3336"/>
      <c r="P16128" s="3337"/>
    </row>
    <row r="16129" spans="7:16" s="1634" customFormat="1">
      <c r="G16129" s="3336"/>
      <c r="P16129" s="3337"/>
    </row>
    <row r="16130" spans="7:16" s="1634" customFormat="1">
      <c r="G16130" s="3336"/>
      <c r="P16130" s="3337"/>
    </row>
    <row r="16131" spans="7:16" s="1634" customFormat="1">
      <c r="G16131" s="3336"/>
      <c r="P16131" s="3337"/>
    </row>
    <row r="16132" spans="7:16" s="1634" customFormat="1">
      <c r="G16132" s="3336"/>
      <c r="P16132" s="3337"/>
    </row>
    <row r="16133" spans="7:16" s="1634" customFormat="1">
      <c r="G16133" s="3336"/>
      <c r="P16133" s="3337"/>
    </row>
    <row r="16134" spans="7:16" s="1634" customFormat="1">
      <c r="G16134" s="3336"/>
      <c r="P16134" s="3337"/>
    </row>
    <row r="16135" spans="7:16" s="1634" customFormat="1">
      <c r="G16135" s="3336"/>
      <c r="P16135" s="3337"/>
    </row>
    <row r="16136" spans="7:16" s="1634" customFormat="1">
      <c r="G16136" s="3336"/>
      <c r="P16136" s="3337"/>
    </row>
    <row r="16137" spans="7:16" s="1634" customFormat="1">
      <c r="G16137" s="3336"/>
      <c r="P16137" s="3337"/>
    </row>
    <row r="16138" spans="7:16" s="1634" customFormat="1">
      <c r="G16138" s="3336"/>
      <c r="P16138" s="3337"/>
    </row>
    <row r="16139" spans="7:16" s="1634" customFormat="1">
      <c r="G16139" s="3336"/>
      <c r="P16139" s="3337"/>
    </row>
    <row r="16140" spans="7:16" s="1634" customFormat="1">
      <c r="G16140" s="3336"/>
      <c r="P16140" s="3337"/>
    </row>
    <row r="16141" spans="7:16" s="1634" customFormat="1">
      <c r="G16141" s="3336"/>
      <c r="P16141" s="3337"/>
    </row>
    <row r="16142" spans="7:16" s="1634" customFormat="1">
      <c r="G16142" s="3336"/>
      <c r="P16142" s="3337"/>
    </row>
    <row r="16143" spans="7:16" s="1634" customFormat="1">
      <c r="G16143" s="3336"/>
      <c r="P16143" s="3337"/>
    </row>
    <row r="16144" spans="7:16" s="1634" customFormat="1">
      <c r="G16144" s="3336"/>
      <c r="P16144" s="3337"/>
    </row>
    <row r="16145" spans="7:16" s="1634" customFormat="1">
      <c r="G16145" s="3336"/>
      <c r="P16145" s="3337"/>
    </row>
    <row r="16146" spans="7:16" s="1634" customFormat="1">
      <c r="G16146" s="3336"/>
      <c r="P16146" s="3337"/>
    </row>
    <row r="16147" spans="7:16" s="1634" customFormat="1">
      <c r="G16147" s="3336"/>
      <c r="P16147" s="3337"/>
    </row>
    <row r="16148" spans="7:16" s="1634" customFormat="1">
      <c r="G16148" s="3336"/>
      <c r="P16148" s="3337"/>
    </row>
    <row r="16149" spans="7:16" s="1634" customFormat="1">
      <c r="G16149" s="3336"/>
      <c r="P16149" s="3337"/>
    </row>
    <row r="16150" spans="7:16" s="1634" customFormat="1">
      <c r="G16150" s="3336"/>
      <c r="P16150" s="3337"/>
    </row>
    <row r="16151" spans="7:16" s="1634" customFormat="1">
      <c r="G16151" s="3336"/>
      <c r="P16151" s="3337"/>
    </row>
    <row r="16152" spans="7:16" s="1634" customFormat="1">
      <c r="G16152" s="3336"/>
      <c r="P16152" s="3337"/>
    </row>
    <row r="16153" spans="7:16" s="1634" customFormat="1">
      <c r="G16153" s="3336"/>
      <c r="P16153" s="3337"/>
    </row>
    <row r="16154" spans="7:16" s="1634" customFormat="1">
      <c r="G16154" s="3336"/>
      <c r="P16154" s="3337"/>
    </row>
    <row r="16155" spans="7:16" s="1634" customFormat="1">
      <c r="G16155" s="3336"/>
      <c r="P16155" s="3337"/>
    </row>
    <row r="16156" spans="7:16" s="1634" customFormat="1">
      <c r="G16156" s="3336"/>
      <c r="P16156" s="3337"/>
    </row>
    <row r="16157" spans="7:16" s="1634" customFormat="1">
      <c r="G16157" s="3336"/>
      <c r="P16157" s="3337"/>
    </row>
    <row r="16158" spans="7:16" s="1634" customFormat="1">
      <c r="G16158" s="3336"/>
      <c r="P16158" s="3337"/>
    </row>
    <row r="16159" spans="7:16" s="1634" customFormat="1">
      <c r="G16159" s="3336"/>
      <c r="P16159" s="3337"/>
    </row>
    <row r="16160" spans="7:16" s="1634" customFormat="1">
      <c r="G16160" s="3336"/>
      <c r="P16160" s="3337"/>
    </row>
    <row r="16161" spans="7:16" s="1634" customFormat="1">
      <c r="G16161" s="3336"/>
      <c r="P16161" s="3337"/>
    </row>
    <row r="16162" spans="7:16" s="1634" customFormat="1">
      <c r="G16162" s="3336"/>
      <c r="P16162" s="3337"/>
    </row>
    <row r="16163" spans="7:16" s="1634" customFormat="1">
      <c r="G16163" s="3336"/>
      <c r="P16163" s="3337"/>
    </row>
    <row r="16164" spans="7:16" s="1634" customFormat="1">
      <c r="G16164" s="3336"/>
      <c r="P16164" s="3337"/>
    </row>
    <row r="16165" spans="7:16" s="1634" customFormat="1">
      <c r="G16165" s="3336"/>
      <c r="P16165" s="3337"/>
    </row>
    <row r="16166" spans="7:16" s="1634" customFormat="1">
      <c r="G16166" s="3336"/>
      <c r="P16166" s="3337"/>
    </row>
    <row r="16167" spans="7:16" s="1634" customFormat="1">
      <c r="G16167" s="3336"/>
      <c r="P16167" s="3337"/>
    </row>
    <row r="16168" spans="7:16" s="1634" customFormat="1">
      <c r="G16168" s="3336"/>
      <c r="P16168" s="3337"/>
    </row>
    <row r="16169" spans="7:16" s="1634" customFormat="1">
      <c r="G16169" s="3336"/>
      <c r="P16169" s="3337"/>
    </row>
    <row r="16170" spans="7:16" s="1634" customFormat="1">
      <c r="G16170" s="3336"/>
      <c r="P16170" s="3337"/>
    </row>
    <row r="16171" spans="7:16" s="1634" customFormat="1">
      <c r="G16171" s="3336"/>
      <c r="P16171" s="3337"/>
    </row>
    <row r="16172" spans="7:16" s="1634" customFormat="1">
      <c r="G16172" s="3336"/>
      <c r="P16172" s="3337"/>
    </row>
    <row r="16173" spans="7:16" s="1634" customFormat="1">
      <c r="G16173" s="3336"/>
      <c r="P16173" s="3337"/>
    </row>
    <row r="16174" spans="7:16" s="1634" customFormat="1">
      <c r="G16174" s="3336"/>
      <c r="P16174" s="3337"/>
    </row>
    <row r="16175" spans="7:16" s="1634" customFormat="1">
      <c r="G16175" s="3336"/>
      <c r="P16175" s="3337"/>
    </row>
    <row r="16176" spans="7:16" s="1634" customFormat="1">
      <c r="G16176" s="3336"/>
      <c r="P16176" s="3337"/>
    </row>
    <row r="16177" spans="7:16" s="1634" customFormat="1">
      <c r="G16177" s="3336"/>
      <c r="P16177" s="3337"/>
    </row>
    <row r="16178" spans="7:16" s="1634" customFormat="1">
      <c r="G16178" s="3336"/>
      <c r="P16178" s="3337"/>
    </row>
    <row r="16179" spans="7:16" s="1634" customFormat="1">
      <c r="G16179" s="3336"/>
      <c r="P16179" s="3337"/>
    </row>
    <row r="16180" spans="7:16" s="1634" customFormat="1">
      <c r="G16180" s="3336"/>
      <c r="P16180" s="3337"/>
    </row>
    <row r="16181" spans="7:16" s="1634" customFormat="1">
      <c r="G16181" s="3336"/>
      <c r="P16181" s="3337"/>
    </row>
    <row r="16182" spans="7:16" s="1634" customFormat="1">
      <c r="G16182" s="3336"/>
      <c r="P16182" s="3337"/>
    </row>
    <row r="16183" spans="7:16" s="1634" customFormat="1">
      <c r="G16183" s="3336"/>
      <c r="P16183" s="3337"/>
    </row>
    <row r="16184" spans="7:16" s="1634" customFormat="1">
      <c r="G16184" s="3336"/>
      <c r="P16184" s="3337"/>
    </row>
    <row r="16185" spans="7:16" s="1634" customFormat="1">
      <c r="G16185" s="3336"/>
      <c r="P16185" s="3337"/>
    </row>
    <row r="16186" spans="7:16" s="1634" customFormat="1">
      <c r="G16186" s="3336"/>
      <c r="P16186" s="3337"/>
    </row>
    <row r="16187" spans="7:16" s="1634" customFormat="1">
      <c r="G16187" s="3336"/>
      <c r="P16187" s="3337"/>
    </row>
    <row r="16188" spans="7:16" s="1634" customFormat="1">
      <c r="G16188" s="3336"/>
      <c r="P16188" s="3337"/>
    </row>
    <row r="16189" spans="7:16" s="1634" customFormat="1">
      <c r="G16189" s="3336"/>
      <c r="P16189" s="3337"/>
    </row>
    <row r="16190" spans="7:16" s="1634" customFormat="1">
      <c r="G16190" s="3336"/>
      <c r="P16190" s="3337"/>
    </row>
    <row r="16191" spans="7:16" s="1634" customFormat="1">
      <c r="G16191" s="3336"/>
      <c r="P16191" s="3337"/>
    </row>
    <row r="16192" spans="7:16" s="1634" customFormat="1">
      <c r="G16192" s="3336"/>
      <c r="P16192" s="3337"/>
    </row>
    <row r="16193" spans="7:16" s="1634" customFormat="1">
      <c r="G16193" s="3336"/>
      <c r="P16193" s="3337"/>
    </row>
    <row r="16194" spans="7:16" s="1634" customFormat="1">
      <c r="G16194" s="3336"/>
      <c r="P16194" s="3337"/>
    </row>
    <row r="16195" spans="7:16" s="1634" customFormat="1">
      <c r="G16195" s="3336"/>
      <c r="P16195" s="3337"/>
    </row>
    <row r="16196" spans="7:16" s="1634" customFormat="1">
      <c r="G16196" s="3336"/>
      <c r="P16196" s="3337"/>
    </row>
    <row r="16197" spans="7:16" s="1634" customFormat="1">
      <c r="G16197" s="3336"/>
      <c r="P16197" s="3337"/>
    </row>
    <row r="16198" spans="7:16" s="1634" customFormat="1">
      <c r="G16198" s="3336"/>
      <c r="P16198" s="3337"/>
    </row>
    <row r="16199" spans="7:16" s="1634" customFormat="1">
      <c r="G16199" s="3336"/>
      <c r="P16199" s="3337"/>
    </row>
    <row r="16200" spans="7:16" s="1634" customFormat="1">
      <c r="G16200" s="3336"/>
      <c r="P16200" s="3337"/>
    </row>
    <row r="16201" spans="7:16" s="1634" customFormat="1">
      <c r="G16201" s="3336"/>
      <c r="P16201" s="3337"/>
    </row>
    <row r="16202" spans="7:16" s="1634" customFormat="1">
      <c r="G16202" s="3336"/>
      <c r="P16202" s="3337"/>
    </row>
    <row r="16203" spans="7:16" s="1634" customFormat="1">
      <c r="G16203" s="3336"/>
      <c r="P16203" s="3337"/>
    </row>
    <row r="16204" spans="7:16" s="1634" customFormat="1">
      <c r="G16204" s="3336"/>
      <c r="P16204" s="3337"/>
    </row>
    <row r="16205" spans="7:16" s="1634" customFormat="1">
      <c r="G16205" s="3336"/>
      <c r="P16205" s="3337"/>
    </row>
    <row r="16206" spans="7:16" s="1634" customFormat="1">
      <c r="G16206" s="3336"/>
      <c r="P16206" s="3337"/>
    </row>
    <row r="16207" spans="7:16" s="1634" customFormat="1">
      <c r="G16207" s="3336"/>
      <c r="P16207" s="3337"/>
    </row>
    <row r="16208" spans="7:16" s="1634" customFormat="1">
      <c r="G16208" s="3336"/>
      <c r="P16208" s="3337"/>
    </row>
    <row r="16209" spans="7:16" s="1634" customFormat="1">
      <c r="G16209" s="3336"/>
      <c r="P16209" s="3337"/>
    </row>
    <row r="16210" spans="7:16" s="1634" customFormat="1">
      <c r="G16210" s="3336"/>
      <c r="P16210" s="3337"/>
    </row>
    <row r="16211" spans="7:16" s="1634" customFormat="1">
      <c r="G16211" s="3336"/>
      <c r="P16211" s="3337"/>
    </row>
    <row r="16212" spans="7:16" s="1634" customFormat="1">
      <c r="G16212" s="3336"/>
      <c r="P16212" s="3337"/>
    </row>
    <row r="16213" spans="7:16" s="1634" customFormat="1">
      <c r="G16213" s="3336"/>
      <c r="P16213" s="3337"/>
    </row>
    <row r="16214" spans="7:16" s="1634" customFormat="1">
      <c r="G16214" s="3336"/>
      <c r="P16214" s="3337"/>
    </row>
    <row r="16215" spans="7:16" s="1634" customFormat="1">
      <c r="G16215" s="3336"/>
      <c r="P16215" s="3337"/>
    </row>
    <row r="16216" spans="7:16" s="1634" customFormat="1">
      <c r="G16216" s="3336"/>
      <c r="P16216" s="3337"/>
    </row>
    <row r="16217" spans="7:16" s="1634" customFormat="1">
      <c r="G16217" s="3336"/>
      <c r="P16217" s="3337"/>
    </row>
    <row r="16218" spans="7:16" s="1634" customFormat="1">
      <c r="G16218" s="3336"/>
      <c r="P16218" s="3337"/>
    </row>
    <row r="16219" spans="7:16" s="1634" customFormat="1">
      <c r="G16219" s="3336"/>
      <c r="P16219" s="3337"/>
    </row>
    <row r="16220" spans="7:16" s="1634" customFormat="1">
      <c r="G16220" s="3336"/>
      <c r="P16220" s="3337"/>
    </row>
    <row r="16221" spans="7:16" s="1634" customFormat="1">
      <c r="G16221" s="3336"/>
      <c r="P16221" s="3337"/>
    </row>
    <row r="16222" spans="7:16" s="1634" customFormat="1">
      <c r="G16222" s="3336"/>
      <c r="P16222" s="3337"/>
    </row>
    <row r="16223" spans="7:16" s="1634" customFormat="1">
      <c r="G16223" s="3336"/>
      <c r="P16223" s="3337"/>
    </row>
    <row r="16224" spans="7:16" s="1634" customFormat="1">
      <c r="G16224" s="3336"/>
      <c r="P16224" s="3337"/>
    </row>
    <row r="16225" spans="7:16" s="1634" customFormat="1">
      <c r="G16225" s="3336"/>
      <c r="P16225" s="3337"/>
    </row>
    <row r="16226" spans="7:16" s="1634" customFormat="1">
      <c r="G16226" s="3336"/>
      <c r="P16226" s="3337"/>
    </row>
    <row r="16227" spans="7:16" s="1634" customFormat="1">
      <c r="G16227" s="3336"/>
      <c r="P16227" s="3337"/>
    </row>
    <row r="16228" spans="7:16" s="1634" customFormat="1">
      <c r="G16228" s="3336"/>
      <c r="P16228" s="3337"/>
    </row>
    <row r="16229" spans="7:16" s="1634" customFormat="1">
      <c r="G16229" s="3336"/>
      <c r="P16229" s="3337"/>
    </row>
    <row r="16230" spans="7:16" s="1634" customFormat="1">
      <c r="G16230" s="3336"/>
      <c r="P16230" s="3337"/>
    </row>
    <row r="16231" spans="7:16" s="1634" customFormat="1">
      <c r="G16231" s="3336"/>
      <c r="P16231" s="3337"/>
    </row>
    <row r="16232" spans="7:16" s="1634" customFormat="1">
      <c r="G16232" s="3336"/>
      <c r="P16232" s="3337"/>
    </row>
    <row r="16233" spans="7:16" s="1634" customFormat="1">
      <c r="G16233" s="3336"/>
      <c r="P16233" s="3337"/>
    </row>
    <row r="16234" spans="7:16" s="1634" customFormat="1">
      <c r="G16234" s="3336"/>
      <c r="P16234" s="3337"/>
    </row>
    <row r="16235" spans="7:16" s="1634" customFormat="1">
      <c r="G16235" s="3336"/>
      <c r="P16235" s="3337"/>
    </row>
    <row r="16236" spans="7:16" s="1634" customFormat="1">
      <c r="G16236" s="3336"/>
      <c r="P16236" s="3337"/>
    </row>
    <row r="16237" spans="7:16" s="1634" customFormat="1">
      <c r="G16237" s="3336"/>
      <c r="P16237" s="3337"/>
    </row>
    <row r="16238" spans="7:16" s="1634" customFormat="1">
      <c r="G16238" s="3336"/>
      <c r="P16238" s="3337"/>
    </row>
    <row r="16239" spans="7:16" s="1634" customFormat="1">
      <c r="G16239" s="3336"/>
      <c r="P16239" s="3337"/>
    </row>
    <row r="16240" spans="7:16" s="1634" customFormat="1">
      <c r="G16240" s="3336"/>
      <c r="P16240" s="3337"/>
    </row>
    <row r="16241" spans="7:16" s="1634" customFormat="1">
      <c r="G16241" s="3336"/>
      <c r="P16241" s="3337"/>
    </row>
    <row r="16242" spans="7:16" s="1634" customFormat="1">
      <c r="G16242" s="3336"/>
      <c r="P16242" s="3337"/>
    </row>
    <row r="16243" spans="7:16" s="1634" customFormat="1">
      <c r="G16243" s="3336"/>
      <c r="P16243" s="3337"/>
    </row>
    <row r="16244" spans="7:16" s="1634" customFormat="1">
      <c r="G16244" s="3336"/>
      <c r="P16244" s="3337"/>
    </row>
    <row r="16245" spans="7:16" s="1634" customFormat="1">
      <c r="G16245" s="3336"/>
      <c r="P16245" s="3337"/>
    </row>
    <row r="16246" spans="7:16" s="1634" customFormat="1">
      <c r="G16246" s="3336"/>
      <c r="P16246" s="3337"/>
    </row>
    <row r="16247" spans="7:16" s="1634" customFormat="1">
      <c r="G16247" s="3336"/>
      <c r="P16247" s="3337"/>
    </row>
    <row r="16248" spans="7:16" s="1634" customFormat="1">
      <c r="G16248" s="3336"/>
      <c r="P16248" s="3337"/>
    </row>
    <row r="16249" spans="7:16" s="1634" customFormat="1">
      <c r="G16249" s="3336"/>
      <c r="P16249" s="3337"/>
    </row>
    <row r="16250" spans="7:16" s="1634" customFormat="1">
      <c r="G16250" s="3336"/>
      <c r="P16250" s="3337"/>
    </row>
    <row r="16251" spans="7:16" s="1634" customFormat="1">
      <c r="G16251" s="3336"/>
      <c r="P16251" s="3337"/>
    </row>
    <row r="16252" spans="7:16" s="1634" customFormat="1">
      <c r="G16252" s="3336"/>
      <c r="P16252" s="3337"/>
    </row>
    <row r="16253" spans="7:16" s="1634" customFormat="1">
      <c r="G16253" s="3336"/>
      <c r="P16253" s="3337"/>
    </row>
    <row r="16254" spans="7:16" s="1634" customFormat="1">
      <c r="G16254" s="3336"/>
      <c r="P16254" s="3337"/>
    </row>
    <row r="16255" spans="7:16" s="1634" customFormat="1">
      <c r="G16255" s="3336"/>
      <c r="P16255" s="3337"/>
    </row>
    <row r="16256" spans="7:16" s="1634" customFormat="1">
      <c r="G16256" s="3336"/>
      <c r="P16256" s="3337"/>
    </row>
    <row r="16257" spans="7:16" s="1634" customFormat="1">
      <c r="G16257" s="3336"/>
      <c r="P16257" s="3337"/>
    </row>
    <row r="16258" spans="7:16" s="1634" customFormat="1">
      <c r="G16258" s="3336"/>
      <c r="P16258" s="3337"/>
    </row>
    <row r="16259" spans="7:16" s="1634" customFormat="1">
      <c r="G16259" s="3336"/>
      <c r="P16259" s="3337"/>
    </row>
    <row r="16260" spans="7:16" s="1634" customFormat="1">
      <c r="G16260" s="3336"/>
      <c r="P16260" s="3337"/>
    </row>
    <row r="16261" spans="7:16" s="1634" customFormat="1">
      <c r="G16261" s="3336"/>
      <c r="P16261" s="3337"/>
    </row>
    <row r="16262" spans="7:16" s="1634" customFormat="1">
      <c r="G16262" s="3336"/>
      <c r="P16262" s="3337"/>
    </row>
    <row r="16263" spans="7:16" s="1634" customFormat="1">
      <c r="G16263" s="3336"/>
      <c r="P16263" s="3337"/>
    </row>
    <row r="16264" spans="7:16" s="1634" customFormat="1">
      <c r="G16264" s="3336"/>
      <c r="P16264" s="3337"/>
    </row>
    <row r="16265" spans="7:16" s="1634" customFormat="1">
      <c r="G16265" s="3336"/>
      <c r="P16265" s="3337"/>
    </row>
    <row r="16266" spans="7:16" s="1634" customFormat="1">
      <c r="G16266" s="3336"/>
      <c r="P16266" s="3337"/>
    </row>
    <row r="16267" spans="7:16" s="1634" customFormat="1">
      <c r="G16267" s="3336"/>
      <c r="P16267" s="3337"/>
    </row>
    <row r="16268" spans="7:16" s="1634" customFormat="1">
      <c r="G16268" s="3336"/>
      <c r="P16268" s="3337"/>
    </row>
    <row r="16269" spans="7:16" s="1634" customFormat="1">
      <c r="G16269" s="3336"/>
      <c r="P16269" s="3337"/>
    </row>
    <row r="16270" spans="7:16" s="1634" customFormat="1">
      <c r="G16270" s="3336"/>
      <c r="P16270" s="3337"/>
    </row>
    <row r="16271" spans="7:16" s="1634" customFormat="1">
      <c r="G16271" s="3336"/>
      <c r="P16271" s="3337"/>
    </row>
    <row r="16272" spans="7:16" s="1634" customFormat="1">
      <c r="G16272" s="3336"/>
      <c r="P16272" s="3337"/>
    </row>
    <row r="16273" spans="7:16" s="1634" customFormat="1">
      <c r="G16273" s="3336"/>
      <c r="P16273" s="3337"/>
    </row>
    <row r="16274" spans="7:16" s="1634" customFormat="1">
      <c r="G16274" s="3336"/>
      <c r="P16274" s="3337"/>
    </row>
    <row r="16275" spans="7:16" s="1634" customFormat="1">
      <c r="G16275" s="3336"/>
      <c r="P16275" s="3337"/>
    </row>
    <row r="16276" spans="7:16" s="1634" customFormat="1">
      <c r="G16276" s="3336"/>
      <c r="P16276" s="3337"/>
    </row>
    <row r="16277" spans="7:16" s="1634" customFormat="1">
      <c r="G16277" s="3336"/>
      <c r="P16277" s="3337"/>
    </row>
    <row r="16278" spans="7:16" s="1634" customFormat="1">
      <c r="G16278" s="3336"/>
      <c r="P16278" s="3337"/>
    </row>
    <row r="16279" spans="7:16" s="1634" customFormat="1">
      <c r="G16279" s="3336"/>
      <c r="P16279" s="3337"/>
    </row>
    <row r="16280" spans="7:16" s="1634" customFormat="1">
      <c r="G16280" s="3336"/>
      <c r="P16280" s="3337"/>
    </row>
    <row r="16281" spans="7:16" s="1634" customFormat="1">
      <c r="G16281" s="3336"/>
      <c r="P16281" s="3337"/>
    </row>
    <row r="16282" spans="7:16" s="1634" customFormat="1">
      <c r="G16282" s="3336"/>
      <c r="P16282" s="3337"/>
    </row>
    <row r="16283" spans="7:16" s="1634" customFormat="1">
      <c r="G16283" s="3336"/>
      <c r="P16283" s="3337"/>
    </row>
    <row r="16284" spans="7:16" s="1634" customFormat="1">
      <c r="G16284" s="3336"/>
      <c r="P16284" s="3337"/>
    </row>
    <row r="16285" spans="7:16" s="1634" customFormat="1">
      <c r="G16285" s="3336"/>
      <c r="P16285" s="3337"/>
    </row>
    <row r="16286" spans="7:16" s="1634" customFormat="1">
      <c r="G16286" s="3336"/>
      <c r="P16286" s="3337"/>
    </row>
    <row r="16287" spans="7:16" s="1634" customFormat="1">
      <c r="G16287" s="3336"/>
      <c r="P16287" s="3337"/>
    </row>
    <row r="16288" spans="7:16" s="1634" customFormat="1">
      <c r="G16288" s="3336"/>
      <c r="P16288" s="3337"/>
    </row>
    <row r="16289" spans="7:16" s="1634" customFormat="1">
      <c r="G16289" s="3336"/>
      <c r="P16289" s="3337"/>
    </row>
    <row r="16290" spans="7:16" s="1634" customFormat="1">
      <c r="G16290" s="3336"/>
      <c r="P16290" s="3337"/>
    </row>
    <row r="16291" spans="7:16" s="1634" customFormat="1">
      <c r="G16291" s="3336"/>
      <c r="P16291" s="3337"/>
    </row>
    <row r="16292" spans="7:16" s="1634" customFormat="1">
      <c r="G16292" s="3336"/>
      <c r="P16292" s="3337"/>
    </row>
    <row r="16293" spans="7:16" s="1634" customFormat="1">
      <c r="G16293" s="3336"/>
      <c r="P16293" s="3337"/>
    </row>
    <row r="16294" spans="7:16" s="1634" customFormat="1">
      <c r="G16294" s="3336"/>
      <c r="P16294" s="3337"/>
    </row>
    <row r="16295" spans="7:16" s="1634" customFormat="1">
      <c r="G16295" s="3336"/>
      <c r="P16295" s="3337"/>
    </row>
    <row r="16296" spans="7:16" s="1634" customFormat="1">
      <c r="G16296" s="3336"/>
      <c r="P16296" s="3337"/>
    </row>
    <row r="16297" spans="7:16" s="1634" customFormat="1">
      <c r="G16297" s="3336"/>
      <c r="P16297" s="3337"/>
    </row>
    <row r="16298" spans="7:16" s="1634" customFormat="1">
      <c r="G16298" s="3336"/>
      <c r="P16298" s="3337"/>
    </row>
    <row r="16299" spans="7:16" s="1634" customFormat="1">
      <c r="G16299" s="3336"/>
      <c r="P16299" s="3337"/>
    </row>
    <row r="16300" spans="7:16" s="1634" customFormat="1">
      <c r="G16300" s="3336"/>
      <c r="P16300" s="3337"/>
    </row>
    <row r="16301" spans="7:16" s="1634" customFormat="1">
      <c r="G16301" s="3336"/>
      <c r="P16301" s="3337"/>
    </row>
    <row r="16302" spans="7:16" s="1634" customFormat="1">
      <c r="G16302" s="3336"/>
      <c r="P16302" s="3337"/>
    </row>
    <row r="16303" spans="7:16" s="1634" customFormat="1">
      <c r="G16303" s="3336"/>
      <c r="P16303" s="3337"/>
    </row>
    <row r="16304" spans="7:16" s="1634" customFormat="1">
      <c r="G16304" s="3336"/>
      <c r="P16304" s="3337"/>
    </row>
    <row r="16305" spans="7:16" s="1634" customFormat="1">
      <c r="G16305" s="3336"/>
      <c r="P16305" s="3337"/>
    </row>
    <row r="16306" spans="7:16" s="1634" customFormat="1">
      <c r="G16306" s="3336"/>
      <c r="P16306" s="3337"/>
    </row>
    <row r="16307" spans="7:16" s="1634" customFormat="1">
      <c r="G16307" s="3336"/>
      <c r="P16307" s="3337"/>
    </row>
    <row r="16308" spans="7:16" s="1634" customFormat="1">
      <c r="G16308" s="3336"/>
      <c r="P16308" s="3337"/>
    </row>
    <row r="16309" spans="7:16" s="1634" customFormat="1">
      <c r="G16309" s="3336"/>
      <c r="P16309" s="3337"/>
    </row>
    <row r="16310" spans="7:16" s="1634" customFormat="1">
      <c r="G16310" s="3336"/>
      <c r="P16310" s="3337"/>
    </row>
    <row r="16311" spans="7:16" s="1634" customFormat="1">
      <c r="G16311" s="3336"/>
      <c r="P16311" s="3337"/>
    </row>
    <row r="16312" spans="7:16" s="1634" customFormat="1">
      <c r="G16312" s="3336"/>
      <c r="P16312" s="3337"/>
    </row>
    <row r="16313" spans="7:16" s="1634" customFormat="1">
      <c r="G16313" s="3336"/>
      <c r="P16313" s="3337"/>
    </row>
    <row r="16314" spans="7:16" s="1634" customFormat="1">
      <c r="G16314" s="3336"/>
      <c r="P16314" s="3337"/>
    </row>
    <row r="16315" spans="7:16" s="1634" customFormat="1">
      <c r="G16315" s="3336"/>
      <c r="P16315" s="3337"/>
    </row>
    <row r="16316" spans="7:16" s="1634" customFormat="1">
      <c r="G16316" s="3336"/>
      <c r="P16316" s="3337"/>
    </row>
    <row r="16317" spans="7:16" s="1634" customFormat="1">
      <c r="G16317" s="3336"/>
      <c r="P16317" s="3337"/>
    </row>
    <row r="16318" spans="7:16" s="1634" customFormat="1">
      <c r="G16318" s="3336"/>
      <c r="P16318" s="3337"/>
    </row>
    <row r="16319" spans="7:16" s="1634" customFormat="1">
      <c r="G16319" s="3336"/>
      <c r="P16319" s="3337"/>
    </row>
    <row r="16320" spans="7:16" s="1634" customFormat="1">
      <c r="G16320" s="3336"/>
      <c r="P16320" s="3337"/>
    </row>
    <row r="16321" spans="7:16" s="1634" customFormat="1">
      <c r="G16321" s="3336"/>
      <c r="P16321" s="3337"/>
    </row>
    <row r="16322" spans="7:16" s="1634" customFormat="1">
      <c r="G16322" s="3336"/>
      <c r="P16322" s="3337"/>
    </row>
    <row r="16323" spans="7:16" s="1634" customFormat="1">
      <c r="G16323" s="3336"/>
      <c r="P16323" s="3337"/>
    </row>
    <row r="16324" spans="7:16" s="1634" customFormat="1">
      <c r="G16324" s="3336"/>
      <c r="P16324" s="3337"/>
    </row>
    <row r="16325" spans="7:16" s="1634" customFormat="1">
      <c r="G16325" s="3336"/>
      <c r="P16325" s="3337"/>
    </row>
    <row r="16326" spans="7:16" s="1634" customFormat="1">
      <c r="G16326" s="3336"/>
      <c r="P16326" s="3337"/>
    </row>
    <row r="16327" spans="7:16" s="1634" customFormat="1">
      <c r="G16327" s="3336"/>
      <c r="P16327" s="3337"/>
    </row>
    <row r="16328" spans="7:16" s="1634" customFormat="1">
      <c r="G16328" s="3336"/>
      <c r="P16328" s="3337"/>
    </row>
    <row r="16329" spans="7:16" s="1634" customFormat="1">
      <c r="G16329" s="3336"/>
      <c r="P16329" s="3337"/>
    </row>
    <row r="16330" spans="7:16" s="1634" customFormat="1">
      <c r="G16330" s="3336"/>
      <c r="P16330" s="3337"/>
    </row>
    <row r="16331" spans="7:16" s="1634" customFormat="1">
      <c r="G16331" s="3336"/>
      <c r="P16331" s="3337"/>
    </row>
    <row r="16332" spans="7:16" s="1634" customFormat="1">
      <c r="G16332" s="3336"/>
      <c r="P16332" s="3337"/>
    </row>
    <row r="16333" spans="7:16" s="1634" customFormat="1">
      <c r="G16333" s="3336"/>
      <c r="P16333" s="3337"/>
    </row>
    <row r="16334" spans="7:16" s="1634" customFormat="1">
      <c r="G16334" s="3336"/>
      <c r="P16334" s="3337"/>
    </row>
    <row r="16335" spans="7:16" s="1634" customFormat="1">
      <c r="G16335" s="3336"/>
      <c r="P16335" s="3337"/>
    </row>
    <row r="16336" spans="7:16" s="1634" customFormat="1">
      <c r="G16336" s="3336"/>
      <c r="P16336" s="3337"/>
    </row>
    <row r="16337" spans="7:16" s="1634" customFormat="1">
      <c r="G16337" s="3336"/>
      <c r="P16337" s="3337"/>
    </row>
    <row r="16338" spans="7:16" s="1634" customFormat="1">
      <c r="G16338" s="3336"/>
      <c r="P16338" s="3337"/>
    </row>
    <row r="16339" spans="7:16" s="1634" customFormat="1">
      <c r="G16339" s="3336"/>
      <c r="P16339" s="3337"/>
    </row>
    <row r="16340" spans="7:16" s="1634" customFormat="1">
      <c r="G16340" s="3336"/>
      <c r="P16340" s="3337"/>
    </row>
    <row r="16341" spans="7:16" s="1634" customFormat="1">
      <c r="G16341" s="3336"/>
      <c r="P16341" s="3337"/>
    </row>
    <row r="16342" spans="7:16" s="1634" customFormat="1">
      <c r="G16342" s="3336"/>
      <c r="P16342" s="3337"/>
    </row>
    <row r="16343" spans="7:16" s="1634" customFormat="1">
      <c r="G16343" s="3336"/>
      <c r="P16343" s="3337"/>
    </row>
    <row r="16344" spans="7:16" s="1634" customFormat="1">
      <c r="G16344" s="3336"/>
      <c r="P16344" s="3337"/>
    </row>
    <row r="16345" spans="7:16" s="1634" customFormat="1">
      <c r="G16345" s="3336"/>
      <c r="P16345" s="3337"/>
    </row>
    <row r="16346" spans="7:16" s="1634" customFormat="1">
      <c r="G16346" s="3336"/>
      <c r="P16346" s="3337"/>
    </row>
    <row r="16347" spans="7:16" s="1634" customFormat="1">
      <c r="G16347" s="3336"/>
      <c r="P16347" s="3337"/>
    </row>
    <row r="16348" spans="7:16" s="1634" customFormat="1">
      <c r="G16348" s="3336"/>
      <c r="P16348" s="3337"/>
    </row>
    <row r="16349" spans="7:16" s="1634" customFormat="1">
      <c r="G16349" s="3336"/>
      <c r="P16349" s="3337"/>
    </row>
    <row r="16350" spans="7:16" s="1634" customFormat="1">
      <c r="G16350" s="3336"/>
      <c r="P16350" s="3337"/>
    </row>
    <row r="16351" spans="7:16" s="1634" customFormat="1">
      <c r="G16351" s="3336"/>
      <c r="P16351" s="3337"/>
    </row>
    <row r="16352" spans="7:16" s="1634" customFormat="1">
      <c r="G16352" s="3336"/>
      <c r="P16352" s="3337"/>
    </row>
    <row r="16353" spans="7:16" s="1634" customFormat="1">
      <c r="G16353" s="3336"/>
      <c r="P16353" s="3337"/>
    </row>
    <row r="16354" spans="7:16" s="1634" customFormat="1">
      <c r="G16354" s="3336"/>
      <c r="P16354" s="3337"/>
    </row>
    <row r="16355" spans="7:16" s="1634" customFormat="1">
      <c r="G16355" s="3336"/>
      <c r="P16355" s="3337"/>
    </row>
    <row r="16356" spans="7:16" s="1634" customFormat="1">
      <c r="G16356" s="3336"/>
      <c r="P16356" s="3337"/>
    </row>
    <row r="16357" spans="7:16" s="1634" customFormat="1">
      <c r="G16357" s="3336"/>
      <c r="P16357" s="3337"/>
    </row>
    <row r="16358" spans="7:16" s="1634" customFormat="1">
      <c r="G16358" s="3336"/>
      <c r="P16358" s="3337"/>
    </row>
    <row r="16359" spans="7:16" s="1634" customFormat="1">
      <c r="G16359" s="3336"/>
      <c r="P16359" s="3337"/>
    </row>
    <row r="16360" spans="7:16" s="1634" customFormat="1">
      <c r="G16360" s="3336"/>
      <c r="P16360" s="3337"/>
    </row>
    <row r="16361" spans="7:16" s="1634" customFormat="1">
      <c r="G16361" s="3336"/>
      <c r="P16361" s="3337"/>
    </row>
    <row r="16362" spans="7:16" s="1634" customFormat="1">
      <c r="G16362" s="3336"/>
      <c r="P16362" s="3337"/>
    </row>
    <row r="16363" spans="7:16" s="1634" customFormat="1">
      <c r="G16363" s="3336"/>
      <c r="P16363" s="3337"/>
    </row>
    <row r="16364" spans="7:16" s="1634" customFormat="1">
      <c r="G16364" s="3336"/>
      <c r="P16364" s="3337"/>
    </row>
    <row r="16365" spans="7:16" s="1634" customFormat="1">
      <c r="G16365" s="3336"/>
      <c r="P16365" s="3337"/>
    </row>
    <row r="16366" spans="7:16" s="1634" customFormat="1">
      <c r="G16366" s="3336"/>
      <c r="P16366" s="3337"/>
    </row>
    <row r="16367" spans="7:16" s="1634" customFormat="1">
      <c r="G16367" s="3336"/>
      <c r="P16367" s="3337"/>
    </row>
    <row r="16368" spans="7:16" s="1634" customFormat="1">
      <c r="G16368" s="3336"/>
      <c r="P16368" s="3337"/>
    </row>
    <row r="16369" spans="7:16" s="1634" customFormat="1">
      <c r="G16369" s="3336"/>
      <c r="P16369" s="3337"/>
    </row>
    <row r="16370" spans="7:16" s="1634" customFormat="1">
      <c r="G16370" s="3336"/>
      <c r="P16370" s="3337"/>
    </row>
    <row r="16371" spans="7:16" s="1634" customFormat="1">
      <c r="G16371" s="3336"/>
      <c r="P16371" s="3337"/>
    </row>
    <row r="16372" spans="7:16" s="1634" customFormat="1">
      <c r="G16372" s="3336"/>
      <c r="P16372" s="3337"/>
    </row>
    <row r="16373" spans="7:16" s="1634" customFormat="1">
      <c r="G16373" s="3336"/>
      <c r="P16373" s="3337"/>
    </row>
    <row r="16374" spans="7:16" s="1634" customFormat="1">
      <c r="G16374" s="3336"/>
      <c r="P16374" s="3337"/>
    </row>
    <row r="16375" spans="7:16" s="1634" customFormat="1">
      <c r="G16375" s="3336"/>
      <c r="P16375" s="3337"/>
    </row>
    <row r="16376" spans="7:16" s="1634" customFormat="1">
      <c r="G16376" s="3336"/>
      <c r="P16376" s="3337"/>
    </row>
    <row r="16377" spans="7:16" s="1634" customFormat="1">
      <c r="G16377" s="3336"/>
      <c r="P16377" s="3337"/>
    </row>
    <row r="16378" spans="7:16" s="1634" customFormat="1">
      <c r="G16378" s="3336"/>
      <c r="P16378" s="3337"/>
    </row>
    <row r="16379" spans="7:16" s="1634" customFormat="1">
      <c r="G16379" s="3336"/>
      <c r="P16379" s="3337"/>
    </row>
    <row r="16380" spans="7:16" s="1634" customFormat="1">
      <c r="G16380" s="3336"/>
      <c r="P16380" s="3337"/>
    </row>
    <row r="16381" spans="7:16" s="1634" customFormat="1">
      <c r="G16381" s="3336"/>
      <c r="P16381" s="3337"/>
    </row>
    <row r="16382" spans="7:16" s="1634" customFormat="1">
      <c r="G16382" s="3336"/>
      <c r="P16382" s="3337"/>
    </row>
    <row r="16383" spans="7:16" s="1634" customFormat="1">
      <c r="G16383" s="3336"/>
      <c r="P16383" s="3337"/>
    </row>
    <row r="16384" spans="7:16" s="1634" customFormat="1">
      <c r="G16384" s="3336"/>
      <c r="P16384" s="3337"/>
    </row>
    <row r="16385" spans="7:16" s="1634" customFormat="1">
      <c r="G16385" s="3336"/>
      <c r="P16385" s="3337"/>
    </row>
    <row r="16386" spans="7:16" s="1634" customFormat="1">
      <c r="G16386" s="3336"/>
      <c r="P16386" s="3337"/>
    </row>
    <row r="16387" spans="7:16" s="1634" customFormat="1">
      <c r="G16387" s="3336"/>
      <c r="P16387" s="3337"/>
    </row>
    <row r="16388" spans="7:16" s="1634" customFormat="1">
      <c r="G16388" s="3336"/>
      <c r="P16388" s="3337"/>
    </row>
    <row r="16389" spans="7:16" s="1634" customFormat="1">
      <c r="G16389" s="3336"/>
      <c r="P16389" s="3337"/>
    </row>
    <row r="16390" spans="7:16" s="1634" customFormat="1">
      <c r="G16390" s="3336"/>
      <c r="P16390" s="3337"/>
    </row>
    <row r="16391" spans="7:16" s="1634" customFormat="1">
      <c r="G16391" s="3336"/>
      <c r="P16391" s="3337"/>
    </row>
    <row r="16392" spans="7:16" s="1634" customFormat="1">
      <c r="G16392" s="3336"/>
      <c r="P16392" s="3337"/>
    </row>
    <row r="16393" spans="7:16" s="1634" customFormat="1">
      <c r="G16393" s="3336"/>
      <c r="P16393" s="3337"/>
    </row>
    <row r="16394" spans="7:16" s="1634" customFormat="1">
      <c r="G16394" s="3336"/>
      <c r="P16394" s="3337"/>
    </row>
    <row r="16395" spans="7:16" s="1634" customFormat="1">
      <c r="G16395" s="3336"/>
      <c r="P16395" s="3337"/>
    </row>
    <row r="16396" spans="7:16" s="1634" customFormat="1">
      <c r="G16396" s="3336"/>
      <c r="P16396" s="3337"/>
    </row>
    <row r="16397" spans="7:16" s="1634" customFormat="1">
      <c r="G16397" s="3336"/>
      <c r="P16397" s="3337"/>
    </row>
    <row r="16398" spans="7:16" s="1634" customFormat="1">
      <c r="G16398" s="3336"/>
      <c r="P16398" s="3337"/>
    </row>
    <row r="16399" spans="7:16" s="1634" customFormat="1">
      <c r="G16399" s="3336"/>
      <c r="P16399" s="3337"/>
    </row>
    <row r="16400" spans="7:16" s="1634" customFormat="1">
      <c r="G16400" s="3336"/>
      <c r="P16400" s="3337"/>
    </row>
    <row r="16401" spans="7:16" s="1634" customFormat="1">
      <c r="G16401" s="3336"/>
      <c r="P16401" s="3337"/>
    </row>
    <row r="16402" spans="7:16" s="1634" customFormat="1">
      <c r="G16402" s="3336"/>
      <c r="P16402" s="3337"/>
    </row>
    <row r="16403" spans="7:16" s="1634" customFormat="1">
      <c r="G16403" s="3336"/>
      <c r="P16403" s="3337"/>
    </row>
    <row r="16404" spans="7:16" s="1634" customFormat="1">
      <c r="G16404" s="3336"/>
      <c r="P16404" s="3337"/>
    </row>
    <row r="16405" spans="7:16" s="1634" customFormat="1">
      <c r="G16405" s="3336"/>
      <c r="P16405" s="3337"/>
    </row>
    <row r="16406" spans="7:16" s="1634" customFormat="1">
      <c r="G16406" s="3336"/>
      <c r="P16406" s="3337"/>
    </row>
    <row r="16407" spans="7:16" s="1634" customFormat="1">
      <c r="G16407" s="3336"/>
      <c r="P16407" s="3337"/>
    </row>
    <row r="16408" spans="7:16" s="1634" customFormat="1">
      <c r="G16408" s="3336"/>
      <c r="P16408" s="3337"/>
    </row>
    <row r="16409" spans="7:16" s="1634" customFormat="1">
      <c r="G16409" s="3336"/>
      <c r="P16409" s="3337"/>
    </row>
    <row r="16410" spans="7:16" s="1634" customFormat="1">
      <c r="G16410" s="3336"/>
      <c r="P16410" s="3337"/>
    </row>
    <row r="16411" spans="7:16" s="1634" customFormat="1">
      <c r="G16411" s="3336"/>
      <c r="P16411" s="3337"/>
    </row>
    <row r="16412" spans="7:16" s="1634" customFormat="1">
      <c r="G16412" s="3336"/>
      <c r="P16412" s="3337"/>
    </row>
    <row r="16413" spans="7:16" s="1634" customFormat="1">
      <c r="G16413" s="3336"/>
      <c r="P16413" s="3337"/>
    </row>
    <row r="16414" spans="7:16" s="1634" customFormat="1">
      <c r="G16414" s="3336"/>
      <c r="P16414" s="3337"/>
    </row>
    <row r="16415" spans="7:16" s="1634" customFormat="1">
      <c r="G16415" s="3336"/>
      <c r="P16415" s="3337"/>
    </row>
    <row r="16416" spans="7:16" s="1634" customFormat="1">
      <c r="G16416" s="3336"/>
      <c r="P16416" s="3337"/>
    </row>
    <row r="16417" spans="7:16" s="1634" customFormat="1">
      <c r="G16417" s="3336"/>
      <c r="P16417" s="3337"/>
    </row>
    <row r="16418" spans="7:16" s="1634" customFormat="1">
      <c r="G16418" s="3336"/>
      <c r="P16418" s="3337"/>
    </row>
    <row r="16419" spans="7:16" s="1634" customFormat="1">
      <c r="G16419" s="3336"/>
      <c r="P16419" s="3337"/>
    </row>
    <row r="16420" spans="7:16" s="1634" customFormat="1">
      <c r="G16420" s="3336"/>
      <c r="P16420" s="3337"/>
    </row>
    <row r="16421" spans="7:16" s="1634" customFormat="1">
      <c r="G16421" s="3336"/>
      <c r="P16421" s="3337"/>
    </row>
    <row r="16422" spans="7:16" s="1634" customFormat="1">
      <c r="G16422" s="3336"/>
      <c r="P16422" s="3337"/>
    </row>
    <row r="16423" spans="7:16" s="1634" customFormat="1">
      <c r="G16423" s="3336"/>
      <c r="P16423" s="3337"/>
    </row>
    <row r="16424" spans="7:16" s="1634" customFormat="1">
      <c r="G16424" s="3336"/>
      <c r="P16424" s="3337"/>
    </row>
    <row r="16425" spans="7:16" s="1634" customFormat="1">
      <c r="G16425" s="3336"/>
      <c r="P16425" s="3337"/>
    </row>
    <row r="16426" spans="7:16" s="1634" customFormat="1">
      <c r="G16426" s="3336"/>
      <c r="P16426" s="3337"/>
    </row>
    <row r="16427" spans="7:16" s="1634" customFormat="1">
      <c r="G16427" s="3336"/>
      <c r="P16427" s="3337"/>
    </row>
    <row r="16428" spans="7:16" s="1634" customFormat="1">
      <c r="G16428" s="3336"/>
      <c r="P16428" s="3337"/>
    </row>
    <row r="16429" spans="7:16" s="1634" customFormat="1">
      <c r="G16429" s="3336"/>
      <c r="P16429" s="3337"/>
    </row>
    <row r="16430" spans="7:16" s="1634" customFormat="1">
      <c r="G16430" s="3336"/>
      <c r="P16430" s="3337"/>
    </row>
    <row r="16431" spans="7:16" s="1634" customFormat="1">
      <c r="G16431" s="3336"/>
      <c r="P16431" s="3337"/>
    </row>
    <row r="16432" spans="7:16" s="1634" customFormat="1">
      <c r="G16432" s="3336"/>
      <c r="P16432" s="3337"/>
    </row>
    <row r="16433" spans="7:16" s="1634" customFormat="1">
      <c r="G16433" s="3336"/>
      <c r="P16433" s="3337"/>
    </row>
    <row r="16434" spans="7:16" s="1634" customFormat="1">
      <c r="G16434" s="3336"/>
      <c r="P16434" s="3337"/>
    </row>
    <row r="16435" spans="7:16" s="1634" customFormat="1">
      <c r="G16435" s="3336"/>
      <c r="P16435" s="3337"/>
    </row>
    <row r="16436" spans="7:16" s="1634" customFormat="1">
      <c r="G16436" s="3336"/>
      <c r="P16436" s="3337"/>
    </row>
    <row r="16437" spans="7:16" s="1634" customFormat="1">
      <c r="G16437" s="3336"/>
      <c r="P16437" s="3337"/>
    </row>
    <row r="16438" spans="7:16" s="1634" customFormat="1">
      <c r="G16438" s="3336"/>
      <c r="P16438" s="3337"/>
    </row>
    <row r="16439" spans="7:16" s="1634" customFormat="1">
      <c r="G16439" s="3336"/>
      <c r="P16439" s="3337"/>
    </row>
    <row r="16440" spans="7:16" s="1634" customFormat="1">
      <c r="G16440" s="3336"/>
      <c r="P16440" s="3337"/>
    </row>
    <row r="16441" spans="7:16" s="1634" customFormat="1">
      <c r="G16441" s="3336"/>
      <c r="P16441" s="3337"/>
    </row>
    <row r="16442" spans="7:16" s="1634" customFormat="1">
      <c r="G16442" s="3336"/>
      <c r="P16442" s="3337"/>
    </row>
    <row r="16443" spans="7:16" s="1634" customFormat="1">
      <c r="G16443" s="3336"/>
      <c r="P16443" s="3337"/>
    </row>
    <row r="16444" spans="7:16" s="1634" customFormat="1">
      <c r="G16444" s="3336"/>
      <c r="P16444" s="3337"/>
    </row>
    <row r="16445" spans="7:16" s="1634" customFormat="1">
      <c r="G16445" s="3336"/>
      <c r="P16445" s="3337"/>
    </row>
    <row r="16446" spans="7:16" s="1634" customFormat="1">
      <c r="G16446" s="3336"/>
      <c r="P16446" s="3337"/>
    </row>
    <row r="16447" spans="7:16" s="1634" customFormat="1">
      <c r="G16447" s="3336"/>
      <c r="P16447" s="3337"/>
    </row>
    <row r="16448" spans="7:16" s="1634" customFormat="1">
      <c r="G16448" s="3336"/>
      <c r="P16448" s="3337"/>
    </row>
    <row r="16449" spans="7:16" s="1634" customFormat="1">
      <c r="G16449" s="3336"/>
      <c r="P16449" s="3337"/>
    </row>
    <row r="16450" spans="7:16" s="1634" customFormat="1">
      <c r="G16450" s="3336"/>
      <c r="P16450" s="3337"/>
    </row>
    <row r="16451" spans="7:16" s="1634" customFormat="1">
      <c r="G16451" s="3336"/>
      <c r="P16451" s="3337"/>
    </row>
    <row r="16452" spans="7:16" s="1634" customFormat="1">
      <c r="G16452" s="3336"/>
      <c r="P16452" s="3337"/>
    </row>
    <row r="16453" spans="7:16" s="1634" customFormat="1">
      <c r="G16453" s="3336"/>
      <c r="P16453" s="3337"/>
    </row>
    <row r="16454" spans="7:16" s="1634" customFormat="1">
      <c r="G16454" s="3336"/>
      <c r="P16454" s="3337"/>
    </row>
    <row r="16455" spans="7:16" s="1634" customFormat="1">
      <c r="G16455" s="3336"/>
      <c r="P16455" s="3337"/>
    </row>
    <row r="16456" spans="7:16" s="1634" customFormat="1">
      <c r="G16456" s="3336"/>
      <c r="P16456" s="3337"/>
    </row>
    <row r="16457" spans="7:16" s="1634" customFormat="1">
      <c r="G16457" s="3336"/>
      <c r="P16457" s="3337"/>
    </row>
    <row r="16458" spans="7:16" s="1634" customFormat="1">
      <c r="G16458" s="3336"/>
      <c r="P16458" s="3337"/>
    </row>
    <row r="16459" spans="7:16" s="1634" customFormat="1">
      <c r="G16459" s="3336"/>
      <c r="P16459" s="3337"/>
    </row>
    <row r="16460" spans="7:16" s="1634" customFormat="1">
      <c r="G16460" s="3336"/>
      <c r="P16460" s="3337"/>
    </row>
    <row r="16461" spans="7:16" s="1634" customFormat="1">
      <c r="G16461" s="3336"/>
      <c r="P16461" s="3337"/>
    </row>
    <row r="16462" spans="7:16" s="1634" customFormat="1">
      <c r="G16462" s="3336"/>
      <c r="P16462" s="3337"/>
    </row>
    <row r="16463" spans="7:16" s="1634" customFormat="1">
      <c r="G16463" s="3336"/>
      <c r="P16463" s="3337"/>
    </row>
    <row r="16464" spans="7:16" s="1634" customFormat="1">
      <c r="G16464" s="3336"/>
      <c r="P16464" s="3337"/>
    </row>
    <row r="16465" spans="7:16" s="1634" customFormat="1">
      <c r="G16465" s="3336"/>
      <c r="P16465" s="3337"/>
    </row>
    <row r="16466" spans="7:16" s="1634" customFormat="1">
      <c r="G16466" s="3336"/>
      <c r="P16466" s="3337"/>
    </row>
    <row r="16467" spans="7:16" s="1634" customFormat="1">
      <c r="G16467" s="3336"/>
      <c r="P16467" s="3337"/>
    </row>
    <row r="16468" spans="7:16" s="1634" customFormat="1">
      <c r="G16468" s="3336"/>
      <c r="P16468" s="3337"/>
    </row>
    <row r="16469" spans="7:16" s="1634" customFormat="1">
      <c r="G16469" s="3336"/>
      <c r="P16469" s="3337"/>
    </row>
    <row r="16470" spans="7:16" s="1634" customFormat="1">
      <c r="G16470" s="3336"/>
      <c r="P16470" s="3337"/>
    </row>
    <row r="16471" spans="7:16" s="1634" customFormat="1">
      <c r="G16471" s="3336"/>
      <c r="P16471" s="3337"/>
    </row>
    <row r="16472" spans="7:16" s="1634" customFormat="1">
      <c r="G16472" s="3336"/>
      <c r="P16472" s="3337"/>
    </row>
    <row r="16473" spans="7:16" s="1634" customFormat="1">
      <c r="G16473" s="3336"/>
      <c r="P16473" s="3337"/>
    </row>
    <row r="16474" spans="7:16" s="1634" customFormat="1">
      <c r="G16474" s="3336"/>
      <c r="P16474" s="3337"/>
    </row>
    <row r="16475" spans="7:16" s="1634" customFormat="1">
      <c r="G16475" s="3336"/>
      <c r="P16475" s="3337"/>
    </row>
    <row r="16476" spans="7:16" s="1634" customFormat="1">
      <c r="G16476" s="3336"/>
      <c r="P16476" s="3337"/>
    </row>
    <row r="16477" spans="7:16" s="1634" customFormat="1">
      <c r="G16477" s="3336"/>
      <c r="P16477" s="3337"/>
    </row>
    <row r="16478" spans="7:16" s="1634" customFormat="1">
      <c r="G16478" s="3336"/>
      <c r="P16478" s="3337"/>
    </row>
    <row r="16479" spans="7:16" s="1634" customFormat="1">
      <c r="G16479" s="3336"/>
      <c r="P16479" s="3337"/>
    </row>
    <row r="16480" spans="7:16" s="1634" customFormat="1">
      <c r="G16480" s="3336"/>
      <c r="P16480" s="3337"/>
    </row>
    <row r="16481" spans="7:16" s="1634" customFormat="1">
      <c r="G16481" s="3336"/>
      <c r="P16481" s="3337"/>
    </row>
    <row r="16482" spans="7:16" s="1634" customFormat="1">
      <c r="G16482" s="3336"/>
      <c r="P16482" s="3337"/>
    </row>
    <row r="16483" spans="7:16" s="1634" customFormat="1">
      <c r="G16483" s="3336"/>
      <c r="P16483" s="3337"/>
    </row>
    <row r="16484" spans="7:16" s="1634" customFormat="1">
      <c r="G16484" s="3336"/>
      <c r="P16484" s="3337"/>
    </row>
    <row r="16485" spans="7:16" s="1634" customFormat="1">
      <c r="G16485" s="3336"/>
      <c r="P16485" s="3337"/>
    </row>
    <row r="16486" spans="7:16" s="1634" customFormat="1">
      <c r="G16486" s="3336"/>
      <c r="P16486" s="3337"/>
    </row>
    <row r="16487" spans="7:16" s="1634" customFormat="1">
      <c r="G16487" s="3336"/>
      <c r="P16487" s="3337"/>
    </row>
    <row r="16488" spans="7:16" s="1634" customFormat="1">
      <c r="G16488" s="3336"/>
      <c r="P16488" s="3337"/>
    </row>
    <row r="16489" spans="7:16" s="1634" customFormat="1">
      <c r="G16489" s="3336"/>
      <c r="P16489" s="3337"/>
    </row>
    <row r="16490" spans="7:16" s="1634" customFormat="1">
      <c r="G16490" s="3336"/>
      <c r="P16490" s="3337"/>
    </row>
    <row r="16491" spans="7:16" s="1634" customFormat="1">
      <c r="G16491" s="3336"/>
      <c r="P16491" s="3337"/>
    </row>
    <row r="16492" spans="7:16" s="1634" customFormat="1">
      <c r="G16492" s="3336"/>
      <c r="P16492" s="3337"/>
    </row>
    <row r="16493" spans="7:16" s="1634" customFormat="1">
      <c r="G16493" s="3336"/>
      <c r="P16493" s="3337"/>
    </row>
    <row r="16494" spans="7:16" s="1634" customFormat="1">
      <c r="G16494" s="3336"/>
      <c r="P16494" s="3337"/>
    </row>
    <row r="16495" spans="7:16" s="1634" customFormat="1">
      <c r="G16495" s="3336"/>
      <c r="P16495" s="3337"/>
    </row>
    <row r="16496" spans="7:16" s="1634" customFormat="1">
      <c r="G16496" s="3336"/>
      <c r="P16496" s="3337"/>
    </row>
    <row r="16497" spans="7:16" s="1634" customFormat="1">
      <c r="G16497" s="3336"/>
      <c r="P16497" s="3337"/>
    </row>
    <row r="16498" spans="7:16" s="1634" customFormat="1">
      <c r="G16498" s="3336"/>
      <c r="P16498" s="3337"/>
    </row>
    <row r="16499" spans="7:16" s="1634" customFormat="1">
      <c r="G16499" s="3336"/>
      <c r="P16499" s="3337"/>
    </row>
    <row r="16500" spans="7:16" s="1634" customFormat="1">
      <c r="G16500" s="3336"/>
      <c r="P16500" s="3337"/>
    </row>
    <row r="16501" spans="7:16" s="1634" customFormat="1">
      <c r="G16501" s="3336"/>
      <c r="P16501" s="3337"/>
    </row>
    <row r="16502" spans="7:16" s="1634" customFormat="1">
      <c r="G16502" s="3336"/>
      <c r="P16502" s="3337"/>
    </row>
    <row r="16503" spans="7:16" s="1634" customFormat="1">
      <c r="G16503" s="3336"/>
      <c r="P16503" s="3337"/>
    </row>
    <row r="16504" spans="7:16" s="1634" customFormat="1">
      <c r="G16504" s="3336"/>
      <c r="P16504" s="3337"/>
    </row>
    <row r="16505" spans="7:16" s="1634" customFormat="1">
      <c r="G16505" s="3336"/>
      <c r="P16505" s="3337"/>
    </row>
    <row r="16506" spans="7:16" s="1634" customFormat="1">
      <c r="G16506" s="3336"/>
      <c r="P16506" s="3337"/>
    </row>
    <row r="16507" spans="7:16" s="1634" customFormat="1">
      <c r="G16507" s="3336"/>
      <c r="P16507" s="3337"/>
    </row>
    <row r="16508" spans="7:16" s="1634" customFormat="1">
      <c r="G16508" s="3336"/>
      <c r="P16508" s="3337"/>
    </row>
    <row r="16509" spans="7:16" s="1634" customFormat="1">
      <c r="G16509" s="3336"/>
      <c r="P16509" s="3337"/>
    </row>
    <row r="16510" spans="7:16" s="1634" customFormat="1">
      <c r="G16510" s="3336"/>
      <c r="P16510" s="3337"/>
    </row>
    <row r="16511" spans="7:16" s="1634" customFormat="1">
      <c r="G16511" s="3336"/>
      <c r="P16511" s="3337"/>
    </row>
    <row r="16512" spans="7:16" s="1634" customFormat="1">
      <c r="G16512" s="3336"/>
      <c r="P16512" s="3337"/>
    </row>
    <row r="16513" spans="7:16" s="1634" customFormat="1">
      <c r="G16513" s="3336"/>
      <c r="P16513" s="3337"/>
    </row>
    <row r="16514" spans="7:16" s="1634" customFormat="1">
      <c r="G16514" s="3336"/>
      <c r="P16514" s="3337"/>
    </row>
    <row r="16515" spans="7:16" s="1634" customFormat="1">
      <c r="G16515" s="3336"/>
      <c r="P16515" s="3337"/>
    </row>
    <row r="16516" spans="7:16" s="1634" customFormat="1">
      <c r="G16516" s="3336"/>
      <c r="P16516" s="3337"/>
    </row>
    <row r="16517" spans="7:16" s="1634" customFormat="1">
      <c r="G16517" s="3336"/>
      <c r="P16517" s="3337"/>
    </row>
    <row r="16518" spans="7:16" s="1634" customFormat="1">
      <c r="G16518" s="3336"/>
      <c r="P16518" s="3337"/>
    </row>
    <row r="16519" spans="7:16" s="1634" customFormat="1">
      <c r="G16519" s="3336"/>
      <c r="P16519" s="3337"/>
    </row>
    <row r="16520" spans="7:16" s="1634" customFormat="1">
      <c r="G16520" s="3336"/>
      <c r="P16520" s="3337"/>
    </row>
    <row r="16521" spans="7:16" s="1634" customFormat="1">
      <c r="G16521" s="3336"/>
      <c r="P16521" s="3337"/>
    </row>
    <row r="16522" spans="7:16" s="1634" customFormat="1">
      <c r="G16522" s="3336"/>
      <c r="P16522" s="3337"/>
    </row>
    <row r="16523" spans="7:16" s="1634" customFormat="1">
      <c r="G16523" s="3336"/>
      <c r="P16523" s="3337"/>
    </row>
    <row r="16524" spans="7:16" s="1634" customFormat="1">
      <c r="G16524" s="3336"/>
      <c r="P16524" s="3337"/>
    </row>
    <row r="16525" spans="7:16" s="1634" customFormat="1">
      <c r="G16525" s="3336"/>
      <c r="P16525" s="3337"/>
    </row>
    <row r="16526" spans="7:16" s="1634" customFormat="1">
      <c r="G16526" s="3336"/>
      <c r="P16526" s="3337"/>
    </row>
    <row r="16527" spans="7:16" s="1634" customFormat="1">
      <c r="G16527" s="3336"/>
      <c r="P16527" s="3337"/>
    </row>
    <row r="16528" spans="7:16" s="1634" customFormat="1">
      <c r="G16528" s="3336"/>
      <c r="P16528" s="3337"/>
    </row>
    <row r="16529" spans="7:16" s="1634" customFormat="1">
      <c r="G16529" s="3336"/>
      <c r="P16529" s="3337"/>
    </row>
    <row r="16530" spans="7:16" s="1634" customFormat="1">
      <c r="G16530" s="3336"/>
      <c r="P16530" s="3337"/>
    </row>
    <row r="16531" spans="7:16" s="1634" customFormat="1">
      <c r="G16531" s="3336"/>
      <c r="P16531" s="3337"/>
    </row>
    <row r="16532" spans="7:16" s="1634" customFormat="1">
      <c r="G16532" s="3336"/>
      <c r="P16532" s="3337"/>
    </row>
    <row r="16533" spans="7:16" s="1634" customFormat="1">
      <c r="G16533" s="3336"/>
      <c r="P16533" s="3337"/>
    </row>
    <row r="16534" spans="7:16" s="1634" customFormat="1">
      <c r="G16534" s="3336"/>
      <c r="P16534" s="3337"/>
    </row>
    <row r="16535" spans="7:16" s="1634" customFormat="1">
      <c r="G16535" s="3336"/>
      <c r="P16535" s="3337"/>
    </row>
    <row r="16536" spans="7:16" s="1634" customFormat="1">
      <c r="G16536" s="3336"/>
      <c r="P16536" s="3337"/>
    </row>
    <row r="16537" spans="7:16" s="1634" customFormat="1">
      <c r="G16537" s="3336"/>
      <c r="P16537" s="3337"/>
    </row>
    <row r="16538" spans="7:16" s="1634" customFormat="1">
      <c r="G16538" s="3336"/>
      <c r="P16538" s="3337"/>
    </row>
    <row r="16539" spans="7:16" s="1634" customFormat="1">
      <c r="G16539" s="3336"/>
      <c r="P16539" s="3337"/>
    </row>
    <row r="16540" spans="7:16" s="1634" customFormat="1">
      <c r="G16540" s="3336"/>
      <c r="P16540" s="3337"/>
    </row>
    <row r="16541" spans="7:16" s="1634" customFormat="1">
      <c r="G16541" s="3336"/>
      <c r="P16541" s="3337"/>
    </row>
    <row r="16542" spans="7:16" s="1634" customFormat="1">
      <c r="G16542" s="3336"/>
      <c r="P16542" s="3337"/>
    </row>
    <row r="16543" spans="7:16" s="1634" customFormat="1">
      <c r="G16543" s="3336"/>
      <c r="P16543" s="3337"/>
    </row>
    <row r="16544" spans="7:16" s="1634" customFormat="1">
      <c r="G16544" s="3336"/>
      <c r="P16544" s="3337"/>
    </row>
    <row r="16545" spans="7:16" s="1634" customFormat="1">
      <c r="G16545" s="3336"/>
      <c r="P16545" s="3337"/>
    </row>
    <row r="16546" spans="7:16" s="1634" customFormat="1">
      <c r="G16546" s="3336"/>
      <c r="P16546" s="3337"/>
    </row>
    <row r="16547" spans="7:16" s="1634" customFormat="1">
      <c r="G16547" s="3336"/>
      <c r="P16547" s="3337"/>
    </row>
    <row r="16548" spans="7:16" s="1634" customFormat="1">
      <c r="G16548" s="3336"/>
      <c r="P16548" s="3337"/>
    </row>
    <row r="16549" spans="7:16" s="1634" customFormat="1">
      <c r="G16549" s="3336"/>
      <c r="P16549" s="3337"/>
    </row>
    <row r="16550" spans="7:16" s="1634" customFormat="1">
      <c r="G16550" s="3336"/>
      <c r="P16550" s="3337"/>
    </row>
    <row r="16551" spans="7:16" s="1634" customFormat="1">
      <c r="G16551" s="3336"/>
      <c r="P16551" s="3337"/>
    </row>
    <row r="16552" spans="7:16" s="1634" customFormat="1">
      <c r="G16552" s="3336"/>
      <c r="P16552" s="3337"/>
    </row>
    <row r="16553" spans="7:16" s="1634" customFormat="1">
      <c r="G16553" s="3336"/>
      <c r="P16553" s="3337"/>
    </row>
    <row r="16554" spans="7:16" s="1634" customFormat="1">
      <c r="G16554" s="3336"/>
      <c r="P16554" s="3337"/>
    </row>
    <row r="16555" spans="7:16" s="1634" customFormat="1">
      <c r="G16555" s="3336"/>
      <c r="P16555" s="3337"/>
    </row>
    <row r="16556" spans="7:16" s="1634" customFormat="1">
      <c r="G16556" s="3336"/>
      <c r="P16556" s="3337"/>
    </row>
    <row r="16557" spans="7:16" s="1634" customFormat="1">
      <c r="G16557" s="3336"/>
      <c r="P16557" s="3337"/>
    </row>
    <row r="16558" spans="7:16" s="1634" customFormat="1">
      <c r="G16558" s="3336"/>
      <c r="P16558" s="3337"/>
    </row>
    <row r="16559" spans="7:16" s="1634" customFormat="1">
      <c r="G16559" s="3336"/>
      <c r="P16559" s="3337"/>
    </row>
    <row r="16560" spans="7:16" s="1634" customFormat="1">
      <c r="G16560" s="3336"/>
      <c r="P16560" s="3337"/>
    </row>
    <row r="16561" spans="7:16" s="1634" customFormat="1">
      <c r="G16561" s="3336"/>
      <c r="P16561" s="3337"/>
    </row>
    <row r="16562" spans="7:16" s="1634" customFormat="1">
      <c r="G16562" s="3336"/>
      <c r="P16562" s="3337"/>
    </row>
    <row r="16563" spans="7:16" s="1634" customFormat="1">
      <c r="G16563" s="3336"/>
      <c r="P16563" s="3337"/>
    </row>
    <row r="16564" spans="7:16" s="1634" customFormat="1">
      <c r="G16564" s="3336"/>
      <c r="P16564" s="3337"/>
    </row>
    <row r="16565" spans="7:16" s="1634" customFormat="1">
      <c r="G16565" s="3336"/>
      <c r="P16565" s="3337"/>
    </row>
    <row r="16566" spans="7:16" s="1634" customFormat="1">
      <c r="G16566" s="3336"/>
      <c r="P16566" s="3337"/>
    </row>
    <row r="16567" spans="7:16" s="1634" customFormat="1">
      <c r="G16567" s="3336"/>
      <c r="P16567" s="3337"/>
    </row>
    <row r="16568" spans="7:16" s="1634" customFormat="1">
      <c r="G16568" s="3336"/>
      <c r="P16568" s="3337"/>
    </row>
    <row r="16569" spans="7:16" s="1634" customFormat="1">
      <c r="G16569" s="3336"/>
      <c r="P16569" s="3337"/>
    </row>
    <row r="16570" spans="7:16" s="1634" customFormat="1">
      <c r="G16570" s="3336"/>
      <c r="P16570" s="3337"/>
    </row>
    <row r="16571" spans="7:16" s="1634" customFormat="1">
      <c r="G16571" s="3336"/>
      <c r="P16571" s="3337"/>
    </row>
    <row r="16572" spans="7:16" s="1634" customFormat="1">
      <c r="G16572" s="3336"/>
      <c r="P16572" s="3337"/>
    </row>
    <row r="16573" spans="7:16" s="1634" customFormat="1">
      <c r="G16573" s="3336"/>
      <c r="P16573" s="3337"/>
    </row>
    <row r="16574" spans="7:16" s="1634" customFormat="1">
      <c r="G16574" s="3336"/>
      <c r="P16574" s="3337"/>
    </row>
    <row r="16575" spans="7:16" s="1634" customFormat="1">
      <c r="G16575" s="3336"/>
      <c r="P16575" s="3337"/>
    </row>
    <row r="16576" spans="7:16" s="1634" customFormat="1">
      <c r="G16576" s="3336"/>
      <c r="P16576" s="3337"/>
    </row>
    <row r="16577" spans="7:16" s="1634" customFormat="1">
      <c r="G16577" s="3336"/>
      <c r="P16577" s="3337"/>
    </row>
    <row r="16578" spans="7:16" s="1634" customFormat="1">
      <c r="G16578" s="3336"/>
      <c r="P16578" s="3337"/>
    </row>
    <row r="16579" spans="7:16" s="1634" customFormat="1">
      <c r="G16579" s="3336"/>
      <c r="P16579" s="3337"/>
    </row>
    <row r="16580" spans="7:16" s="1634" customFormat="1">
      <c r="G16580" s="3336"/>
      <c r="P16580" s="3337"/>
    </row>
    <row r="16581" spans="7:16" s="1634" customFormat="1">
      <c r="G16581" s="3336"/>
      <c r="P16581" s="3337"/>
    </row>
    <row r="16582" spans="7:16" s="1634" customFormat="1">
      <c r="G16582" s="3336"/>
      <c r="P16582" s="3337"/>
    </row>
    <row r="16583" spans="7:16" s="1634" customFormat="1">
      <c r="G16583" s="3336"/>
      <c r="P16583" s="3337"/>
    </row>
    <row r="16584" spans="7:16" s="1634" customFormat="1">
      <c r="G16584" s="3336"/>
      <c r="P16584" s="3337"/>
    </row>
    <row r="16585" spans="7:16" s="1634" customFormat="1">
      <c r="G16585" s="3336"/>
      <c r="P16585" s="3337"/>
    </row>
    <row r="16586" spans="7:16" s="1634" customFormat="1">
      <c r="G16586" s="3336"/>
      <c r="P16586" s="3337"/>
    </row>
    <row r="16587" spans="7:16" s="1634" customFormat="1">
      <c r="G16587" s="3336"/>
      <c r="P16587" s="3337"/>
    </row>
    <row r="16588" spans="7:16" s="1634" customFormat="1">
      <c r="G16588" s="3336"/>
      <c r="P16588" s="3337"/>
    </row>
    <row r="16589" spans="7:16" s="1634" customFormat="1">
      <c r="G16589" s="3336"/>
      <c r="P16589" s="3337"/>
    </row>
    <row r="16590" spans="7:16" s="1634" customFormat="1">
      <c r="G16590" s="3336"/>
      <c r="P16590" s="3337"/>
    </row>
    <row r="16591" spans="7:16" s="1634" customFormat="1">
      <c r="G16591" s="3336"/>
      <c r="P16591" s="3337"/>
    </row>
    <row r="16592" spans="7:16" s="1634" customFormat="1">
      <c r="G16592" s="3336"/>
      <c r="P16592" s="3337"/>
    </row>
    <row r="16593" spans="7:16" s="1634" customFormat="1">
      <c r="G16593" s="3336"/>
      <c r="P16593" s="3337"/>
    </row>
    <row r="16594" spans="7:16" s="1634" customFormat="1">
      <c r="G16594" s="3336"/>
      <c r="P16594" s="3337"/>
    </row>
    <row r="16595" spans="7:16" s="1634" customFormat="1">
      <c r="G16595" s="3336"/>
      <c r="P16595" s="3337"/>
    </row>
    <row r="16596" spans="7:16" s="1634" customFormat="1">
      <c r="G16596" s="3336"/>
      <c r="P16596" s="3337"/>
    </row>
    <row r="16597" spans="7:16" s="1634" customFormat="1">
      <c r="G16597" s="3336"/>
      <c r="P16597" s="3337"/>
    </row>
    <row r="16598" spans="7:16" s="1634" customFormat="1">
      <c r="G16598" s="3336"/>
      <c r="P16598" s="3337"/>
    </row>
    <row r="16599" spans="7:16" s="1634" customFormat="1">
      <c r="G16599" s="3336"/>
      <c r="P16599" s="3337"/>
    </row>
    <row r="16600" spans="7:16" s="1634" customFormat="1">
      <c r="G16600" s="3336"/>
      <c r="P16600" s="3337"/>
    </row>
    <row r="16601" spans="7:16" s="1634" customFormat="1">
      <c r="G16601" s="3336"/>
      <c r="P16601" s="3337"/>
    </row>
    <row r="16602" spans="7:16" s="1634" customFormat="1">
      <c r="G16602" s="3336"/>
      <c r="P16602" s="3337"/>
    </row>
    <row r="16603" spans="7:16" s="1634" customFormat="1">
      <c r="G16603" s="3336"/>
      <c r="P16603" s="3337"/>
    </row>
    <row r="16604" spans="7:16" s="1634" customFormat="1">
      <c r="G16604" s="3336"/>
      <c r="P16604" s="3337"/>
    </row>
    <row r="16605" spans="7:16" s="1634" customFormat="1">
      <c r="G16605" s="3336"/>
      <c r="P16605" s="3337"/>
    </row>
    <row r="16606" spans="7:16" s="1634" customFormat="1">
      <c r="G16606" s="3336"/>
      <c r="P16606" s="3337"/>
    </row>
    <row r="16607" spans="7:16" s="1634" customFormat="1">
      <c r="G16607" s="3336"/>
      <c r="P16607" s="3337"/>
    </row>
    <row r="16608" spans="7:16" s="1634" customFormat="1">
      <c r="G16608" s="3336"/>
      <c r="P16608" s="3337"/>
    </row>
    <row r="16609" spans="7:16" s="1634" customFormat="1">
      <c r="G16609" s="3336"/>
      <c r="P16609" s="3337"/>
    </row>
    <row r="16610" spans="7:16" s="1634" customFormat="1">
      <c r="G16610" s="3336"/>
      <c r="P16610" s="3337"/>
    </row>
    <row r="16611" spans="7:16" s="1634" customFormat="1">
      <c r="G16611" s="3336"/>
      <c r="P16611" s="3337"/>
    </row>
    <row r="16612" spans="7:16" s="1634" customFormat="1">
      <c r="G16612" s="3336"/>
      <c r="P16612" s="3337"/>
    </row>
    <row r="16613" spans="7:16" s="1634" customFormat="1">
      <c r="G16613" s="3336"/>
      <c r="P16613" s="3337"/>
    </row>
    <row r="16614" spans="7:16" s="1634" customFormat="1">
      <c r="G16614" s="3336"/>
      <c r="P16614" s="3337"/>
    </row>
    <row r="16615" spans="7:16" s="1634" customFormat="1">
      <c r="G16615" s="3336"/>
      <c r="P16615" s="3337"/>
    </row>
    <row r="16616" spans="7:16" s="1634" customFormat="1">
      <c r="G16616" s="3336"/>
      <c r="P16616" s="3337"/>
    </row>
    <row r="16617" spans="7:16" s="1634" customFormat="1">
      <c r="G16617" s="3336"/>
      <c r="P16617" s="3337"/>
    </row>
    <row r="16618" spans="7:16" s="1634" customFormat="1">
      <c r="G16618" s="3336"/>
      <c r="P16618" s="3337"/>
    </row>
    <row r="16619" spans="7:16" s="1634" customFormat="1">
      <c r="G16619" s="3336"/>
      <c r="P16619" s="3337"/>
    </row>
    <row r="16620" spans="7:16" s="1634" customFormat="1">
      <c r="G16620" s="3336"/>
      <c r="P16620" s="3337"/>
    </row>
    <row r="16621" spans="7:16" s="1634" customFormat="1">
      <c r="G16621" s="3336"/>
      <c r="P16621" s="3337"/>
    </row>
    <row r="16622" spans="7:16" s="1634" customFormat="1">
      <c r="G16622" s="3336"/>
      <c r="P16622" s="3337"/>
    </row>
    <row r="16623" spans="7:16" s="1634" customFormat="1">
      <c r="G16623" s="3336"/>
      <c r="P16623" s="3337"/>
    </row>
    <row r="16624" spans="7:16" s="1634" customFormat="1">
      <c r="G16624" s="3336"/>
      <c r="P16624" s="3337"/>
    </row>
    <row r="16625" spans="7:16" s="1634" customFormat="1">
      <c r="G16625" s="3336"/>
      <c r="P16625" s="3337"/>
    </row>
    <row r="16626" spans="7:16" s="1634" customFormat="1">
      <c r="G16626" s="3336"/>
      <c r="P16626" s="3337"/>
    </row>
    <row r="16627" spans="7:16" s="1634" customFormat="1">
      <c r="G16627" s="3336"/>
      <c r="P16627" s="3337"/>
    </row>
    <row r="16628" spans="7:16" s="1634" customFormat="1">
      <c r="G16628" s="3336"/>
      <c r="P16628" s="3337"/>
    </row>
    <row r="16629" spans="7:16" s="1634" customFormat="1">
      <c r="G16629" s="3336"/>
      <c r="P16629" s="3337"/>
    </row>
    <row r="16630" spans="7:16" s="1634" customFormat="1">
      <c r="G16630" s="3336"/>
      <c r="P16630" s="3337"/>
    </row>
    <row r="16631" spans="7:16" s="1634" customFormat="1">
      <c r="G16631" s="3336"/>
      <c r="P16631" s="3337"/>
    </row>
    <row r="16632" spans="7:16" s="1634" customFormat="1">
      <c r="G16632" s="3336"/>
      <c r="P16632" s="3337"/>
    </row>
    <row r="16633" spans="7:16" s="1634" customFormat="1">
      <c r="G16633" s="3336"/>
      <c r="P16633" s="3337"/>
    </row>
    <row r="16634" spans="7:16" s="1634" customFormat="1">
      <c r="G16634" s="3336"/>
      <c r="P16634" s="3337"/>
    </row>
    <row r="16635" spans="7:16" s="1634" customFormat="1">
      <c r="G16635" s="3336"/>
      <c r="P16635" s="3337"/>
    </row>
    <row r="16636" spans="7:16" s="1634" customFormat="1">
      <c r="G16636" s="3336"/>
      <c r="P16636" s="3337"/>
    </row>
    <row r="16637" spans="7:16" s="1634" customFormat="1">
      <c r="G16637" s="3336"/>
      <c r="P16637" s="3337"/>
    </row>
    <row r="16638" spans="7:16" s="1634" customFormat="1">
      <c r="G16638" s="3336"/>
      <c r="P16638" s="3337"/>
    </row>
    <row r="16639" spans="7:16" s="1634" customFormat="1">
      <c r="G16639" s="3336"/>
      <c r="P16639" s="3337"/>
    </row>
    <row r="16640" spans="7:16" s="1634" customFormat="1">
      <c r="G16640" s="3336"/>
      <c r="P16640" s="3337"/>
    </row>
    <row r="16641" spans="7:16" s="1634" customFormat="1">
      <c r="G16641" s="3336"/>
      <c r="P16641" s="3337"/>
    </row>
    <row r="16642" spans="7:16" s="1634" customFormat="1">
      <c r="G16642" s="3336"/>
      <c r="P16642" s="3337"/>
    </row>
    <row r="16643" spans="7:16" s="1634" customFormat="1">
      <c r="G16643" s="3336"/>
      <c r="P16643" s="3337"/>
    </row>
    <row r="16644" spans="7:16" s="1634" customFormat="1">
      <c r="G16644" s="3336"/>
      <c r="P16644" s="3337"/>
    </row>
    <row r="16645" spans="7:16" s="1634" customFormat="1">
      <c r="G16645" s="3336"/>
      <c r="P16645" s="3337"/>
    </row>
    <row r="16646" spans="7:16" s="1634" customFormat="1">
      <c r="G16646" s="3336"/>
      <c r="P16646" s="3337"/>
    </row>
    <row r="16647" spans="7:16" s="1634" customFormat="1">
      <c r="G16647" s="3336"/>
      <c r="P16647" s="3337"/>
    </row>
    <row r="16648" spans="7:16" s="1634" customFormat="1">
      <c r="G16648" s="3336"/>
      <c r="P16648" s="3337"/>
    </row>
    <row r="16649" spans="7:16" s="1634" customFormat="1">
      <c r="G16649" s="3336"/>
      <c r="P16649" s="3337"/>
    </row>
    <row r="16650" spans="7:16" s="1634" customFormat="1">
      <c r="G16650" s="3336"/>
      <c r="P16650" s="3337"/>
    </row>
    <row r="16651" spans="7:16" s="1634" customFormat="1">
      <c r="G16651" s="3336"/>
      <c r="P16651" s="3337"/>
    </row>
    <row r="16652" spans="7:16" s="1634" customFormat="1">
      <c r="G16652" s="3336"/>
      <c r="P16652" s="3337"/>
    </row>
    <row r="16653" spans="7:16" s="1634" customFormat="1">
      <c r="G16653" s="3336"/>
      <c r="P16653" s="3337"/>
    </row>
    <row r="16654" spans="7:16" s="1634" customFormat="1">
      <c r="G16654" s="3336"/>
      <c r="P16654" s="3337"/>
    </row>
    <row r="16655" spans="7:16" s="1634" customFormat="1">
      <c r="G16655" s="3336"/>
      <c r="P16655" s="3337"/>
    </row>
    <row r="16656" spans="7:16" s="1634" customFormat="1">
      <c r="G16656" s="3336"/>
      <c r="P16656" s="3337"/>
    </row>
    <row r="16657" spans="7:16" s="1634" customFormat="1">
      <c r="G16657" s="3336"/>
      <c r="P16657" s="3337"/>
    </row>
    <row r="16658" spans="7:16" s="1634" customFormat="1">
      <c r="G16658" s="3336"/>
      <c r="P16658" s="3337"/>
    </row>
    <row r="16659" spans="7:16" s="1634" customFormat="1">
      <c r="G16659" s="3336"/>
      <c r="P16659" s="3337"/>
    </row>
    <row r="16660" spans="7:16" s="1634" customFormat="1">
      <c r="G16660" s="3336"/>
      <c r="P16660" s="3337"/>
    </row>
    <row r="16661" spans="7:16" s="1634" customFormat="1">
      <c r="G16661" s="3336"/>
      <c r="P16661" s="3337"/>
    </row>
    <row r="16662" spans="7:16" s="1634" customFormat="1">
      <c r="G16662" s="3336"/>
      <c r="P16662" s="3337"/>
    </row>
    <row r="16663" spans="7:16" s="1634" customFormat="1">
      <c r="G16663" s="3336"/>
      <c r="P16663" s="3337"/>
    </row>
    <row r="16664" spans="7:16" s="1634" customFormat="1">
      <c r="G16664" s="3336"/>
      <c r="P16664" s="3337"/>
    </row>
    <row r="16665" spans="7:16" s="1634" customFormat="1">
      <c r="G16665" s="3336"/>
      <c r="P16665" s="3337"/>
    </row>
    <row r="16666" spans="7:16" s="1634" customFormat="1">
      <c r="G16666" s="3336"/>
      <c r="P16666" s="3337"/>
    </row>
    <row r="16667" spans="7:16" s="1634" customFormat="1">
      <c r="G16667" s="3336"/>
      <c r="P16667" s="3337"/>
    </row>
    <row r="16668" spans="7:16" s="1634" customFormat="1">
      <c r="G16668" s="3336"/>
      <c r="P16668" s="3337"/>
    </row>
    <row r="16669" spans="7:16" s="1634" customFormat="1">
      <c r="G16669" s="3336"/>
      <c r="P16669" s="3337"/>
    </row>
    <row r="16670" spans="7:16" s="1634" customFormat="1">
      <c r="G16670" s="3336"/>
      <c r="P16670" s="3337"/>
    </row>
    <row r="16671" spans="7:16" s="1634" customFormat="1">
      <c r="G16671" s="3336"/>
      <c r="P16671" s="3337"/>
    </row>
    <row r="16672" spans="7:16" s="1634" customFormat="1">
      <c r="G16672" s="3336"/>
      <c r="P16672" s="3337"/>
    </row>
    <row r="16673" spans="7:16" s="1634" customFormat="1">
      <c r="G16673" s="3336"/>
      <c r="P16673" s="3337"/>
    </row>
    <row r="16674" spans="7:16" s="1634" customFormat="1">
      <c r="G16674" s="3336"/>
      <c r="P16674" s="3337"/>
    </row>
    <row r="16675" spans="7:16" s="1634" customFormat="1">
      <c r="G16675" s="3336"/>
      <c r="P16675" s="3337"/>
    </row>
    <row r="16676" spans="7:16" s="1634" customFormat="1">
      <c r="G16676" s="3336"/>
      <c r="P16676" s="3337"/>
    </row>
    <row r="16677" spans="7:16" s="1634" customFormat="1">
      <c r="G16677" s="3336"/>
      <c r="P16677" s="3337"/>
    </row>
    <row r="16678" spans="7:16" s="1634" customFormat="1">
      <c r="G16678" s="3336"/>
      <c r="P16678" s="3337"/>
    </row>
    <row r="16679" spans="7:16" s="1634" customFormat="1">
      <c r="G16679" s="3336"/>
      <c r="P16679" s="3337"/>
    </row>
    <row r="16680" spans="7:16" s="1634" customFormat="1">
      <c r="G16680" s="3336"/>
      <c r="P16680" s="3337"/>
    </row>
    <row r="16681" spans="7:16" s="1634" customFormat="1">
      <c r="G16681" s="3336"/>
      <c r="P16681" s="3337"/>
    </row>
    <row r="16682" spans="7:16" s="1634" customFormat="1">
      <c r="G16682" s="3336"/>
      <c r="P16682" s="3337"/>
    </row>
    <row r="16683" spans="7:16" s="1634" customFormat="1">
      <c r="G16683" s="3336"/>
      <c r="P16683" s="3337"/>
    </row>
    <row r="16684" spans="7:16" s="1634" customFormat="1">
      <c r="G16684" s="3336"/>
      <c r="P16684" s="3337"/>
    </row>
    <row r="16685" spans="7:16" s="1634" customFormat="1">
      <c r="G16685" s="3336"/>
      <c r="P16685" s="3337"/>
    </row>
    <row r="16686" spans="7:16" s="1634" customFormat="1">
      <c r="G16686" s="3336"/>
      <c r="P16686" s="3337"/>
    </row>
    <row r="16687" spans="7:16" s="1634" customFormat="1">
      <c r="G16687" s="3336"/>
      <c r="P16687" s="3337"/>
    </row>
    <row r="16688" spans="7:16" s="1634" customFormat="1">
      <c r="G16688" s="3336"/>
      <c r="P16688" s="3337"/>
    </row>
    <row r="16689" spans="7:16" s="1634" customFormat="1">
      <c r="G16689" s="3336"/>
      <c r="P16689" s="3337"/>
    </row>
    <row r="16690" spans="7:16" s="1634" customFormat="1">
      <c r="G16690" s="3336"/>
      <c r="P16690" s="3337"/>
    </row>
    <row r="16691" spans="7:16" s="1634" customFormat="1">
      <c r="G16691" s="3336"/>
      <c r="P16691" s="3337"/>
    </row>
    <row r="16692" spans="7:16" s="1634" customFormat="1">
      <c r="G16692" s="3336"/>
      <c r="P16692" s="3337"/>
    </row>
    <row r="16693" spans="7:16" s="1634" customFormat="1">
      <c r="G16693" s="3336"/>
      <c r="P16693" s="3337"/>
    </row>
    <row r="16694" spans="7:16" s="1634" customFormat="1">
      <c r="G16694" s="3336"/>
      <c r="P16694" s="3337"/>
    </row>
    <row r="16695" spans="7:16" s="1634" customFormat="1">
      <c r="G16695" s="3336"/>
      <c r="P16695" s="3337"/>
    </row>
    <row r="16696" spans="7:16" s="1634" customFormat="1">
      <c r="G16696" s="3336"/>
      <c r="P16696" s="3337"/>
    </row>
    <row r="16697" spans="7:16" s="1634" customFormat="1">
      <c r="G16697" s="3336"/>
      <c r="P16697" s="3337"/>
    </row>
    <row r="16698" spans="7:16" s="1634" customFormat="1">
      <c r="G16698" s="3336"/>
      <c r="P16698" s="3337"/>
    </row>
    <row r="16699" spans="7:16" s="1634" customFormat="1">
      <c r="G16699" s="3336"/>
      <c r="P16699" s="3337"/>
    </row>
    <row r="16700" spans="7:16" s="1634" customFormat="1">
      <c r="G16700" s="3336"/>
      <c r="P16700" s="3337"/>
    </row>
    <row r="16701" spans="7:16" s="1634" customFormat="1">
      <c r="G16701" s="3336"/>
      <c r="P16701" s="3337"/>
    </row>
    <row r="16702" spans="7:16" s="1634" customFormat="1">
      <c r="G16702" s="3336"/>
      <c r="P16702" s="3337"/>
    </row>
    <row r="16703" spans="7:16" s="1634" customFormat="1">
      <c r="G16703" s="3336"/>
      <c r="P16703" s="3337"/>
    </row>
    <row r="16704" spans="7:16" s="1634" customFormat="1">
      <c r="G16704" s="3336"/>
      <c r="P16704" s="3337"/>
    </row>
    <row r="16705" spans="7:16" s="1634" customFormat="1">
      <c r="G16705" s="3336"/>
      <c r="P16705" s="3337"/>
    </row>
    <row r="16706" spans="7:16" s="1634" customFormat="1">
      <c r="G16706" s="3336"/>
      <c r="P16706" s="3337"/>
    </row>
    <row r="16707" spans="7:16" s="1634" customFormat="1">
      <c r="G16707" s="3336"/>
      <c r="P16707" s="3337"/>
    </row>
    <row r="16708" spans="7:16" s="1634" customFormat="1">
      <c r="G16708" s="3336"/>
      <c r="P16708" s="3337"/>
    </row>
    <row r="16709" spans="7:16" s="1634" customFormat="1">
      <c r="G16709" s="3336"/>
      <c r="P16709" s="3337"/>
    </row>
    <row r="16710" spans="7:16" s="1634" customFormat="1">
      <c r="G16710" s="3336"/>
      <c r="P16710" s="3337"/>
    </row>
    <row r="16711" spans="7:16" s="1634" customFormat="1">
      <c r="G16711" s="3336"/>
      <c r="P16711" s="3337"/>
    </row>
    <row r="16712" spans="7:16" s="1634" customFormat="1">
      <c r="G16712" s="3336"/>
      <c r="P16712" s="3337"/>
    </row>
    <row r="16713" spans="7:16" s="1634" customFormat="1">
      <c r="G16713" s="3336"/>
      <c r="P16713" s="3337"/>
    </row>
    <row r="16714" spans="7:16" s="1634" customFormat="1">
      <c r="G16714" s="3336"/>
      <c r="P16714" s="3337"/>
    </row>
    <row r="16715" spans="7:16" s="1634" customFormat="1">
      <c r="G16715" s="3336"/>
      <c r="P16715" s="3337"/>
    </row>
    <row r="16716" spans="7:16" s="1634" customFormat="1">
      <c r="G16716" s="3336"/>
      <c r="P16716" s="3337"/>
    </row>
    <row r="16717" spans="7:16" s="1634" customFormat="1">
      <c r="G16717" s="3336"/>
      <c r="P16717" s="3337"/>
    </row>
    <row r="16718" spans="7:16" s="1634" customFormat="1">
      <c r="G16718" s="3336"/>
      <c r="P16718" s="3337"/>
    </row>
    <row r="16719" spans="7:16" s="1634" customFormat="1">
      <c r="G16719" s="3336"/>
      <c r="P16719" s="3337"/>
    </row>
    <row r="16720" spans="7:16" s="1634" customFormat="1">
      <c r="G16720" s="3336"/>
      <c r="P16720" s="3337"/>
    </row>
    <row r="16721" spans="7:16" s="1634" customFormat="1">
      <c r="G16721" s="3336"/>
      <c r="P16721" s="3337"/>
    </row>
    <row r="16722" spans="7:16" s="1634" customFormat="1">
      <c r="G16722" s="3336"/>
      <c r="P16722" s="3337"/>
    </row>
    <row r="16723" spans="7:16" s="1634" customFormat="1">
      <c r="G16723" s="3336"/>
      <c r="P16723" s="3337"/>
    </row>
    <row r="16724" spans="7:16" s="1634" customFormat="1">
      <c r="G16724" s="3336"/>
      <c r="P16724" s="3337"/>
    </row>
    <row r="16725" spans="7:16" s="1634" customFormat="1">
      <c r="G16725" s="3336"/>
      <c r="P16725" s="3337"/>
    </row>
    <row r="16726" spans="7:16" s="1634" customFormat="1">
      <c r="G16726" s="3336"/>
      <c r="P16726" s="3337"/>
    </row>
    <row r="16727" spans="7:16" s="1634" customFormat="1">
      <c r="G16727" s="3336"/>
      <c r="P16727" s="3337"/>
    </row>
    <row r="16728" spans="7:16" s="1634" customFormat="1">
      <c r="G16728" s="3336"/>
      <c r="P16728" s="3337"/>
    </row>
    <row r="16729" spans="7:16" s="1634" customFormat="1">
      <c r="G16729" s="3336"/>
      <c r="P16729" s="3337"/>
    </row>
    <row r="16730" spans="7:16" s="1634" customFormat="1">
      <c r="G16730" s="3336"/>
      <c r="P16730" s="3337"/>
    </row>
    <row r="16731" spans="7:16" s="1634" customFormat="1">
      <c r="G16731" s="3336"/>
      <c r="P16731" s="3337"/>
    </row>
    <row r="16732" spans="7:16" s="1634" customFormat="1">
      <c r="G16732" s="3336"/>
      <c r="P16732" s="3337"/>
    </row>
    <row r="16733" spans="7:16" s="1634" customFormat="1">
      <c r="G16733" s="3336"/>
      <c r="P16733" s="3337"/>
    </row>
    <row r="16734" spans="7:16" s="1634" customFormat="1">
      <c r="G16734" s="3336"/>
      <c r="P16734" s="3337"/>
    </row>
    <row r="16735" spans="7:16" s="1634" customFormat="1">
      <c r="G16735" s="3336"/>
      <c r="P16735" s="3337"/>
    </row>
    <row r="16736" spans="7:16" s="1634" customFormat="1">
      <c r="G16736" s="3336"/>
      <c r="P16736" s="3337"/>
    </row>
    <row r="16737" spans="7:16" s="1634" customFormat="1">
      <c r="G16737" s="3336"/>
      <c r="P16737" s="3337"/>
    </row>
    <row r="16738" spans="7:16" s="1634" customFormat="1">
      <c r="G16738" s="3336"/>
      <c r="P16738" s="3337"/>
    </row>
    <row r="16739" spans="7:16" s="1634" customFormat="1">
      <c r="G16739" s="3336"/>
      <c r="P16739" s="3337"/>
    </row>
    <row r="16740" spans="7:16" s="1634" customFormat="1">
      <c r="G16740" s="3336"/>
      <c r="P16740" s="3337"/>
    </row>
    <row r="16741" spans="7:16" s="1634" customFormat="1">
      <c r="G16741" s="3336"/>
      <c r="P16741" s="3337"/>
    </row>
    <row r="16742" spans="7:16" s="1634" customFormat="1">
      <c r="G16742" s="3336"/>
      <c r="P16742" s="3337"/>
    </row>
    <row r="16743" spans="7:16" s="1634" customFormat="1">
      <c r="G16743" s="3336"/>
      <c r="P16743" s="3337"/>
    </row>
    <row r="16744" spans="7:16" s="1634" customFormat="1">
      <c r="G16744" s="3336"/>
      <c r="P16744" s="3337"/>
    </row>
    <row r="16745" spans="7:16" s="1634" customFormat="1">
      <c r="G16745" s="3336"/>
      <c r="P16745" s="3337"/>
    </row>
    <row r="16746" spans="7:16" s="1634" customFormat="1">
      <c r="G16746" s="3336"/>
      <c r="P16746" s="3337"/>
    </row>
    <row r="16747" spans="7:16" s="1634" customFormat="1">
      <c r="G16747" s="3336"/>
      <c r="P16747" s="3337"/>
    </row>
    <row r="16748" spans="7:16" s="1634" customFormat="1">
      <c r="G16748" s="3336"/>
      <c r="P16748" s="3337"/>
    </row>
    <row r="16749" spans="7:16" s="1634" customFormat="1">
      <c r="G16749" s="3336"/>
      <c r="P16749" s="3337"/>
    </row>
    <row r="16750" spans="7:16" s="1634" customFormat="1">
      <c r="G16750" s="3336"/>
      <c r="P16750" s="3337"/>
    </row>
    <row r="16751" spans="7:16" s="1634" customFormat="1">
      <c r="G16751" s="3336"/>
      <c r="P16751" s="3337"/>
    </row>
    <row r="16752" spans="7:16" s="1634" customFormat="1">
      <c r="G16752" s="3336"/>
      <c r="P16752" s="3337"/>
    </row>
    <row r="16753" spans="7:16" s="1634" customFormat="1">
      <c r="G16753" s="3336"/>
      <c r="P16753" s="3337"/>
    </row>
    <row r="16754" spans="7:16" s="1634" customFormat="1">
      <c r="G16754" s="3336"/>
      <c r="P16754" s="3337"/>
    </row>
    <row r="16755" spans="7:16" s="1634" customFormat="1">
      <c r="G16755" s="3336"/>
      <c r="P16755" s="3337"/>
    </row>
    <row r="16756" spans="7:16" s="1634" customFormat="1">
      <c r="G16756" s="3336"/>
      <c r="P16756" s="3337"/>
    </row>
    <row r="16757" spans="7:16" s="1634" customFormat="1">
      <c r="G16757" s="3336"/>
      <c r="P16757" s="3337"/>
    </row>
    <row r="16758" spans="7:16" s="1634" customFormat="1">
      <c r="G16758" s="3336"/>
      <c r="P16758" s="3337"/>
    </row>
    <row r="16759" spans="7:16" s="1634" customFormat="1">
      <c r="G16759" s="3336"/>
      <c r="P16759" s="3337"/>
    </row>
    <row r="16760" spans="7:16" s="1634" customFormat="1">
      <c r="G16760" s="3336"/>
      <c r="P16760" s="3337"/>
    </row>
    <row r="16761" spans="7:16" s="1634" customFormat="1">
      <c r="G16761" s="3336"/>
      <c r="P16761" s="3337"/>
    </row>
    <row r="16762" spans="7:16" s="1634" customFormat="1">
      <c r="G16762" s="3336"/>
      <c r="P16762" s="3337"/>
    </row>
    <row r="16763" spans="7:16" s="1634" customFormat="1">
      <c r="G16763" s="3336"/>
      <c r="P16763" s="3337"/>
    </row>
    <row r="16764" spans="7:16" s="1634" customFormat="1">
      <c r="G16764" s="3336"/>
      <c r="P16764" s="3337"/>
    </row>
    <row r="16765" spans="7:16" s="1634" customFormat="1">
      <c r="G16765" s="3336"/>
      <c r="P16765" s="3337"/>
    </row>
    <row r="16766" spans="7:16" s="1634" customFormat="1">
      <c r="G16766" s="3336"/>
      <c r="P16766" s="3337"/>
    </row>
    <row r="16767" spans="7:16" s="1634" customFormat="1">
      <c r="G16767" s="3336"/>
      <c r="P16767" s="3337"/>
    </row>
    <row r="16768" spans="7:16" s="1634" customFormat="1">
      <c r="G16768" s="3336"/>
      <c r="P16768" s="3337"/>
    </row>
    <row r="16769" spans="7:16" s="1634" customFormat="1">
      <c r="G16769" s="3336"/>
      <c r="P16769" s="3337"/>
    </row>
    <row r="16770" spans="7:16" s="1634" customFormat="1">
      <c r="G16770" s="3336"/>
      <c r="P16770" s="3337"/>
    </row>
    <row r="16771" spans="7:16" s="1634" customFormat="1">
      <c r="G16771" s="3336"/>
      <c r="P16771" s="3337"/>
    </row>
    <row r="16772" spans="7:16" s="1634" customFormat="1">
      <c r="G16772" s="3336"/>
      <c r="P16772" s="3337"/>
    </row>
    <row r="16773" spans="7:16" s="1634" customFormat="1">
      <c r="G16773" s="3336"/>
      <c r="P16773" s="3337"/>
    </row>
    <row r="16774" spans="7:16" s="1634" customFormat="1">
      <c r="G16774" s="3336"/>
      <c r="P16774" s="3337"/>
    </row>
    <row r="16775" spans="7:16" s="1634" customFormat="1">
      <c r="G16775" s="3336"/>
      <c r="P16775" s="3337"/>
    </row>
    <row r="16776" spans="7:16" s="1634" customFormat="1">
      <c r="G16776" s="3336"/>
      <c r="P16776" s="3337"/>
    </row>
    <row r="16777" spans="7:16" s="1634" customFormat="1">
      <c r="G16777" s="3336"/>
      <c r="P16777" s="3337"/>
    </row>
    <row r="16778" spans="7:16" s="1634" customFormat="1">
      <c r="G16778" s="3336"/>
      <c r="P16778" s="3337"/>
    </row>
    <row r="16779" spans="7:16" s="1634" customFormat="1">
      <c r="G16779" s="3336"/>
      <c r="P16779" s="3337"/>
    </row>
    <row r="16780" spans="7:16" s="1634" customFormat="1">
      <c r="G16780" s="3336"/>
      <c r="P16780" s="3337"/>
    </row>
    <row r="16781" spans="7:16" s="1634" customFormat="1">
      <c r="G16781" s="3336"/>
      <c r="P16781" s="3337"/>
    </row>
    <row r="16782" spans="7:16" s="1634" customFormat="1">
      <c r="G16782" s="3336"/>
      <c r="P16782" s="3337"/>
    </row>
    <row r="16783" spans="7:16" s="1634" customFormat="1">
      <c r="G16783" s="3336"/>
      <c r="P16783" s="3337"/>
    </row>
    <row r="16784" spans="7:16" s="1634" customFormat="1">
      <c r="G16784" s="3336"/>
      <c r="P16784" s="3337"/>
    </row>
    <row r="16785" spans="7:16" s="1634" customFormat="1">
      <c r="G16785" s="3336"/>
      <c r="P16785" s="3337"/>
    </row>
    <row r="16786" spans="7:16" s="1634" customFormat="1">
      <c r="G16786" s="3336"/>
      <c r="P16786" s="3337"/>
    </row>
    <row r="16787" spans="7:16" s="1634" customFormat="1">
      <c r="G16787" s="3336"/>
      <c r="P16787" s="3337"/>
    </row>
    <row r="16788" spans="7:16" s="1634" customFormat="1">
      <c r="G16788" s="3336"/>
      <c r="P16788" s="3337"/>
    </row>
    <row r="16789" spans="7:16" s="1634" customFormat="1">
      <c r="G16789" s="3336"/>
      <c r="P16789" s="3337"/>
    </row>
    <row r="16790" spans="7:16" s="1634" customFormat="1">
      <c r="G16790" s="3336"/>
      <c r="P16790" s="3337"/>
    </row>
    <row r="16791" spans="7:16" s="1634" customFormat="1">
      <c r="G16791" s="3336"/>
      <c r="P16791" s="3337"/>
    </row>
    <row r="16792" spans="7:16" s="1634" customFormat="1">
      <c r="G16792" s="3336"/>
      <c r="P16792" s="3337"/>
    </row>
    <row r="16793" spans="7:16" s="1634" customFormat="1">
      <c r="G16793" s="3336"/>
      <c r="P16793" s="3337"/>
    </row>
    <row r="16794" spans="7:16" s="1634" customFormat="1">
      <c r="G16794" s="3336"/>
      <c r="P16794" s="3337"/>
    </row>
    <row r="16795" spans="7:16" s="1634" customFormat="1">
      <c r="G16795" s="3336"/>
      <c r="P16795" s="3337"/>
    </row>
    <row r="16796" spans="7:16" s="1634" customFormat="1">
      <c r="G16796" s="3336"/>
      <c r="P16796" s="3337"/>
    </row>
    <row r="16797" spans="7:16" s="1634" customFormat="1">
      <c r="G16797" s="3336"/>
      <c r="P16797" s="3337"/>
    </row>
    <row r="16798" spans="7:16" s="1634" customFormat="1">
      <c r="G16798" s="3336"/>
      <c r="P16798" s="3337"/>
    </row>
    <row r="16799" spans="7:16" s="1634" customFormat="1">
      <c r="G16799" s="3336"/>
      <c r="P16799" s="3337"/>
    </row>
    <row r="16800" spans="7:16" s="1634" customFormat="1">
      <c r="G16800" s="3336"/>
      <c r="P16800" s="3337"/>
    </row>
    <row r="16801" spans="7:16" s="1634" customFormat="1">
      <c r="G16801" s="3336"/>
      <c r="P16801" s="3337"/>
    </row>
    <row r="16802" spans="7:16" s="1634" customFormat="1">
      <c r="G16802" s="3336"/>
      <c r="P16802" s="3337"/>
    </row>
    <row r="16803" spans="7:16" s="1634" customFormat="1">
      <c r="G16803" s="3336"/>
      <c r="P16803" s="3337"/>
    </row>
    <row r="16804" spans="7:16" s="1634" customFormat="1">
      <c r="G16804" s="3336"/>
      <c r="P16804" s="3337"/>
    </row>
    <row r="16805" spans="7:16" s="1634" customFormat="1">
      <c r="G16805" s="3336"/>
      <c r="P16805" s="3337"/>
    </row>
    <row r="16806" spans="7:16" s="1634" customFormat="1">
      <c r="G16806" s="3336"/>
      <c r="P16806" s="3337"/>
    </row>
    <row r="16807" spans="7:16" s="1634" customFormat="1">
      <c r="G16807" s="3336"/>
      <c r="P16807" s="3337"/>
    </row>
    <row r="16808" spans="7:16" s="1634" customFormat="1">
      <c r="G16808" s="3336"/>
      <c r="P16808" s="3337"/>
    </row>
    <row r="16809" spans="7:16" s="1634" customFormat="1">
      <c r="G16809" s="3336"/>
      <c r="P16809" s="3337"/>
    </row>
    <row r="16810" spans="7:16" s="1634" customFormat="1">
      <c r="G16810" s="3336"/>
      <c r="P16810" s="3337"/>
    </row>
    <row r="16811" spans="7:16" s="1634" customFormat="1">
      <c r="G16811" s="3336"/>
      <c r="P16811" s="3337"/>
    </row>
    <row r="16812" spans="7:16" s="1634" customFormat="1">
      <c r="G16812" s="3336"/>
      <c r="P16812" s="3337"/>
    </row>
    <row r="16813" spans="7:16" s="1634" customFormat="1">
      <c r="G16813" s="3336"/>
      <c r="P16813" s="3337"/>
    </row>
    <row r="16814" spans="7:16" s="1634" customFormat="1">
      <c r="G16814" s="3336"/>
      <c r="P16814" s="3337"/>
    </row>
    <row r="16815" spans="7:16" s="1634" customFormat="1">
      <c r="G16815" s="3336"/>
      <c r="P16815" s="3337"/>
    </row>
    <row r="16816" spans="7:16" s="1634" customFormat="1">
      <c r="G16816" s="3336"/>
      <c r="P16816" s="3337"/>
    </row>
    <row r="16817" spans="7:16" s="1634" customFormat="1">
      <c r="G16817" s="3336"/>
      <c r="P16817" s="3337"/>
    </row>
    <row r="16818" spans="7:16" s="1634" customFormat="1">
      <c r="G16818" s="3336"/>
      <c r="P16818" s="3337"/>
    </row>
    <row r="16819" spans="7:16" s="1634" customFormat="1">
      <c r="G16819" s="3336"/>
      <c r="P16819" s="3337"/>
    </row>
    <row r="16820" spans="7:16" s="1634" customFormat="1">
      <c r="G16820" s="3336"/>
      <c r="P16820" s="3337"/>
    </row>
    <row r="16821" spans="7:16" s="1634" customFormat="1">
      <c r="G16821" s="3336"/>
      <c r="P16821" s="3337"/>
    </row>
    <row r="16822" spans="7:16" s="1634" customFormat="1">
      <c r="G16822" s="3336"/>
      <c r="P16822" s="3337"/>
    </row>
    <row r="16823" spans="7:16" s="1634" customFormat="1">
      <c r="G16823" s="3336"/>
      <c r="P16823" s="3337"/>
    </row>
    <row r="16824" spans="7:16" s="1634" customFormat="1">
      <c r="G16824" s="3336"/>
      <c r="P16824" s="3337"/>
    </row>
    <row r="16825" spans="7:16" s="1634" customFormat="1">
      <c r="G16825" s="3336"/>
      <c r="P16825" s="3337"/>
    </row>
    <row r="16826" spans="7:16" s="1634" customFormat="1">
      <c r="G16826" s="3336"/>
      <c r="P16826" s="3337"/>
    </row>
    <row r="16827" spans="7:16" s="1634" customFormat="1">
      <c r="G16827" s="3336"/>
      <c r="P16827" s="3337"/>
    </row>
    <row r="16828" spans="7:16" s="1634" customFormat="1">
      <c r="G16828" s="3336"/>
      <c r="P16828" s="3337"/>
    </row>
    <row r="16829" spans="7:16" s="1634" customFormat="1">
      <c r="G16829" s="3336"/>
      <c r="P16829" s="3337"/>
    </row>
    <row r="16830" spans="7:16" s="1634" customFormat="1">
      <c r="G16830" s="3336"/>
      <c r="P16830" s="3337"/>
    </row>
    <row r="16831" spans="7:16" s="1634" customFormat="1">
      <c r="G16831" s="3336"/>
      <c r="P16831" s="3337"/>
    </row>
    <row r="16832" spans="7:16" s="1634" customFormat="1">
      <c r="G16832" s="3336"/>
      <c r="P16832" s="3337"/>
    </row>
    <row r="16833" spans="7:16" s="1634" customFormat="1">
      <c r="G16833" s="3336"/>
      <c r="P16833" s="3337"/>
    </row>
    <row r="16834" spans="7:16" s="1634" customFormat="1">
      <c r="G16834" s="3336"/>
      <c r="P16834" s="3337"/>
    </row>
    <row r="16835" spans="7:16" s="1634" customFormat="1">
      <c r="G16835" s="3336"/>
      <c r="P16835" s="3337"/>
    </row>
    <row r="16836" spans="7:16" s="1634" customFormat="1">
      <c r="G16836" s="3336"/>
      <c r="P16836" s="3337"/>
    </row>
    <row r="16837" spans="7:16" s="1634" customFormat="1">
      <c r="G16837" s="3336"/>
      <c r="P16837" s="3337"/>
    </row>
    <row r="16838" spans="7:16" s="1634" customFormat="1">
      <c r="G16838" s="3336"/>
      <c r="P16838" s="3337"/>
    </row>
    <row r="16839" spans="7:16" s="1634" customFormat="1">
      <c r="G16839" s="3336"/>
      <c r="P16839" s="3337"/>
    </row>
    <row r="16840" spans="7:16" s="1634" customFormat="1">
      <c r="G16840" s="3336"/>
      <c r="P16840" s="3337"/>
    </row>
    <row r="16841" spans="7:16" s="1634" customFormat="1">
      <c r="G16841" s="3336"/>
      <c r="P16841" s="3337"/>
    </row>
    <row r="16842" spans="7:16" s="1634" customFormat="1">
      <c r="G16842" s="3336"/>
      <c r="P16842" s="3337"/>
    </row>
    <row r="16843" spans="7:16" s="1634" customFormat="1">
      <c r="G16843" s="3336"/>
      <c r="P16843" s="3337"/>
    </row>
    <row r="16844" spans="7:16" s="1634" customFormat="1">
      <c r="G16844" s="3336"/>
      <c r="P16844" s="3337"/>
    </row>
    <row r="16845" spans="7:16" s="1634" customFormat="1">
      <c r="G16845" s="3336"/>
      <c r="P16845" s="3337"/>
    </row>
    <row r="16846" spans="7:16" s="1634" customFormat="1">
      <c r="G16846" s="3336"/>
      <c r="P16846" s="3337"/>
    </row>
    <row r="16847" spans="7:16" s="1634" customFormat="1">
      <c r="G16847" s="3336"/>
      <c r="P16847" s="3337"/>
    </row>
    <row r="16848" spans="7:16" s="1634" customFormat="1">
      <c r="G16848" s="3336"/>
      <c r="P16848" s="3337"/>
    </row>
    <row r="16849" spans="7:16" s="1634" customFormat="1">
      <c r="G16849" s="3336"/>
      <c r="P16849" s="3337"/>
    </row>
    <row r="16850" spans="7:16" s="1634" customFormat="1">
      <c r="G16850" s="3336"/>
      <c r="P16850" s="3337"/>
    </row>
    <row r="16851" spans="7:16" s="1634" customFormat="1">
      <c r="G16851" s="3336"/>
      <c r="P16851" s="3337"/>
    </row>
    <row r="16852" spans="7:16" s="1634" customFormat="1">
      <c r="G16852" s="3336"/>
      <c r="P16852" s="3337"/>
    </row>
    <row r="16853" spans="7:16" s="1634" customFormat="1">
      <c r="G16853" s="3336"/>
      <c r="P16853" s="3337"/>
    </row>
    <row r="16854" spans="7:16" s="1634" customFormat="1">
      <c r="G16854" s="3336"/>
      <c r="P16854" s="3337"/>
    </row>
    <row r="16855" spans="7:16" s="1634" customFormat="1">
      <c r="G16855" s="3336"/>
      <c r="P16855" s="3337"/>
    </row>
    <row r="16856" spans="7:16" s="1634" customFormat="1">
      <c r="G16856" s="3336"/>
      <c r="P16856" s="3337"/>
    </row>
    <row r="16857" spans="7:16" s="1634" customFormat="1">
      <c r="G16857" s="3336"/>
      <c r="P16857" s="3337"/>
    </row>
    <row r="16858" spans="7:16" s="1634" customFormat="1">
      <c r="G16858" s="3336"/>
      <c r="P16858" s="3337"/>
    </row>
    <row r="16859" spans="7:16" s="1634" customFormat="1">
      <c r="G16859" s="3336"/>
      <c r="P16859" s="3337"/>
    </row>
    <row r="16860" spans="7:16" s="1634" customFormat="1">
      <c r="G16860" s="3336"/>
      <c r="P16860" s="3337"/>
    </row>
    <row r="16861" spans="7:16" s="1634" customFormat="1">
      <c r="G16861" s="3336"/>
      <c r="P16861" s="3337"/>
    </row>
    <row r="16862" spans="7:16" s="1634" customFormat="1">
      <c r="G16862" s="3336"/>
      <c r="P16862" s="3337"/>
    </row>
    <row r="16863" spans="7:16" s="1634" customFormat="1">
      <c r="G16863" s="3336"/>
      <c r="P16863" s="3337"/>
    </row>
    <row r="16864" spans="7:16" s="1634" customFormat="1">
      <c r="G16864" s="3336"/>
      <c r="P16864" s="3337"/>
    </row>
    <row r="16865" spans="7:16" s="1634" customFormat="1">
      <c r="G16865" s="3336"/>
      <c r="P16865" s="3337"/>
    </row>
    <row r="16866" spans="7:16" s="1634" customFormat="1">
      <c r="G16866" s="3336"/>
      <c r="P16866" s="3337"/>
    </row>
    <row r="16867" spans="7:16" s="1634" customFormat="1">
      <c r="G16867" s="3336"/>
      <c r="P16867" s="3337"/>
    </row>
    <row r="16868" spans="7:16" s="1634" customFormat="1">
      <c r="G16868" s="3336"/>
      <c r="P16868" s="3337"/>
    </row>
    <row r="16869" spans="7:16" s="1634" customFormat="1">
      <c r="G16869" s="3336"/>
      <c r="P16869" s="3337"/>
    </row>
    <row r="16870" spans="7:16" s="1634" customFormat="1">
      <c r="G16870" s="3336"/>
      <c r="P16870" s="3337"/>
    </row>
    <row r="16871" spans="7:16" s="1634" customFormat="1">
      <c r="G16871" s="3336"/>
      <c r="P16871" s="3337"/>
    </row>
    <row r="16872" spans="7:16" s="1634" customFormat="1">
      <c r="G16872" s="3336"/>
      <c r="P16872" s="3337"/>
    </row>
    <row r="16873" spans="7:16" s="1634" customFormat="1">
      <c r="G16873" s="3336"/>
      <c r="P16873" s="3337"/>
    </row>
    <row r="16874" spans="7:16" s="1634" customFormat="1">
      <c r="G16874" s="3336"/>
      <c r="P16874" s="3337"/>
    </row>
    <row r="16875" spans="7:16" s="1634" customFormat="1">
      <c r="G16875" s="3336"/>
      <c r="P16875" s="3337"/>
    </row>
    <row r="16876" spans="7:16" s="1634" customFormat="1">
      <c r="G16876" s="3336"/>
      <c r="P16876" s="3337"/>
    </row>
    <row r="16877" spans="7:16" s="1634" customFormat="1">
      <c r="G16877" s="3336"/>
      <c r="P16877" s="3337"/>
    </row>
    <row r="16878" spans="7:16" s="1634" customFormat="1">
      <c r="G16878" s="3336"/>
      <c r="P16878" s="3337"/>
    </row>
    <row r="16879" spans="7:16" s="1634" customFormat="1">
      <c r="G16879" s="3336"/>
      <c r="P16879" s="3337"/>
    </row>
    <row r="16880" spans="7:16" s="1634" customFormat="1">
      <c r="G16880" s="3336"/>
      <c r="P16880" s="3337"/>
    </row>
    <row r="16881" spans="7:16" s="1634" customFormat="1">
      <c r="G16881" s="3336"/>
      <c r="P16881" s="3337"/>
    </row>
    <row r="16882" spans="7:16" s="1634" customFormat="1">
      <c r="G16882" s="3336"/>
      <c r="P16882" s="3337"/>
    </row>
    <row r="16883" spans="7:16" s="1634" customFormat="1">
      <c r="G16883" s="3336"/>
      <c r="P16883" s="3337"/>
    </row>
    <row r="16884" spans="7:16" s="1634" customFormat="1">
      <c r="G16884" s="3336"/>
      <c r="P16884" s="3337"/>
    </row>
    <row r="16885" spans="7:16" s="1634" customFormat="1">
      <c r="G16885" s="3336"/>
      <c r="P16885" s="3337"/>
    </row>
    <row r="16886" spans="7:16" s="1634" customFormat="1">
      <c r="G16886" s="3336"/>
      <c r="P16886" s="3337"/>
    </row>
    <row r="16887" spans="7:16" s="1634" customFormat="1">
      <c r="G16887" s="3336"/>
      <c r="P16887" s="3337"/>
    </row>
    <row r="16888" spans="7:16" s="1634" customFormat="1">
      <c r="G16888" s="3336"/>
      <c r="P16888" s="3337"/>
    </row>
    <row r="16889" spans="7:16" s="1634" customFormat="1">
      <c r="G16889" s="3336"/>
      <c r="P16889" s="3337"/>
    </row>
    <row r="16890" spans="7:16" s="1634" customFormat="1">
      <c r="G16890" s="3336"/>
      <c r="P16890" s="3337"/>
    </row>
    <row r="16891" spans="7:16" s="1634" customFormat="1">
      <c r="G16891" s="3336"/>
      <c r="P16891" s="3337"/>
    </row>
    <row r="16892" spans="7:16" s="1634" customFormat="1">
      <c r="G16892" s="3336"/>
      <c r="P16892" s="3337"/>
    </row>
    <row r="16893" spans="7:16" s="1634" customFormat="1">
      <c r="G16893" s="3336"/>
      <c r="P16893" s="3337"/>
    </row>
    <row r="16894" spans="7:16" s="1634" customFormat="1">
      <c r="G16894" s="3336"/>
      <c r="P16894" s="3337"/>
    </row>
    <row r="16895" spans="7:16" s="1634" customFormat="1">
      <c r="G16895" s="3336"/>
      <c r="P16895" s="3337"/>
    </row>
    <row r="16896" spans="7:16" s="1634" customFormat="1">
      <c r="G16896" s="3336"/>
      <c r="P16896" s="3337"/>
    </row>
    <row r="16897" spans="7:16" s="1634" customFormat="1">
      <c r="G16897" s="3336"/>
      <c r="P16897" s="3337"/>
    </row>
    <row r="16898" spans="7:16" s="1634" customFormat="1">
      <c r="G16898" s="3336"/>
      <c r="P16898" s="3337"/>
    </row>
    <row r="16899" spans="7:16" s="1634" customFormat="1">
      <c r="G16899" s="3336"/>
      <c r="P16899" s="3337"/>
    </row>
    <row r="16900" spans="7:16" s="1634" customFormat="1">
      <c r="G16900" s="3336"/>
      <c r="P16900" s="3337"/>
    </row>
    <row r="16901" spans="7:16" s="1634" customFormat="1">
      <c r="G16901" s="3336"/>
      <c r="P16901" s="3337"/>
    </row>
    <row r="16902" spans="7:16" s="1634" customFormat="1">
      <c r="G16902" s="3336"/>
      <c r="P16902" s="3337"/>
    </row>
    <row r="16903" spans="7:16" s="1634" customFormat="1">
      <c r="G16903" s="3336"/>
      <c r="P16903" s="3337"/>
    </row>
    <row r="16904" spans="7:16" s="1634" customFormat="1">
      <c r="G16904" s="3336"/>
      <c r="P16904" s="3337"/>
    </row>
    <row r="16905" spans="7:16" s="1634" customFormat="1">
      <c r="G16905" s="3336"/>
      <c r="P16905" s="3337"/>
    </row>
    <row r="16906" spans="7:16" s="1634" customFormat="1">
      <c r="G16906" s="3336"/>
      <c r="P16906" s="3337"/>
    </row>
    <row r="16907" spans="7:16" s="1634" customFormat="1">
      <c r="G16907" s="3336"/>
      <c r="P16907" s="3337"/>
    </row>
    <row r="16908" spans="7:16" s="1634" customFormat="1">
      <c r="G16908" s="3336"/>
      <c r="P16908" s="3337"/>
    </row>
    <row r="16909" spans="7:16" s="1634" customFormat="1">
      <c r="G16909" s="3336"/>
      <c r="P16909" s="3337"/>
    </row>
    <row r="16910" spans="7:16" s="1634" customFormat="1">
      <c r="G16910" s="3336"/>
      <c r="P16910" s="3337"/>
    </row>
    <row r="16911" spans="7:16" s="1634" customFormat="1">
      <c r="G16911" s="3336"/>
      <c r="P16911" s="3337"/>
    </row>
    <row r="16912" spans="7:16" s="1634" customFormat="1">
      <c r="G16912" s="3336"/>
      <c r="P16912" s="3337"/>
    </row>
    <row r="16913" spans="7:16" s="1634" customFormat="1">
      <c r="G16913" s="3336"/>
      <c r="P16913" s="3337"/>
    </row>
    <row r="16914" spans="7:16" s="1634" customFormat="1">
      <c r="G16914" s="3336"/>
      <c r="P16914" s="3337"/>
    </row>
    <row r="16915" spans="7:16" s="1634" customFormat="1">
      <c r="G16915" s="3336"/>
      <c r="P16915" s="3337"/>
    </row>
    <row r="16916" spans="7:16" s="1634" customFormat="1">
      <c r="G16916" s="3336"/>
      <c r="P16916" s="3337"/>
    </row>
    <row r="16917" spans="7:16" s="1634" customFormat="1">
      <c r="G16917" s="3336"/>
      <c r="P16917" s="3337"/>
    </row>
    <row r="16918" spans="7:16" s="1634" customFormat="1">
      <c r="G16918" s="3336"/>
      <c r="P16918" s="3337"/>
    </row>
    <row r="16919" spans="7:16" s="1634" customFormat="1">
      <c r="G16919" s="3336"/>
      <c r="P16919" s="3337"/>
    </row>
    <row r="16920" spans="7:16" s="1634" customFormat="1">
      <c r="G16920" s="3336"/>
      <c r="P16920" s="3337"/>
    </row>
    <row r="16921" spans="7:16" s="1634" customFormat="1">
      <c r="G16921" s="3336"/>
      <c r="P16921" s="3337"/>
    </row>
    <row r="16922" spans="7:16" s="1634" customFormat="1">
      <c r="G16922" s="3336"/>
      <c r="P16922" s="3337"/>
    </row>
    <row r="16923" spans="7:16" s="1634" customFormat="1">
      <c r="G16923" s="3336"/>
      <c r="P16923" s="3337"/>
    </row>
    <row r="16924" spans="7:16" s="1634" customFormat="1">
      <c r="G16924" s="3336"/>
      <c r="P16924" s="3337"/>
    </row>
    <row r="16925" spans="7:16" s="1634" customFormat="1">
      <c r="G16925" s="3336"/>
      <c r="P16925" s="3337"/>
    </row>
    <row r="16926" spans="7:16" s="1634" customFormat="1">
      <c r="G16926" s="3336"/>
      <c r="P16926" s="3337"/>
    </row>
    <row r="16927" spans="7:16" s="1634" customFormat="1">
      <c r="G16927" s="3336"/>
      <c r="P16927" s="3337"/>
    </row>
    <row r="16928" spans="7:16" s="1634" customFormat="1">
      <c r="G16928" s="3336"/>
      <c r="P16928" s="3337"/>
    </row>
    <row r="16929" spans="7:16" s="1634" customFormat="1">
      <c r="G16929" s="3336"/>
      <c r="P16929" s="3337"/>
    </row>
    <row r="16930" spans="7:16" s="1634" customFormat="1">
      <c r="G16930" s="3336"/>
      <c r="P16930" s="3337"/>
    </row>
    <row r="16931" spans="7:16" s="1634" customFormat="1">
      <c r="G16931" s="3336"/>
      <c r="P16931" s="3337"/>
    </row>
    <row r="16932" spans="7:16" s="1634" customFormat="1">
      <c r="G16932" s="3336"/>
      <c r="P16932" s="3337"/>
    </row>
    <row r="16933" spans="7:16" s="1634" customFormat="1">
      <c r="G16933" s="3336"/>
      <c r="P16933" s="3337"/>
    </row>
    <row r="16934" spans="7:16" s="1634" customFormat="1">
      <c r="G16934" s="3336"/>
      <c r="P16934" s="3337"/>
    </row>
    <row r="16935" spans="7:16" s="1634" customFormat="1">
      <c r="G16935" s="3336"/>
      <c r="P16935" s="3337"/>
    </row>
    <row r="16936" spans="7:16" s="1634" customFormat="1">
      <c r="G16936" s="3336"/>
      <c r="P16936" s="3337"/>
    </row>
    <row r="16937" spans="7:16" s="1634" customFormat="1">
      <c r="G16937" s="3336"/>
      <c r="P16937" s="3337"/>
    </row>
    <row r="16938" spans="7:16" s="1634" customFormat="1">
      <c r="G16938" s="3336"/>
      <c r="P16938" s="3337"/>
    </row>
    <row r="16939" spans="7:16" s="1634" customFormat="1">
      <c r="G16939" s="3336"/>
      <c r="P16939" s="3337"/>
    </row>
    <row r="16940" spans="7:16" s="1634" customFormat="1">
      <c r="G16940" s="3336"/>
      <c r="P16940" s="3337"/>
    </row>
    <row r="16941" spans="7:16" s="1634" customFormat="1">
      <c r="G16941" s="3336"/>
      <c r="P16941" s="3337"/>
    </row>
    <row r="16942" spans="7:16" s="1634" customFormat="1">
      <c r="G16942" s="3336"/>
      <c r="P16942" s="3337"/>
    </row>
    <row r="16943" spans="7:16" s="1634" customFormat="1">
      <c r="G16943" s="3336"/>
      <c r="P16943" s="3337"/>
    </row>
    <row r="16944" spans="7:16" s="1634" customFormat="1">
      <c r="G16944" s="3336"/>
      <c r="P16944" s="3337"/>
    </row>
    <row r="16945" spans="7:16" s="1634" customFormat="1">
      <c r="G16945" s="3336"/>
      <c r="P16945" s="3337"/>
    </row>
    <row r="16946" spans="7:16" s="1634" customFormat="1">
      <c r="G16946" s="3336"/>
      <c r="P16946" s="3337"/>
    </row>
    <row r="16947" spans="7:16" s="1634" customFormat="1">
      <c r="G16947" s="3336"/>
      <c r="P16947" s="3337"/>
    </row>
    <row r="16948" spans="7:16" s="1634" customFormat="1">
      <c r="G16948" s="3336"/>
      <c r="P16948" s="3337"/>
    </row>
    <row r="16949" spans="7:16" s="1634" customFormat="1">
      <c r="G16949" s="3336"/>
      <c r="P16949" s="3337"/>
    </row>
    <row r="16950" spans="7:16" s="1634" customFormat="1">
      <c r="G16950" s="3336"/>
      <c r="P16950" s="3337"/>
    </row>
    <row r="16951" spans="7:16" s="1634" customFormat="1">
      <c r="G16951" s="3336"/>
      <c r="P16951" s="3337"/>
    </row>
    <row r="16952" spans="7:16" s="1634" customFormat="1">
      <c r="G16952" s="3336"/>
      <c r="P16952" s="3337"/>
    </row>
    <row r="16953" spans="7:16" s="1634" customFormat="1">
      <c r="G16953" s="3336"/>
      <c r="P16953" s="3337"/>
    </row>
    <row r="16954" spans="7:16" s="1634" customFormat="1">
      <c r="G16954" s="3336"/>
      <c r="P16954" s="3337"/>
    </row>
    <row r="16955" spans="7:16" s="1634" customFormat="1">
      <c r="G16955" s="3336"/>
      <c r="P16955" s="3337"/>
    </row>
    <row r="16956" spans="7:16" s="1634" customFormat="1">
      <c r="G16956" s="3336"/>
      <c r="P16956" s="3337"/>
    </row>
    <row r="16957" spans="7:16" s="1634" customFormat="1">
      <c r="G16957" s="3336"/>
      <c r="P16957" s="3337"/>
    </row>
    <row r="16958" spans="7:16" s="1634" customFormat="1">
      <c r="G16958" s="3336"/>
      <c r="P16958" s="3337"/>
    </row>
    <row r="16959" spans="7:16" s="1634" customFormat="1">
      <c r="G16959" s="3336"/>
      <c r="P16959" s="3337"/>
    </row>
    <row r="16960" spans="7:16" s="1634" customFormat="1">
      <c r="G16960" s="3336"/>
      <c r="P16960" s="3337"/>
    </row>
    <row r="16961" spans="7:16" s="1634" customFormat="1">
      <c r="G16961" s="3336"/>
      <c r="P16961" s="3337"/>
    </row>
    <row r="16962" spans="7:16" s="1634" customFormat="1">
      <c r="G16962" s="3336"/>
      <c r="P16962" s="3337"/>
    </row>
    <row r="16963" spans="7:16" s="1634" customFormat="1">
      <c r="G16963" s="3336"/>
      <c r="P16963" s="3337"/>
    </row>
    <row r="16964" spans="7:16" s="1634" customFormat="1">
      <c r="G16964" s="3336"/>
      <c r="P16964" s="3337"/>
    </row>
    <row r="16965" spans="7:16" s="1634" customFormat="1">
      <c r="G16965" s="3336"/>
      <c r="P16965" s="3337"/>
    </row>
    <row r="16966" spans="7:16" s="1634" customFormat="1">
      <c r="G16966" s="3336"/>
      <c r="P16966" s="3337"/>
    </row>
    <row r="16967" spans="7:16" s="1634" customFormat="1">
      <c r="G16967" s="3336"/>
      <c r="P16967" s="3337"/>
    </row>
    <row r="16968" spans="7:16" s="1634" customFormat="1">
      <c r="G16968" s="3336"/>
      <c r="P16968" s="3337"/>
    </row>
    <row r="16969" spans="7:16" s="1634" customFormat="1">
      <c r="G16969" s="3336"/>
      <c r="P16969" s="3337"/>
    </row>
    <row r="16970" spans="7:16" s="1634" customFormat="1">
      <c r="G16970" s="3336"/>
      <c r="P16970" s="3337"/>
    </row>
    <row r="16971" spans="7:16" s="1634" customFormat="1">
      <c r="G16971" s="3336"/>
      <c r="P16971" s="3337"/>
    </row>
    <row r="16972" spans="7:16" s="1634" customFormat="1">
      <c r="G16972" s="3336"/>
      <c r="P16972" s="3337"/>
    </row>
    <row r="16973" spans="7:16" s="1634" customFormat="1">
      <c r="G16973" s="3336"/>
      <c r="P16973" s="3337"/>
    </row>
    <row r="16974" spans="7:16" s="1634" customFormat="1">
      <c r="G16974" s="3336"/>
      <c r="P16974" s="3337"/>
    </row>
    <row r="16975" spans="7:16" s="1634" customFormat="1">
      <c r="G16975" s="3336"/>
      <c r="P16975" s="3337"/>
    </row>
    <row r="16976" spans="7:16" s="1634" customFormat="1">
      <c r="G16976" s="3336"/>
      <c r="P16976" s="3337"/>
    </row>
    <row r="16977" spans="7:16" s="1634" customFormat="1">
      <c r="G16977" s="3336"/>
      <c r="P16977" s="3337"/>
    </row>
    <row r="16978" spans="7:16" s="1634" customFormat="1">
      <c r="G16978" s="3336"/>
      <c r="P16978" s="3337"/>
    </row>
    <row r="16979" spans="7:16" s="1634" customFormat="1">
      <c r="G16979" s="3336"/>
      <c r="P16979" s="3337"/>
    </row>
    <row r="16980" spans="7:16" s="1634" customFormat="1">
      <c r="G16980" s="3336"/>
      <c r="P16980" s="3337"/>
    </row>
    <row r="16981" spans="7:16" s="1634" customFormat="1">
      <c r="G16981" s="3336"/>
      <c r="P16981" s="3337"/>
    </row>
    <row r="16982" spans="7:16" s="1634" customFormat="1">
      <c r="G16982" s="3336"/>
      <c r="P16982" s="3337"/>
    </row>
    <row r="16983" spans="7:16" s="1634" customFormat="1">
      <c r="G16983" s="3336"/>
      <c r="P16983" s="3337"/>
    </row>
    <row r="16984" spans="7:16" s="1634" customFormat="1">
      <c r="G16984" s="3336"/>
      <c r="P16984" s="3337"/>
    </row>
    <row r="16985" spans="7:16" s="1634" customFormat="1">
      <c r="G16985" s="3336"/>
      <c r="P16985" s="3337"/>
    </row>
    <row r="16986" spans="7:16" s="1634" customFormat="1">
      <c r="G16986" s="3336"/>
      <c r="P16986" s="3337"/>
    </row>
    <row r="16987" spans="7:16" s="1634" customFormat="1">
      <c r="G16987" s="3336"/>
      <c r="P16987" s="3337"/>
    </row>
    <row r="16988" spans="7:16" s="1634" customFormat="1">
      <c r="G16988" s="3336"/>
      <c r="P16988" s="3337"/>
    </row>
    <row r="16989" spans="7:16" s="1634" customFormat="1">
      <c r="G16989" s="3336"/>
      <c r="P16989" s="3337"/>
    </row>
    <row r="16990" spans="7:16" s="1634" customFormat="1">
      <c r="G16990" s="3336"/>
      <c r="P16990" s="3337"/>
    </row>
    <row r="16991" spans="7:16" s="1634" customFormat="1">
      <c r="G16991" s="3336"/>
      <c r="P16991" s="3337"/>
    </row>
    <row r="16992" spans="7:16" s="1634" customFormat="1">
      <c r="G16992" s="3336"/>
      <c r="P16992" s="3337"/>
    </row>
    <row r="16993" spans="7:16" s="1634" customFormat="1">
      <c r="G16993" s="3336"/>
      <c r="P16993" s="3337"/>
    </row>
    <row r="16994" spans="7:16" s="1634" customFormat="1">
      <c r="G16994" s="3336"/>
      <c r="P16994" s="3337"/>
    </row>
    <row r="16995" spans="7:16" s="1634" customFormat="1">
      <c r="G16995" s="3336"/>
      <c r="P16995" s="3337"/>
    </row>
    <row r="16996" spans="7:16" s="1634" customFormat="1">
      <c r="G16996" s="3336"/>
      <c r="P16996" s="3337"/>
    </row>
    <row r="16997" spans="7:16" s="1634" customFormat="1">
      <c r="G16997" s="3336"/>
      <c r="P16997" s="3337"/>
    </row>
    <row r="16998" spans="7:16" s="1634" customFormat="1">
      <c r="G16998" s="3336"/>
      <c r="P16998" s="3337"/>
    </row>
    <row r="16999" spans="7:16" s="1634" customFormat="1">
      <c r="G16999" s="3336"/>
      <c r="P16999" s="3337"/>
    </row>
    <row r="17000" spans="7:16" s="1634" customFormat="1">
      <c r="G17000" s="3336"/>
      <c r="P17000" s="3337"/>
    </row>
    <row r="17001" spans="7:16" s="1634" customFormat="1">
      <c r="G17001" s="3336"/>
      <c r="P17001" s="3337"/>
    </row>
    <row r="17002" spans="7:16" s="1634" customFormat="1">
      <c r="G17002" s="3336"/>
      <c r="P17002" s="3337"/>
    </row>
    <row r="17003" spans="7:16" s="1634" customFormat="1">
      <c r="G17003" s="3336"/>
      <c r="P17003" s="3337"/>
    </row>
    <row r="17004" spans="7:16" s="1634" customFormat="1">
      <c r="G17004" s="3336"/>
      <c r="P17004" s="3337"/>
    </row>
    <row r="17005" spans="7:16" s="1634" customFormat="1">
      <c r="G17005" s="3336"/>
      <c r="P17005" s="3337"/>
    </row>
    <row r="17006" spans="7:16" s="1634" customFormat="1">
      <c r="G17006" s="3336"/>
      <c r="P17006" s="3337"/>
    </row>
    <row r="17007" spans="7:16" s="1634" customFormat="1">
      <c r="G17007" s="3336"/>
      <c r="P17007" s="3337"/>
    </row>
    <row r="17008" spans="7:16" s="1634" customFormat="1">
      <c r="G17008" s="3336"/>
      <c r="P17008" s="3337"/>
    </row>
    <row r="17009" spans="7:16" s="1634" customFormat="1">
      <c r="G17009" s="3336"/>
      <c r="P17009" s="3337"/>
    </row>
    <row r="17010" spans="7:16" s="1634" customFormat="1">
      <c r="G17010" s="3336"/>
      <c r="P17010" s="3337"/>
    </row>
    <row r="17011" spans="7:16" s="1634" customFormat="1">
      <c r="G17011" s="3336"/>
      <c r="P17011" s="3337"/>
    </row>
    <row r="17012" spans="7:16" s="1634" customFormat="1">
      <c r="G17012" s="3336"/>
      <c r="P17012" s="3337"/>
    </row>
    <row r="17013" spans="7:16" s="1634" customFormat="1">
      <c r="G17013" s="3336"/>
      <c r="P17013" s="3337"/>
    </row>
    <row r="17014" spans="7:16" s="1634" customFormat="1">
      <c r="G17014" s="3336"/>
      <c r="P17014" s="3337"/>
    </row>
    <row r="17015" spans="7:16" s="1634" customFormat="1">
      <c r="G17015" s="3336"/>
      <c r="P17015" s="3337"/>
    </row>
    <row r="17016" spans="7:16" s="1634" customFormat="1">
      <c r="G17016" s="3336"/>
      <c r="P17016" s="3337"/>
    </row>
    <row r="17017" spans="7:16" s="1634" customFormat="1">
      <c r="G17017" s="3336"/>
      <c r="P17017" s="3337"/>
    </row>
    <row r="17018" spans="7:16" s="1634" customFormat="1">
      <c r="G17018" s="3336"/>
      <c r="P17018" s="3337"/>
    </row>
    <row r="17019" spans="7:16" s="1634" customFormat="1">
      <c r="G17019" s="3336"/>
      <c r="P17019" s="3337"/>
    </row>
    <row r="17020" spans="7:16" s="1634" customFormat="1">
      <c r="G17020" s="3336"/>
      <c r="P17020" s="3337"/>
    </row>
    <row r="17021" spans="7:16" s="1634" customFormat="1">
      <c r="G17021" s="3336"/>
      <c r="P17021" s="3337"/>
    </row>
    <row r="17022" spans="7:16" s="1634" customFormat="1">
      <c r="G17022" s="3336"/>
      <c r="P17022" s="3337"/>
    </row>
    <row r="17023" spans="7:16" s="1634" customFormat="1">
      <c r="G17023" s="3336"/>
      <c r="P17023" s="3337"/>
    </row>
    <row r="17024" spans="7:16" s="1634" customFormat="1">
      <c r="G17024" s="3336"/>
      <c r="P17024" s="3337"/>
    </row>
    <row r="17025" spans="7:16" s="1634" customFormat="1">
      <c r="G17025" s="3336"/>
      <c r="P17025" s="3337"/>
    </row>
    <row r="17026" spans="7:16" s="1634" customFormat="1">
      <c r="G17026" s="3336"/>
      <c r="P17026" s="3337"/>
    </row>
    <row r="17027" spans="7:16" s="1634" customFormat="1">
      <c r="G17027" s="3336"/>
      <c r="P17027" s="3337"/>
    </row>
    <row r="17028" spans="7:16" s="1634" customFormat="1">
      <c r="G17028" s="3336"/>
      <c r="P17028" s="3337"/>
    </row>
    <row r="17029" spans="7:16" s="1634" customFormat="1">
      <c r="G17029" s="3336"/>
      <c r="P17029" s="3337"/>
    </row>
    <row r="17030" spans="7:16" s="1634" customFormat="1">
      <c r="G17030" s="3336"/>
      <c r="P17030" s="3337"/>
    </row>
    <row r="17031" spans="7:16" s="1634" customFormat="1">
      <c r="G17031" s="3336"/>
      <c r="P17031" s="3337"/>
    </row>
    <row r="17032" spans="7:16" s="1634" customFormat="1">
      <c r="G17032" s="3336"/>
      <c r="P17032" s="3337"/>
    </row>
    <row r="17033" spans="7:16" s="1634" customFormat="1">
      <c r="G17033" s="3336"/>
      <c r="P17033" s="3337"/>
    </row>
    <row r="17034" spans="7:16" s="1634" customFormat="1">
      <c r="G17034" s="3336"/>
      <c r="P17034" s="3337"/>
    </row>
    <row r="17035" spans="7:16" s="1634" customFormat="1">
      <c r="G17035" s="3336"/>
      <c r="P17035" s="3337"/>
    </row>
    <row r="17036" spans="7:16" s="1634" customFormat="1">
      <c r="G17036" s="3336"/>
      <c r="P17036" s="3337"/>
    </row>
    <row r="17037" spans="7:16" s="1634" customFormat="1">
      <c r="G17037" s="3336"/>
      <c r="P17037" s="3337"/>
    </row>
    <row r="17038" spans="7:16" s="1634" customFormat="1">
      <c r="G17038" s="3336"/>
      <c r="P17038" s="3337"/>
    </row>
    <row r="17039" spans="7:16" s="1634" customFormat="1">
      <c r="G17039" s="3336"/>
      <c r="P17039" s="3337"/>
    </row>
    <row r="17040" spans="7:16" s="1634" customFormat="1">
      <c r="G17040" s="3336"/>
      <c r="P17040" s="3337"/>
    </row>
    <row r="17041" spans="7:16" s="1634" customFormat="1">
      <c r="G17041" s="3336"/>
      <c r="P17041" s="3337"/>
    </row>
    <row r="17042" spans="7:16" s="1634" customFormat="1">
      <c r="G17042" s="3336"/>
      <c r="P17042" s="3337"/>
    </row>
    <row r="17043" spans="7:16" s="1634" customFormat="1">
      <c r="G17043" s="3336"/>
      <c r="P17043" s="3337"/>
    </row>
    <row r="17044" spans="7:16" s="1634" customFormat="1">
      <c r="G17044" s="3336"/>
      <c r="P17044" s="3337"/>
    </row>
    <row r="17045" spans="7:16" s="1634" customFormat="1">
      <c r="G17045" s="3336"/>
      <c r="P17045" s="3337"/>
    </row>
    <row r="17046" spans="7:16" s="1634" customFormat="1">
      <c r="G17046" s="3336"/>
      <c r="P17046" s="3337"/>
    </row>
    <row r="17047" spans="7:16" s="1634" customFormat="1">
      <c r="G17047" s="3336"/>
      <c r="P17047" s="3337"/>
    </row>
    <row r="17048" spans="7:16" s="1634" customFormat="1">
      <c r="G17048" s="3336"/>
      <c r="P17048" s="3337"/>
    </row>
    <row r="17049" spans="7:16" s="1634" customFormat="1">
      <c r="G17049" s="3336"/>
      <c r="P17049" s="3337"/>
    </row>
    <row r="17050" spans="7:16" s="1634" customFormat="1">
      <c r="G17050" s="3336"/>
      <c r="P17050" s="3337"/>
    </row>
    <row r="17051" spans="7:16" s="1634" customFormat="1">
      <c r="G17051" s="3336"/>
      <c r="P17051" s="3337"/>
    </row>
    <row r="17052" spans="7:16" s="1634" customFormat="1">
      <c r="G17052" s="3336"/>
      <c r="P17052" s="3337"/>
    </row>
    <row r="17053" spans="7:16" s="1634" customFormat="1">
      <c r="G17053" s="3336"/>
      <c r="P17053" s="3337"/>
    </row>
    <row r="17054" spans="7:16" s="1634" customFormat="1">
      <c r="G17054" s="3336"/>
      <c r="P17054" s="3337"/>
    </row>
    <row r="17055" spans="7:16" s="1634" customFormat="1">
      <c r="G17055" s="3336"/>
      <c r="P17055" s="3337"/>
    </row>
    <row r="17056" spans="7:16" s="1634" customFormat="1">
      <c r="G17056" s="3336"/>
      <c r="P17056" s="3337"/>
    </row>
    <row r="17057" spans="7:16" s="1634" customFormat="1">
      <c r="G17057" s="3336"/>
      <c r="P17057" s="3337"/>
    </row>
    <row r="17058" spans="7:16" s="1634" customFormat="1">
      <c r="G17058" s="3336"/>
      <c r="P17058" s="3337"/>
    </row>
    <row r="17059" spans="7:16" s="1634" customFormat="1">
      <c r="G17059" s="3336"/>
      <c r="P17059" s="3337"/>
    </row>
    <row r="17060" spans="7:16" s="1634" customFormat="1">
      <c r="G17060" s="3336"/>
      <c r="P17060" s="3337"/>
    </row>
    <row r="17061" spans="7:16" s="1634" customFormat="1">
      <c r="G17061" s="3336"/>
      <c r="P17061" s="3337"/>
    </row>
    <row r="17062" spans="7:16" s="1634" customFormat="1">
      <c r="G17062" s="3336"/>
      <c r="P17062" s="3337"/>
    </row>
    <row r="17063" spans="7:16" s="1634" customFormat="1">
      <c r="G17063" s="3336"/>
      <c r="P17063" s="3337"/>
    </row>
    <row r="17064" spans="7:16" s="1634" customFormat="1">
      <c r="G17064" s="3336"/>
      <c r="P17064" s="3337"/>
    </row>
    <row r="17065" spans="7:16" s="1634" customFormat="1">
      <c r="G17065" s="3336"/>
      <c r="P17065" s="3337"/>
    </row>
    <row r="17066" spans="7:16" s="1634" customFormat="1">
      <c r="G17066" s="3336"/>
      <c r="P17066" s="3337"/>
    </row>
    <row r="17067" spans="7:16" s="1634" customFormat="1">
      <c r="G17067" s="3336"/>
      <c r="P17067" s="3337"/>
    </row>
    <row r="17068" spans="7:16" s="1634" customFormat="1">
      <c r="G17068" s="3336"/>
      <c r="P17068" s="3337"/>
    </row>
    <row r="17069" spans="7:16" s="1634" customFormat="1">
      <c r="G17069" s="3336"/>
      <c r="P17069" s="3337"/>
    </row>
    <row r="17070" spans="7:16" s="1634" customFormat="1">
      <c r="G17070" s="3336"/>
      <c r="P17070" s="3337"/>
    </row>
    <row r="17071" spans="7:16" s="1634" customFormat="1">
      <c r="G17071" s="3336"/>
      <c r="P17071" s="3337"/>
    </row>
    <row r="17072" spans="7:16" s="1634" customFormat="1">
      <c r="G17072" s="3336"/>
      <c r="P17072" s="3337"/>
    </row>
    <row r="17073" spans="7:16" s="1634" customFormat="1">
      <c r="G17073" s="3336"/>
      <c r="P17073" s="3337"/>
    </row>
    <row r="17074" spans="7:16" s="1634" customFormat="1">
      <c r="G17074" s="3336"/>
      <c r="P17074" s="3337"/>
    </row>
    <row r="17075" spans="7:16" s="1634" customFormat="1">
      <c r="G17075" s="3336"/>
      <c r="P17075" s="3337"/>
    </row>
    <row r="17076" spans="7:16" s="1634" customFormat="1">
      <c r="G17076" s="3336"/>
      <c r="P17076" s="3337"/>
    </row>
    <row r="17077" spans="7:16" s="1634" customFormat="1">
      <c r="G17077" s="3336"/>
      <c r="P17077" s="3337"/>
    </row>
    <row r="17078" spans="7:16" s="1634" customFormat="1">
      <c r="G17078" s="3336"/>
      <c r="P17078" s="3337"/>
    </row>
    <row r="17079" spans="7:16" s="1634" customFormat="1">
      <c r="G17079" s="3336"/>
      <c r="P17079" s="3337"/>
    </row>
    <row r="17080" spans="7:16" s="1634" customFormat="1">
      <c r="G17080" s="3336"/>
      <c r="P17080" s="3337"/>
    </row>
    <row r="17081" spans="7:16" s="1634" customFormat="1">
      <c r="G17081" s="3336"/>
      <c r="P17081" s="3337"/>
    </row>
    <row r="17082" spans="7:16" s="1634" customFormat="1">
      <c r="G17082" s="3336"/>
      <c r="P17082" s="3337"/>
    </row>
    <row r="17083" spans="7:16" s="1634" customFormat="1">
      <c r="G17083" s="3336"/>
      <c r="P17083" s="3337"/>
    </row>
    <row r="17084" spans="7:16" s="1634" customFormat="1">
      <c r="G17084" s="3336"/>
      <c r="P17084" s="3337"/>
    </row>
    <row r="17085" spans="7:16" s="1634" customFormat="1">
      <c r="G17085" s="3336"/>
      <c r="P17085" s="3337"/>
    </row>
    <row r="17086" spans="7:16" s="1634" customFormat="1">
      <c r="G17086" s="3336"/>
      <c r="P17086" s="3337"/>
    </row>
    <row r="17087" spans="7:16" s="1634" customFormat="1">
      <c r="G17087" s="3336"/>
      <c r="P17087" s="3337"/>
    </row>
    <row r="17088" spans="7:16" s="1634" customFormat="1">
      <c r="G17088" s="3336"/>
      <c r="P17088" s="3337"/>
    </row>
    <row r="17089" spans="7:16" s="1634" customFormat="1">
      <c r="G17089" s="3336"/>
      <c r="P17089" s="3337"/>
    </row>
    <row r="17090" spans="7:16" s="1634" customFormat="1">
      <c r="G17090" s="3336"/>
      <c r="P17090" s="3337"/>
    </row>
    <row r="17091" spans="7:16" s="1634" customFormat="1">
      <c r="G17091" s="3336"/>
      <c r="P17091" s="3337"/>
    </row>
    <row r="17092" spans="7:16" s="1634" customFormat="1">
      <c r="G17092" s="3336"/>
      <c r="P17092" s="3337"/>
    </row>
    <row r="17093" spans="7:16" s="1634" customFormat="1">
      <c r="G17093" s="3336"/>
      <c r="P17093" s="3337"/>
    </row>
    <row r="17094" spans="7:16" s="1634" customFormat="1">
      <c r="G17094" s="3336"/>
      <c r="P17094" s="3337"/>
    </row>
    <row r="17095" spans="7:16" s="1634" customFormat="1">
      <c r="G17095" s="3336"/>
      <c r="P17095" s="3337"/>
    </row>
    <row r="17096" spans="7:16" s="1634" customFormat="1">
      <c r="G17096" s="3336"/>
      <c r="P17096" s="3337"/>
    </row>
    <row r="17097" spans="7:16" s="1634" customFormat="1">
      <c r="G17097" s="3336"/>
      <c r="P17097" s="3337"/>
    </row>
    <row r="17098" spans="7:16" s="1634" customFormat="1">
      <c r="G17098" s="3336"/>
      <c r="P17098" s="3337"/>
    </row>
    <row r="17099" spans="7:16" s="1634" customFormat="1">
      <c r="G17099" s="3336"/>
      <c r="P17099" s="3337"/>
    </row>
    <row r="17100" spans="7:16" s="1634" customFormat="1">
      <c r="G17100" s="3336"/>
      <c r="P17100" s="3337"/>
    </row>
    <row r="17101" spans="7:16" s="1634" customFormat="1">
      <c r="G17101" s="3336"/>
      <c r="P17101" s="3337"/>
    </row>
    <row r="17102" spans="7:16" s="1634" customFormat="1">
      <c r="G17102" s="3336"/>
      <c r="P17102" s="3337"/>
    </row>
    <row r="17103" spans="7:16" s="1634" customFormat="1">
      <c r="G17103" s="3336"/>
      <c r="P17103" s="3337"/>
    </row>
    <row r="17104" spans="7:16" s="1634" customFormat="1">
      <c r="G17104" s="3336"/>
      <c r="P17104" s="3337"/>
    </row>
    <row r="17105" spans="7:16" s="1634" customFormat="1">
      <c r="G17105" s="3336"/>
      <c r="P17105" s="3337"/>
    </row>
    <row r="17106" spans="7:16" s="1634" customFormat="1">
      <c r="G17106" s="3336"/>
      <c r="P17106" s="3337"/>
    </row>
    <row r="17107" spans="7:16" s="1634" customFormat="1">
      <c r="G17107" s="3336"/>
      <c r="P17107" s="3337"/>
    </row>
    <row r="17108" spans="7:16" s="1634" customFormat="1">
      <c r="G17108" s="3336"/>
      <c r="P17108" s="3337"/>
    </row>
    <row r="17109" spans="7:16" s="1634" customFormat="1">
      <c r="G17109" s="3336"/>
      <c r="P17109" s="3337"/>
    </row>
    <row r="17110" spans="7:16" s="1634" customFormat="1">
      <c r="G17110" s="3336"/>
      <c r="P17110" s="3337"/>
    </row>
    <row r="17111" spans="7:16" s="1634" customFormat="1">
      <c r="G17111" s="3336"/>
      <c r="P17111" s="3337"/>
    </row>
    <row r="17112" spans="7:16" s="1634" customFormat="1">
      <c r="G17112" s="3336"/>
      <c r="P17112" s="3337"/>
    </row>
    <row r="17113" spans="7:16" s="1634" customFormat="1">
      <c r="G17113" s="3336"/>
      <c r="P17113" s="3337"/>
    </row>
    <row r="17114" spans="7:16" s="1634" customFormat="1">
      <c r="G17114" s="3336"/>
      <c r="P17114" s="3337"/>
    </row>
    <row r="17115" spans="7:16" s="1634" customFormat="1">
      <c r="G17115" s="3336"/>
      <c r="P17115" s="3337"/>
    </row>
    <row r="17116" spans="7:16" s="1634" customFormat="1">
      <c r="G17116" s="3336"/>
      <c r="P17116" s="3337"/>
    </row>
    <row r="17117" spans="7:16" s="1634" customFormat="1">
      <c r="G17117" s="3336"/>
      <c r="P17117" s="3337"/>
    </row>
    <row r="17118" spans="7:16" s="1634" customFormat="1">
      <c r="G17118" s="3336"/>
      <c r="P17118" s="3337"/>
    </row>
    <row r="17119" spans="7:16" s="1634" customFormat="1">
      <c r="G17119" s="3336"/>
      <c r="P17119" s="3337"/>
    </row>
    <row r="17120" spans="7:16" s="1634" customFormat="1">
      <c r="G17120" s="3336"/>
      <c r="P17120" s="3337"/>
    </row>
    <row r="17121" spans="7:16" s="1634" customFormat="1">
      <c r="G17121" s="3336"/>
      <c r="P17121" s="3337"/>
    </row>
    <row r="17122" spans="7:16" s="1634" customFormat="1">
      <c r="G17122" s="3336"/>
      <c r="P17122" s="3337"/>
    </row>
    <row r="17123" spans="7:16" s="1634" customFormat="1">
      <c r="G17123" s="3336"/>
      <c r="P17123" s="3337"/>
    </row>
    <row r="17124" spans="7:16" s="1634" customFormat="1">
      <c r="G17124" s="3336"/>
      <c r="P17124" s="3337"/>
    </row>
    <row r="17125" spans="7:16" s="1634" customFormat="1">
      <c r="G17125" s="3336"/>
      <c r="P17125" s="3337"/>
    </row>
    <row r="17126" spans="7:16" s="1634" customFormat="1">
      <c r="G17126" s="3336"/>
      <c r="P17126" s="3337"/>
    </row>
    <row r="17127" spans="7:16" s="1634" customFormat="1">
      <c r="G17127" s="3336"/>
      <c r="P17127" s="3337"/>
    </row>
    <row r="17128" spans="7:16" s="1634" customFormat="1">
      <c r="G17128" s="3336"/>
      <c r="P17128" s="3337"/>
    </row>
    <row r="17129" spans="7:16" s="1634" customFormat="1">
      <c r="G17129" s="3336"/>
      <c r="P17129" s="3337"/>
    </row>
    <row r="17130" spans="7:16" s="1634" customFormat="1">
      <c r="G17130" s="3336"/>
      <c r="P17130" s="3337"/>
    </row>
    <row r="17131" spans="7:16" s="1634" customFormat="1">
      <c r="G17131" s="3336"/>
      <c r="P17131" s="3337"/>
    </row>
    <row r="17132" spans="7:16" s="1634" customFormat="1">
      <c r="G17132" s="3336"/>
      <c r="P17132" s="3337"/>
    </row>
    <row r="17133" spans="7:16" s="1634" customFormat="1">
      <c r="G17133" s="3336"/>
      <c r="P17133" s="3337"/>
    </row>
    <row r="17134" spans="7:16" s="1634" customFormat="1">
      <c r="G17134" s="3336"/>
      <c r="P17134" s="3337"/>
    </row>
    <row r="17135" spans="7:16" s="1634" customFormat="1">
      <c r="G17135" s="3336"/>
      <c r="P17135" s="3337"/>
    </row>
    <row r="17136" spans="7:16" s="1634" customFormat="1">
      <c r="G17136" s="3336"/>
      <c r="P17136" s="3337"/>
    </row>
    <row r="17137" spans="7:16" s="1634" customFormat="1">
      <c r="G17137" s="3336"/>
      <c r="P17137" s="3337"/>
    </row>
    <row r="17138" spans="7:16" s="1634" customFormat="1">
      <c r="G17138" s="3336"/>
      <c r="P17138" s="3337"/>
    </row>
    <row r="17139" spans="7:16" s="1634" customFormat="1">
      <c r="G17139" s="3336"/>
      <c r="P17139" s="3337"/>
    </row>
    <row r="17140" spans="7:16" s="1634" customFormat="1">
      <c r="G17140" s="3336"/>
      <c r="P17140" s="3337"/>
    </row>
    <row r="17141" spans="7:16" s="1634" customFormat="1">
      <c r="G17141" s="3336"/>
      <c r="P17141" s="3337"/>
    </row>
    <row r="17142" spans="7:16" s="1634" customFormat="1">
      <c r="G17142" s="3336"/>
      <c r="P17142" s="3337"/>
    </row>
    <row r="17143" spans="7:16" s="1634" customFormat="1">
      <c r="G17143" s="3336"/>
      <c r="P17143" s="3337"/>
    </row>
    <row r="17144" spans="7:16" s="1634" customFormat="1">
      <c r="G17144" s="3336"/>
      <c r="P17144" s="3337"/>
    </row>
    <row r="17145" spans="7:16" s="1634" customFormat="1">
      <c r="G17145" s="3336"/>
      <c r="P17145" s="3337"/>
    </row>
    <row r="17146" spans="7:16" s="1634" customFormat="1">
      <c r="G17146" s="3336"/>
      <c r="P17146" s="3337"/>
    </row>
    <row r="17147" spans="7:16" s="1634" customFormat="1">
      <c r="G17147" s="3336"/>
      <c r="P17147" s="3337"/>
    </row>
    <row r="17148" spans="7:16" s="1634" customFormat="1">
      <c r="G17148" s="3336"/>
      <c r="P17148" s="3337"/>
    </row>
    <row r="17149" spans="7:16" s="1634" customFormat="1">
      <c r="G17149" s="3336"/>
      <c r="P17149" s="3337"/>
    </row>
    <row r="17150" spans="7:16" s="1634" customFormat="1">
      <c r="G17150" s="3336"/>
      <c r="P17150" s="3337"/>
    </row>
    <row r="17151" spans="7:16" s="1634" customFormat="1">
      <c r="G17151" s="3336"/>
      <c r="P17151" s="3337"/>
    </row>
    <row r="17152" spans="7:16" s="1634" customFormat="1">
      <c r="G17152" s="3336"/>
      <c r="P17152" s="3337"/>
    </row>
    <row r="17153" spans="7:16" s="1634" customFormat="1">
      <c r="G17153" s="3336"/>
      <c r="P17153" s="3337"/>
    </row>
    <row r="17154" spans="7:16" s="1634" customFormat="1">
      <c r="G17154" s="3336"/>
      <c r="P17154" s="3337"/>
    </row>
    <row r="17155" spans="7:16" s="1634" customFormat="1">
      <c r="G17155" s="3336"/>
      <c r="P17155" s="3337"/>
    </row>
    <row r="17156" spans="7:16" s="1634" customFormat="1">
      <c r="G17156" s="3336"/>
      <c r="P17156" s="3337"/>
    </row>
    <row r="17157" spans="7:16" s="1634" customFormat="1">
      <c r="G17157" s="3336"/>
      <c r="P17157" s="3337"/>
    </row>
    <row r="17158" spans="7:16" s="1634" customFormat="1">
      <c r="G17158" s="3336"/>
      <c r="P17158" s="3337"/>
    </row>
    <row r="17159" spans="7:16" s="1634" customFormat="1">
      <c r="G17159" s="3336"/>
      <c r="P17159" s="3337"/>
    </row>
    <row r="17160" spans="7:16" s="1634" customFormat="1">
      <c r="G17160" s="3336"/>
      <c r="P17160" s="3337"/>
    </row>
    <row r="17161" spans="7:16" s="1634" customFormat="1">
      <c r="G17161" s="3336"/>
      <c r="P17161" s="3337"/>
    </row>
    <row r="17162" spans="7:16" s="1634" customFormat="1">
      <c r="G17162" s="3336"/>
      <c r="P17162" s="3337"/>
    </row>
    <row r="17163" spans="7:16" s="1634" customFormat="1">
      <c r="G17163" s="3336"/>
      <c r="P17163" s="3337"/>
    </row>
    <row r="17164" spans="7:16" s="1634" customFormat="1">
      <c r="G17164" s="3336"/>
      <c r="P17164" s="3337"/>
    </row>
    <row r="17165" spans="7:16" s="1634" customFormat="1">
      <c r="G17165" s="3336"/>
      <c r="P17165" s="3337"/>
    </row>
    <row r="17166" spans="7:16" s="1634" customFormat="1">
      <c r="G17166" s="3336"/>
      <c r="P17166" s="3337"/>
    </row>
    <row r="17167" spans="7:16" s="1634" customFormat="1">
      <c r="G17167" s="3336"/>
      <c r="P17167" s="3337"/>
    </row>
    <row r="17168" spans="7:16" s="1634" customFormat="1">
      <c r="G17168" s="3336"/>
      <c r="P17168" s="3337"/>
    </row>
    <row r="17169" spans="7:16" s="1634" customFormat="1">
      <c r="G17169" s="3336"/>
      <c r="P17169" s="3337"/>
    </row>
    <row r="17170" spans="7:16" s="1634" customFormat="1">
      <c r="G17170" s="3336"/>
      <c r="P17170" s="3337"/>
    </row>
    <row r="17171" spans="7:16" s="1634" customFormat="1">
      <c r="G17171" s="3336"/>
      <c r="P17171" s="3337"/>
    </row>
    <row r="17172" spans="7:16" s="1634" customFormat="1">
      <c r="G17172" s="3336"/>
      <c r="P17172" s="3337"/>
    </row>
    <row r="17173" spans="7:16" s="1634" customFormat="1">
      <c r="G17173" s="3336"/>
      <c r="P17173" s="3337"/>
    </row>
    <row r="17174" spans="7:16" s="1634" customFormat="1">
      <c r="G17174" s="3336"/>
      <c r="P17174" s="3337"/>
    </row>
    <row r="17175" spans="7:16" s="1634" customFormat="1">
      <c r="G17175" s="3336"/>
      <c r="P17175" s="3337"/>
    </row>
    <row r="17176" spans="7:16" s="1634" customFormat="1">
      <c r="G17176" s="3336"/>
      <c r="P17176" s="3337"/>
    </row>
    <row r="17177" spans="7:16" s="1634" customFormat="1">
      <c r="G17177" s="3336"/>
      <c r="P17177" s="3337"/>
    </row>
    <row r="17178" spans="7:16" s="1634" customFormat="1">
      <c r="G17178" s="3336"/>
      <c r="P17178" s="3337"/>
    </row>
    <row r="17179" spans="7:16" s="1634" customFormat="1">
      <c r="G17179" s="3336"/>
      <c r="P17179" s="3337"/>
    </row>
    <row r="17180" spans="7:16" s="1634" customFormat="1">
      <c r="G17180" s="3336"/>
      <c r="P17180" s="3337"/>
    </row>
    <row r="17181" spans="7:16" s="1634" customFormat="1">
      <c r="G17181" s="3336"/>
      <c r="P17181" s="3337"/>
    </row>
    <row r="17182" spans="7:16" s="1634" customFormat="1">
      <c r="G17182" s="3336"/>
      <c r="P17182" s="3337"/>
    </row>
    <row r="17183" spans="7:16" s="1634" customFormat="1">
      <c r="G17183" s="3336"/>
      <c r="P17183" s="3337"/>
    </row>
    <row r="17184" spans="7:16" s="1634" customFormat="1">
      <c r="G17184" s="3336"/>
      <c r="P17184" s="3337"/>
    </row>
    <row r="17185" spans="7:16" s="1634" customFormat="1">
      <c r="G17185" s="3336"/>
      <c r="P17185" s="3337"/>
    </row>
    <row r="17186" spans="7:16" s="1634" customFormat="1">
      <c r="G17186" s="3336"/>
      <c r="P17186" s="3337"/>
    </row>
    <row r="17187" spans="7:16" s="1634" customFormat="1">
      <c r="G17187" s="3336"/>
      <c r="P17187" s="3337"/>
    </row>
    <row r="17188" spans="7:16" s="1634" customFormat="1">
      <c r="G17188" s="3336"/>
      <c r="P17188" s="3337"/>
    </row>
    <row r="17189" spans="7:16" s="1634" customFormat="1">
      <c r="G17189" s="3336"/>
      <c r="P17189" s="3337"/>
    </row>
    <row r="17190" spans="7:16" s="1634" customFormat="1">
      <c r="G17190" s="3336"/>
      <c r="P17190" s="3337"/>
    </row>
    <row r="17191" spans="7:16" s="1634" customFormat="1">
      <c r="G17191" s="3336"/>
      <c r="P17191" s="3337"/>
    </row>
    <row r="17192" spans="7:16" s="1634" customFormat="1">
      <c r="G17192" s="3336"/>
      <c r="P17192" s="3337"/>
    </row>
    <row r="17193" spans="7:16" s="1634" customFormat="1">
      <c r="G17193" s="3336"/>
      <c r="P17193" s="3337"/>
    </row>
    <row r="17194" spans="7:16" s="1634" customFormat="1">
      <c r="G17194" s="3336"/>
      <c r="P17194" s="3337"/>
    </row>
    <row r="17195" spans="7:16" s="1634" customFormat="1">
      <c r="G17195" s="3336"/>
      <c r="P17195" s="3337"/>
    </row>
    <row r="17196" spans="7:16" s="1634" customFormat="1">
      <c r="G17196" s="3336"/>
      <c r="P17196" s="3337"/>
    </row>
    <row r="17197" spans="7:16" s="1634" customFormat="1">
      <c r="G17197" s="3336"/>
      <c r="P17197" s="3337"/>
    </row>
    <row r="17198" spans="7:16" s="1634" customFormat="1">
      <c r="G17198" s="3336"/>
      <c r="P17198" s="3337"/>
    </row>
    <row r="17199" spans="7:16" s="1634" customFormat="1">
      <c r="G17199" s="3336"/>
      <c r="P17199" s="3337"/>
    </row>
    <row r="17200" spans="7:16" s="1634" customFormat="1">
      <c r="G17200" s="3336"/>
      <c r="P17200" s="3337"/>
    </row>
    <row r="17201" spans="7:16" s="1634" customFormat="1">
      <c r="G17201" s="3336"/>
      <c r="P17201" s="3337"/>
    </row>
    <row r="17202" spans="7:16" s="1634" customFormat="1">
      <c r="G17202" s="3336"/>
      <c r="P17202" s="3337"/>
    </row>
    <row r="17203" spans="7:16" s="1634" customFormat="1">
      <c r="G17203" s="3336"/>
      <c r="P17203" s="3337"/>
    </row>
    <row r="17204" spans="7:16" s="1634" customFormat="1">
      <c r="G17204" s="3336"/>
      <c r="P17204" s="3337"/>
    </row>
    <row r="17205" spans="7:16" s="1634" customFormat="1">
      <c r="G17205" s="3336"/>
      <c r="P17205" s="3337"/>
    </row>
    <row r="17206" spans="7:16" s="1634" customFormat="1">
      <c r="G17206" s="3336"/>
      <c r="P17206" s="3337"/>
    </row>
    <row r="17207" spans="7:16" s="1634" customFormat="1">
      <c r="G17207" s="3336"/>
      <c r="P17207" s="3337"/>
    </row>
    <row r="17208" spans="7:16" s="1634" customFormat="1">
      <c r="G17208" s="3336"/>
      <c r="P17208" s="3337"/>
    </row>
    <row r="17209" spans="7:16" s="1634" customFormat="1">
      <c r="G17209" s="3336"/>
      <c r="P17209" s="3337"/>
    </row>
    <row r="17210" spans="7:16" s="1634" customFormat="1">
      <c r="G17210" s="3336"/>
      <c r="P17210" s="3337"/>
    </row>
    <row r="17211" spans="7:16" s="1634" customFormat="1">
      <c r="G17211" s="3336"/>
      <c r="P17211" s="3337"/>
    </row>
    <row r="17212" spans="7:16" s="1634" customFormat="1">
      <c r="G17212" s="3336"/>
      <c r="P17212" s="3337"/>
    </row>
    <row r="17213" spans="7:16" s="1634" customFormat="1">
      <c r="G17213" s="3336"/>
      <c r="P17213" s="3337"/>
    </row>
    <row r="17214" spans="7:16" s="1634" customFormat="1">
      <c r="G17214" s="3336"/>
      <c r="P17214" s="3337"/>
    </row>
    <row r="17215" spans="7:16" s="1634" customFormat="1">
      <c r="G17215" s="3336"/>
      <c r="P17215" s="3337"/>
    </row>
    <row r="17216" spans="7:16" s="1634" customFormat="1">
      <c r="G17216" s="3336"/>
      <c r="P17216" s="3337"/>
    </row>
    <row r="17217" spans="7:16" s="1634" customFormat="1">
      <c r="G17217" s="3336"/>
      <c r="P17217" s="3337"/>
    </row>
    <row r="17218" spans="7:16" s="1634" customFormat="1">
      <c r="G17218" s="3336"/>
      <c r="P17218" s="3337"/>
    </row>
    <row r="17219" spans="7:16" s="1634" customFormat="1">
      <c r="G17219" s="3336"/>
      <c r="P17219" s="3337"/>
    </row>
    <row r="17220" spans="7:16" s="1634" customFormat="1">
      <c r="G17220" s="3336"/>
      <c r="P17220" s="3337"/>
    </row>
    <row r="17221" spans="7:16" s="1634" customFormat="1">
      <c r="G17221" s="3336"/>
      <c r="P17221" s="3337"/>
    </row>
    <row r="17222" spans="7:16" s="1634" customFormat="1">
      <c r="G17222" s="3336"/>
      <c r="P17222" s="3337"/>
    </row>
    <row r="17223" spans="7:16" s="1634" customFormat="1">
      <c r="G17223" s="3336"/>
      <c r="P17223" s="3337"/>
    </row>
    <row r="17224" spans="7:16" s="1634" customFormat="1">
      <c r="G17224" s="3336"/>
      <c r="P17224" s="3337"/>
    </row>
    <row r="17225" spans="7:16" s="1634" customFormat="1">
      <c r="G17225" s="3336"/>
      <c r="P17225" s="3337"/>
    </row>
    <row r="17226" spans="7:16" s="1634" customFormat="1">
      <c r="G17226" s="3336"/>
      <c r="P17226" s="3337"/>
    </row>
    <row r="17227" spans="7:16" s="1634" customFormat="1">
      <c r="G17227" s="3336"/>
      <c r="P17227" s="3337"/>
    </row>
    <row r="17228" spans="7:16" s="1634" customFormat="1">
      <c r="G17228" s="3336"/>
      <c r="P17228" s="3337"/>
    </row>
    <row r="17229" spans="7:16" s="1634" customFormat="1">
      <c r="G17229" s="3336"/>
      <c r="P17229" s="3337"/>
    </row>
    <row r="17230" spans="7:16" s="1634" customFormat="1">
      <c r="G17230" s="3336"/>
      <c r="P17230" s="3337"/>
    </row>
    <row r="17231" spans="7:16" s="1634" customFormat="1">
      <c r="G17231" s="3336"/>
      <c r="P17231" s="3337"/>
    </row>
    <row r="17232" spans="7:16" s="1634" customFormat="1">
      <c r="G17232" s="3336"/>
      <c r="P17232" s="3337"/>
    </row>
    <row r="17233" spans="7:16" s="1634" customFormat="1">
      <c r="G17233" s="3336"/>
      <c r="P17233" s="3337"/>
    </row>
    <row r="17234" spans="7:16" s="1634" customFormat="1">
      <c r="G17234" s="3336"/>
      <c r="P17234" s="3337"/>
    </row>
    <row r="17235" spans="7:16" s="1634" customFormat="1">
      <c r="G17235" s="3336"/>
      <c r="P17235" s="3337"/>
    </row>
    <row r="17236" spans="7:16" s="1634" customFormat="1">
      <c r="G17236" s="3336"/>
      <c r="P17236" s="3337"/>
    </row>
    <row r="17237" spans="7:16" s="1634" customFormat="1">
      <c r="G17237" s="3336"/>
      <c r="P17237" s="3337"/>
    </row>
    <row r="17238" spans="7:16" s="1634" customFormat="1">
      <c r="G17238" s="3336"/>
      <c r="P17238" s="3337"/>
    </row>
    <row r="17239" spans="7:16" s="1634" customFormat="1">
      <c r="G17239" s="3336"/>
      <c r="P17239" s="3337"/>
    </row>
    <row r="17240" spans="7:16" s="1634" customFormat="1">
      <c r="G17240" s="3336"/>
      <c r="P17240" s="3337"/>
    </row>
    <row r="17241" spans="7:16" s="1634" customFormat="1">
      <c r="G17241" s="3336"/>
      <c r="P17241" s="3337"/>
    </row>
    <row r="17242" spans="7:16" s="1634" customFormat="1">
      <c r="G17242" s="3336"/>
      <c r="P17242" s="3337"/>
    </row>
    <row r="17243" spans="7:16" s="1634" customFormat="1">
      <c r="G17243" s="3336"/>
      <c r="P17243" s="3337"/>
    </row>
    <row r="17244" spans="7:16" s="1634" customFormat="1">
      <c r="G17244" s="3336"/>
      <c r="P17244" s="3337"/>
    </row>
    <row r="17245" spans="7:16" s="1634" customFormat="1">
      <c r="G17245" s="3336"/>
      <c r="P17245" s="3337"/>
    </row>
    <row r="17246" spans="7:16" s="1634" customFormat="1">
      <c r="G17246" s="3336"/>
      <c r="P17246" s="3337"/>
    </row>
    <row r="17247" spans="7:16" s="1634" customFormat="1">
      <c r="G17247" s="3336"/>
      <c r="P17247" s="3337"/>
    </row>
    <row r="17248" spans="7:16" s="1634" customFormat="1">
      <c r="G17248" s="3336"/>
      <c r="P17248" s="3337"/>
    </row>
    <row r="17249" spans="7:16" s="1634" customFormat="1">
      <c r="G17249" s="3336"/>
      <c r="P17249" s="3337"/>
    </row>
    <row r="17250" spans="7:16" s="1634" customFormat="1">
      <c r="G17250" s="3336"/>
      <c r="P17250" s="3337"/>
    </row>
    <row r="17251" spans="7:16" s="1634" customFormat="1">
      <c r="G17251" s="3336"/>
      <c r="P17251" s="3337"/>
    </row>
    <row r="17252" spans="7:16" s="1634" customFormat="1">
      <c r="G17252" s="3336"/>
      <c r="P17252" s="3337"/>
    </row>
    <row r="17253" spans="7:16" s="1634" customFormat="1">
      <c r="G17253" s="3336"/>
      <c r="P17253" s="3337"/>
    </row>
    <row r="17254" spans="7:16" s="1634" customFormat="1">
      <c r="G17254" s="3336"/>
      <c r="P17254" s="3337"/>
    </row>
    <row r="17255" spans="7:16" s="1634" customFormat="1">
      <c r="G17255" s="3336"/>
      <c r="P17255" s="3337"/>
    </row>
    <row r="17256" spans="7:16" s="1634" customFormat="1">
      <c r="G17256" s="3336"/>
      <c r="P17256" s="3337"/>
    </row>
    <row r="17257" spans="7:16" s="1634" customFormat="1">
      <c r="G17257" s="3336"/>
      <c r="P17257" s="3337"/>
    </row>
    <row r="17258" spans="7:16" s="1634" customFormat="1">
      <c r="G17258" s="3336"/>
      <c r="P17258" s="3337"/>
    </row>
    <row r="17259" spans="7:16" s="1634" customFormat="1">
      <c r="G17259" s="3336"/>
      <c r="P17259" s="3337"/>
    </row>
    <row r="17260" spans="7:16" s="1634" customFormat="1">
      <c r="G17260" s="3336"/>
      <c r="P17260" s="3337"/>
    </row>
    <row r="17261" spans="7:16" s="1634" customFormat="1">
      <c r="G17261" s="3336"/>
      <c r="P17261" s="3337"/>
    </row>
    <row r="17262" spans="7:16" s="1634" customFormat="1">
      <c r="G17262" s="3336"/>
      <c r="P17262" s="3337"/>
    </row>
    <row r="17263" spans="7:16" s="1634" customFormat="1">
      <c r="G17263" s="3336"/>
      <c r="P17263" s="3337"/>
    </row>
    <row r="17264" spans="7:16" s="1634" customFormat="1">
      <c r="G17264" s="3336"/>
      <c r="P17264" s="3337"/>
    </row>
    <row r="17265" spans="7:16" s="1634" customFormat="1">
      <c r="G17265" s="3336"/>
      <c r="P17265" s="3337"/>
    </row>
    <row r="17266" spans="7:16" s="1634" customFormat="1">
      <c r="G17266" s="3336"/>
      <c r="P17266" s="3337"/>
    </row>
    <row r="17267" spans="7:16" s="1634" customFormat="1">
      <c r="G17267" s="3336"/>
      <c r="P17267" s="3337"/>
    </row>
    <row r="17268" spans="7:16" s="1634" customFormat="1">
      <c r="G17268" s="3336"/>
      <c r="P17268" s="3337"/>
    </row>
    <row r="17269" spans="7:16" s="1634" customFormat="1">
      <c r="G17269" s="3336"/>
      <c r="P17269" s="3337"/>
    </row>
    <row r="17270" spans="7:16" s="1634" customFormat="1">
      <c r="G17270" s="3336"/>
      <c r="P17270" s="3337"/>
    </row>
    <row r="17271" spans="7:16" s="1634" customFormat="1">
      <c r="G17271" s="3336"/>
      <c r="P17271" s="3337"/>
    </row>
    <row r="17272" spans="7:16" s="1634" customFormat="1">
      <c r="G17272" s="3336"/>
      <c r="P17272" s="3337"/>
    </row>
    <row r="17273" spans="7:16" s="1634" customFormat="1">
      <c r="G17273" s="3336"/>
      <c r="P17273" s="3337"/>
    </row>
    <row r="17274" spans="7:16" s="1634" customFormat="1">
      <c r="G17274" s="3336"/>
      <c r="P17274" s="3337"/>
    </row>
    <row r="17275" spans="7:16" s="1634" customFormat="1">
      <c r="G17275" s="3336"/>
      <c r="P17275" s="3337"/>
    </row>
    <row r="17276" spans="7:16" s="1634" customFormat="1">
      <c r="G17276" s="3336"/>
      <c r="P17276" s="3337"/>
    </row>
    <row r="17277" spans="7:16" s="1634" customFormat="1">
      <c r="G17277" s="3336"/>
      <c r="P17277" s="3337"/>
    </row>
    <row r="17278" spans="7:16" s="1634" customFormat="1">
      <c r="G17278" s="3336"/>
      <c r="P17278" s="3337"/>
    </row>
    <row r="17279" spans="7:16" s="1634" customFormat="1">
      <c r="G17279" s="3336"/>
      <c r="P17279" s="3337"/>
    </row>
    <row r="17280" spans="7:16" s="1634" customFormat="1">
      <c r="G17280" s="3336"/>
      <c r="P17280" s="3337"/>
    </row>
    <row r="17281" spans="7:16" s="1634" customFormat="1">
      <c r="G17281" s="3336"/>
      <c r="P17281" s="3337"/>
    </row>
    <row r="17282" spans="7:16" s="1634" customFormat="1">
      <c r="G17282" s="3336"/>
      <c r="P17282" s="3337"/>
    </row>
    <row r="17283" spans="7:16" s="1634" customFormat="1">
      <c r="G17283" s="3336"/>
      <c r="P17283" s="3337"/>
    </row>
    <row r="17284" spans="7:16" s="1634" customFormat="1">
      <c r="G17284" s="3336"/>
      <c r="P17284" s="3337"/>
    </row>
    <row r="17285" spans="7:16" s="1634" customFormat="1">
      <c r="G17285" s="3336"/>
      <c r="P17285" s="3337"/>
    </row>
    <row r="17286" spans="7:16" s="1634" customFormat="1">
      <c r="G17286" s="3336"/>
      <c r="P17286" s="3337"/>
    </row>
    <row r="17287" spans="7:16" s="1634" customFormat="1">
      <c r="G17287" s="3336"/>
      <c r="P17287" s="3337"/>
    </row>
    <row r="17288" spans="7:16" s="1634" customFormat="1">
      <c r="G17288" s="3336"/>
      <c r="P17288" s="3337"/>
    </row>
    <row r="17289" spans="7:16" s="1634" customFormat="1">
      <c r="G17289" s="3336"/>
      <c r="P17289" s="3337"/>
    </row>
    <row r="17290" spans="7:16" s="1634" customFormat="1">
      <c r="G17290" s="3336"/>
      <c r="P17290" s="3337"/>
    </row>
    <row r="17291" spans="7:16" s="1634" customFormat="1">
      <c r="G17291" s="3336"/>
      <c r="P17291" s="3337"/>
    </row>
    <row r="17292" spans="7:16" s="1634" customFormat="1">
      <c r="G17292" s="3336"/>
      <c r="P17292" s="3337"/>
    </row>
    <row r="17293" spans="7:16" s="1634" customFormat="1">
      <c r="G17293" s="3336"/>
      <c r="P17293" s="3337"/>
    </row>
    <row r="17294" spans="7:16" s="1634" customFormat="1">
      <c r="G17294" s="3336"/>
      <c r="P17294" s="3337"/>
    </row>
    <row r="17295" spans="7:16" s="1634" customFormat="1">
      <c r="G17295" s="3336"/>
      <c r="P17295" s="3337"/>
    </row>
    <row r="17296" spans="7:16" s="1634" customFormat="1">
      <c r="G17296" s="3336"/>
      <c r="P17296" s="3337"/>
    </row>
    <row r="17297" spans="7:16" s="1634" customFormat="1">
      <c r="G17297" s="3336"/>
      <c r="P17297" s="3337"/>
    </row>
    <row r="17298" spans="7:16" s="1634" customFormat="1">
      <c r="G17298" s="3336"/>
      <c r="P17298" s="3337"/>
    </row>
    <row r="17299" spans="7:16" s="1634" customFormat="1">
      <c r="G17299" s="3336"/>
      <c r="P17299" s="3337"/>
    </row>
    <row r="17300" spans="7:16" s="1634" customFormat="1">
      <c r="G17300" s="3336"/>
      <c r="P17300" s="3337"/>
    </row>
    <row r="17301" spans="7:16" s="1634" customFormat="1">
      <c r="G17301" s="3336"/>
      <c r="P17301" s="3337"/>
    </row>
    <row r="17302" spans="7:16" s="1634" customFormat="1">
      <c r="G17302" s="3336"/>
      <c r="P17302" s="3337"/>
    </row>
    <row r="17303" spans="7:16" s="1634" customFormat="1">
      <c r="G17303" s="3336"/>
      <c r="P17303" s="3337"/>
    </row>
    <row r="17304" spans="7:16" s="1634" customFormat="1">
      <c r="G17304" s="3336"/>
      <c r="P17304" s="3337"/>
    </row>
    <row r="17305" spans="7:16" s="1634" customFormat="1">
      <c r="G17305" s="3336"/>
      <c r="P17305" s="3337"/>
    </row>
    <row r="17306" spans="7:16" s="1634" customFormat="1">
      <c r="G17306" s="3336"/>
      <c r="P17306" s="3337"/>
    </row>
    <row r="17307" spans="7:16" s="1634" customFormat="1">
      <c r="G17307" s="3336"/>
      <c r="P17307" s="3337"/>
    </row>
    <row r="17308" spans="7:16" s="1634" customFormat="1">
      <c r="G17308" s="3336"/>
      <c r="P17308" s="3337"/>
    </row>
    <row r="17309" spans="7:16" s="1634" customFormat="1">
      <c r="G17309" s="3336"/>
      <c r="P17309" s="3337"/>
    </row>
    <row r="17310" spans="7:16" s="1634" customFormat="1">
      <c r="G17310" s="3336"/>
      <c r="P17310" s="3337"/>
    </row>
    <row r="17311" spans="7:16" s="1634" customFormat="1">
      <c r="G17311" s="3336"/>
      <c r="P17311" s="3337"/>
    </row>
    <row r="17312" spans="7:16" s="1634" customFormat="1">
      <c r="G17312" s="3336"/>
      <c r="P17312" s="3337"/>
    </row>
    <row r="17313" spans="7:16" s="1634" customFormat="1">
      <c r="G17313" s="3336"/>
      <c r="P17313" s="3337"/>
    </row>
    <row r="17314" spans="7:16" s="1634" customFormat="1">
      <c r="G17314" s="3336"/>
      <c r="P17314" s="3337"/>
    </row>
    <row r="17315" spans="7:16" s="1634" customFormat="1">
      <c r="G17315" s="3336"/>
      <c r="P17315" s="3337"/>
    </row>
    <row r="17316" spans="7:16" s="1634" customFormat="1">
      <c r="G17316" s="3336"/>
      <c r="P17316" s="3337"/>
    </row>
    <row r="17317" spans="7:16" s="1634" customFormat="1">
      <c r="G17317" s="3336"/>
      <c r="P17317" s="3337"/>
    </row>
    <row r="17318" spans="7:16" s="1634" customFormat="1">
      <c r="G17318" s="3336"/>
      <c r="P17318" s="3337"/>
    </row>
    <row r="17319" spans="7:16" s="1634" customFormat="1">
      <c r="G17319" s="3336"/>
      <c r="P17319" s="3337"/>
    </row>
    <row r="17320" spans="7:16" s="1634" customFormat="1">
      <c r="G17320" s="3336"/>
      <c r="P17320" s="3337"/>
    </row>
    <row r="17321" spans="7:16" s="1634" customFormat="1">
      <c r="G17321" s="3336"/>
      <c r="P17321" s="3337"/>
    </row>
    <row r="17322" spans="7:16" s="1634" customFormat="1">
      <c r="G17322" s="3336"/>
      <c r="P17322" s="3337"/>
    </row>
    <row r="17323" spans="7:16" s="1634" customFormat="1">
      <c r="G17323" s="3336"/>
      <c r="P17323" s="3337"/>
    </row>
    <row r="17324" spans="7:16" s="1634" customFormat="1">
      <c r="G17324" s="3336"/>
      <c r="P17324" s="3337"/>
    </row>
    <row r="17325" spans="7:16" s="1634" customFormat="1">
      <c r="G17325" s="3336"/>
      <c r="P17325" s="3337"/>
    </row>
    <row r="17326" spans="7:16" s="1634" customFormat="1">
      <c r="G17326" s="3336"/>
      <c r="P17326" s="3337"/>
    </row>
    <row r="17327" spans="7:16" s="1634" customFormat="1">
      <c r="G17327" s="3336"/>
      <c r="P17327" s="3337"/>
    </row>
    <row r="17328" spans="7:16" s="1634" customFormat="1">
      <c r="G17328" s="3336"/>
      <c r="P17328" s="3337"/>
    </row>
    <row r="17329" spans="7:16" s="1634" customFormat="1">
      <c r="G17329" s="3336"/>
      <c r="P17329" s="3337"/>
    </row>
    <row r="17330" spans="7:16" s="1634" customFormat="1">
      <c r="G17330" s="3336"/>
      <c r="P17330" s="3337"/>
    </row>
    <row r="17331" spans="7:16" s="1634" customFormat="1">
      <c r="G17331" s="3336"/>
      <c r="P17331" s="3337"/>
    </row>
    <row r="17332" spans="7:16" s="1634" customFormat="1">
      <c r="G17332" s="3336"/>
      <c r="P17332" s="3337"/>
    </row>
    <row r="17333" spans="7:16" s="1634" customFormat="1">
      <c r="G17333" s="3336"/>
      <c r="P17333" s="3337"/>
    </row>
    <row r="17334" spans="7:16" s="1634" customFormat="1">
      <c r="G17334" s="3336"/>
      <c r="P17334" s="3337"/>
    </row>
    <row r="17335" spans="7:16" s="1634" customFormat="1">
      <c r="G17335" s="3336"/>
      <c r="P17335" s="3337"/>
    </row>
    <row r="17336" spans="7:16" s="1634" customFormat="1">
      <c r="G17336" s="3336"/>
      <c r="P17336" s="3337"/>
    </row>
    <row r="17337" spans="7:16" s="1634" customFormat="1">
      <c r="G17337" s="3336"/>
      <c r="P17337" s="3337"/>
    </row>
    <row r="17338" spans="7:16" s="1634" customFormat="1">
      <c r="G17338" s="3336"/>
      <c r="P17338" s="3337"/>
    </row>
    <row r="17339" spans="7:16" s="1634" customFormat="1">
      <c r="G17339" s="3336"/>
      <c r="P17339" s="3337"/>
    </row>
    <row r="17340" spans="7:16" s="1634" customFormat="1">
      <c r="G17340" s="3336"/>
      <c r="P17340" s="3337"/>
    </row>
    <row r="17341" spans="7:16" s="1634" customFormat="1">
      <c r="G17341" s="3336"/>
      <c r="P17341" s="3337"/>
    </row>
    <row r="17342" spans="7:16" s="1634" customFormat="1">
      <c r="G17342" s="3336"/>
      <c r="P17342" s="3337"/>
    </row>
    <row r="17343" spans="7:16" s="1634" customFormat="1">
      <c r="G17343" s="3336"/>
      <c r="P17343" s="3337"/>
    </row>
    <row r="17344" spans="7:16" s="1634" customFormat="1">
      <c r="G17344" s="3336"/>
      <c r="P17344" s="3337"/>
    </row>
    <row r="17345" spans="7:16" s="1634" customFormat="1">
      <c r="G17345" s="3336"/>
      <c r="P17345" s="3337"/>
    </row>
    <row r="17346" spans="7:16" s="1634" customFormat="1">
      <c r="G17346" s="3336"/>
      <c r="P17346" s="3337"/>
    </row>
    <row r="17347" spans="7:16" s="1634" customFormat="1">
      <c r="G17347" s="3336"/>
      <c r="P17347" s="3337"/>
    </row>
    <row r="17348" spans="7:16" s="1634" customFormat="1">
      <c r="G17348" s="3336"/>
      <c r="P17348" s="3337"/>
    </row>
    <row r="17349" spans="7:16" s="1634" customFormat="1">
      <c r="G17349" s="3336"/>
      <c r="P17349" s="3337"/>
    </row>
    <row r="17350" spans="7:16" s="1634" customFormat="1">
      <c r="G17350" s="3336"/>
      <c r="P17350" s="3337"/>
    </row>
    <row r="17351" spans="7:16" s="1634" customFormat="1">
      <c r="G17351" s="3336"/>
      <c r="P17351" s="3337"/>
    </row>
    <row r="17352" spans="7:16" s="1634" customFormat="1">
      <c r="G17352" s="3336"/>
      <c r="P17352" s="3337"/>
    </row>
    <row r="17353" spans="7:16" s="1634" customFormat="1">
      <c r="G17353" s="3336"/>
      <c r="P17353" s="3337"/>
    </row>
    <row r="17354" spans="7:16" s="1634" customFormat="1">
      <c r="G17354" s="3336"/>
      <c r="P17354" s="3337"/>
    </row>
    <row r="17355" spans="7:16" s="1634" customFormat="1">
      <c r="G17355" s="3336"/>
      <c r="P17355" s="3337"/>
    </row>
    <row r="17356" spans="7:16" s="1634" customFormat="1">
      <c r="G17356" s="3336"/>
      <c r="P17356" s="3337"/>
    </row>
    <row r="17357" spans="7:16" s="1634" customFormat="1">
      <c r="G17357" s="3336"/>
      <c r="P17357" s="3337"/>
    </row>
    <row r="17358" spans="7:16" s="1634" customFormat="1">
      <c r="G17358" s="3336"/>
      <c r="P17358" s="3337"/>
    </row>
    <row r="17359" spans="7:16" s="1634" customFormat="1">
      <c r="G17359" s="3336"/>
      <c r="P17359" s="3337"/>
    </row>
    <row r="17360" spans="7:16" s="1634" customFormat="1">
      <c r="G17360" s="3336"/>
      <c r="P17360" s="3337"/>
    </row>
    <row r="17361" spans="7:16" s="1634" customFormat="1">
      <c r="G17361" s="3336"/>
      <c r="P17361" s="3337"/>
    </row>
    <row r="17362" spans="7:16" s="1634" customFormat="1">
      <c r="G17362" s="3336"/>
      <c r="P17362" s="3337"/>
    </row>
    <row r="17363" spans="7:16" s="1634" customFormat="1">
      <c r="G17363" s="3336"/>
      <c r="P17363" s="3337"/>
    </row>
    <row r="17364" spans="7:16" s="1634" customFormat="1">
      <c r="G17364" s="3336"/>
      <c r="P17364" s="3337"/>
    </row>
    <row r="17365" spans="7:16" s="1634" customFormat="1">
      <c r="G17365" s="3336"/>
      <c r="P17365" s="3337"/>
    </row>
    <row r="17366" spans="7:16" s="1634" customFormat="1">
      <c r="G17366" s="3336"/>
      <c r="P17366" s="3337"/>
    </row>
    <row r="17367" spans="7:16" s="1634" customFormat="1">
      <c r="G17367" s="3336"/>
      <c r="P17367" s="3337"/>
    </row>
    <row r="17368" spans="7:16" s="1634" customFormat="1">
      <c r="G17368" s="3336"/>
      <c r="P17368" s="3337"/>
    </row>
    <row r="17369" spans="7:16" s="1634" customFormat="1">
      <c r="G17369" s="3336"/>
      <c r="P17369" s="3337"/>
    </row>
    <row r="17370" spans="7:16" s="1634" customFormat="1">
      <c r="G17370" s="3336"/>
      <c r="P17370" s="3337"/>
    </row>
    <row r="17371" spans="7:16" s="1634" customFormat="1">
      <c r="G17371" s="3336"/>
      <c r="P17371" s="3337"/>
    </row>
    <row r="17372" spans="7:16" s="1634" customFormat="1">
      <c r="G17372" s="3336"/>
      <c r="P17372" s="3337"/>
    </row>
    <row r="17373" spans="7:16" s="1634" customFormat="1">
      <c r="G17373" s="3336"/>
      <c r="P17373" s="3337"/>
    </row>
    <row r="17374" spans="7:16" s="1634" customFormat="1">
      <c r="G17374" s="3336"/>
      <c r="P17374" s="3337"/>
    </row>
    <row r="17375" spans="7:16" s="1634" customFormat="1">
      <c r="G17375" s="3336"/>
      <c r="P17375" s="3337"/>
    </row>
    <row r="17376" spans="7:16" s="1634" customFormat="1">
      <c r="G17376" s="3336"/>
      <c r="P17376" s="3337"/>
    </row>
    <row r="17377" spans="7:16" s="1634" customFormat="1">
      <c r="G17377" s="3336"/>
      <c r="P17377" s="3337"/>
    </row>
    <row r="17378" spans="7:16" s="1634" customFormat="1">
      <c r="G17378" s="3336"/>
      <c r="P17378" s="3337"/>
    </row>
    <row r="17379" spans="7:16" s="1634" customFormat="1">
      <c r="G17379" s="3336"/>
      <c r="P17379" s="3337"/>
    </row>
    <row r="17380" spans="7:16" s="1634" customFormat="1">
      <c r="G17380" s="3336"/>
      <c r="P17380" s="3337"/>
    </row>
    <row r="17381" spans="7:16" s="1634" customFormat="1">
      <c r="G17381" s="3336"/>
      <c r="P17381" s="3337"/>
    </row>
    <row r="17382" spans="7:16" s="1634" customFormat="1">
      <c r="G17382" s="3336"/>
      <c r="P17382" s="3337"/>
    </row>
    <row r="17383" spans="7:16" s="1634" customFormat="1">
      <c r="G17383" s="3336"/>
      <c r="P17383" s="3337"/>
    </row>
    <row r="17384" spans="7:16" s="1634" customFormat="1">
      <c r="G17384" s="3336"/>
      <c r="P17384" s="3337"/>
    </row>
    <row r="17385" spans="7:16" s="1634" customFormat="1">
      <c r="G17385" s="3336"/>
      <c r="P17385" s="3337"/>
    </row>
    <row r="17386" spans="7:16" s="1634" customFormat="1">
      <c r="G17386" s="3336"/>
      <c r="P17386" s="3337"/>
    </row>
    <row r="17387" spans="7:16" s="1634" customFormat="1">
      <c r="G17387" s="3336"/>
      <c r="P17387" s="3337"/>
    </row>
    <row r="17388" spans="7:16" s="1634" customFormat="1">
      <c r="G17388" s="3336"/>
      <c r="P17388" s="3337"/>
    </row>
    <row r="17389" spans="7:16" s="1634" customFormat="1">
      <c r="G17389" s="3336"/>
      <c r="P17389" s="3337"/>
    </row>
    <row r="17390" spans="7:16" s="1634" customFormat="1">
      <c r="G17390" s="3336"/>
      <c r="P17390" s="3337"/>
    </row>
    <row r="17391" spans="7:16" s="1634" customFormat="1">
      <c r="G17391" s="3336"/>
      <c r="P17391" s="3337"/>
    </row>
    <row r="17392" spans="7:16" s="1634" customFormat="1">
      <c r="G17392" s="3336"/>
      <c r="P17392" s="3337"/>
    </row>
    <row r="17393" spans="7:16" s="1634" customFormat="1">
      <c r="G17393" s="3336"/>
      <c r="P17393" s="3337"/>
    </row>
    <row r="17394" spans="7:16" s="1634" customFormat="1">
      <c r="G17394" s="3336"/>
      <c r="P17394" s="3337"/>
    </row>
    <row r="17395" spans="7:16" s="1634" customFormat="1">
      <c r="G17395" s="3336"/>
      <c r="P17395" s="3337"/>
    </row>
    <row r="17396" spans="7:16" s="1634" customFormat="1">
      <c r="G17396" s="3336"/>
      <c r="P17396" s="3337"/>
    </row>
    <row r="17397" spans="7:16" s="1634" customFormat="1">
      <c r="G17397" s="3336"/>
      <c r="P17397" s="3337"/>
    </row>
    <row r="17398" spans="7:16" s="1634" customFormat="1">
      <c r="G17398" s="3336"/>
      <c r="P17398" s="3337"/>
    </row>
    <row r="17399" spans="7:16" s="1634" customFormat="1">
      <c r="G17399" s="3336"/>
      <c r="P17399" s="3337"/>
    </row>
    <row r="17400" spans="7:16" s="1634" customFormat="1">
      <c r="G17400" s="3336"/>
      <c r="P17400" s="3337"/>
    </row>
    <row r="17401" spans="7:16" s="1634" customFormat="1">
      <c r="G17401" s="3336"/>
      <c r="P17401" s="3337"/>
    </row>
    <row r="17402" spans="7:16" s="1634" customFormat="1">
      <c r="G17402" s="3336"/>
      <c r="P17402" s="3337"/>
    </row>
    <row r="17403" spans="7:16" s="1634" customFormat="1">
      <c r="G17403" s="3336"/>
      <c r="P17403" s="3337"/>
    </row>
    <row r="17404" spans="7:16" s="1634" customFormat="1">
      <c r="G17404" s="3336"/>
      <c r="P17404" s="3337"/>
    </row>
    <row r="17405" spans="7:16" s="1634" customFormat="1">
      <c r="G17405" s="3336"/>
      <c r="P17405" s="3337"/>
    </row>
    <row r="17406" spans="7:16" s="1634" customFormat="1">
      <c r="G17406" s="3336"/>
      <c r="P17406" s="3337"/>
    </row>
    <row r="17407" spans="7:16" s="1634" customFormat="1">
      <c r="G17407" s="3336"/>
      <c r="P17407" s="3337"/>
    </row>
    <row r="17408" spans="7:16" s="1634" customFormat="1">
      <c r="G17408" s="3336"/>
      <c r="P17408" s="3337"/>
    </row>
    <row r="17409" spans="7:16" s="1634" customFormat="1">
      <c r="G17409" s="3336"/>
      <c r="P17409" s="3337"/>
    </row>
    <row r="17410" spans="7:16" s="1634" customFormat="1">
      <c r="G17410" s="3336"/>
      <c r="P17410" s="3337"/>
    </row>
    <row r="17411" spans="7:16" s="1634" customFormat="1">
      <c r="G17411" s="3336"/>
      <c r="P17411" s="3337"/>
    </row>
    <row r="17412" spans="7:16" s="1634" customFormat="1">
      <c r="G17412" s="3336"/>
      <c r="P17412" s="3337"/>
    </row>
    <row r="17413" spans="7:16" s="1634" customFormat="1">
      <c r="G17413" s="3336"/>
      <c r="P17413" s="3337"/>
    </row>
    <row r="17414" spans="7:16" s="1634" customFormat="1">
      <c r="G17414" s="3336"/>
      <c r="P17414" s="3337"/>
    </row>
    <row r="17415" spans="7:16" s="1634" customFormat="1">
      <c r="G17415" s="3336"/>
      <c r="P17415" s="3337"/>
    </row>
    <row r="17416" spans="7:16" s="1634" customFormat="1">
      <c r="G17416" s="3336"/>
      <c r="P17416" s="3337"/>
    </row>
    <row r="17417" spans="7:16" s="1634" customFormat="1">
      <c r="G17417" s="3336"/>
      <c r="P17417" s="3337"/>
    </row>
    <row r="17418" spans="7:16" s="1634" customFormat="1">
      <c r="G17418" s="3336"/>
      <c r="P17418" s="3337"/>
    </row>
    <row r="17419" spans="7:16" s="1634" customFormat="1">
      <c r="G17419" s="3336"/>
      <c r="P17419" s="3337"/>
    </row>
    <row r="17420" spans="7:16" s="1634" customFormat="1">
      <c r="G17420" s="3336"/>
      <c r="P17420" s="3337"/>
    </row>
    <row r="17421" spans="7:16" s="1634" customFormat="1">
      <c r="G17421" s="3336"/>
      <c r="P17421" s="3337"/>
    </row>
    <row r="17422" spans="7:16" s="1634" customFormat="1">
      <c r="G17422" s="3336"/>
      <c r="P17422" s="3337"/>
    </row>
    <row r="17423" spans="7:16" s="1634" customFormat="1">
      <c r="G17423" s="3336"/>
      <c r="P17423" s="3337"/>
    </row>
    <row r="17424" spans="7:16" s="1634" customFormat="1">
      <c r="G17424" s="3336"/>
      <c r="P17424" s="3337"/>
    </row>
    <row r="17425" spans="7:16" s="1634" customFormat="1">
      <c r="G17425" s="3336"/>
      <c r="P17425" s="3337"/>
    </row>
    <row r="17426" spans="7:16" s="1634" customFormat="1">
      <c r="G17426" s="3336"/>
      <c r="P17426" s="3337"/>
    </row>
    <row r="17427" spans="7:16" s="1634" customFormat="1">
      <c r="G17427" s="3336"/>
      <c r="P17427" s="3337"/>
    </row>
    <row r="17428" spans="7:16" s="1634" customFormat="1">
      <c r="G17428" s="3336"/>
      <c r="P17428" s="3337"/>
    </row>
    <row r="17429" spans="7:16" s="1634" customFormat="1">
      <c r="G17429" s="3336"/>
      <c r="P17429" s="3337"/>
    </row>
    <row r="17430" spans="7:16" s="1634" customFormat="1">
      <c r="G17430" s="3336"/>
      <c r="P17430" s="3337"/>
    </row>
    <row r="17431" spans="7:16" s="1634" customFormat="1">
      <c r="G17431" s="3336"/>
      <c r="P17431" s="3337"/>
    </row>
    <row r="17432" spans="7:16" s="1634" customFormat="1">
      <c r="G17432" s="3336"/>
      <c r="P17432" s="3337"/>
    </row>
    <row r="17433" spans="7:16" s="1634" customFormat="1">
      <c r="G17433" s="3336"/>
      <c r="P17433" s="3337"/>
    </row>
    <row r="17434" spans="7:16" s="1634" customFormat="1">
      <c r="G17434" s="3336"/>
      <c r="P17434" s="3337"/>
    </row>
    <row r="17435" spans="7:16" s="1634" customFormat="1">
      <c r="G17435" s="3336"/>
      <c r="P17435" s="3337"/>
    </row>
    <row r="17436" spans="7:16" s="1634" customFormat="1">
      <c r="G17436" s="3336"/>
      <c r="P17436" s="3337"/>
    </row>
    <row r="17437" spans="7:16" s="1634" customFormat="1">
      <c r="G17437" s="3336"/>
      <c r="P17437" s="3337"/>
    </row>
    <row r="17438" spans="7:16" s="1634" customFormat="1">
      <c r="G17438" s="3336"/>
      <c r="P17438" s="3337"/>
    </row>
    <row r="17439" spans="7:16" s="1634" customFormat="1">
      <c r="G17439" s="3336"/>
      <c r="P17439" s="3337"/>
    </row>
    <row r="17440" spans="7:16" s="1634" customFormat="1">
      <c r="G17440" s="3336"/>
      <c r="P17440" s="3337"/>
    </row>
    <row r="17441" spans="7:16" s="1634" customFormat="1">
      <c r="G17441" s="3336"/>
      <c r="P17441" s="3337"/>
    </row>
    <row r="17442" spans="7:16" s="1634" customFormat="1">
      <c r="G17442" s="3336"/>
      <c r="P17442" s="3337"/>
    </row>
    <row r="17443" spans="7:16" s="1634" customFormat="1">
      <c r="G17443" s="3336"/>
      <c r="P17443" s="3337"/>
    </row>
    <row r="17444" spans="7:16" s="1634" customFormat="1">
      <c r="G17444" s="3336"/>
      <c r="P17444" s="3337"/>
    </row>
    <row r="17445" spans="7:16" s="1634" customFormat="1">
      <c r="G17445" s="3336"/>
      <c r="P17445" s="3337"/>
    </row>
    <row r="17446" spans="7:16" s="1634" customFormat="1">
      <c r="G17446" s="3336"/>
      <c r="P17446" s="3337"/>
    </row>
    <row r="17447" spans="7:16" s="1634" customFormat="1">
      <c r="G17447" s="3336"/>
      <c r="P17447" s="3337"/>
    </row>
    <row r="17448" spans="7:16" s="1634" customFormat="1">
      <c r="G17448" s="3336"/>
      <c r="P17448" s="3337"/>
    </row>
    <row r="17449" spans="7:16" s="1634" customFormat="1">
      <c r="G17449" s="3336"/>
      <c r="P17449" s="3337"/>
    </row>
    <row r="17450" spans="7:16" s="1634" customFormat="1">
      <c r="G17450" s="3336"/>
      <c r="P17450" s="3337"/>
    </row>
    <row r="17451" spans="7:16" s="1634" customFormat="1">
      <c r="G17451" s="3336"/>
      <c r="P17451" s="3337"/>
    </row>
    <row r="17452" spans="7:16" s="1634" customFormat="1">
      <c r="G17452" s="3336"/>
      <c r="P17452" s="3337"/>
    </row>
    <row r="17453" spans="7:16" s="1634" customFormat="1">
      <c r="G17453" s="3336"/>
      <c r="P17453" s="3337"/>
    </row>
    <row r="17454" spans="7:16" s="1634" customFormat="1">
      <c r="G17454" s="3336"/>
      <c r="P17454" s="3337"/>
    </row>
    <row r="17455" spans="7:16" s="1634" customFormat="1">
      <c r="G17455" s="3336"/>
      <c r="P17455" s="3337"/>
    </row>
    <row r="17456" spans="7:16" s="1634" customFormat="1">
      <c r="G17456" s="3336"/>
      <c r="P17456" s="3337"/>
    </row>
    <row r="17457" spans="7:16" s="1634" customFormat="1">
      <c r="G17457" s="3336"/>
      <c r="P17457" s="3337"/>
    </row>
    <row r="17458" spans="7:16" s="1634" customFormat="1">
      <c r="G17458" s="3336"/>
      <c r="P17458" s="3337"/>
    </row>
    <row r="17459" spans="7:16" s="1634" customFormat="1">
      <c r="G17459" s="3336"/>
      <c r="P17459" s="3337"/>
    </row>
    <row r="17460" spans="7:16" s="1634" customFormat="1">
      <c r="G17460" s="3336"/>
      <c r="P17460" s="3337"/>
    </row>
    <row r="17461" spans="7:16" s="1634" customFormat="1">
      <c r="G17461" s="3336"/>
      <c r="P17461" s="3337"/>
    </row>
    <row r="17462" spans="7:16" s="1634" customFormat="1">
      <c r="G17462" s="3336"/>
      <c r="P17462" s="3337"/>
    </row>
    <row r="17463" spans="7:16" s="1634" customFormat="1">
      <c r="G17463" s="3336"/>
      <c r="P17463" s="3337"/>
    </row>
    <row r="17464" spans="7:16" s="1634" customFormat="1">
      <c r="G17464" s="3336"/>
      <c r="P17464" s="3337"/>
    </row>
    <row r="17465" spans="7:16" s="1634" customFormat="1">
      <c r="G17465" s="3336"/>
      <c r="P17465" s="3337"/>
    </row>
    <row r="17466" spans="7:16" s="1634" customFormat="1">
      <c r="G17466" s="3336"/>
      <c r="P17466" s="3337"/>
    </row>
    <row r="17467" spans="7:16" s="1634" customFormat="1">
      <c r="G17467" s="3336"/>
      <c r="P17467" s="3337"/>
    </row>
    <row r="17468" spans="7:16" s="1634" customFormat="1">
      <c r="G17468" s="3336"/>
      <c r="P17468" s="3337"/>
    </row>
    <row r="17469" spans="7:16" s="1634" customFormat="1">
      <c r="G17469" s="3336"/>
      <c r="P17469" s="3337"/>
    </row>
    <row r="17470" spans="7:16" s="1634" customFormat="1">
      <c r="G17470" s="3336"/>
      <c r="P17470" s="3337"/>
    </row>
    <row r="17471" spans="7:16" s="1634" customFormat="1">
      <c r="G17471" s="3336"/>
      <c r="P17471" s="3337"/>
    </row>
    <row r="17472" spans="7:16" s="1634" customFormat="1">
      <c r="G17472" s="3336"/>
      <c r="P17472" s="3337"/>
    </row>
    <row r="17473" spans="7:16" s="1634" customFormat="1">
      <c r="G17473" s="3336"/>
      <c r="P17473" s="3337"/>
    </row>
    <row r="17474" spans="7:16" s="1634" customFormat="1">
      <c r="G17474" s="3336"/>
      <c r="P17474" s="3337"/>
    </row>
    <row r="17475" spans="7:16" s="1634" customFormat="1">
      <c r="G17475" s="3336"/>
      <c r="P17475" s="3337"/>
    </row>
    <row r="17476" spans="7:16" s="1634" customFormat="1">
      <c r="G17476" s="3336"/>
      <c r="P17476" s="3337"/>
    </row>
    <row r="17477" spans="7:16" s="1634" customFormat="1">
      <c r="G17477" s="3336"/>
      <c r="P17477" s="3337"/>
    </row>
    <row r="17478" spans="7:16" s="1634" customFormat="1">
      <c r="G17478" s="3336"/>
      <c r="P17478" s="3337"/>
    </row>
    <row r="17479" spans="7:16" s="1634" customFormat="1">
      <c r="G17479" s="3336"/>
      <c r="P17479" s="3337"/>
    </row>
    <row r="17480" spans="7:16" s="1634" customFormat="1">
      <c r="G17480" s="3336"/>
      <c r="P17480" s="3337"/>
    </row>
    <row r="17481" spans="7:16" s="1634" customFormat="1">
      <c r="G17481" s="3336"/>
      <c r="P17481" s="3337"/>
    </row>
    <row r="17482" spans="7:16" s="1634" customFormat="1">
      <c r="G17482" s="3336"/>
      <c r="P17482" s="3337"/>
    </row>
    <row r="17483" spans="7:16" s="1634" customFormat="1">
      <c r="G17483" s="3336"/>
      <c r="P17483" s="3337"/>
    </row>
    <row r="17484" spans="7:16" s="1634" customFormat="1">
      <c r="G17484" s="3336"/>
      <c r="P17484" s="3337"/>
    </row>
    <row r="17485" spans="7:16" s="1634" customFormat="1">
      <c r="G17485" s="3336"/>
      <c r="P17485" s="3337"/>
    </row>
    <row r="17486" spans="7:16" s="1634" customFormat="1">
      <c r="G17486" s="3336"/>
      <c r="P17486" s="3337"/>
    </row>
    <row r="17487" spans="7:16" s="1634" customFormat="1">
      <c r="G17487" s="3336"/>
      <c r="P17487" s="3337"/>
    </row>
    <row r="17488" spans="7:16" s="1634" customFormat="1">
      <c r="G17488" s="3336"/>
      <c r="P17488" s="3337"/>
    </row>
    <row r="17489" spans="7:16" s="1634" customFormat="1">
      <c r="G17489" s="3336"/>
      <c r="P17489" s="3337"/>
    </row>
    <row r="17490" spans="7:16" s="1634" customFormat="1">
      <c r="G17490" s="3336"/>
      <c r="P17490" s="3337"/>
    </row>
    <row r="17491" spans="7:16" s="1634" customFormat="1">
      <c r="G17491" s="3336"/>
      <c r="P17491" s="3337"/>
    </row>
    <row r="17492" spans="7:16" s="1634" customFormat="1">
      <c r="G17492" s="3336"/>
      <c r="P17492" s="3337"/>
    </row>
    <row r="17493" spans="7:16" s="1634" customFormat="1">
      <c r="G17493" s="3336"/>
      <c r="P17493" s="3337"/>
    </row>
    <row r="17494" spans="7:16" s="1634" customFormat="1">
      <c r="G17494" s="3336"/>
      <c r="P17494" s="3337"/>
    </row>
    <row r="17495" spans="7:16" s="1634" customFormat="1">
      <c r="G17495" s="3336"/>
      <c r="P17495" s="3337"/>
    </row>
    <row r="17496" spans="7:16" s="1634" customFormat="1">
      <c r="G17496" s="3336"/>
      <c r="P17496" s="3337"/>
    </row>
    <row r="17497" spans="7:16" s="1634" customFormat="1">
      <c r="G17497" s="3336"/>
      <c r="P17497" s="3337"/>
    </row>
    <row r="17498" spans="7:16" s="1634" customFormat="1">
      <c r="G17498" s="3336"/>
      <c r="P17498" s="3337"/>
    </row>
    <row r="17499" spans="7:16" s="1634" customFormat="1">
      <c r="G17499" s="3336"/>
      <c r="P17499" s="3337"/>
    </row>
    <row r="17500" spans="7:16" s="1634" customFormat="1">
      <c r="G17500" s="3336"/>
      <c r="P17500" s="3337"/>
    </row>
    <row r="17501" spans="7:16" s="1634" customFormat="1">
      <c r="G17501" s="3336"/>
      <c r="P17501" s="3337"/>
    </row>
    <row r="17502" spans="7:16" s="1634" customFormat="1">
      <c r="G17502" s="3336"/>
      <c r="P17502" s="3337"/>
    </row>
    <row r="17503" spans="7:16" s="1634" customFormat="1">
      <c r="G17503" s="3336"/>
      <c r="P17503" s="3337"/>
    </row>
    <row r="17504" spans="7:16" s="1634" customFormat="1">
      <c r="G17504" s="3336"/>
      <c r="P17504" s="3337"/>
    </row>
    <row r="17505" spans="7:16" s="1634" customFormat="1">
      <c r="G17505" s="3336"/>
      <c r="P17505" s="3337"/>
    </row>
    <row r="17506" spans="7:16" s="1634" customFormat="1">
      <c r="G17506" s="3336"/>
      <c r="P17506" s="3337"/>
    </row>
    <row r="17507" spans="7:16" s="1634" customFormat="1">
      <c r="G17507" s="3336"/>
      <c r="P17507" s="3337"/>
    </row>
    <row r="17508" spans="7:16" s="1634" customFormat="1">
      <c r="G17508" s="3336"/>
      <c r="P17508" s="3337"/>
    </row>
    <row r="17509" spans="7:16" s="1634" customFormat="1">
      <c r="G17509" s="3336"/>
      <c r="P17509" s="3337"/>
    </row>
    <row r="17510" spans="7:16" s="1634" customFormat="1">
      <c r="G17510" s="3336"/>
      <c r="P17510" s="3337"/>
    </row>
    <row r="17511" spans="7:16" s="1634" customFormat="1">
      <c r="G17511" s="3336"/>
      <c r="P17511" s="3337"/>
    </row>
    <row r="17512" spans="7:16" s="1634" customFormat="1">
      <c r="G17512" s="3336"/>
      <c r="P17512" s="3337"/>
    </row>
    <row r="17513" spans="7:16" s="1634" customFormat="1">
      <c r="G17513" s="3336"/>
      <c r="P17513" s="3337"/>
    </row>
    <row r="17514" spans="7:16" s="1634" customFormat="1">
      <c r="G17514" s="3336"/>
      <c r="P17514" s="3337"/>
    </row>
    <row r="17515" spans="7:16" s="1634" customFormat="1">
      <c r="G17515" s="3336"/>
      <c r="P17515" s="3337"/>
    </row>
    <row r="17516" spans="7:16" s="1634" customFormat="1">
      <c r="G17516" s="3336"/>
      <c r="P17516" s="3337"/>
    </row>
    <row r="17517" spans="7:16" s="1634" customFormat="1">
      <c r="G17517" s="3336"/>
      <c r="P17517" s="3337"/>
    </row>
    <row r="17518" spans="7:16" s="1634" customFormat="1">
      <c r="G17518" s="3336"/>
      <c r="P17518" s="3337"/>
    </row>
    <row r="17519" spans="7:16" s="1634" customFormat="1">
      <c r="G17519" s="3336"/>
      <c r="P17519" s="3337"/>
    </row>
    <row r="17520" spans="7:16" s="1634" customFormat="1">
      <c r="G17520" s="3336"/>
      <c r="P17520" s="3337"/>
    </row>
    <row r="17521" spans="7:16" s="1634" customFormat="1">
      <c r="G17521" s="3336"/>
      <c r="P17521" s="3337"/>
    </row>
    <row r="17522" spans="7:16" s="1634" customFormat="1">
      <c r="G17522" s="3336"/>
      <c r="P17522" s="3337"/>
    </row>
    <row r="17523" spans="7:16" s="1634" customFormat="1">
      <c r="G17523" s="3336"/>
      <c r="P17523" s="3337"/>
    </row>
    <row r="17524" spans="7:16" s="1634" customFormat="1">
      <c r="G17524" s="3336"/>
      <c r="P17524" s="3337"/>
    </row>
    <row r="17525" spans="7:16" s="1634" customFormat="1">
      <c r="G17525" s="3336"/>
      <c r="P17525" s="3337"/>
    </row>
    <row r="17526" spans="7:16" s="1634" customFormat="1">
      <c r="G17526" s="3336"/>
      <c r="P17526" s="3337"/>
    </row>
    <row r="17527" spans="7:16" s="1634" customFormat="1">
      <c r="G17527" s="3336"/>
      <c r="P17527" s="3337"/>
    </row>
    <row r="17528" spans="7:16" s="1634" customFormat="1">
      <c r="G17528" s="3336"/>
      <c r="P17528" s="3337"/>
    </row>
    <row r="17529" spans="7:16" s="1634" customFormat="1">
      <c r="G17529" s="3336"/>
      <c r="P17529" s="3337"/>
    </row>
    <row r="17530" spans="7:16" s="1634" customFormat="1">
      <c r="G17530" s="3336"/>
      <c r="P17530" s="3337"/>
    </row>
    <row r="17531" spans="7:16" s="1634" customFormat="1">
      <c r="G17531" s="3336"/>
      <c r="P17531" s="3337"/>
    </row>
    <row r="17532" spans="7:16" s="1634" customFormat="1">
      <c r="G17532" s="3336"/>
      <c r="P17532" s="3337"/>
    </row>
    <row r="17533" spans="7:16" s="1634" customFormat="1">
      <c r="G17533" s="3336"/>
      <c r="P17533" s="3337"/>
    </row>
    <row r="17534" spans="7:16" s="1634" customFormat="1">
      <c r="G17534" s="3336"/>
      <c r="P17534" s="3337"/>
    </row>
    <row r="17535" spans="7:16" s="1634" customFormat="1">
      <c r="G17535" s="3336"/>
      <c r="P17535" s="3337"/>
    </row>
    <row r="17536" spans="7:16" s="1634" customFormat="1">
      <c r="G17536" s="3336"/>
      <c r="P17536" s="3337"/>
    </row>
    <row r="17537" spans="7:16" s="1634" customFormat="1">
      <c r="G17537" s="3336"/>
      <c r="P17537" s="3337"/>
    </row>
    <row r="17538" spans="7:16" s="1634" customFormat="1">
      <c r="G17538" s="3336"/>
      <c r="P17538" s="3337"/>
    </row>
    <row r="17539" spans="7:16" s="1634" customFormat="1">
      <c r="G17539" s="3336"/>
      <c r="P17539" s="3337"/>
    </row>
    <row r="17540" spans="7:16" s="1634" customFormat="1">
      <c r="G17540" s="3336"/>
      <c r="P17540" s="3337"/>
    </row>
    <row r="17541" spans="7:16" s="1634" customFormat="1">
      <c r="G17541" s="3336"/>
      <c r="P17541" s="3337"/>
    </row>
    <row r="17542" spans="7:16" s="1634" customFormat="1">
      <c r="G17542" s="3336"/>
      <c r="P17542" s="3337"/>
    </row>
    <row r="17543" spans="7:16" s="1634" customFormat="1">
      <c r="G17543" s="3336"/>
      <c r="P17543" s="3337"/>
    </row>
    <row r="17544" spans="7:16" s="1634" customFormat="1">
      <c r="G17544" s="3336"/>
      <c r="P17544" s="3337"/>
    </row>
    <row r="17545" spans="7:16" s="1634" customFormat="1">
      <c r="G17545" s="3336"/>
      <c r="P17545" s="3337"/>
    </row>
    <row r="17546" spans="7:16" s="1634" customFormat="1">
      <c r="G17546" s="3336"/>
      <c r="P17546" s="3337"/>
    </row>
    <row r="17547" spans="7:16" s="1634" customFormat="1">
      <c r="G17547" s="3336"/>
      <c r="P17547" s="3337"/>
    </row>
    <row r="17548" spans="7:16" s="1634" customFormat="1">
      <c r="G17548" s="3336"/>
      <c r="P17548" s="3337"/>
    </row>
    <row r="17549" spans="7:16" s="1634" customFormat="1">
      <c r="G17549" s="3336"/>
      <c r="P17549" s="3337"/>
    </row>
    <row r="17550" spans="7:16" s="1634" customFormat="1">
      <c r="G17550" s="3336"/>
      <c r="P17550" s="3337"/>
    </row>
    <row r="17551" spans="7:16" s="1634" customFormat="1">
      <c r="G17551" s="3336"/>
      <c r="P17551" s="3337"/>
    </row>
    <row r="17552" spans="7:16" s="1634" customFormat="1">
      <c r="G17552" s="3336"/>
      <c r="P17552" s="3337"/>
    </row>
    <row r="17553" spans="7:16" s="1634" customFormat="1">
      <c r="G17553" s="3336"/>
      <c r="P17553" s="3337"/>
    </row>
    <row r="17554" spans="7:16" s="1634" customFormat="1">
      <c r="G17554" s="3336"/>
      <c r="P17554" s="3337"/>
    </row>
    <row r="17555" spans="7:16" s="1634" customFormat="1">
      <c r="G17555" s="3336"/>
      <c r="P17555" s="3337"/>
    </row>
    <row r="17556" spans="7:16" s="1634" customFormat="1">
      <c r="G17556" s="3336"/>
      <c r="P17556" s="3337"/>
    </row>
    <row r="17557" spans="7:16" s="1634" customFormat="1">
      <c r="G17557" s="3336"/>
      <c r="P17557" s="3337"/>
    </row>
    <row r="17558" spans="7:16" s="1634" customFormat="1">
      <c r="G17558" s="3336"/>
      <c r="P17558" s="3337"/>
    </row>
    <row r="17559" spans="7:16" s="1634" customFormat="1">
      <c r="G17559" s="3336"/>
      <c r="P17559" s="3337"/>
    </row>
    <row r="17560" spans="7:16" s="1634" customFormat="1">
      <c r="G17560" s="3336"/>
      <c r="P17560" s="3337"/>
    </row>
    <row r="17561" spans="7:16" s="1634" customFormat="1">
      <c r="G17561" s="3336"/>
      <c r="P17561" s="3337"/>
    </row>
    <row r="17562" spans="7:16" s="1634" customFormat="1">
      <c r="G17562" s="3336"/>
      <c r="P17562" s="3337"/>
    </row>
    <row r="17563" spans="7:16" s="1634" customFormat="1">
      <c r="G17563" s="3336"/>
      <c r="P17563" s="3337"/>
    </row>
    <row r="17564" spans="7:16" s="1634" customFormat="1">
      <c r="G17564" s="3336"/>
      <c r="P17564" s="3337"/>
    </row>
    <row r="17565" spans="7:16" s="1634" customFormat="1">
      <c r="G17565" s="3336"/>
      <c r="P17565" s="3337"/>
    </row>
    <row r="17566" spans="7:16" s="1634" customFormat="1">
      <c r="G17566" s="3336"/>
      <c r="P17566" s="3337"/>
    </row>
    <row r="17567" spans="7:16" s="1634" customFormat="1">
      <c r="G17567" s="3336"/>
      <c r="P17567" s="3337"/>
    </row>
    <row r="17568" spans="7:16" s="1634" customFormat="1">
      <c r="G17568" s="3336"/>
      <c r="P17568" s="3337"/>
    </row>
    <row r="17569" spans="7:16" s="1634" customFormat="1">
      <c r="G17569" s="3336"/>
      <c r="P17569" s="3337"/>
    </row>
    <row r="17570" spans="7:16" s="1634" customFormat="1">
      <c r="G17570" s="3336"/>
      <c r="P17570" s="3337"/>
    </row>
    <row r="17571" spans="7:16" s="1634" customFormat="1">
      <c r="G17571" s="3336"/>
      <c r="P17571" s="3337"/>
    </row>
    <row r="17572" spans="7:16" s="1634" customFormat="1">
      <c r="G17572" s="3336"/>
      <c r="P17572" s="3337"/>
    </row>
    <row r="17573" spans="7:16" s="1634" customFormat="1">
      <c r="G17573" s="3336"/>
      <c r="P17573" s="3337"/>
    </row>
    <row r="17574" spans="7:16" s="1634" customFormat="1">
      <c r="G17574" s="3336"/>
      <c r="P17574" s="3337"/>
    </row>
    <row r="17575" spans="7:16" s="1634" customFormat="1">
      <c r="G17575" s="3336"/>
      <c r="P17575" s="3337"/>
    </row>
    <row r="17576" spans="7:16" s="1634" customFormat="1">
      <c r="G17576" s="3336"/>
      <c r="P17576" s="3337"/>
    </row>
    <row r="17577" spans="7:16" s="1634" customFormat="1">
      <c r="G17577" s="3336"/>
      <c r="P17577" s="3337"/>
    </row>
    <row r="17578" spans="7:16" s="1634" customFormat="1">
      <c r="G17578" s="3336"/>
      <c r="P17578" s="3337"/>
    </row>
    <row r="17579" spans="7:16" s="1634" customFormat="1">
      <c r="G17579" s="3336"/>
      <c r="P17579" s="3337"/>
    </row>
    <row r="17580" spans="7:16" s="1634" customFormat="1">
      <c r="G17580" s="3336"/>
      <c r="P17580" s="3337"/>
    </row>
    <row r="17581" spans="7:16" s="1634" customFormat="1">
      <c r="G17581" s="3336"/>
      <c r="P17581" s="3337"/>
    </row>
    <row r="17582" spans="7:16" s="1634" customFormat="1">
      <c r="G17582" s="3336"/>
      <c r="P17582" s="3337"/>
    </row>
    <row r="17583" spans="7:16" s="1634" customFormat="1">
      <c r="G17583" s="3336"/>
      <c r="P17583" s="3337"/>
    </row>
    <row r="17584" spans="7:16" s="1634" customFormat="1">
      <c r="G17584" s="3336"/>
      <c r="P17584" s="3337"/>
    </row>
    <row r="17585" spans="7:16" s="1634" customFormat="1">
      <c r="G17585" s="3336"/>
      <c r="P17585" s="3337"/>
    </row>
    <row r="17586" spans="7:16" s="1634" customFormat="1">
      <c r="G17586" s="3336"/>
      <c r="P17586" s="3337"/>
    </row>
    <row r="17587" spans="7:16" s="1634" customFormat="1">
      <c r="G17587" s="3336"/>
      <c r="P17587" s="3337"/>
    </row>
    <row r="17588" spans="7:16" s="1634" customFormat="1">
      <c r="G17588" s="3336"/>
      <c r="P17588" s="3337"/>
    </row>
    <row r="17589" spans="7:16" s="1634" customFormat="1">
      <c r="G17589" s="3336"/>
      <c r="P17589" s="3337"/>
    </row>
    <row r="17590" spans="7:16" s="1634" customFormat="1">
      <c r="G17590" s="3336"/>
      <c r="P17590" s="3337"/>
    </row>
    <row r="17591" spans="7:16" s="1634" customFormat="1">
      <c r="G17591" s="3336"/>
      <c r="P17591" s="3337"/>
    </row>
    <row r="17592" spans="7:16" s="1634" customFormat="1">
      <c r="G17592" s="3336"/>
      <c r="P17592" s="3337"/>
    </row>
    <row r="17593" spans="7:16" s="1634" customFormat="1">
      <c r="G17593" s="3336"/>
      <c r="P17593" s="3337"/>
    </row>
    <row r="17594" spans="7:16" s="1634" customFormat="1">
      <c r="G17594" s="3336"/>
      <c r="P17594" s="3337"/>
    </row>
    <row r="17595" spans="7:16" s="1634" customFormat="1">
      <c r="G17595" s="3336"/>
      <c r="P17595" s="3337"/>
    </row>
    <row r="17596" spans="7:16" s="1634" customFormat="1">
      <c r="G17596" s="3336"/>
      <c r="P17596" s="3337"/>
    </row>
    <row r="17597" spans="7:16" s="1634" customFormat="1">
      <c r="G17597" s="3336"/>
      <c r="P17597" s="3337"/>
    </row>
    <row r="17598" spans="7:16" s="1634" customFormat="1">
      <c r="G17598" s="3336"/>
      <c r="P17598" s="3337"/>
    </row>
    <row r="17599" spans="7:16" s="1634" customFormat="1">
      <c r="G17599" s="3336"/>
      <c r="P17599" s="3337"/>
    </row>
    <row r="17600" spans="7:16" s="1634" customFormat="1">
      <c r="G17600" s="3336"/>
      <c r="P17600" s="3337"/>
    </row>
    <row r="17601" spans="7:16" s="1634" customFormat="1">
      <c r="G17601" s="3336"/>
      <c r="P17601" s="3337"/>
    </row>
    <row r="17602" spans="7:16" s="1634" customFormat="1">
      <c r="G17602" s="3336"/>
      <c r="P17602" s="3337"/>
    </row>
    <row r="17603" spans="7:16" s="1634" customFormat="1">
      <c r="G17603" s="3336"/>
      <c r="P17603" s="3337"/>
    </row>
    <row r="17604" spans="7:16" s="1634" customFormat="1">
      <c r="G17604" s="3336"/>
      <c r="P17604" s="3337"/>
    </row>
    <row r="17605" spans="7:16" s="1634" customFormat="1">
      <c r="G17605" s="3336"/>
      <c r="P17605" s="3337"/>
    </row>
    <row r="17606" spans="7:16" s="1634" customFormat="1">
      <c r="G17606" s="3336"/>
      <c r="P17606" s="3337"/>
    </row>
    <row r="17607" spans="7:16" s="1634" customFormat="1">
      <c r="G17607" s="3336"/>
      <c r="P17607" s="3337"/>
    </row>
    <row r="17608" spans="7:16" s="1634" customFormat="1">
      <c r="G17608" s="3336"/>
      <c r="P17608" s="3337"/>
    </row>
    <row r="17609" spans="7:16" s="1634" customFormat="1">
      <c r="G17609" s="3336"/>
      <c r="P17609" s="3337"/>
    </row>
    <row r="17610" spans="7:16" s="1634" customFormat="1">
      <c r="G17610" s="3336"/>
      <c r="P17610" s="3337"/>
    </row>
    <row r="17611" spans="7:16" s="1634" customFormat="1">
      <c r="G17611" s="3336"/>
      <c r="P17611" s="3337"/>
    </row>
    <row r="17612" spans="7:16" s="1634" customFormat="1">
      <c r="G17612" s="3336"/>
      <c r="P17612" s="3337"/>
    </row>
    <row r="17613" spans="7:16" s="1634" customFormat="1">
      <c r="G17613" s="3336"/>
      <c r="P17613" s="3337"/>
    </row>
    <row r="17614" spans="7:16" s="1634" customFormat="1">
      <c r="G17614" s="3336"/>
      <c r="P17614" s="3337"/>
    </row>
    <row r="17615" spans="7:16" s="1634" customFormat="1">
      <c r="G17615" s="3336"/>
      <c r="P17615" s="3337"/>
    </row>
    <row r="17616" spans="7:16" s="1634" customFormat="1">
      <c r="G17616" s="3336"/>
      <c r="P17616" s="3337"/>
    </row>
    <row r="17617" spans="7:16" s="1634" customFormat="1">
      <c r="G17617" s="3336"/>
      <c r="P17617" s="3337"/>
    </row>
    <row r="17618" spans="7:16" s="1634" customFormat="1">
      <c r="G17618" s="3336"/>
      <c r="P17618" s="3337"/>
    </row>
    <row r="17619" spans="7:16" s="1634" customFormat="1">
      <c r="G17619" s="3336"/>
      <c r="P17619" s="3337"/>
    </row>
    <row r="17620" spans="7:16" s="1634" customFormat="1">
      <c r="G17620" s="3336"/>
      <c r="P17620" s="3337"/>
    </row>
    <row r="17621" spans="7:16" s="1634" customFormat="1">
      <c r="G17621" s="3336"/>
      <c r="P17621" s="3337"/>
    </row>
    <row r="17622" spans="7:16" s="1634" customFormat="1">
      <c r="G17622" s="3336"/>
      <c r="P17622" s="3337"/>
    </row>
    <row r="17623" spans="7:16" s="1634" customFormat="1">
      <c r="G17623" s="3336"/>
      <c r="P17623" s="3337"/>
    </row>
    <row r="17624" spans="7:16" s="1634" customFormat="1">
      <c r="G17624" s="3336"/>
      <c r="P17624" s="3337"/>
    </row>
    <row r="17625" spans="7:16" s="1634" customFormat="1">
      <c r="G17625" s="3336"/>
      <c r="P17625" s="3337"/>
    </row>
    <row r="17626" spans="7:16" s="1634" customFormat="1">
      <c r="G17626" s="3336"/>
      <c r="P17626" s="3337"/>
    </row>
    <row r="17627" spans="7:16" s="1634" customFormat="1">
      <c r="G17627" s="3336"/>
      <c r="P17627" s="3337"/>
    </row>
    <row r="17628" spans="7:16" s="1634" customFormat="1">
      <c r="G17628" s="3336"/>
      <c r="P17628" s="3337"/>
    </row>
    <row r="17629" spans="7:16" s="1634" customFormat="1">
      <c r="G17629" s="3336"/>
      <c r="P17629" s="3337"/>
    </row>
    <row r="17630" spans="7:16" s="1634" customFormat="1">
      <c r="G17630" s="3336"/>
      <c r="P17630" s="3337"/>
    </row>
    <row r="17631" spans="7:16" s="1634" customFormat="1">
      <c r="G17631" s="3336"/>
      <c r="P17631" s="3337"/>
    </row>
    <row r="17632" spans="7:16" s="1634" customFormat="1">
      <c r="G17632" s="3336"/>
      <c r="P17632" s="3337"/>
    </row>
    <row r="17633" spans="7:16" s="1634" customFormat="1">
      <c r="G17633" s="3336"/>
      <c r="P17633" s="3337"/>
    </row>
    <row r="17634" spans="7:16" s="1634" customFormat="1">
      <c r="G17634" s="3336"/>
      <c r="P17634" s="3337"/>
    </row>
    <row r="17635" spans="7:16" s="1634" customFormat="1">
      <c r="G17635" s="3336"/>
      <c r="P17635" s="3337"/>
    </row>
    <row r="17636" spans="7:16" s="1634" customFormat="1">
      <c r="G17636" s="3336"/>
      <c r="P17636" s="3337"/>
    </row>
    <row r="17637" spans="7:16" s="1634" customFormat="1">
      <c r="G17637" s="3336"/>
      <c r="P17637" s="3337"/>
    </row>
    <row r="17638" spans="7:16" s="1634" customFormat="1">
      <c r="G17638" s="3336"/>
      <c r="P17638" s="3337"/>
    </row>
    <row r="17639" spans="7:16" s="1634" customFormat="1">
      <c r="G17639" s="3336"/>
      <c r="P17639" s="3337"/>
    </row>
    <row r="17640" spans="7:16" s="1634" customFormat="1">
      <c r="G17640" s="3336"/>
      <c r="P17640" s="3337"/>
    </row>
    <row r="17641" spans="7:16" s="1634" customFormat="1">
      <c r="G17641" s="3336"/>
      <c r="P17641" s="3337"/>
    </row>
    <row r="17642" spans="7:16" s="1634" customFormat="1">
      <c r="G17642" s="3336"/>
      <c r="P17642" s="3337"/>
    </row>
    <row r="17643" spans="7:16" s="1634" customFormat="1">
      <c r="G17643" s="3336"/>
      <c r="P17643" s="3337"/>
    </row>
    <row r="17644" spans="7:16" s="1634" customFormat="1">
      <c r="G17644" s="3336"/>
      <c r="P17644" s="3337"/>
    </row>
    <row r="17645" spans="7:16" s="1634" customFormat="1">
      <c r="G17645" s="3336"/>
      <c r="P17645" s="3337"/>
    </row>
    <row r="17646" spans="7:16" s="1634" customFormat="1">
      <c r="G17646" s="3336"/>
      <c r="P17646" s="3337"/>
    </row>
    <row r="17647" spans="7:16" s="1634" customFormat="1">
      <c r="G17647" s="3336"/>
      <c r="P17647" s="3337"/>
    </row>
    <row r="17648" spans="7:16" s="1634" customFormat="1">
      <c r="G17648" s="3336"/>
      <c r="P17648" s="3337"/>
    </row>
    <row r="17649" spans="7:16" s="1634" customFormat="1">
      <c r="G17649" s="3336"/>
      <c r="P17649" s="3337"/>
    </row>
    <row r="17650" spans="7:16" s="1634" customFormat="1">
      <c r="G17650" s="3336"/>
      <c r="P17650" s="3337"/>
    </row>
    <row r="17651" spans="7:16" s="1634" customFormat="1">
      <c r="G17651" s="3336"/>
      <c r="P17651" s="3337"/>
    </row>
    <row r="17652" spans="7:16" s="1634" customFormat="1">
      <c r="G17652" s="3336"/>
      <c r="P17652" s="3337"/>
    </row>
    <row r="17653" spans="7:16" s="1634" customFormat="1">
      <c r="G17653" s="3336"/>
      <c r="P17653" s="3337"/>
    </row>
    <row r="17654" spans="7:16" s="1634" customFormat="1">
      <c r="G17654" s="3336"/>
      <c r="P17654" s="3337"/>
    </row>
    <row r="17655" spans="7:16" s="1634" customFormat="1">
      <c r="G17655" s="3336"/>
      <c r="P17655" s="3337"/>
    </row>
    <row r="17656" spans="7:16" s="1634" customFormat="1">
      <c r="G17656" s="3336"/>
      <c r="P17656" s="3337"/>
    </row>
    <row r="17657" spans="7:16" s="1634" customFormat="1">
      <c r="G17657" s="3336"/>
      <c r="P17657" s="3337"/>
    </row>
    <row r="17658" spans="7:16" s="1634" customFormat="1">
      <c r="G17658" s="3336"/>
      <c r="P17658" s="3337"/>
    </row>
    <row r="17659" spans="7:16" s="1634" customFormat="1">
      <c r="G17659" s="3336"/>
      <c r="P17659" s="3337"/>
    </row>
    <row r="17660" spans="7:16" s="1634" customFormat="1">
      <c r="G17660" s="3336"/>
      <c r="P17660" s="3337"/>
    </row>
    <row r="17661" spans="7:16" s="1634" customFormat="1">
      <c r="G17661" s="3336"/>
      <c r="P17661" s="3337"/>
    </row>
    <row r="17662" spans="7:16" s="1634" customFormat="1">
      <c r="G17662" s="3336"/>
      <c r="P17662" s="3337"/>
    </row>
    <row r="17663" spans="7:16" s="1634" customFormat="1">
      <c r="G17663" s="3336"/>
      <c r="P17663" s="3337"/>
    </row>
    <row r="17664" spans="7:16" s="1634" customFormat="1">
      <c r="G17664" s="3336"/>
      <c r="P17664" s="3337"/>
    </row>
    <row r="17665" spans="7:16" s="1634" customFormat="1">
      <c r="G17665" s="3336"/>
      <c r="P17665" s="3337"/>
    </row>
    <row r="17666" spans="7:16" s="1634" customFormat="1">
      <c r="G17666" s="3336"/>
      <c r="P17666" s="3337"/>
    </row>
    <row r="17667" spans="7:16" s="1634" customFormat="1">
      <c r="G17667" s="3336"/>
      <c r="P17667" s="3337"/>
    </row>
    <row r="17668" spans="7:16" s="1634" customFormat="1">
      <c r="G17668" s="3336"/>
      <c r="P17668" s="3337"/>
    </row>
    <row r="17669" spans="7:16" s="1634" customFormat="1">
      <c r="G17669" s="3336"/>
      <c r="P17669" s="3337"/>
    </row>
    <row r="17670" spans="7:16" s="1634" customFormat="1">
      <c r="G17670" s="3336"/>
      <c r="P17670" s="3337"/>
    </row>
    <row r="17671" spans="7:16" s="1634" customFormat="1">
      <c r="G17671" s="3336"/>
      <c r="P17671" s="3337"/>
    </row>
    <row r="17672" spans="7:16" s="1634" customFormat="1">
      <c r="G17672" s="3336"/>
      <c r="P17672" s="3337"/>
    </row>
    <row r="17673" spans="7:16" s="1634" customFormat="1">
      <c r="G17673" s="3336"/>
      <c r="P17673" s="3337"/>
    </row>
    <row r="17674" spans="7:16" s="1634" customFormat="1">
      <c r="G17674" s="3336"/>
      <c r="P17674" s="3337"/>
    </row>
    <row r="17675" spans="7:16" s="1634" customFormat="1">
      <c r="G17675" s="3336"/>
      <c r="P17675" s="3337"/>
    </row>
    <row r="17676" spans="7:16" s="1634" customFormat="1">
      <c r="G17676" s="3336"/>
      <c r="P17676" s="3337"/>
    </row>
    <row r="17677" spans="7:16" s="1634" customFormat="1">
      <c r="G17677" s="3336"/>
      <c r="P17677" s="3337"/>
    </row>
    <row r="17678" spans="7:16" s="1634" customFormat="1">
      <c r="G17678" s="3336"/>
      <c r="P17678" s="3337"/>
    </row>
    <row r="17679" spans="7:16" s="1634" customFormat="1">
      <c r="G17679" s="3336"/>
      <c r="P17679" s="3337"/>
    </row>
    <row r="17680" spans="7:16" s="1634" customFormat="1">
      <c r="G17680" s="3336"/>
      <c r="P17680" s="3337"/>
    </row>
    <row r="17681" spans="7:16" s="1634" customFormat="1">
      <c r="G17681" s="3336"/>
      <c r="P17681" s="3337"/>
    </row>
    <row r="17682" spans="7:16" s="1634" customFormat="1">
      <c r="G17682" s="3336"/>
      <c r="P17682" s="3337"/>
    </row>
    <row r="17683" spans="7:16" s="1634" customFormat="1">
      <c r="G17683" s="3336"/>
      <c r="P17683" s="3337"/>
    </row>
    <row r="17684" spans="7:16" s="1634" customFormat="1">
      <c r="G17684" s="3336"/>
      <c r="P17684" s="3337"/>
    </row>
    <row r="17685" spans="7:16" s="1634" customFormat="1">
      <c r="G17685" s="3336"/>
      <c r="P17685" s="3337"/>
    </row>
    <row r="17686" spans="7:16" s="1634" customFormat="1">
      <c r="G17686" s="3336"/>
      <c r="P17686" s="3337"/>
    </row>
    <row r="17687" spans="7:16" s="1634" customFormat="1">
      <c r="G17687" s="3336"/>
      <c r="P17687" s="3337"/>
    </row>
    <row r="17688" spans="7:16" s="1634" customFormat="1">
      <c r="G17688" s="3336"/>
      <c r="P17688" s="3337"/>
    </row>
    <row r="17689" spans="7:16" s="1634" customFormat="1">
      <c r="G17689" s="3336"/>
      <c r="P17689" s="3337"/>
    </row>
    <row r="17690" spans="7:16" s="1634" customFormat="1">
      <c r="G17690" s="3336"/>
      <c r="P17690" s="3337"/>
    </row>
    <row r="17691" spans="7:16" s="1634" customFormat="1">
      <c r="G17691" s="3336"/>
      <c r="P17691" s="3337"/>
    </row>
    <row r="17692" spans="7:16" s="1634" customFormat="1">
      <c r="G17692" s="3336"/>
      <c r="P17692" s="3337"/>
    </row>
    <row r="17693" spans="7:16" s="1634" customFormat="1">
      <c r="G17693" s="3336"/>
      <c r="P17693" s="3337"/>
    </row>
    <row r="17694" spans="7:16" s="1634" customFormat="1">
      <c r="G17694" s="3336"/>
      <c r="P17694" s="3337"/>
    </row>
    <row r="17695" spans="7:16" s="1634" customFormat="1">
      <c r="G17695" s="3336"/>
      <c r="P17695" s="3337"/>
    </row>
    <row r="17696" spans="7:16" s="1634" customFormat="1">
      <c r="G17696" s="3336"/>
      <c r="P17696" s="3337"/>
    </row>
    <row r="17697" spans="7:16" s="1634" customFormat="1">
      <c r="G17697" s="3336"/>
      <c r="P17697" s="3337"/>
    </row>
    <row r="17698" spans="7:16" s="1634" customFormat="1">
      <c r="G17698" s="3336"/>
      <c r="P17698" s="3337"/>
    </row>
    <row r="17699" spans="7:16" s="1634" customFormat="1">
      <c r="G17699" s="3336"/>
      <c r="P17699" s="3337"/>
    </row>
    <row r="17700" spans="7:16" s="1634" customFormat="1">
      <c r="G17700" s="3336"/>
      <c r="P17700" s="3337"/>
    </row>
    <row r="17701" spans="7:16" s="1634" customFormat="1">
      <c r="G17701" s="3336"/>
      <c r="P17701" s="3337"/>
    </row>
    <row r="17702" spans="7:16" s="1634" customFormat="1">
      <c r="G17702" s="3336"/>
      <c r="P17702" s="3337"/>
    </row>
    <row r="17703" spans="7:16" s="1634" customFormat="1">
      <c r="G17703" s="3336"/>
      <c r="P17703" s="3337"/>
    </row>
    <row r="17704" spans="7:16" s="1634" customFormat="1">
      <c r="G17704" s="3336"/>
      <c r="P17704" s="3337"/>
    </row>
    <row r="17705" spans="7:16" s="1634" customFormat="1">
      <c r="G17705" s="3336"/>
      <c r="P17705" s="3337"/>
    </row>
    <row r="17706" spans="7:16" s="1634" customFormat="1">
      <c r="G17706" s="3336"/>
      <c r="P17706" s="3337"/>
    </row>
    <row r="17707" spans="7:16" s="1634" customFormat="1">
      <c r="G17707" s="3336"/>
      <c r="P17707" s="3337"/>
    </row>
    <row r="17708" spans="7:16" s="1634" customFormat="1">
      <c r="G17708" s="3336"/>
      <c r="P17708" s="3337"/>
    </row>
    <row r="17709" spans="7:16" s="1634" customFormat="1">
      <c r="G17709" s="3336"/>
      <c r="P17709" s="3337"/>
    </row>
    <row r="17710" spans="7:16" s="1634" customFormat="1">
      <c r="G17710" s="3336"/>
      <c r="P17710" s="3337"/>
    </row>
    <row r="17711" spans="7:16" s="1634" customFormat="1">
      <c r="G17711" s="3336"/>
      <c r="P17711" s="3337"/>
    </row>
    <row r="17712" spans="7:16" s="1634" customFormat="1">
      <c r="G17712" s="3336"/>
      <c r="P17712" s="3337"/>
    </row>
    <row r="17713" spans="7:16" s="1634" customFormat="1">
      <c r="G17713" s="3336"/>
      <c r="P17713" s="3337"/>
    </row>
    <row r="17714" spans="7:16" s="1634" customFormat="1">
      <c r="G17714" s="3336"/>
      <c r="P17714" s="3337"/>
    </row>
    <row r="17715" spans="7:16" s="1634" customFormat="1">
      <c r="G17715" s="3336"/>
      <c r="P17715" s="3337"/>
    </row>
    <row r="17716" spans="7:16" s="1634" customFormat="1">
      <c r="G17716" s="3336"/>
      <c r="P17716" s="3337"/>
    </row>
    <row r="17717" spans="7:16" s="1634" customFormat="1">
      <c r="G17717" s="3336"/>
      <c r="P17717" s="3337"/>
    </row>
    <row r="17718" spans="7:16" s="1634" customFormat="1">
      <c r="G17718" s="3336"/>
      <c r="P17718" s="3337"/>
    </row>
    <row r="17719" spans="7:16" s="1634" customFormat="1">
      <c r="G17719" s="3336"/>
      <c r="P17719" s="3337"/>
    </row>
    <row r="17720" spans="7:16" s="1634" customFormat="1">
      <c r="G17720" s="3336"/>
      <c r="P17720" s="3337"/>
    </row>
    <row r="17721" spans="7:16" s="1634" customFormat="1">
      <c r="G17721" s="3336"/>
      <c r="P17721" s="3337"/>
    </row>
    <row r="17722" spans="7:16" s="1634" customFormat="1">
      <c r="G17722" s="3336"/>
      <c r="P17722" s="3337"/>
    </row>
    <row r="17723" spans="7:16" s="1634" customFormat="1">
      <c r="G17723" s="3336"/>
      <c r="P17723" s="3337"/>
    </row>
    <row r="17724" spans="7:16" s="1634" customFormat="1">
      <c r="G17724" s="3336"/>
      <c r="P17724" s="3337"/>
    </row>
    <row r="17725" spans="7:16" s="1634" customFormat="1">
      <c r="G17725" s="3336"/>
      <c r="P17725" s="3337"/>
    </row>
    <row r="17726" spans="7:16" s="1634" customFormat="1">
      <c r="G17726" s="3336"/>
      <c r="P17726" s="3337"/>
    </row>
    <row r="17727" spans="7:16" s="1634" customFormat="1">
      <c r="G17727" s="3336"/>
      <c r="P17727" s="3337"/>
    </row>
    <row r="17728" spans="7:16" s="1634" customFormat="1">
      <c r="G17728" s="3336"/>
      <c r="P17728" s="3337"/>
    </row>
    <row r="17729" spans="7:16" s="1634" customFormat="1">
      <c r="G17729" s="3336"/>
      <c r="P17729" s="3337"/>
    </row>
    <row r="17730" spans="7:16" s="1634" customFormat="1">
      <c r="G17730" s="3336"/>
      <c r="P17730" s="3337"/>
    </row>
    <row r="17731" spans="7:16" s="1634" customFormat="1">
      <c r="G17731" s="3336"/>
      <c r="P17731" s="3337"/>
    </row>
    <row r="17732" spans="7:16" s="1634" customFormat="1">
      <c r="G17732" s="3336"/>
      <c r="P17732" s="3337"/>
    </row>
    <row r="17733" spans="7:16" s="1634" customFormat="1">
      <c r="G17733" s="3336"/>
      <c r="P17733" s="3337"/>
    </row>
    <row r="17734" spans="7:16" s="1634" customFormat="1">
      <c r="G17734" s="3336"/>
      <c r="P17734" s="3337"/>
    </row>
    <row r="17735" spans="7:16" s="1634" customFormat="1">
      <c r="G17735" s="3336"/>
      <c r="P17735" s="3337"/>
    </row>
    <row r="17736" spans="7:16" s="1634" customFormat="1">
      <c r="G17736" s="3336"/>
      <c r="P17736" s="3337"/>
    </row>
    <row r="17737" spans="7:16" s="1634" customFormat="1">
      <c r="G17737" s="3336"/>
      <c r="P17737" s="3337"/>
    </row>
    <row r="17738" spans="7:16" s="1634" customFormat="1">
      <c r="G17738" s="3336"/>
      <c r="P17738" s="3337"/>
    </row>
    <row r="17739" spans="7:16" s="1634" customFormat="1">
      <c r="G17739" s="3336"/>
      <c r="P17739" s="3337"/>
    </row>
    <row r="17740" spans="7:16" s="1634" customFormat="1">
      <c r="G17740" s="3336"/>
      <c r="P17740" s="3337"/>
    </row>
    <row r="17741" spans="7:16" s="1634" customFormat="1">
      <c r="G17741" s="3336"/>
      <c r="P17741" s="3337"/>
    </row>
    <row r="17742" spans="7:16" s="1634" customFormat="1">
      <c r="G17742" s="3336"/>
      <c r="P17742" s="3337"/>
    </row>
    <row r="17743" spans="7:16" s="1634" customFormat="1">
      <c r="G17743" s="3336"/>
      <c r="P17743" s="3337"/>
    </row>
    <row r="17744" spans="7:16" s="1634" customFormat="1">
      <c r="G17744" s="3336"/>
      <c r="P17744" s="3337"/>
    </row>
    <row r="17745" spans="7:16" s="1634" customFormat="1">
      <c r="G17745" s="3336"/>
      <c r="P17745" s="3337"/>
    </row>
    <row r="17746" spans="7:16" s="1634" customFormat="1">
      <c r="G17746" s="3336"/>
      <c r="P17746" s="3337"/>
    </row>
    <row r="17747" spans="7:16" s="1634" customFormat="1">
      <c r="G17747" s="3336"/>
      <c r="P17747" s="3337"/>
    </row>
    <row r="17748" spans="7:16" s="1634" customFormat="1">
      <c r="G17748" s="3336"/>
      <c r="P17748" s="3337"/>
    </row>
    <row r="17749" spans="7:16" s="1634" customFormat="1">
      <c r="G17749" s="3336"/>
      <c r="P17749" s="3337"/>
    </row>
    <row r="17750" spans="7:16" s="1634" customFormat="1">
      <c r="G17750" s="3336"/>
      <c r="P17750" s="3337"/>
    </row>
    <row r="17751" spans="7:16" s="1634" customFormat="1">
      <c r="G17751" s="3336"/>
      <c r="P17751" s="3337"/>
    </row>
    <row r="17752" spans="7:16" s="1634" customFormat="1">
      <c r="G17752" s="3336"/>
      <c r="P17752" s="3337"/>
    </row>
    <row r="17753" spans="7:16" s="1634" customFormat="1">
      <c r="G17753" s="3336"/>
      <c r="P17753" s="3337"/>
    </row>
    <row r="17754" spans="7:16" s="1634" customFormat="1">
      <c r="G17754" s="3336"/>
      <c r="P17754" s="3337"/>
    </row>
    <row r="17755" spans="7:16" s="1634" customFormat="1">
      <c r="G17755" s="3336"/>
      <c r="P17755" s="3337"/>
    </row>
    <row r="17756" spans="7:16" s="1634" customFormat="1">
      <c r="G17756" s="3336"/>
      <c r="P17756" s="3337"/>
    </row>
    <row r="17757" spans="7:16" s="1634" customFormat="1">
      <c r="G17757" s="3336"/>
      <c r="P17757" s="3337"/>
    </row>
    <row r="17758" spans="7:16" s="1634" customFormat="1">
      <c r="G17758" s="3336"/>
      <c r="P17758" s="3337"/>
    </row>
    <row r="17759" spans="7:16" s="1634" customFormat="1">
      <c r="G17759" s="3336"/>
      <c r="P17759" s="3337"/>
    </row>
    <row r="17760" spans="7:16" s="1634" customFormat="1">
      <c r="G17760" s="3336"/>
      <c r="P17760" s="3337"/>
    </row>
    <row r="17761" spans="7:16" s="1634" customFormat="1">
      <c r="G17761" s="3336"/>
      <c r="P17761" s="3337"/>
    </row>
    <row r="17762" spans="7:16" s="1634" customFormat="1">
      <c r="G17762" s="3336"/>
      <c r="P17762" s="3337"/>
    </row>
    <row r="17763" spans="7:16" s="1634" customFormat="1">
      <c r="G17763" s="3336"/>
      <c r="P17763" s="3337"/>
    </row>
    <row r="17764" spans="7:16" s="1634" customFormat="1">
      <c r="G17764" s="3336"/>
      <c r="P17764" s="3337"/>
    </row>
    <row r="17765" spans="7:16" s="1634" customFormat="1">
      <c r="G17765" s="3336"/>
      <c r="P17765" s="3337"/>
    </row>
    <row r="17766" spans="7:16" s="1634" customFormat="1">
      <c r="G17766" s="3336"/>
      <c r="P17766" s="3337"/>
    </row>
    <row r="17767" spans="7:16" s="1634" customFormat="1">
      <c r="G17767" s="3336"/>
      <c r="P17767" s="3337"/>
    </row>
    <row r="17768" spans="7:16" s="1634" customFormat="1">
      <c r="G17768" s="3336"/>
      <c r="P17768" s="3337"/>
    </row>
    <row r="17769" spans="7:16" s="1634" customFormat="1">
      <c r="G17769" s="3336"/>
      <c r="P17769" s="3337"/>
    </row>
    <row r="17770" spans="7:16" s="1634" customFormat="1">
      <c r="G17770" s="3336"/>
      <c r="P17770" s="3337"/>
    </row>
    <row r="17771" spans="7:16" s="1634" customFormat="1">
      <c r="G17771" s="3336"/>
      <c r="P17771" s="3337"/>
    </row>
    <row r="17772" spans="7:16" s="1634" customFormat="1">
      <c r="G17772" s="3336"/>
      <c r="P17772" s="3337"/>
    </row>
    <row r="17773" spans="7:16" s="1634" customFormat="1">
      <c r="G17773" s="3336"/>
      <c r="P17773" s="3337"/>
    </row>
    <row r="17774" spans="7:16" s="1634" customFormat="1">
      <c r="G17774" s="3336"/>
      <c r="P17774" s="3337"/>
    </row>
    <row r="17775" spans="7:16" s="1634" customFormat="1">
      <c r="G17775" s="3336"/>
      <c r="P17775" s="3337"/>
    </row>
    <row r="17776" spans="7:16" s="1634" customFormat="1">
      <c r="G17776" s="3336"/>
      <c r="P17776" s="3337"/>
    </row>
    <row r="17777" spans="7:16" s="1634" customFormat="1">
      <c r="G17777" s="3336"/>
      <c r="P17777" s="3337"/>
    </row>
    <row r="17778" spans="7:16" s="1634" customFormat="1">
      <c r="G17778" s="3336"/>
      <c r="P17778" s="3337"/>
    </row>
    <row r="17779" spans="7:16" s="1634" customFormat="1">
      <c r="G17779" s="3336"/>
      <c r="P17779" s="3337"/>
    </row>
    <row r="17780" spans="7:16" s="1634" customFormat="1">
      <c r="G17780" s="3336"/>
      <c r="P17780" s="3337"/>
    </row>
    <row r="17781" spans="7:16" s="1634" customFormat="1">
      <c r="G17781" s="3336"/>
      <c r="P17781" s="3337"/>
    </row>
    <row r="17782" spans="7:16" s="1634" customFormat="1">
      <c r="G17782" s="3336"/>
      <c r="P17782" s="3337"/>
    </row>
    <row r="17783" spans="7:16" s="1634" customFormat="1">
      <c r="G17783" s="3336"/>
      <c r="P17783" s="3337"/>
    </row>
    <row r="17784" spans="7:16" s="1634" customFormat="1">
      <c r="G17784" s="3336"/>
      <c r="P17784" s="3337"/>
    </row>
    <row r="17785" spans="7:16" s="1634" customFormat="1">
      <c r="G17785" s="3336"/>
      <c r="P17785" s="3337"/>
    </row>
    <row r="17786" spans="7:16" s="1634" customFormat="1">
      <c r="G17786" s="3336"/>
      <c r="P17786" s="3337"/>
    </row>
    <row r="17787" spans="7:16" s="1634" customFormat="1">
      <c r="G17787" s="3336"/>
      <c r="P17787" s="3337"/>
    </row>
    <row r="17788" spans="7:16" s="1634" customFormat="1">
      <c r="G17788" s="3336"/>
      <c r="P17788" s="3337"/>
    </row>
    <row r="17789" spans="7:16" s="1634" customFormat="1">
      <c r="G17789" s="3336"/>
      <c r="P17789" s="3337"/>
    </row>
    <row r="17790" spans="7:16" s="1634" customFormat="1">
      <c r="G17790" s="3336"/>
      <c r="P17790" s="3337"/>
    </row>
    <row r="17791" spans="7:16" s="1634" customFormat="1">
      <c r="G17791" s="3336"/>
      <c r="P17791" s="3337"/>
    </row>
    <row r="17792" spans="7:16" s="1634" customFormat="1">
      <c r="G17792" s="3336"/>
      <c r="P17792" s="3337"/>
    </row>
    <row r="17793" spans="7:16" s="1634" customFormat="1">
      <c r="G17793" s="3336"/>
      <c r="P17793" s="3337"/>
    </row>
    <row r="17794" spans="7:16" s="1634" customFormat="1">
      <c r="G17794" s="3336"/>
      <c r="P17794" s="3337"/>
    </row>
    <row r="17795" spans="7:16" s="1634" customFormat="1">
      <c r="G17795" s="3336"/>
      <c r="P17795" s="3337"/>
    </row>
    <row r="17796" spans="7:16" s="1634" customFormat="1">
      <c r="G17796" s="3336"/>
      <c r="P17796" s="3337"/>
    </row>
    <row r="17797" spans="7:16" s="1634" customFormat="1">
      <c r="G17797" s="3336"/>
      <c r="P17797" s="3337"/>
    </row>
    <row r="17798" spans="7:16" s="1634" customFormat="1">
      <c r="G17798" s="3336"/>
      <c r="P17798" s="3337"/>
    </row>
    <row r="17799" spans="7:16" s="1634" customFormat="1">
      <c r="G17799" s="3336"/>
      <c r="P17799" s="3337"/>
    </row>
    <row r="17800" spans="7:16" s="1634" customFormat="1">
      <c r="G17800" s="3336"/>
      <c r="P17800" s="3337"/>
    </row>
    <row r="17801" spans="7:16" s="1634" customFormat="1">
      <c r="G17801" s="3336"/>
      <c r="P17801" s="3337"/>
    </row>
    <row r="17802" spans="7:16" s="1634" customFormat="1">
      <c r="G17802" s="3336"/>
      <c r="P17802" s="3337"/>
    </row>
    <row r="17803" spans="7:16" s="1634" customFormat="1">
      <c r="G17803" s="3336"/>
      <c r="P17803" s="3337"/>
    </row>
    <row r="17804" spans="7:16" s="1634" customFormat="1">
      <c r="G17804" s="3336"/>
      <c r="P17804" s="3337"/>
    </row>
    <row r="17805" spans="7:16" s="1634" customFormat="1">
      <c r="G17805" s="3336"/>
      <c r="P17805" s="3337"/>
    </row>
    <row r="17806" spans="7:16" s="1634" customFormat="1">
      <c r="G17806" s="3336"/>
      <c r="P17806" s="3337"/>
    </row>
    <row r="17807" spans="7:16" s="1634" customFormat="1">
      <c r="G17807" s="3336"/>
      <c r="P17807" s="3337"/>
    </row>
    <row r="17808" spans="7:16" s="1634" customFormat="1">
      <c r="G17808" s="3336"/>
      <c r="P17808" s="3337"/>
    </row>
    <row r="17809" spans="7:16" s="1634" customFormat="1">
      <c r="G17809" s="3336"/>
      <c r="P17809" s="3337"/>
    </row>
    <row r="17810" spans="7:16" s="1634" customFormat="1">
      <c r="G17810" s="3336"/>
      <c r="P17810" s="3337"/>
    </row>
    <row r="17811" spans="7:16" s="1634" customFormat="1">
      <c r="G17811" s="3336"/>
      <c r="P17811" s="3337"/>
    </row>
    <row r="17812" spans="7:16" s="1634" customFormat="1">
      <c r="G17812" s="3336"/>
      <c r="P17812" s="3337"/>
    </row>
    <row r="17813" spans="7:16" s="1634" customFormat="1">
      <c r="G17813" s="3336"/>
      <c r="P17813" s="3337"/>
    </row>
    <row r="17814" spans="7:16" s="1634" customFormat="1">
      <c r="G17814" s="3336"/>
      <c r="P17814" s="3337"/>
    </row>
    <row r="17815" spans="7:16" s="1634" customFormat="1">
      <c r="G17815" s="3336"/>
      <c r="P17815" s="3337"/>
    </row>
    <row r="17816" spans="7:16" s="1634" customFormat="1">
      <c r="G17816" s="3336"/>
      <c r="P17816" s="3337"/>
    </row>
    <row r="17817" spans="7:16" s="1634" customFormat="1">
      <c r="G17817" s="3336"/>
      <c r="P17817" s="3337"/>
    </row>
    <row r="17818" spans="7:16" s="1634" customFormat="1">
      <c r="G17818" s="3336"/>
      <c r="P17818" s="3337"/>
    </row>
    <row r="17819" spans="7:16" s="1634" customFormat="1">
      <c r="G17819" s="3336"/>
      <c r="P17819" s="3337"/>
    </row>
    <row r="17820" spans="7:16" s="1634" customFormat="1">
      <c r="G17820" s="3336"/>
      <c r="P17820" s="3337"/>
    </row>
    <row r="17821" spans="7:16" s="1634" customFormat="1">
      <c r="G17821" s="3336"/>
      <c r="P17821" s="3337"/>
    </row>
    <row r="17822" spans="7:16" s="1634" customFormat="1">
      <c r="G17822" s="3336"/>
      <c r="P17822" s="3337"/>
    </row>
    <row r="17823" spans="7:16" s="1634" customFormat="1">
      <c r="G17823" s="3336"/>
      <c r="P17823" s="3337"/>
    </row>
    <row r="17824" spans="7:16" s="1634" customFormat="1">
      <c r="G17824" s="3336"/>
      <c r="P17824" s="3337"/>
    </row>
    <row r="17825" spans="7:16" s="1634" customFormat="1">
      <c r="G17825" s="3336"/>
      <c r="P17825" s="3337"/>
    </row>
    <row r="17826" spans="7:16" s="1634" customFormat="1">
      <c r="G17826" s="3336"/>
      <c r="P17826" s="3337"/>
    </row>
    <row r="17827" spans="7:16" s="1634" customFormat="1">
      <c r="G17827" s="3336"/>
      <c r="P17827" s="3337"/>
    </row>
    <row r="17828" spans="7:16" s="1634" customFormat="1">
      <c r="G17828" s="3336"/>
      <c r="P17828" s="3337"/>
    </row>
    <row r="17829" spans="7:16" s="1634" customFormat="1">
      <c r="G17829" s="3336"/>
      <c r="P17829" s="3337"/>
    </row>
    <row r="17830" spans="7:16" s="1634" customFormat="1">
      <c r="G17830" s="3336"/>
      <c r="P17830" s="3337"/>
    </row>
    <row r="17831" spans="7:16" s="1634" customFormat="1">
      <c r="G17831" s="3336"/>
      <c r="P17831" s="3337"/>
    </row>
    <row r="17832" spans="7:16" s="1634" customFormat="1">
      <c r="G17832" s="3336"/>
      <c r="P17832" s="3337"/>
    </row>
    <row r="17833" spans="7:16" s="1634" customFormat="1">
      <c r="G17833" s="3336"/>
      <c r="P17833" s="3337"/>
    </row>
    <row r="17834" spans="7:16" s="1634" customFormat="1">
      <c r="G17834" s="3336"/>
      <c r="P17834" s="3337"/>
    </row>
    <row r="17835" spans="7:16" s="1634" customFormat="1">
      <c r="G17835" s="3336"/>
      <c r="P17835" s="3337"/>
    </row>
    <row r="17836" spans="7:16" s="1634" customFormat="1">
      <c r="G17836" s="3336"/>
      <c r="P17836" s="3337"/>
    </row>
    <row r="17837" spans="7:16" s="1634" customFormat="1">
      <c r="G17837" s="3336"/>
      <c r="P17837" s="3337"/>
    </row>
    <row r="17838" spans="7:16" s="1634" customFormat="1">
      <c r="G17838" s="3336"/>
      <c r="P17838" s="3337"/>
    </row>
    <row r="17839" spans="7:16" s="1634" customFormat="1">
      <c r="G17839" s="3336"/>
      <c r="P17839" s="3337"/>
    </row>
    <row r="17840" spans="7:16" s="1634" customFormat="1">
      <c r="G17840" s="3336"/>
      <c r="P17840" s="3337"/>
    </row>
    <row r="17841" spans="7:16" s="1634" customFormat="1">
      <c r="G17841" s="3336"/>
      <c r="P17841" s="3337"/>
    </row>
    <row r="17842" spans="7:16" s="1634" customFormat="1">
      <c r="G17842" s="3336"/>
      <c r="P17842" s="3337"/>
    </row>
    <row r="17843" spans="7:16" s="1634" customFormat="1">
      <c r="G17843" s="3336"/>
      <c r="P17843" s="3337"/>
    </row>
    <row r="17844" spans="7:16" s="1634" customFormat="1">
      <c r="G17844" s="3336"/>
      <c r="P17844" s="3337"/>
    </row>
    <row r="17845" spans="7:16" s="1634" customFormat="1">
      <c r="G17845" s="3336"/>
      <c r="P17845" s="3337"/>
    </row>
    <row r="17846" spans="7:16" s="1634" customFormat="1">
      <c r="G17846" s="3336"/>
      <c r="P17846" s="3337"/>
    </row>
    <row r="17847" spans="7:16" s="1634" customFormat="1">
      <c r="G17847" s="3336"/>
      <c r="P17847" s="3337"/>
    </row>
    <row r="17848" spans="7:16" s="1634" customFormat="1">
      <c r="G17848" s="3336"/>
      <c r="P17848" s="3337"/>
    </row>
    <row r="17849" spans="7:16" s="1634" customFormat="1">
      <c r="G17849" s="3336"/>
      <c r="P17849" s="3337"/>
    </row>
    <row r="17850" spans="7:16" s="1634" customFormat="1">
      <c r="G17850" s="3336"/>
      <c r="P17850" s="3337"/>
    </row>
    <row r="17851" spans="7:16" s="1634" customFormat="1">
      <c r="G17851" s="3336"/>
      <c r="P17851" s="3337"/>
    </row>
    <row r="17852" spans="7:16" s="1634" customFormat="1">
      <c r="G17852" s="3336"/>
      <c r="P17852" s="3337"/>
    </row>
    <row r="17853" spans="7:16" s="1634" customFormat="1">
      <c r="G17853" s="3336"/>
      <c r="P17853" s="3337"/>
    </row>
    <row r="17854" spans="7:16" s="1634" customFormat="1">
      <c r="G17854" s="3336"/>
      <c r="P17854" s="3337"/>
    </row>
    <row r="17855" spans="7:16" s="1634" customFormat="1">
      <c r="G17855" s="3336"/>
      <c r="P17855" s="3337"/>
    </row>
    <row r="17856" spans="7:16" s="1634" customFormat="1">
      <c r="G17856" s="3336"/>
      <c r="P17856" s="3337"/>
    </row>
    <row r="17857" spans="7:16" s="1634" customFormat="1">
      <c r="G17857" s="3336"/>
      <c r="P17857" s="3337"/>
    </row>
    <row r="17858" spans="7:16" s="1634" customFormat="1">
      <c r="G17858" s="3336"/>
      <c r="P17858" s="3337"/>
    </row>
    <row r="17859" spans="7:16" s="1634" customFormat="1">
      <c r="G17859" s="3336"/>
      <c r="P17859" s="3337"/>
    </row>
    <row r="17860" spans="7:16" s="1634" customFormat="1">
      <c r="G17860" s="3336"/>
      <c r="P17860" s="3337"/>
    </row>
    <row r="17861" spans="7:16" s="1634" customFormat="1">
      <c r="G17861" s="3336"/>
      <c r="P17861" s="3337"/>
    </row>
    <row r="17862" spans="7:16" s="1634" customFormat="1">
      <c r="G17862" s="3336"/>
      <c r="P17862" s="3337"/>
    </row>
    <row r="17863" spans="7:16" s="1634" customFormat="1">
      <c r="G17863" s="3336"/>
      <c r="P17863" s="3337"/>
    </row>
    <row r="17864" spans="7:16" s="1634" customFormat="1">
      <c r="G17864" s="3336"/>
      <c r="P17864" s="3337"/>
    </row>
    <row r="17865" spans="7:16" s="1634" customFormat="1">
      <c r="G17865" s="3336"/>
      <c r="P17865" s="3337"/>
    </row>
    <row r="17866" spans="7:16" s="1634" customFormat="1">
      <c r="G17866" s="3336"/>
      <c r="P17866" s="3337"/>
    </row>
    <row r="17867" spans="7:16" s="1634" customFormat="1">
      <c r="G17867" s="3336"/>
      <c r="P17867" s="3337"/>
    </row>
    <row r="17868" spans="7:16" s="1634" customFormat="1">
      <c r="G17868" s="3336"/>
      <c r="P17868" s="3337"/>
    </row>
    <row r="17869" spans="7:16" s="1634" customFormat="1">
      <c r="G17869" s="3336"/>
      <c r="P17869" s="3337"/>
    </row>
    <row r="17870" spans="7:16" s="1634" customFormat="1">
      <c r="G17870" s="3336"/>
      <c r="P17870" s="3337"/>
    </row>
    <row r="17871" spans="7:16" s="1634" customFormat="1">
      <c r="G17871" s="3336"/>
      <c r="P17871" s="3337"/>
    </row>
    <row r="17872" spans="7:16" s="1634" customFormat="1">
      <c r="G17872" s="3336"/>
      <c r="P17872" s="3337"/>
    </row>
    <row r="17873" spans="7:16" s="1634" customFormat="1">
      <c r="G17873" s="3336"/>
      <c r="P17873" s="3337"/>
    </row>
    <row r="17874" spans="7:16" s="1634" customFormat="1">
      <c r="G17874" s="3336"/>
      <c r="P17874" s="3337"/>
    </row>
    <row r="17875" spans="7:16" s="1634" customFormat="1">
      <c r="G17875" s="3336"/>
      <c r="P17875" s="3337"/>
    </row>
    <row r="17876" spans="7:16" s="1634" customFormat="1">
      <c r="G17876" s="3336"/>
      <c r="P17876" s="3337"/>
    </row>
    <row r="17877" spans="7:16" s="1634" customFormat="1">
      <c r="G17877" s="3336"/>
      <c r="P17877" s="3337"/>
    </row>
    <row r="17878" spans="7:16" s="1634" customFormat="1">
      <c r="G17878" s="3336"/>
      <c r="P17878" s="3337"/>
    </row>
    <row r="17879" spans="7:16" s="1634" customFormat="1">
      <c r="G17879" s="3336"/>
      <c r="P17879" s="3337"/>
    </row>
    <row r="17880" spans="7:16" s="1634" customFormat="1">
      <c r="G17880" s="3336"/>
      <c r="P17880" s="3337"/>
    </row>
    <row r="17881" spans="7:16" s="1634" customFormat="1">
      <c r="G17881" s="3336"/>
      <c r="P17881" s="3337"/>
    </row>
    <row r="17882" spans="7:16" s="1634" customFormat="1">
      <c r="G17882" s="3336"/>
      <c r="P17882" s="3337"/>
    </row>
    <row r="17883" spans="7:16" s="1634" customFormat="1">
      <c r="G17883" s="3336"/>
      <c r="P17883" s="3337"/>
    </row>
    <row r="17884" spans="7:16" s="1634" customFormat="1">
      <c r="G17884" s="3336"/>
      <c r="P17884" s="3337"/>
    </row>
    <row r="17885" spans="7:16" s="1634" customFormat="1">
      <c r="G17885" s="3336"/>
      <c r="P17885" s="3337"/>
    </row>
    <row r="17886" spans="7:16" s="1634" customFormat="1">
      <c r="G17886" s="3336"/>
      <c r="P17886" s="3337"/>
    </row>
    <row r="17887" spans="7:16" s="1634" customFormat="1">
      <c r="G17887" s="3336"/>
      <c r="P17887" s="3337"/>
    </row>
    <row r="17888" spans="7:16" s="1634" customFormat="1">
      <c r="G17888" s="3336"/>
      <c r="P17888" s="3337"/>
    </row>
    <row r="17889" spans="7:16" s="1634" customFormat="1">
      <c r="G17889" s="3336"/>
      <c r="P17889" s="3337"/>
    </row>
    <row r="17890" spans="7:16" s="1634" customFormat="1">
      <c r="G17890" s="3336"/>
      <c r="P17890" s="3337"/>
    </row>
    <row r="17891" spans="7:16" s="1634" customFormat="1">
      <c r="G17891" s="3336"/>
      <c r="P17891" s="3337"/>
    </row>
    <row r="17892" spans="7:16" s="1634" customFormat="1">
      <c r="G17892" s="3336"/>
      <c r="P17892" s="3337"/>
    </row>
    <row r="17893" spans="7:16" s="1634" customFormat="1">
      <c r="G17893" s="3336"/>
      <c r="P17893" s="3337"/>
    </row>
    <row r="17894" spans="7:16" s="1634" customFormat="1">
      <c r="G17894" s="3336"/>
      <c r="P17894" s="3337"/>
    </row>
    <row r="17895" spans="7:16" s="1634" customFormat="1">
      <c r="G17895" s="3336"/>
      <c r="P17895" s="3337"/>
    </row>
    <row r="17896" spans="7:16" s="1634" customFormat="1">
      <c r="G17896" s="3336"/>
      <c r="P17896" s="3337"/>
    </row>
    <row r="17897" spans="7:16" s="1634" customFormat="1">
      <c r="G17897" s="3336"/>
      <c r="P17897" s="3337"/>
    </row>
    <row r="17898" spans="7:16" s="1634" customFormat="1">
      <c r="G17898" s="3336"/>
      <c r="P17898" s="3337"/>
    </row>
    <row r="17899" spans="7:16" s="1634" customFormat="1">
      <c r="G17899" s="3336"/>
      <c r="P17899" s="3337"/>
    </row>
    <row r="17900" spans="7:16" s="1634" customFormat="1">
      <c r="G17900" s="3336"/>
      <c r="P17900" s="3337"/>
    </row>
    <row r="17901" spans="7:16" s="1634" customFormat="1">
      <c r="G17901" s="3336"/>
      <c r="P17901" s="3337"/>
    </row>
    <row r="17902" spans="7:16" s="1634" customFormat="1">
      <c r="G17902" s="3336"/>
      <c r="P17902" s="3337"/>
    </row>
    <row r="17903" spans="7:16" s="1634" customFormat="1">
      <c r="G17903" s="3336"/>
      <c r="P17903" s="3337"/>
    </row>
    <row r="17904" spans="7:16" s="1634" customFormat="1">
      <c r="G17904" s="3336"/>
      <c r="P17904" s="3337"/>
    </row>
    <row r="17905" spans="7:16" s="1634" customFormat="1">
      <c r="G17905" s="3336"/>
      <c r="P17905" s="3337"/>
    </row>
    <row r="17906" spans="7:16" s="1634" customFormat="1">
      <c r="G17906" s="3336"/>
      <c r="P17906" s="3337"/>
    </row>
    <row r="17907" spans="7:16" s="1634" customFormat="1">
      <c r="G17907" s="3336"/>
      <c r="P17907" s="3337"/>
    </row>
    <row r="17908" spans="7:16" s="1634" customFormat="1">
      <c r="G17908" s="3336"/>
      <c r="P17908" s="3337"/>
    </row>
    <row r="17909" spans="7:16" s="1634" customFormat="1">
      <c r="G17909" s="3336"/>
      <c r="P17909" s="3337"/>
    </row>
    <row r="17910" spans="7:16" s="1634" customFormat="1">
      <c r="G17910" s="3336"/>
      <c r="P17910" s="3337"/>
    </row>
    <row r="17911" spans="7:16" s="1634" customFormat="1">
      <c r="G17911" s="3336"/>
      <c r="P17911" s="3337"/>
    </row>
    <row r="17912" spans="7:16" s="1634" customFormat="1">
      <c r="G17912" s="3336"/>
      <c r="P17912" s="3337"/>
    </row>
    <row r="17913" spans="7:16" s="1634" customFormat="1">
      <c r="G17913" s="3336"/>
      <c r="P17913" s="3337"/>
    </row>
    <row r="17914" spans="7:16" s="1634" customFormat="1">
      <c r="G17914" s="3336"/>
      <c r="P17914" s="3337"/>
    </row>
    <row r="17915" spans="7:16" s="1634" customFormat="1">
      <c r="G17915" s="3336"/>
      <c r="P17915" s="3337"/>
    </row>
    <row r="17916" spans="7:16" s="1634" customFormat="1">
      <c r="G17916" s="3336"/>
      <c r="P17916" s="3337"/>
    </row>
    <row r="17917" spans="7:16" s="1634" customFormat="1">
      <c r="G17917" s="3336"/>
      <c r="P17917" s="3337"/>
    </row>
    <row r="17918" spans="7:16" s="1634" customFormat="1">
      <c r="G17918" s="3336"/>
      <c r="P17918" s="3337"/>
    </row>
    <row r="17919" spans="7:16" s="1634" customFormat="1">
      <c r="G17919" s="3336"/>
      <c r="P17919" s="3337"/>
    </row>
    <row r="17920" spans="7:16" s="1634" customFormat="1">
      <c r="G17920" s="3336"/>
      <c r="P17920" s="3337"/>
    </row>
    <row r="17921" spans="7:16" s="1634" customFormat="1">
      <c r="G17921" s="3336"/>
      <c r="P17921" s="3337"/>
    </row>
    <row r="17922" spans="7:16" s="1634" customFormat="1">
      <c r="G17922" s="3336"/>
      <c r="P17922" s="3337"/>
    </row>
    <row r="17923" spans="7:16" s="1634" customFormat="1">
      <c r="G17923" s="3336"/>
      <c r="P17923" s="3337"/>
    </row>
    <row r="17924" spans="7:16" s="1634" customFormat="1">
      <c r="G17924" s="3336"/>
      <c r="P17924" s="3337"/>
    </row>
    <row r="17925" spans="7:16" s="1634" customFormat="1">
      <c r="G17925" s="3336"/>
      <c r="P17925" s="3337"/>
    </row>
    <row r="17926" spans="7:16" s="1634" customFormat="1">
      <c r="G17926" s="3336"/>
      <c r="P17926" s="3337"/>
    </row>
    <row r="17927" spans="7:16" s="1634" customFormat="1">
      <c r="G17927" s="3336"/>
      <c r="P17927" s="3337"/>
    </row>
    <row r="17928" spans="7:16" s="1634" customFormat="1">
      <c r="G17928" s="3336"/>
      <c r="P17928" s="3337"/>
    </row>
    <row r="17929" spans="7:16" s="1634" customFormat="1">
      <c r="G17929" s="3336"/>
      <c r="P17929" s="3337"/>
    </row>
    <row r="17930" spans="7:16" s="1634" customFormat="1">
      <c r="G17930" s="3336"/>
      <c r="P17930" s="3337"/>
    </row>
    <row r="17931" spans="7:16" s="1634" customFormat="1">
      <c r="G17931" s="3336"/>
      <c r="P17931" s="3337"/>
    </row>
    <row r="17932" spans="7:16" s="1634" customFormat="1">
      <c r="G17932" s="3336"/>
      <c r="P17932" s="3337"/>
    </row>
    <row r="17933" spans="7:16" s="1634" customFormat="1">
      <c r="G17933" s="3336"/>
      <c r="P17933" s="3337"/>
    </row>
    <row r="17934" spans="7:16" s="1634" customFormat="1">
      <c r="G17934" s="3336"/>
      <c r="P17934" s="3337"/>
    </row>
    <row r="17935" spans="7:16" s="1634" customFormat="1">
      <c r="G17935" s="3336"/>
      <c r="P17935" s="3337"/>
    </row>
    <row r="17936" spans="7:16" s="1634" customFormat="1">
      <c r="G17936" s="3336"/>
      <c r="P17936" s="3337"/>
    </row>
    <row r="17937" spans="7:16" s="1634" customFormat="1">
      <c r="G17937" s="3336"/>
      <c r="P17937" s="3337"/>
    </row>
    <row r="17938" spans="7:16" s="1634" customFormat="1">
      <c r="G17938" s="3336"/>
      <c r="P17938" s="3337"/>
    </row>
    <row r="17939" spans="7:16" s="1634" customFormat="1">
      <c r="G17939" s="3336"/>
      <c r="P17939" s="3337"/>
    </row>
    <row r="17940" spans="7:16" s="1634" customFormat="1">
      <c r="G17940" s="3336"/>
      <c r="P17940" s="3337"/>
    </row>
    <row r="17941" spans="7:16" s="1634" customFormat="1">
      <c r="G17941" s="3336"/>
      <c r="P17941" s="3337"/>
    </row>
    <row r="17942" spans="7:16" s="1634" customFormat="1">
      <c r="G17942" s="3336"/>
      <c r="P17942" s="3337"/>
    </row>
    <row r="17943" spans="7:16" s="1634" customFormat="1">
      <c r="G17943" s="3336"/>
      <c r="P17943" s="3337"/>
    </row>
    <row r="17944" spans="7:16" s="1634" customFormat="1">
      <c r="G17944" s="3336"/>
      <c r="P17944" s="3337"/>
    </row>
    <row r="17945" spans="7:16" s="1634" customFormat="1">
      <c r="G17945" s="3336"/>
      <c r="P17945" s="3337"/>
    </row>
    <row r="17946" spans="7:16" s="1634" customFormat="1">
      <c r="G17946" s="3336"/>
      <c r="P17946" s="3337"/>
    </row>
    <row r="17947" spans="7:16" s="1634" customFormat="1">
      <c r="G17947" s="3336"/>
      <c r="P17947" s="3337"/>
    </row>
    <row r="17948" spans="7:16" s="1634" customFormat="1">
      <c r="G17948" s="3336"/>
      <c r="P17948" s="3337"/>
    </row>
    <row r="17949" spans="7:16" s="1634" customFormat="1">
      <c r="G17949" s="3336"/>
      <c r="P17949" s="3337"/>
    </row>
    <row r="17950" spans="7:16" s="1634" customFormat="1">
      <c r="G17950" s="3336"/>
      <c r="P17950" s="3337"/>
    </row>
    <row r="17951" spans="7:16" s="1634" customFormat="1">
      <c r="G17951" s="3336"/>
      <c r="P17951" s="3337"/>
    </row>
    <row r="17952" spans="7:16" s="1634" customFormat="1">
      <c r="G17952" s="3336"/>
      <c r="P17952" s="3337"/>
    </row>
    <row r="17953" spans="7:16" s="1634" customFormat="1">
      <c r="G17953" s="3336"/>
      <c r="P17953" s="3337"/>
    </row>
    <row r="17954" spans="7:16" s="1634" customFormat="1">
      <c r="G17954" s="3336"/>
      <c r="P17954" s="3337"/>
    </row>
    <row r="17955" spans="7:16" s="1634" customFormat="1">
      <c r="G17955" s="3336"/>
      <c r="P17955" s="3337"/>
    </row>
    <row r="17956" spans="7:16" s="1634" customFormat="1">
      <c r="G17956" s="3336"/>
      <c r="P17956" s="3337"/>
    </row>
    <row r="17957" spans="7:16" s="1634" customFormat="1">
      <c r="G17957" s="3336"/>
      <c r="P17957" s="3337"/>
    </row>
    <row r="17958" spans="7:16" s="1634" customFormat="1">
      <c r="G17958" s="3336"/>
      <c r="P17958" s="3337"/>
    </row>
    <row r="17959" spans="7:16" s="1634" customFormat="1">
      <c r="G17959" s="3336"/>
      <c r="P17959" s="3337"/>
    </row>
    <row r="17960" spans="7:16" s="1634" customFormat="1">
      <c r="G17960" s="3336"/>
      <c r="P17960" s="3337"/>
    </row>
    <row r="17961" spans="7:16" s="1634" customFormat="1">
      <c r="G17961" s="3336"/>
      <c r="P17961" s="3337"/>
    </row>
    <row r="17962" spans="7:16" s="1634" customFormat="1">
      <c r="G17962" s="3336"/>
      <c r="P17962" s="3337"/>
    </row>
    <row r="17963" spans="7:16" s="1634" customFormat="1">
      <c r="G17963" s="3336"/>
      <c r="P17963" s="3337"/>
    </row>
    <row r="17964" spans="7:16" s="1634" customFormat="1">
      <c r="G17964" s="3336"/>
      <c r="P17964" s="3337"/>
    </row>
    <row r="17965" spans="7:16" s="1634" customFormat="1">
      <c r="G17965" s="3336"/>
      <c r="P17965" s="3337"/>
    </row>
    <row r="17966" spans="7:16" s="1634" customFormat="1">
      <c r="G17966" s="3336"/>
      <c r="P17966" s="3337"/>
    </row>
    <row r="17967" spans="7:16" s="1634" customFormat="1">
      <c r="G17967" s="3336"/>
      <c r="P17967" s="3337"/>
    </row>
    <row r="17968" spans="7:16" s="1634" customFormat="1">
      <c r="G17968" s="3336"/>
      <c r="P17968" s="3337"/>
    </row>
    <row r="17969" spans="7:16" s="1634" customFormat="1">
      <c r="G17969" s="3336"/>
      <c r="P17969" s="3337"/>
    </row>
    <row r="17970" spans="7:16" s="1634" customFormat="1">
      <c r="G17970" s="3336"/>
      <c r="P17970" s="3337"/>
    </row>
    <row r="17971" spans="7:16" s="1634" customFormat="1">
      <c r="G17971" s="3336"/>
      <c r="P17971" s="3337"/>
    </row>
    <row r="17972" spans="7:16" s="1634" customFormat="1">
      <c r="G17972" s="3336"/>
      <c r="P17972" s="3337"/>
    </row>
    <row r="17973" spans="7:16" s="1634" customFormat="1">
      <c r="G17973" s="3336"/>
      <c r="P17973" s="3337"/>
    </row>
    <row r="17974" spans="7:16" s="1634" customFormat="1">
      <c r="G17974" s="3336"/>
      <c r="P17974" s="3337"/>
    </row>
    <row r="17975" spans="7:16" s="1634" customFormat="1">
      <c r="G17975" s="3336"/>
      <c r="P17975" s="3337"/>
    </row>
    <row r="17976" spans="7:16" s="1634" customFormat="1">
      <c r="G17976" s="3336"/>
      <c r="P17976" s="3337"/>
    </row>
    <row r="17977" spans="7:16" s="1634" customFormat="1">
      <c r="G17977" s="3336"/>
      <c r="P17977" s="3337"/>
    </row>
    <row r="17978" spans="7:16" s="1634" customFormat="1">
      <c r="G17978" s="3336"/>
      <c r="P17978" s="3337"/>
    </row>
    <row r="17979" spans="7:16" s="1634" customFormat="1">
      <c r="G17979" s="3336"/>
      <c r="P17979" s="3337"/>
    </row>
    <row r="17980" spans="7:16" s="1634" customFormat="1">
      <c r="G17980" s="3336"/>
      <c r="P17980" s="3337"/>
    </row>
    <row r="17981" spans="7:16" s="1634" customFormat="1">
      <c r="G17981" s="3336"/>
      <c r="P17981" s="3337"/>
    </row>
    <row r="17982" spans="7:16" s="1634" customFormat="1">
      <c r="G17982" s="3336"/>
      <c r="P17982" s="3337"/>
    </row>
    <row r="17983" spans="7:16" s="1634" customFormat="1">
      <c r="G17983" s="3336"/>
      <c r="P17983" s="3337"/>
    </row>
    <row r="17984" spans="7:16" s="1634" customFormat="1">
      <c r="G17984" s="3336"/>
      <c r="P17984" s="3337"/>
    </row>
    <row r="17985" spans="7:16" s="1634" customFormat="1">
      <c r="G17985" s="3336"/>
      <c r="P17985" s="3337"/>
    </row>
    <row r="17986" spans="7:16" s="1634" customFormat="1">
      <c r="G17986" s="3336"/>
      <c r="P17986" s="3337"/>
    </row>
    <row r="17987" spans="7:16" s="1634" customFormat="1">
      <c r="G17987" s="3336"/>
      <c r="P17987" s="3337"/>
    </row>
    <row r="17988" spans="7:16" s="1634" customFormat="1">
      <c r="G17988" s="3336"/>
      <c r="P17988" s="3337"/>
    </row>
    <row r="17989" spans="7:16" s="1634" customFormat="1">
      <c r="G17989" s="3336"/>
      <c r="P17989" s="3337"/>
    </row>
    <row r="17990" spans="7:16" s="1634" customFormat="1">
      <c r="G17990" s="3336"/>
      <c r="P17990" s="3337"/>
    </row>
    <row r="17991" spans="7:16" s="1634" customFormat="1">
      <c r="G17991" s="3336"/>
      <c r="P17991" s="3337"/>
    </row>
    <row r="17992" spans="7:16" s="1634" customFormat="1">
      <c r="G17992" s="3336"/>
      <c r="P17992" s="3337"/>
    </row>
    <row r="17993" spans="7:16" s="1634" customFormat="1">
      <c r="G17993" s="3336"/>
      <c r="P17993" s="3337"/>
    </row>
    <row r="17994" spans="7:16" s="1634" customFormat="1">
      <c r="G17994" s="3336"/>
      <c r="P17994" s="3337"/>
    </row>
    <row r="17995" spans="7:16" s="1634" customFormat="1">
      <c r="G17995" s="3336"/>
      <c r="P17995" s="3337"/>
    </row>
    <row r="17996" spans="7:16" s="1634" customFormat="1">
      <c r="G17996" s="3336"/>
      <c r="P17996" s="3337"/>
    </row>
    <row r="17997" spans="7:16" s="1634" customFormat="1">
      <c r="G17997" s="3336"/>
      <c r="P17997" s="3337"/>
    </row>
    <row r="17998" spans="7:16" s="1634" customFormat="1">
      <c r="G17998" s="3336"/>
      <c r="P17998" s="3337"/>
    </row>
    <row r="17999" spans="7:16" s="1634" customFormat="1">
      <c r="G17999" s="3336"/>
      <c r="P17999" s="3337"/>
    </row>
    <row r="18000" spans="7:16" s="1634" customFormat="1">
      <c r="G18000" s="3336"/>
      <c r="P18000" s="3337"/>
    </row>
    <row r="18001" spans="7:16" s="1634" customFormat="1">
      <c r="G18001" s="3336"/>
      <c r="P18001" s="3337"/>
    </row>
    <row r="18002" spans="7:16" s="1634" customFormat="1">
      <c r="G18002" s="3336"/>
      <c r="P18002" s="3337"/>
    </row>
    <row r="18003" spans="7:16" s="1634" customFormat="1">
      <c r="G18003" s="3336"/>
      <c r="P18003" s="3337"/>
    </row>
    <row r="18004" spans="7:16" s="1634" customFormat="1">
      <c r="G18004" s="3336"/>
      <c r="P18004" s="3337"/>
    </row>
    <row r="18005" spans="7:16" s="1634" customFormat="1">
      <c r="G18005" s="3336"/>
      <c r="P18005" s="3337"/>
    </row>
    <row r="18006" spans="7:16" s="1634" customFormat="1">
      <c r="G18006" s="3336"/>
      <c r="P18006" s="3337"/>
    </row>
    <row r="18007" spans="7:16" s="1634" customFormat="1">
      <c r="G18007" s="3336"/>
      <c r="P18007" s="3337"/>
    </row>
    <row r="18008" spans="7:16" s="1634" customFormat="1">
      <c r="G18008" s="3336"/>
      <c r="P18008" s="3337"/>
    </row>
    <row r="18009" spans="7:16" s="1634" customFormat="1">
      <c r="G18009" s="3336"/>
      <c r="P18009" s="3337"/>
    </row>
    <row r="18010" spans="7:16" s="1634" customFormat="1">
      <c r="G18010" s="3336"/>
      <c r="P18010" s="3337"/>
    </row>
    <row r="18011" spans="7:16" s="1634" customFormat="1">
      <c r="G18011" s="3336"/>
      <c r="P18011" s="3337"/>
    </row>
    <row r="18012" spans="7:16" s="1634" customFormat="1">
      <c r="G18012" s="3336"/>
      <c r="P18012" s="3337"/>
    </row>
    <row r="18013" spans="7:16" s="1634" customFormat="1">
      <c r="G18013" s="3336"/>
      <c r="P18013" s="3337"/>
    </row>
    <row r="18014" spans="7:16" s="1634" customFormat="1">
      <c r="G18014" s="3336"/>
      <c r="P18014" s="3337"/>
    </row>
    <row r="18015" spans="7:16" s="1634" customFormat="1">
      <c r="G18015" s="3336"/>
      <c r="P18015" s="3337"/>
    </row>
    <row r="18016" spans="7:16" s="1634" customFormat="1">
      <c r="G18016" s="3336"/>
      <c r="P18016" s="3337"/>
    </row>
    <row r="18017" spans="7:16" s="1634" customFormat="1">
      <c r="G18017" s="3336"/>
      <c r="P18017" s="3337"/>
    </row>
    <row r="18018" spans="7:16" s="1634" customFormat="1">
      <c r="G18018" s="3336"/>
      <c r="P18018" s="3337"/>
    </row>
    <row r="18019" spans="7:16" s="1634" customFormat="1">
      <c r="G18019" s="3336"/>
      <c r="P18019" s="3337"/>
    </row>
    <row r="18020" spans="7:16" s="1634" customFormat="1">
      <c r="G18020" s="3336"/>
      <c r="P18020" s="3337"/>
    </row>
    <row r="18021" spans="7:16" s="1634" customFormat="1">
      <c r="G18021" s="3336"/>
      <c r="P18021" s="3337"/>
    </row>
    <row r="18022" spans="7:16" s="1634" customFormat="1">
      <c r="G18022" s="3336"/>
      <c r="P18022" s="3337"/>
    </row>
    <row r="18023" spans="7:16" s="1634" customFormat="1">
      <c r="G18023" s="3336"/>
      <c r="P18023" s="3337"/>
    </row>
    <row r="18024" spans="7:16" s="1634" customFormat="1">
      <c r="G18024" s="3336"/>
      <c r="P18024" s="3337"/>
    </row>
    <row r="18025" spans="7:16" s="1634" customFormat="1">
      <c r="G18025" s="3336"/>
      <c r="P18025" s="3337"/>
    </row>
    <row r="18026" spans="7:16" s="1634" customFormat="1">
      <c r="G18026" s="3336"/>
      <c r="P18026" s="3337"/>
    </row>
    <row r="18027" spans="7:16" s="1634" customFormat="1">
      <c r="G18027" s="3336"/>
      <c r="P18027" s="3337"/>
    </row>
    <row r="18028" spans="7:16" s="1634" customFormat="1">
      <c r="G18028" s="3336"/>
      <c r="P18028" s="3337"/>
    </row>
    <row r="18029" spans="7:16" s="1634" customFormat="1">
      <c r="G18029" s="3336"/>
      <c r="P18029" s="3337"/>
    </row>
    <row r="18030" spans="7:16" s="1634" customFormat="1">
      <c r="G18030" s="3336"/>
      <c r="P18030" s="3337"/>
    </row>
    <row r="18031" spans="7:16" s="1634" customFormat="1">
      <c r="G18031" s="3336"/>
      <c r="P18031" s="3337"/>
    </row>
    <row r="18032" spans="7:16" s="1634" customFormat="1">
      <c r="G18032" s="3336"/>
      <c r="P18032" s="3337"/>
    </row>
    <row r="18033" spans="7:16" s="1634" customFormat="1">
      <c r="G18033" s="3336"/>
      <c r="P18033" s="3337"/>
    </row>
    <row r="18034" spans="7:16" s="1634" customFormat="1">
      <c r="G18034" s="3336"/>
      <c r="P18034" s="3337"/>
    </row>
    <row r="18035" spans="7:16" s="1634" customFormat="1">
      <c r="G18035" s="3336"/>
      <c r="P18035" s="3337"/>
    </row>
    <row r="18036" spans="7:16" s="1634" customFormat="1">
      <c r="G18036" s="3336"/>
      <c r="P18036" s="3337"/>
    </row>
    <row r="18037" spans="7:16" s="1634" customFormat="1">
      <c r="G18037" s="3336"/>
      <c r="P18037" s="3337"/>
    </row>
    <row r="18038" spans="7:16" s="1634" customFormat="1">
      <c r="G18038" s="3336"/>
      <c r="P18038" s="3337"/>
    </row>
    <row r="18039" spans="7:16" s="1634" customFormat="1">
      <c r="G18039" s="3336"/>
      <c r="P18039" s="3337"/>
    </row>
    <row r="18040" spans="7:16" s="1634" customFormat="1">
      <c r="G18040" s="3336"/>
      <c r="P18040" s="3337"/>
    </row>
    <row r="18041" spans="7:16" s="1634" customFormat="1">
      <c r="G18041" s="3336"/>
      <c r="P18041" s="3337"/>
    </row>
    <row r="18042" spans="7:16" s="1634" customFormat="1">
      <c r="G18042" s="3336"/>
      <c r="P18042" s="3337"/>
    </row>
    <row r="18043" spans="7:16" s="1634" customFormat="1">
      <c r="G18043" s="3336"/>
      <c r="P18043" s="3337"/>
    </row>
    <row r="18044" spans="7:16" s="1634" customFormat="1">
      <c r="G18044" s="3336"/>
      <c r="P18044" s="3337"/>
    </row>
    <row r="18045" spans="7:16" s="1634" customFormat="1">
      <c r="G18045" s="3336"/>
      <c r="P18045" s="3337"/>
    </row>
    <row r="18046" spans="7:16" s="1634" customFormat="1">
      <c r="G18046" s="3336"/>
      <c r="P18046" s="3337"/>
    </row>
    <row r="18047" spans="7:16" s="1634" customFormat="1">
      <c r="G18047" s="3336"/>
      <c r="P18047" s="3337"/>
    </row>
    <row r="18048" spans="7:16" s="1634" customFormat="1">
      <c r="G18048" s="3336"/>
      <c r="P18048" s="3337"/>
    </row>
    <row r="18049" spans="7:16" s="1634" customFormat="1">
      <c r="G18049" s="3336"/>
      <c r="P18049" s="3337"/>
    </row>
    <row r="18050" spans="7:16" s="1634" customFormat="1">
      <c r="G18050" s="3336"/>
      <c r="P18050" s="3337"/>
    </row>
    <row r="18051" spans="7:16" s="1634" customFormat="1">
      <c r="G18051" s="3336"/>
      <c r="P18051" s="3337"/>
    </row>
    <row r="18052" spans="7:16" s="1634" customFormat="1">
      <c r="G18052" s="3336"/>
      <c r="P18052" s="3337"/>
    </row>
    <row r="18053" spans="7:16" s="1634" customFormat="1">
      <c r="G18053" s="3336"/>
      <c r="P18053" s="3337"/>
    </row>
    <row r="18054" spans="7:16" s="1634" customFormat="1">
      <c r="G18054" s="3336"/>
      <c r="P18054" s="3337"/>
    </row>
    <row r="18055" spans="7:16" s="1634" customFormat="1">
      <c r="G18055" s="3336"/>
      <c r="P18055" s="3337"/>
    </row>
    <row r="18056" spans="7:16" s="1634" customFormat="1">
      <c r="G18056" s="3336"/>
      <c r="P18056" s="3337"/>
    </row>
    <row r="18057" spans="7:16" s="1634" customFormat="1">
      <c r="G18057" s="3336"/>
      <c r="P18057" s="3337"/>
    </row>
    <row r="18058" spans="7:16" s="1634" customFormat="1">
      <c r="G18058" s="3336"/>
      <c r="P18058" s="3337"/>
    </row>
    <row r="18059" spans="7:16" s="1634" customFormat="1">
      <c r="G18059" s="3336"/>
      <c r="P18059" s="3337"/>
    </row>
    <row r="18060" spans="7:16" s="1634" customFormat="1">
      <c r="G18060" s="3336"/>
      <c r="P18060" s="3337"/>
    </row>
    <row r="18061" spans="7:16" s="1634" customFormat="1">
      <c r="G18061" s="3336"/>
      <c r="P18061" s="3337"/>
    </row>
    <row r="18062" spans="7:16" s="1634" customFormat="1">
      <c r="G18062" s="3336"/>
      <c r="P18062" s="3337"/>
    </row>
    <row r="18063" spans="7:16" s="1634" customFormat="1">
      <c r="G18063" s="3336"/>
      <c r="P18063" s="3337"/>
    </row>
    <row r="18064" spans="7:16" s="1634" customFormat="1">
      <c r="G18064" s="3336"/>
      <c r="P18064" s="3337"/>
    </row>
    <row r="18065" spans="7:16" s="1634" customFormat="1">
      <c r="G18065" s="3336"/>
      <c r="P18065" s="3337"/>
    </row>
    <row r="18066" spans="7:16" s="1634" customFormat="1">
      <c r="G18066" s="3336"/>
      <c r="P18066" s="3337"/>
    </row>
    <row r="18067" spans="7:16" s="1634" customFormat="1">
      <c r="G18067" s="3336"/>
      <c r="P18067" s="3337"/>
    </row>
    <row r="18068" spans="7:16" s="1634" customFormat="1">
      <c r="G18068" s="3336"/>
      <c r="P18068" s="3337"/>
    </row>
    <row r="18069" spans="7:16" s="1634" customFormat="1">
      <c r="G18069" s="3336"/>
      <c r="P18069" s="3337"/>
    </row>
    <row r="18070" spans="7:16" s="1634" customFormat="1">
      <c r="G18070" s="3336"/>
      <c r="P18070" s="3337"/>
    </row>
    <row r="18071" spans="7:16" s="1634" customFormat="1">
      <c r="G18071" s="3336"/>
      <c r="P18071" s="3337"/>
    </row>
    <row r="18072" spans="7:16" s="1634" customFormat="1">
      <c r="G18072" s="3336"/>
      <c r="P18072" s="3337"/>
    </row>
    <row r="18073" spans="7:16" s="1634" customFormat="1">
      <c r="G18073" s="3336"/>
      <c r="P18073" s="3337"/>
    </row>
    <row r="18074" spans="7:16" s="1634" customFormat="1">
      <c r="G18074" s="3336"/>
      <c r="P18074" s="3337"/>
    </row>
    <row r="18075" spans="7:16" s="1634" customFormat="1">
      <c r="G18075" s="3336"/>
      <c r="P18075" s="3337"/>
    </row>
    <row r="18076" spans="7:16" s="1634" customFormat="1">
      <c r="G18076" s="3336"/>
      <c r="P18076" s="3337"/>
    </row>
    <row r="18077" spans="7:16" s="1634" customFormat="1">
      <c r="G18077" s="3336"/>
      <c r="P18077" s="3337"/>
    </row>
    <row r="18078" spans="7:16" s="1634" customFormat="1">
      <c r="G18078" s="3336"/>
      <c r="P18078" s="3337"/>
    </row>
    <row r="18079" spans="7:16" s="1634" customFormat="1">
      <c r="G18079" s="3336"/>
      <c r="P18079" s="3337"/>
    </row>
    <row r="18080" spans="7:16" s="1634" customFormat="1">
      <c r="G18080" s="3336"/>
      <c r="P18080" s="3337"/>
    </row>
    <row r="18081" spans="7:16" s="1634" customFormat="1">
      <c r="G18081" s="3336"/>
      <c r="P18081" s="3337"/>
    </row>
    <row r="18082" spans="7:16" s="1634" customFormat="1">
      <c r="G18082" s="3336"/>
      <c r="P18082" s="3337"/>
    </row>
    <row r="18083" spans="7:16" s="1634" customFormat="1">
      <c r="G18083" s="3336"/>
      <c r="P18083" s="3337"/>
    </row>
    <row r="18084" spans="7:16" s="1634" customFormat="1">
      <c r="G18084" s="3336"/>
      <c r="P18084" s="3337"/>
    </row>
    <row r="18085" spans="7:16" s="1634" customFormat="1">
      <c r="G18085" s="3336"/>
      <c r="P18085" s="3337"/>
    </row>
    <row r="18086" spans="7:16" s="1634" customFormat="1">
      <c r="G18086" s="3336"/>
      <c r="P18086" s="3337"/>
    </row>
    <row r="18087" spans="7:16" s="1634" customFormat="1">
      <c r="G18087" s="3336"/>
      <c r="P18087" s="3337"/>
    </row>
    <row r="18088" spans="7:16" s="1634" customFormat="1">
      <c r="G18088" s="3336"/>
      <c r="P18088" s="3337"/>
    </row>
    <row r="18089" spans="7:16" s="1634" customFormat="1">
      <c r="G18089" s="3336"/>
      <c r="P18089" s="3337"/>
    </row>
    <row r="18090" spans="7:16" s="1634" customFormat="1">
      <c r="G18090" s="3336"/>
      <c r="P18090" s="3337"/>
    </row>
    <row r="18091" spans="7:16" s="1634" customFormat="1">
      <c r="G18091" s="3336"/>
      <c r="P18091" s="3337"/>
    </row>
    <row r="18092" spans="7:16" s="1634" customFormat="1">
      <c r="G18092" s="3336"/>
      <c r="P18092" s="3337"/>
    </row>
    <row r="18093" spans="7:16" s="1634" customFormat="1">
      <c r="G18093" s="3336"/>
      <c r="P18093" s="3337"/>
    </row>
    <row r="18094" spans="7:16" s="1634" customFormat="1">
      <c r="G18094" s="3336"/>
      <c r="P18094" s="3337"/>
    </row>
    <row r="18095" spans="7:16" s="1634" customFormat="1">
      <c r="G18095" s="3336"/>
      <c r="P18095" s="3337"/>
    </row>
    <row r="18096" spans="7:16" s="1634" customFormat="1">
      <c r="G18096" s="3336"/>
      <c r="P18096" s="3337"/>
    </row>
    <row r="18097" spans="7:16" s="1634" customFormat="1">
      <c r="G18097" s="3336"/>
      <c r="P18097" s="3337"/>
    </row>
    <row r="18098" spans="7:16" s="1634" customFormat="1">
      <c r="G18098" s="3336"/>
      <c r="P18098" s="3337"/>
    </row>
    <row r="18099" spans="7:16" s="1634" customFormat="1">
      <c r="G18099" s="3336"/>
      <c r="P18099" s="3337"/>
    </row>
    <row r="18100" spans="7:16" s="1634" customFormat="1">
      <c r="G18100" s="3336"/>
      <c r="P18100" s="3337"/>
    </row>
    <row r="18101" spans="7:16" s="1634" customFormat="1">
      <c r="G18101" s="3336"/>
      <c r="P18101" s="3337"/>
    </row>
    <row r="18102" spans="7:16" s="1634" customFormat="1">
      <c r="G18102" s="3336"/>
      <c r="P18102" s="3337"/>
    </row>
    <row r="18103" spans="7:16" s="1634" customFormat="1">
      <c r="G18103" s="3336"/>
      <c r="P18103" s="3337"/>
    </row>
    <row r="18104" spans="7:16" s="1634" customFormat="1">
      <c r="G18104" s="3336"/>
      <c r="P18104" s="3337"/>
    </row>
    <row r="18105" spans="7:16" s="1634" customFormat="1">
      <c r="G18105" s="3336"/>
      <c r="P18105" s="3337"/>
    </row>
    <row r="18106" spans="7:16" s="1634" customFormat="1">
      <c r="G18106" s="3336"/>
      <c r="P18106" s="3337"/>
    </row>
    <row r="18107" spans="7:16" s="1634" customFormat="1">
      <c r="G18107" s="3336"/>
      <c r="P18107" s="3337"/>
    </row>
    <row r="18108" spans="7:16" s="1634" customFormat="1">
      <c r="G18108" s="3336"/>
      <c r="P18108" s="3337"/>
    </row>
    <row r="18109" spans="7:16" s="1634" customFormat="1">
      <c r="G18109" s="3336"/>
      <c r="P18109" s="3337"/>
    </row>
    <row r="18110" spans="7:16" s="1634" customFormat="1">
      <c r="G18110" s="3336"/>
      <c r="P18110" s="3337"/>
    </row>
    <row r="18111" spans="7:16" s="1634" customFormat="1">
      <c r="G18111" s="3336"/>
      <c r="P18111" s="3337"/>
    </row>
    <row r="18112" spans="7:16" s="1634" customFormat="1">
      <c r="G18112" s="3336"/>
      <c r="P18112" s="3337"/>
    </row>
    <row r="18113" spans="7:16" s="1634" customFormat="1">
      <c r="G18113" s="3336"/>
      <c r="P18113" s="3337"/>
    </row>
    <row r="18114" spans="7:16" s="1634" customFormat="1">
      <c r="G18114" s="3336"/>
      <c r="P18114" s="3337"/>
    </row>
    <row r="18115" spans="7:16" s="1634" customFormat="1">
      <c r="G18115" s="3336"/>
      <c r="P18115" s="3337"/>
    </row>
    <row r="18116" spans="7:16" s="1634" customFormat="1">
      <c r="G18116" s="3336"/>
      <c r="P18116" s="3337"/>
    </row>
    <row r="18117" spans="7:16" s="1634" customFormat="1">
      <c r="G18117" s="3336"/>
      <c r="P18117" s="3337"/>
    </row>
    <row r="18118" spans="7:16" s="1634" customFormat="1">
      <c r="G18118" s="3336"/>
      <c r="P18118" s="3337"/>
    </row>
    <row r="18119" spans="7:16" s="1634" customFormat="1">
      <c r="G18119" s="3336"/>
      <c r="P18119" s="3337"/>
    </row>
    <row r="18120" spans="7:16" s="1634" customFormat="1">
      <c r="G18120" s="3336"/>
      <c r="P18120" s="3337"/>
    </row>
    <row r="18121" spans="7:16" s="1634" customFormat="1">
      <c r="G18121" s="3336"/>
      <c r="P18121" s="3337"/>
    </row>
    <row r="18122" spans="7:16" s="1634" customFormat="1">
      <c r="G18122" s="3336"/>
      <c r="P18122" s="3337"/>
    </row>
    <row r="18123" spans="7:16" s="1634" customFormat="1">
      <c r="G18123" s="3336"/>
      <c r="P18123" s="3337"/>
    </row>
    <row r="18124" spans="7:16" s="1634" customFormat="1">
      <c r="G18124" s="3336"/>
      <c r="P18124" s="3337"/>
    </row>
    <row r="18125" spans="7:16" s="1634" customFormat="1">
      <c r="G18125" s="3336"/>
      <c r="P18125" s="3337"/>
    </row>
    <row r="18126" spans="7:16" s="1634" customFormat="1">
      <c r="G18126" s="3336"/>
      <c r="P18126" s="3337"/>
    </row>
    <row r="18127" spans="7:16" s="1634" customFormat="1">
      <c r="G18127" s="3336"/>
      <c r="P18127" s="3337"/>
    </row>
    <row r="18128" spans="7:16" s="1634" customFormat="1">
      <c r="G18128" s="3336"/>
      <c r="P18128" s="3337"/>
    </row>
    <row r="18129" spans="7:16" s="1634" customFormat="1">
      <c r="G18129" s="3336"/>
      <c r="P18129" s="3337"/>
    </row>
    <row r="18130" spans="7:16" s="1634" customFormat="1">
      <c r="G18130" s="3336"/>
      <c r="P18130" s="3337"/>
    </row>
    <row r="18131" spans="7:16" s="1634" customFormat="1">
      <c r="G18131" s="3336"/>
      <c r="P18131" s="3337"/>
    </row>
    <row r="18132" spans="7:16" s="1634" customFormat="1">
      <c r="G18132" s="3336"/>
      <c r="P18132" s="3337"/>
    </row>
    <row r="18133" spans="7:16" s="1634" customFormat="1">
      <c r="G18133" s="3336"/>
      <c r="P18133" s="3337"/>
    </row>
    <row r="18134" spans="7:16" s="1634" customFormat="1">
      <c r="G18134" s="3336"/>
      <c r="P18134" s="3337"/>
    </row>
    <row r="18135" spans="7:16" s="1634" customFormat="1">
      <c r="G18135" s="3336"/>
      <c r="P18135" s="3337"/>
    </row>
    <row r="18136" spans="7:16" s="1634" customFormat="1">
      <c r="G18136" s="3336"/>
      <c r="P18136" s="3337"/>
    </row>
    <row r="18137" spans="7:16" s="1634" customFormat="1">
      <c r="G18137" s="3336"/>
      <c r="P18137" s="3337"/>
    </row>
    <row r="18138" spans="7:16" s="1634" customFormat="1">
      <c r="G18138" s="3336"/>
      <c r="P18138" s="3337"/>
    </row>
    <row r="18139" spans="7:16" s="1634" customFormat="1">
      <c r="G18139" s="3336"/>
      <c r="P18139" s="3337"/>
    </row>
    <row r="18140" spans="7:16" s="1634" customFormat="1">
      <c r="G18140" s="3336"/>
      <c r="P18140" s="3337"/>
    </row>
    <row r="18141" spans="7:16" s="1634" customFormat="1">
      <c r="G18141" s="3336"/>
      <c r="P18141" s="3337"/>
    </row>
    <row r="18142" spans="7:16" s="1634" customFormat="1">
      <c r="G18142" s="3336"/>
      <c r="P18142" s="3337"/>
    </row>
    <row r="18143" spans="7:16" s="1634" customFormat="1">
      <c r="G18143" s="3336"/>
      <c r="P18143" s="3337"/>
    </row>
    <row r="18144" spans="7:16" s="1634" customFormat="1">
      <c r="G18144" s="3336"/>
      <c r="P18144" s="3337"/>
    </row>
    <row r="18145" spans="7:16" s="1634" customFormat="1">
      <c r="G18145" s="3336"/>
      <c r="P18145" s="3337"/>
    </row>
    <row r="18146" spans="7:16" s="1634" customFormat="1">
      <c r="G18146" s="3336"/>
      <c r="P18146" s="3337"/>
    </row>
    <row r="18147" spans="7:16" s="1634" customFormat="1">
      <c r="G18147" s="3336"/>
      <c r="P18147" s="3337"/>
    </row>
    <row r="18148" spans="7:16" s="1634" customFormat="1">
      <c r="G18148" s="3336"/>
      <c r="P18148" s="3337"/>
    </row>
    <row r="18149" spans="7:16" s="1634" customFormat="1">
      <c r="G18149" s="3336"/>
      <c r="P18149" s="3337"/>
    </row>
    <row r="18150" spans="7:16" s="1634" customFormat="1">
      <c r="G18150" s="3336"/>
      <c r="P18150" s="3337"/>
    </row>
    <row r="18151" spans="7:16" s="1634" customFormat="1">
      <c r="G18151" s="3336"/>
      <c r="P18151" s="3337"/>
    </row>
    <row r="18152" spans="7:16" s="1634" customFormat="1">
      <c r="G18152" s="3336"/>
      <c r="P18152" s="3337"/>
    </row>
    <row r="18153" spans="7:16" s="1634" customFormat="1">
      <c r="G18153" s="3336"/>
      <c r="P18153" s="3337"/>
    </row>
    <row r="18154" spans="7:16" s="1634" customFormat="1">
      <c r="G18154" s="3336"/>
      <c r="P18154" s="3337"/>
    </row>
    <row r="18155" spans="7:16" s="1634" customFormat="1">
      <c r="G18155" s="3336"/>
      <c r="P18155" s="3337"/>
    </row>
    <row r="18156" spans="7:16" s="1634" customFormat="1">
      <c r="G18156" s="3336"/>
      <c r="P18156" s="3337"/>
    </row>
    <row r="18157" spans="7:16" s="1634" customFormat="1">
      <c r="G18157" s="3336"/>
      <c r="P18157" s="3337"/>
    </row>
    <row r="18158" spans="7:16" s="1634" customFormat="1">
      <c r="G18158" s="3336"/>
      <c r="P18158" s="3337"/>
    </row>
    <row r="18159" spans="7:16" s="1634" customFormat="1">
      <c r="G18159" s="3336"/>
      <c r="P18159" s="3337"/>
    </row>
    <row r="18160" spans="7:16" s="1634" customFormat="1">
      <c r="G18160" s="3336"/>
      <c r="P18160" s="3337"/>
    </row>
    <row r="18161" spans="7:16" s="1634" customFormat="1">
      <c r="G18161" s="3336"/>
      <c r="P18161" s="3337"/>
    </row>
    <row r="18162" spans="7:16" s="1634" customFormat="1">
      <c r="G18162" s="3336"/>
      <c r="P18162" s="3337"/>
    </row>
    <row r="18163" spans="7:16" s="1634" customFormat="1">
      <c r="G18163" s="3336"/>
      <c r="P18163" s="3337"/>
    </row>
    <row r="18164" spans="7:16" s="1634" customFormat="1">
      <c r="G18164" s="3336"/>
      <c r="P18164" s="3337"/>
    </row>
    <row r="18165" spans="7:16" s="1634" customFormat="1">
      <c r="G18165" s="3336"/>
      <c r="P18165" s="3337"/>
    </row>
    <row r="18166" spans="7:16" s="1634" customFormat="1">
      <c r="G18166" s="3336"/>
      <c r="P18166" s="3337"/>
    </row>
    <row r="18167" spans="7:16" s="1634" customFormat="1">
      <c r="G18167" s="3336"/>
      <c r="P18167" s="3337"/>
    </row>
    <row r="18168" spans="7:16" s="1634" customFormat="1">
      <c r="G18168" s="3336"/>
      <c r="P18168" s="3337"/>
    </row>
    <row r="18169" spans="7:16" s="1634" customFormat="1">
      <c r="G18169" s="3336"/>
      <c r="P18169" s="3337"/>
    </row>
    <row r="18170" spans="7:16" s="1634" customFormat="1">
      <c r="G18170" s="3336"/>
      <c r="P18170" s="3337"/>
    </row>
    <row r="18171" spans="7:16" s="1634" customFormat="1">
      <c r="G18171" s="3336"/>
      <c r="P18171" s="3337"/>
    </row>
    <row r="18172" spans="7:16" s="1634" customFormat="1">
      <c r="G18172" s="3336"/>
      <c r="P18172" s="3337"/>
    </row>
    <row r="18173" spans="7:16" s="1634" customFormat="1">
      <c r="G18173" s="3336"/>
      <c r="P18173" s="3337"/>
    </row>
    <row r="18174" spans="7:16" s="1634" customFormat="1">
      <c r="G18174" s="3336"/>
      <c r="P18174" s="3337"/>
    </row>
    <row r="18175" spans="7:16" s="1634" customFormat="1">
      <c r="G18175" s="3336"/>
      <c r="P18175" s="3337"/>
    </row>
    <row r="18176" spans="7:16" s="1634" customFormat="1">
      <c r="G18176" s="3336"/>
      <c r="P18176" s="3337"/>
    </row>
    <row r="18177" spans="7:16" s="1634" customFormat="1">
      <c r="G18177" s="3336"/>
      <c r="P18177" s="3337"/>
    </row>
    <row r="18178" spans="7:16" s="1634" customFormat="1">
      <c r="G18178" s="3336"/>
      <c r="P18178" s="3337"/>
    </row>
    <row r="18179" spans="7:16" s="1634" customFormat="1">
      <c r="G18179" s="3336"/>
      <c r="P18179" s="3337"/>
    </row>
    <row r="18180" spans="7:16" s="1634" customFormat="1">
      <c r="G18180" s="3336"/>
      <c r="P18180" s="3337"/>
    </row>
    <row r="18181" spans="7:16" s="1634" customFormat="1">
      <c r="G18181" s="3336"/>
      <c r="P18181" s="3337"/>
    </row>
    <row r="18182" spans="7:16" s="1634" customFormat="1">
      <c r="G18182" s="3336"/>
      <c r="P18182" s="3337"/>
    </row>
    <row r="18183" spans="7:16" s="1634" customFormat="1">
      <c r="G18183" s="3336"/>
      <c r="P18183" s="3337"/>
    </row>
    <row r="18184" spans="7:16" s="1634" customFormat="1">
      <c r="G18184" s="3336"/>
      <c r="P18184" s="3337"/>
    </row>
    <row r="18185" spans="7:16" s="1634" customFormat="1">
      <c r="G18185" s="3336"/>
      <c r="P18185" s="3337"/>
    </row>
    <row r="18186" spans="7:16" s="1634" customFormat="1">
      <c r="G18186" s="3336"/>
      <c r="P18186" s="3337"/>
    </row>
    <row r="18187" spans="7:16" s="1634" customFormat="1">
      <c r="G18187" s="3336"/>
      <c r="P18187" s="3337"/>
    </row>
    <row r="18188" spans="7:16" s="1634" customFormat="1">
      <c r="G18188" s="3336"/>
      <c r="P18188" s="3337"/>
    </row>
    <row r="18189" spans="7:16" s="1634" customFormat="1">
      <c r="G18189" s="3336"/>
      <c r="P18189" s="3337"/>
    </row>
    <row r="18190" spans="7:16" s="1634" customFormat="1">
      <c r="G18190" s="3336"/>
      <c r="P18190" s="3337"/>
    </row>
    <row r="18191" spans="7:16" s="1634" customFormat="1">
      <c r="G18191" s="3336"/>
      <c r="P18191" s="3337"/>
    </row>
    <row r="18192" spans="7:16" s="1634" customFormat="1">
      <c r="G18192" s="3336"/>
      <c r="P18192" s="3337"/>
    </row>
    <row r="18193" spans="7:16" s="1634" customFormat="1">
      <c r="G18193" s="3336"/>
      <c r="P18193" s="3337"/>
    </row>
    <row r="18194" spans="7:16" s="1634" customFormat="1">
      <c r="G18194" s="3336"/>
      <c r="P18194" s="3337"/>
    </row>
    <row r="18195" spans="7:16" s="1634" customFormat="1">
      <c r="G18195" s="3336"/>
      <c r="P18195" s="3337"/>
    </row>
    <row r="18196" spans="7:16" s="1634" customFormat="1">
      <c r="G18196" s="3336"/>
      <c r="P18196" s="3337"/>
    </row>
    <row r="18197" spans="7:16" s="1634" customFormat="1">
      <c r="G18197" s="3336"/>
      <c r="P18197" s="3337"/>
    </row>
    <row r="18198" spans="7:16" s="1634" customFormat="1">
      <c r="G18198" s="3336"/>
      <c r="P18198" s="3337"/>
    </row>
    <row r="18199" spans="7:16" s="1634" customFormat="1">
      <c r="G18199" s="3336"/>
      <c r="P18199" s="3337"/>
    </row>
    <row r="18200" spans="7:16" s="1634" customFormat="1">
      <c r="G18200" s="3336"/>
      <c r="P18200" s="3337"/>
    </row>
    <row r="18201" spans="7:16" s="1634" customFormat="1">
      <c r="G18201" s="3336"/>
      <c r="P18201" s="3337"/>
    </row>
    <row r="18202" spans="7:16" s="1634" customFormat="1">
      <c r="G18202" s="3336"/>
      <c r="P18202" s="3337"/>
    </row>
    <row r="18203" spans="7:16" s="1634" customFormat="1">
      <c r="G18203" s="3336"/>
      <c r="P18203" s="3337"/>
    </row>
    <row r="18204" spans="7:16" s="1634" customFormat="1">
      <c r="G18204" s="3336"/>
      <c r="P18204" s="3337"/>
    </row>
    <row r="18205" spans="7:16" s="1634" customFormat="1">
      <c r="G18205" s="3336"/>
      <c r="P18205" s="3337"/>
    </row>
    <row r="18206" spans="7:16" s="1634" customFormat="1">
      <c r="G18206" s="3336"/>
      <c r="P18206" s="3337"/>
    </row>
    <row r="18207" spans="7:16" s="1634" customFormat="1">
      <c r="G18207" s="3336"/>
      <c r="P18207" s="3337"/>
    </row>
    <row r="18208" spans="7:16" s="1634" customFormat="1">
      <c r="G18208" s="3336"/>
      <c r="P18208" s="3337"/>
    </row>
    <row r="18209" spans="7:16" s="1634" customFormat="1">
      <c r="G18209" s="3336"/>
      <c r="P18209" s="3337"/>
    </row>
    <row r="18210" spans="7:16" s="1634" customFormat="1">
      <c r="G18210" s="3336"/>
      <c r="P18210" s="3337"/>
    </row>
    <row r="18211" spans="7:16" s="1634" customFormat="1">
      <c r="G18211" s="3336"/>
      <c r="P18211" s="3337"/>
    </row>
    <row r="18212" spans="7:16" s="1634" customFormat="1">
      <c r="G18212" s="3336"/>
      <c r="P18212" s="3337"/>
    </row>
    <row r="18213" spans="7:16" s="1634" customFormat="1">
      <c r="G18213" s="3336"/>
      <c r="P18213" s="3337"/>
    </row>
    <row r="18214" spans="7:16" s="1634" customFormat="1">
      <c r="G18214" s="3336"/>
      <c r="P18214" s="3337"/>
    </row>
    <row r="18215" spans="7:16" s="1634" customFormat="1">
      <c r="G18215" s="3336"/>
      <c r="P18215" s="3337"/>
    </row>
    <row r="18216" spans="7:16" s="1634" customFormat="1">
      <c r="G18216" s="3336"/>
      <c r="P18216" s="3337"/>
    </row>
    <row r="18217" spans="7:16" s="1634" customFormat="1">
      <c r="G18217" s="3336"/>
      <c r="P18217" s="3337"/>
    </row>
    <row r="18218" spans="7:16" s="1634" customFormat="1">
      <c r="G18218" s="3336"/>
      <c r="P18218" s="3337"/>
    </row>
    <row r="18219" spans="7:16" s="1634" customFormat="1">
      <c r="G18219" s="3336"/>
      <c r="P18219" s="3337"/>
    </row>
    <row r="18220" spans="7:16" s="1634" customFormat="1">
      <c r="G18220" s="3336"/>
      <c r="P18220" s="3337"/>
    </row>
    <row r="18221" spans="7:16" s="1634" customFormat="1">
      <c r="G18221" s="3336"/>
      <c r="P18221" s="3337"/>
    </row>
    <row r="18222" spans="7:16" s="1634" customFormat="1">
      <c r="G18222" s="3336"/>
      <c r="P18222" s="3337"/>
    </row>
    <row r="18223" spans="7:16" s="1634" customFormat="1">
      <c r="G18223" s="3336"/>
      <c r="P18223" s="3337"/>
    </row>
    <row r="18224" spans="7:16" s="1634" customFormat="1">
      <c r="G18224" s="3336"/>
      <c r="P18224" s="3337"/>
    </row>
    <row r="18225" spans="7:16" s="1634" customFormat="1">
      <c r="G18225" s="3336"/>
      <c r="P18225" s="3337"/>
    </row>
    <row r="18226" spans="7:16" s="1634" customFormat="1">
      <c r="G18226" s="3336"/>
      <c r="P18226" s="3337"/>
    </row>
    <row r="18227" spans="7:16" s="1634" customFormat="1">
      <c r="G18227" s="3336"/>
      <c r="P18227" s="3337"/>
    </row>
    <row r="18228" spans="7:16" s="1634" customFormat="1">
      <c r="G18228" s="3336"/>
      <c r="P18228" s="3337"/>
    </row>
    <row r="18229" spans="7:16" s="1634" customFormat="1">
      <c r="G18229" s="3336"/>
      <c r="P18229" s="3337"/>
    </row>
    <row r="18230" spans="7:16" s="1634" customFormat="1">
      <c r="G18230" s="3336"/>
      <c r="P18230" s="3337"/>
    </row>
    <row r="18231" spans="7:16" s="1634" customFormat="1">
      <c r="G18231" s="3336"/>
      <c r="P18231" s="3337"/>
    </row>
    <row r="18232" spans="7:16" s="1634" customFormat="1">
      <c r="G18232" s="3336"/>
      <c r="P18232" s="3337"/>
    </row>
    <row r="18233" spans="7:16" s="1634" customFormat="1">
      <c r="G18233" s="3336"/>
      <c r="P18233" s="3337"/>
    </row>
    <row r="18234" spans="7:16" s="1634" customFormat="1">
      <c r="G18234" s="3336"/>
      <c r="P18234" s="3337"/>
    </row>
    <row r="18235" spans="7:16" s="1634" customFormat="1">
      <c r="G18235" s="3336"/>
      <c r="P18235" s="3337"/>
    </row>
    <row r="18236" spans="7:16" s="1634" customFormat="1">
      <c r="G18236" s="3336"/>
      <c r="P18236" s="3337"/>
    </row>
    <row r="18237" spans="7:16" s="1634" customFormat="1">
      <c r="G18237" s="3336"/>
      <c r="P18237" s="3337"/>
    </row>
    <row r="18238" spans="7:16" s="1634" customFormat="1">
      <c r="G18238" s="3336"/>
      <c r="P18238" s="3337"/>
    </row>
    <row r="18239" spans="7:16" s="1634" customFormat="1">
      <c r="G18239" s="3336"/>
      <c r="P18239" s="3337"/>
    </row>
    <row r="18240" spans="7:16" s="1634" customFormat="1">
      <c r="G18240" s="3336"/>
      <c r="P18240" s="3337"/>
    </row>
    <row r="18241" spans="7:16" s="1634" customFormat="1">
      <c r="G18241" s="3336"/>
      <c r="P18241" s="3337"/>
    </row>
    <row r="18242" spans="7:16" s="1634" customFormat="1">
      <c r="G18242" s="3336"/>
      <c r="P18242" s="3337"/>
    </row>
    <row r="18243" spans="7:16" s="1634" customFormat="1">
      <c r="G18243" s="3336"/>
      <c r="P18243" s="3337"/>
    </row>
    <row r="18244" spans="7:16" s="1634" customFormat="1">
      <c r="G18244" s="3336"/>
      <c r="P18244" s="3337"/>
    </row>
    <row r="18245" spans="7:16" s="1634" customFormat="1">
      <c r="G18245" s="3336"/>
      <c r="P18245" s="3337"/>
    </row>
    <row r="18246" spans="7:16" s="1634" customFormat="1">
      <c r="G18246" s="3336"/>
      <c r="P18246" s="3337"/>
    </row>
    <row r="18247" spans="7:16" s="1634" customFormat="1">
      <c r="G18247" s="3336"/>
      <c r="P18247" s="3337"/>
    </row>
    <row r="18248" spans="7:16" s="1634" customFormat="1">
      <c r="G18248" s="3336"/>
      <c r="P18248" s="3337"/>
    </row>
    <row r="18249" spans="7:16" s="1634" customFormat="1">
      <c r="G18249" s="3336"/>
      <c r="P18249" s="3337"/>
    </row>
    <row r="18250" spans="7:16" s="1634" customFormat="1">
      <c r="G18250" s="3336"/>
      <c r="P18250" s="3337"/>
    </row>
    <row r="18251" spans="7:16" s="1634" customFormat="1">
      <c r="G18251" s="3336"/>
      <c r="P18251" s="3337"/>
    </row>
    <row r="18252" spans="7:16" s="1634" customFormat="1">
      <c r="G18252" s="3336"/>
      <c r="P18252" s="3337"/>
    </row>
    <row r="18253" spans="7:16" s="1634" customFormat="1">
      <c r="G18253" s="3336"/>
      <c r="P18253" s="3337"/>
    </row>
    <row r="18254" spans="7:16" s="1634" customFormat="1">
      <c r="G18254" s="3336"/>
      <c r="P18254" s="3337"/>
    </row>
    <row r="18255" spans="7:16" s="1634" customFormat="1">
      <c r="G18255" s="3336"/>
      <c r="P18255" s="3337"/>
    </row>
    <row r="18256" spans="7:16" s="1634" customFormat="1">
      <c r="G18256" s="3336"/>
      <c r="P18256" s="3337"/>
    </row>
    <row r="18257" spans="7:16" s="1634" customFormat="1">
      <c r="G18257" s="3336"/>
      <c r="P18257" s="3337"/>
    </row>
    <row r="18258" spans="7:16" s="1634" customFormat="1">
      <c r="G18258" s="3336"/>
      <c r="P18258" s="3337"/>
    </row>
    <row r="18259" spans="7:16" s="1634" customFormat="1">
      <c r="G18259" s="3336"/>
      <c r="P18259" s="3337"/>
    </row>
    <row r="18260" spans="7:16" s="1634" customFormat="1">
      <c r="G18260" s="3336"/>
      <c r="P18260" s="3337"/>
    </row>
    <row r="18261" spans="7:16" s="1634" customFormat="1">
      <c r="G18261" s="3336"/>
      <c r="P18261" s="3337"/>
    </row>
    <row r="18262" spans="7:16" s="1634" customFormat="1">
      <c r="G18262" s="3336"/>
      <c r="P18262" s="3337"/>
    </row>
    <row r="18263" spans="7:16" s="1634" customFormat="1">
      <c r="G18263" s="3336"/>
      <c r="P18263" s="3337"/>
    </row>
    <row r="18264" spans="7:16" s="1634" customFormat="1">
      <c r="G18264" s="3336"/>
      <c r="P18264" s="3337"/>
    </row>
    <row r="18265" spans="7:16" s="1634" customFormat="1">
      <c r="G18265" s="3336"/>
      <c r="P18265" s="3337"/>
    </row>
    <row r="18266" spans="7:16" s="1634" customFormat="1">
      <c r="G18266" s="3336"/>
      <c r="P18266" s="3337"/>
    </row>
    <row r="18267" spans="7:16" s="1634" customFormat="1">
      <c r="G18267" s="3336"/>
      <c r="P18267" s="3337"/>
    </row>
    <row r="18268" spans="7:16" s="1634" customFormat="1">
      <c r="G18268" s="3336"/>
      <c r="P18268" s="3337"/>
    </row>
    <row r="18269" spans="7:16" s="1634" customFormat="1">
      <c r="G18269" s="3336"/>
      <c r="P18269" s="3337"/>
    </row>
    <row r="18270" spans="7:16" s="1634" customFormat="1">
      <c r="G18270" s="3336"/>
      <c r="P18270" s="3337"/>
    </row>
    <row r="18271" spans="7:16" s="1634" customFormat="1">
      <c r="G18271" s="3336"/>
      <c r="P18271" s="3337"/>
    </row>
    <row r="18272" spans="7:16" s="1634" customFormat="1">
      <c r="G18272" s="3336"/>
      <c r="P18272" s="3337"/>
    </row>
    <row r="18273" spans="7:16" s="1634" customFormat="1">
      <c r="G18273" s="3336"/>
      <c r="P18273" s="3337"/>
    </row>
    <row r="18274" spans="7:16" s="1634" customFormat="1">
      <c r="G18274" s="3336"/>
      <c r="P18274" s="3337"/>
    </row>
    <row r="18275" spans="7:16" s="1634" customFormat="1">
      <c r="G18275" s="3336"/>
      <c r="P18275" s="3337"/>
    </row>
    <row r="18276" spans="7:16" s="1634" customFormat="1">
      <c r="G18276" s="3336"/>
      <c r="P18276" s="3337"/>
    </row>
    <row r="18277" spans="7:16" s="1634" customFormat="1">
      <c r="G18277" s="3336"/>
      <c r="P18277" s="3337"/>
    </row>
    <row r="18278" spans="7:16" s="1634" customFormat="1">
      <c r="G18278" s="3336"/>
      <c r="P18278" s="3337"/>
    </row>
    <row r="18279" spans="7:16" s="1634" customFormat="1">
      <c r="G18279" s="3336"/>
      <c r="P18279" s="3337"/>
    </row>
    <row r="18280" spans="7:16" s="1634" customFormat="1">
      <c r="G18280" s="3336"/>
      <c r="P18280" s="3337"/>
    </row>
    <row r="18281" spans="7:16" s="1634" customFormat="1">
      <c r="G18281" s="3336"/>
      <c r="P18281" s="3337"/>
    </row>
    <row r="18282" spans="7:16" s="1634" customFormat="1">
      <c r="G18282" s="3336"/>
      <c r="P18282" s="3337"/>
    </row>
    <row r="18283" spans="7:16" s="1634" customFormat="1">
      <c r="G18283" s="3336"/>
      <c r="P18283" s="3337"/>
    </row>
    <row r="18284" spans="7:16" s="1634" customFormat="1">
      <c r="G18284" s="3336"/>
      <c r="P18284" s="3337"/>
    </row>
    <row r="18285" spans="7:16" s="1634" customFormat="1">
      <c r="G18285" s="3336"/>
      <c r="P18285" s="3337"/>
    </row>
    <row r="18286" spans="7:16" s="1634" customFormat="1">
      <c r="G18286" s="3336"/>
      <c r="P18286" s="3337"/>
    </row>
    <row r="18287" spans="7:16" s="1634" customFormat="1">
      <c r="G18287" s="3336"/>
      <c r="P18287" s="3337"/>
    </row>
    <row r="18288" spans="7:16" s="1634" customFormat="1">
      <c r="G18288" s="3336"/>
      <c r="P18288" s="3337"/>
    </row>
    <row r="18289" spans="7:16" s="1634" customFormat="1">
      <c r="G18289" s="3336"/>
      <c r="P18289" s="3337"/>
    </row>
    <row r="18290" spans="7:16" s="1634" customFormat="1">
      <c r="G18290" s="3336"/>
      <c r="P18290" s="3337"/>
    </row>
    <row r="18291" spans="7:16" s="1634" customFormat="1">
      <c r="G18291" s="3336"/>
      <c r="P18291" s="3337"/>
    </row>
    <row r="18292" spans="7:16" s="1634" customFormat="1">
      <c r="G18292" s="3336"/>
      <c r="P18292" s="3337"/>
    </row>
    <row r="18293" spans="7:16" s="1634" customFormat="1">
      <c r="G18293" s="3336"/>
      <c r="P18293" s="3337"/>
    </row>
    <row r="18294" spans="7:16" s="1634" customFormat="1">
      <c r="G18294" s="3336"/>
      <c r="P18294" s="3337"/>
    </row>
    <row r="18295" spans="7:16" s="1634" customFormat="1">
      <c r="G18295" s="3336"/>
      <c r="P18295" s="3337"/>
    </row>
    <row r="18296" spans="7:16" s="1634" customFormat="1">
      <c r="G18296" s="3336"/>
      <c r="P18296" s="3337"/>
    </row>
    <row r="18297" spans="7:16" s="1634" customFormat="1">
      <c r="G18297" s="3336"/>
      <c r="P18297" s="3337"/>
    </row>
    <row r="18298" spans="7:16" s="1634" customFormat="1">
      <c r="G18298" s="3336"/>
      <c r="P18298" s="3337"/>
    </row>
    <row r="18299" spans="7:16" s="1634" customFormat="1">
      <c r="G18299" s="3336"/>
      <c r="P18299" s="3337"/>
    </row>
    <row r="18300" spans="7:16" s="1634" customFormat="1">
      <c r="G18300" s="3336"/>
      <c r="P18300" s="3337"/>
    </row>
    <row r="18301" spans="7:16" s="1634" customFormat="1">
      <c r="G18301" s="3336"/>
      <c r="P18301" s="3337"/>
    </row>
    <row r="18302" spans="7:16" s="1634" customFormat="1">
      <c r="G18302" s="3336"/>
      <c r="P18302" s="3337"/>
    </row>
    <row r="18303" spans="7:16" s="1634" customFormat="1">
      <c r="G18303" s="3336"/>
      <c r="P18303" s="3337"/>
    </row>
    <row r="18304" spans="7:16" s="1634" customFormat="1">
      <c r="G18304" s="3336"/>
      <c r="P18304" s="3337"/>
    </row>
    <row r="18305" spans="7:16" s="1634" customFormat="1">
      <c r="G18305" s="3336"/>
      <c r="P18305" s="3337"/>
    </row>
    <row r="18306" spans="7:16" s="1634" customFormat="1">
      <c r="G18306" s="3336"/>
      <c r="P18306" s="3337"/>
    </row>
    <row r="18307" spans="7:16" s="1634" customFormat="1">
      <c r="G18307" s="3336"/>
      <c r="P18307" s="3337"/>
    </row>
    <row r="18308" spans="7:16" s="1634" customFormat="1">
      <c r="G18308" s="3336"/>
      <c r="P18308" s="3337"/>
    </row>
    <row r="18309" spans="7:16" s="1634" customFormat="1">
      <c r="G18309" s="3336"/>
      <c r="P18309" s="3337"/>
    </row>
    <row r="18310" spans="7:16" s="1634" customFormat="1">
      <c r="G18310" s="3336"/>
      <c r="P18310" s="3337"/>
    </row>
    <row r="18311" spans="7:16" s="1634" customFormat="1">
      <c r="G18311" s="3336"/>
      <c r="P18311" s="3337"/>
    </row>
    <row r="18312" spans="7:16" s="1634" customFormat="1">
      <c r="G18312" s="3336"/>
      <c r="P18312" s="3337"/>
    </row>
    <row r="18313" spans="7:16" s="1634" customFormat="1">
      <c r="G18313" s="3336"/>
      <c r="P18313" s="3337"/>
    </row>
    <row r="18314" spans="7:16" s="1634" customFormat="1">
      <c r="G18314" s="3336"/>
      <c r="P18314" s="3337"/>
    </row>
    <row r="18315" spans="7:16" s="1634" customFormat="1">
      <c r="G18315" s="3336"/>
      <c r="P18315" s="3337"/>
    </row>
    <row r="18316" spans="7:16" s="1634" customFormat="1">
      <c r="G18316" s="3336"/>
      <c r="P18316" s="3337"/>
    </row>
    <row r="18317" spans="7:16" s="1634" customFormat="1">
      <c r="G18317" s="3336"/>
      <c r="P18317" s="3337"/>
    </row>
    <row r="18318" spans="7:16" s="1634" customFormat="1">
      <c r="G18318" s="3336"/>
      <c r="P18318" s="3337"/>
    </row>
    <row r="18319" spans="7:16" s="1634" customFormat="1">
      <c r="G18319" s="3336"/>
      <c r="P18319" s="3337"/>
    </row>
    <row r="18320" spans="7:16" s="1634" customFormat="1">
      <c r="G18320" s="3336"/>
      <c r="P18320" s="3337"/>
    </row>
    <row r="18321" spans="7:16" s="1634" customFormat="1">
      <c r="G18321" s="3336"/>
      <c r="P18321" s="3337"/>
    </row>
    <row r="18322" spans="7:16" s="1634" customFormat="1">
      <c r="G18322" s="3336"/>
      <c r="P18322" s="3337"/>
    </row>
    <row r="18323" spans="7:16" s="1634" customFormat="1">
      <c r="G18323" s="3336"/>
      <c r="P18323" s="3337"/>
    </row>
    <row r="18324" spans="7:16" s="1634" customFormat="1">
      <c r="G18324" s="3336"/>
      <c r="P18324" s="3337"/>
    </row>
    <row r="18325" spans="7:16" s="1634" customFormat="1">
      <c r="G18325" s="3336"/>
      <c r="P18325" s="3337"/>
    </row>
    <row r="18326" spans="7:16" s="1634" customFormat="1">
      <c r="G18326" s="3336"/>
      <c r="P18326" s="3337"/>
    </row>
    <row r="18327" spans="7:16" s="1634" customFormat="1">
      <c r="G18327" s="3336"/>
      <c r="P18327" s="3337"/>
    </row>
    <row r="18328" spans="7:16" s="1634" customFormat="1">
      <c r="G18328" s="3336"/>
      <c r="P18328" s="3337"/>
    </row>
    <row r="18329" spans="7:16" s="1634" customFormat="1">
      <c r="G18329" s="3336"/>
      <c r="P18329" s="3337"/>
    </row>
    <row r="18330" spans="7:16" s="1634" customFormat="1">
      <c r="G18330" s="3336"/>
      <c r="P18330" s="3337"/>
    </row>
    <row r="18331" spans="7:16" s="1634" customFormat="1">
      <c r="G18331" s="3336"/>
      <c r="P18331" s="3337"/>
    </row>
    <row r="18332" spans="7:16" s="1634" customFormat="1">
      <c r="G18332" s="3336"/>
      <c r="P18332" s="3337"/>
    </row>
    <row r="18333" spans="7:16" s="1634" customFormat="1">
      <c r="G18333" s="3336"/>
      <c r="P18333" s="3337"/>
    </row>
    <row r="18334" spans="7:16" s="1634" customFormat="1">
      <c r="G18334" s="3336"/>
      <c r="P18334" s="3337"/>
    </row>
    <row r="18335" spans="7:16" s="1634" customFormat="1">
      <c r="G18335" s="3336"/>
      <c r="P18335" s="3337"/>
    </row>
    <row r="18336" spans="7:16" s="1634" customFormat="1">
      <c r="G18336" s="3336"/>
      <c r="P18336" s="3337"/>
    </row>
    <row r="18337" spans="7:16" s="1634" customFormat="1">
      <c r="G18337" s="3336"/>
      <c r="P18337" s="3337"/>
    </row>
    <row r="18338" spans="7:16" s="1634" customFormat="1">
      <c r="G18338" s="3336"/>
      <c r="P18338" s="3337"/>
    </row>
    <row r="18339" spans="7:16" s="1634" customFormat="1">
      <c r="G18339" s="3336"/>
      <c r="P18339" s="3337"/>
    </row>
    <row r="18340" spans="7:16" s="1634" customFormat="1">
      <c r="G18340" s="3336"/>
      <c r="P18340" s="3337"/>
    </row>
    <row r="18341" spans="7:16" s="1634" customFormat="1">
      <c r="G18341" s="3336"/>
      <c r="P18341" s="3337"/>
    </row>
    <row r="18342" spans="7:16" s="1634" customFormat="1">
      <c r="G18342" s="3336"/>
      <c r="P18342" s="3337"/>
    </row>
    <row r="18343" spans="7:16" s="1634" customFormat="1">
      <c r="G18343" s="3336"/>
      <c r="P18343" s="3337"/>
    </row>
    <row r="18344" spans="7:16" s="1634" customFormat="1">
      <c r="G18344" s="3336"/>
      <c r="P18344" s="3337"/>
    </row>
    <row r="18345" spans="7:16" s="1634" customFormat="1">
      <c r="G18345" s="3336"/>
      <c r="P18345" s="3337"/>
    </row>
    <row r="18346" spans="7:16" s="1634" customFormat="1">
      <c r="G18346" s="3336"/>
      <c r="P18346" s="3337"/>
    </row>
    <row r="18347" spans="7:16" s="1634" customFormat="1">
      <c r="G18347" s="3336"/>
      <c r="P18347" s="3337"/>
    </row>
    <row r="18348" spans="7:16" s="1634" customFormat="1">
      <c r="G18348" s="3336"/>
      <c r="P18348" s="3337"/>
    </row>
    <row r="18349" spans="7:16" s="1634" customFormat="1">
      <c r="G18349" s="3336"/>
      <c r="P18349" s="3337"/>
    </row>
    <row r="18350" spans="7:16" s="1634" customFormat="1">
      <c r="G18350" s="3336"/>
      <c r="P18350" s="3337"/>
    </row>
    <row r="18351" spans="7:16" s="1634" customFormat="1">
      <c r="G18351" s="3336"/>
      <c r="P18351" s="3337"/>
    </row>
    <row r="18352" spans="7:16" s="1634" customFormat="1">
      <c r="G18352" s="3336"/>
      <c r="P18352" s="3337"/>
    </row>
    <row r="18353" spans="7:16" s="1634" customFormat="1">
      <c r="G18353" s="3336"/>
      <c r="P18353" s="3337"/>
    </row>
    <row r="18354" spans="7:16" s="1634" customFormat="1">
      <c r="G18354" s="3336"/>
      <c r="P18354" s="3337"/>
    </row>
    <row r="18355" spans="7:16" s="1634" customFormat="1">
      <c r="G18355" s="3336"/>
      <c r="P18355" s="3337"/>
    </row>
    <row r="18356" spans="7:16" s="1634" customFormat="1">
      <c r="G18356" s="3336"/>
      <c r="P18356" s="3337"/>
    </row>
    <row r="18357" spans="7:16" s="1634" customFormat="1">
      <c r="G18357" s="3336"/>
      <c r="P18357" s="3337"/>
    </row>
    <row r="18358" spans="7:16" s="1634" customFormat="1">
      <c r="G18358" s="3336"/>
      <c r="P18358" s="3337"/>
    </row>
    <row r="18359" spans="7:16" s="1634" customFormat="1">
      <c r="G18359" s="3336"/>
      <c r="P18359" s="3337"/>
    </row>
    <row r="18360" spans="7:16" s="1634" customFormat="1">
      <c r="G18360" s="3336"/>
      <c r="P18360" s="3337"/>
    </row>
    <row r="18361" spans="7:16" s="1634" customFormat="1">
      <c r="G18361" s="3336"/>
      <c r="P18361" s="3337"/>
    </row>
    <row r="18362" spans="7:16" s="1634" customFormat="1">
      <c r="G18362" s="3336"/>
      <c r="P18362" s="3337"/>
    </row>
    <row r="18363" spans="7:16" s="1634" customFormat="1">
      <c r="G18363" s="3336"/>
      <c r="P18363" s="3337"/>
    </row>
    <row r="18364" spans="7:16" s="1634" customFormat="1">
      <c r="G18364" s="3336"/>
      <c r="P18364" s="3337"/>
    </row>
    <row r="18365" spans="7:16" s="1634" customFormat="1">
      <c r="G18365" s="3336"/>
      <c r="P18365" s="3337"/>
    </row>
    <row r="18366" spans="7:16" s="1634" customFormat="1">
      <c r="G18366" s="3336"/>
      <c r="P18366" s="3337"/>
    </row>
    <row r="18367" spans="7:16" s="1634" customFormat="1">
      <c r="G18367" s="3336"/>
      <c r="P18367" s="3337"/>
    </row>
    <row r="18368" spans="7:16" s="1634" customFormat="1">
      <c r="G18368" s="3336"/>
      <c r="P18368" s="3337"/>
    </row>
    <row r="18369" spans="7:16" s="1634" customFormat="1">
      <c r="G18369" s="3336"/>
      <c r="P18369" s="3337"/>
    </row>
    <row r="18370" spans="7:16" s="1634" customFormat="1">
      <c r="G18370" s="3336"/>
      <c r="P18370" s="3337"/>
    </row>
    <row r="18371" spans="7:16" s="1634" customFormat="1">
      <c r="G18371" s="3336"/>
      <c r="P18371" s="3337"/>
    </row>
    <row r="18372" spans="7:16" s="1634" customFormat="1">
      <c r="G18372" s="3336"/>
      <c r="P18372" s="3337"/>
    </row>
    <row r="18373" spans="7:16" s="1634" customFormat="1">
      <c r="G18373" s="3336"/>
      <c r="P18373" s="3337"/>
    </row>
    <row r="18374" spans="7:16" s="1634" customFormat="1">
      <c r="G18374" s="3336"/>
      <c r="P18374" s="3337"/>
    </row>
    <row r="18375" spans="7:16" s="1634" customFormat="1">
      <c r="G18375" s="3336"/>
      <c r="P18375" s="3337"/>
    </row>
    <row r="18376" spans="7:16" s="1634" customFormat="1">
      <c r="G18376" s="3336"/>
      <c r="P18376" s="3337"/>
    </row>
    <row r="18377" spans="7:16" s="1634" customFormat="1">
      <c r="G18377" s="3336"/>
      <c r="P18377" s="3337"/>
    </row>
    <row r="18378" spans="7:16" s="1634" customFormat="1">
      <c r="G18378" s="3336"/>
      <c r="P18378" s="3337"/>
    </row>
    <row r="18379" spans="7:16" s="1634" customFormat="1">
      <c r="G18379" s="3336"/>
      <c r="P18379" s="3337"/>
    </row>
    <row r="18380" spans="7:16" s="1634" customFormat="1">
      <c r="G18380" s="3336"/>
      <c r="P18380" s="3337"/>
    </row>
    <row r="18381" spans="7:16" s="1634" customFormat="1">
      <c r="G18381" s="3336"/>
      <c r="P18381" s="3337"/>
    </row>
    <row r="18382" spans="7:16" s="1634" customFormat="1">
      <c r="G18382" s="3336"/>
      <c r="P18382" s="3337"/>
    </row>
    <row r="18383" spans="7:16" s="1634" customFormat="1">
      <c r="G18383" s="3336"/>
      <c r="P18383" s="3337"/>
    </row>
    <row r="18384" spans="7:16" s="1634" customFormat="1">
      <c r="G18384" s="3336"/>
      <c r="P18384" s="3337"/>
    </row>
    <row r="18385" spans="7:16" s="1634" customFormat="1">
      <c r="G18385" s="3336"/>
      <c r="P18385" s="3337"/>
    </row>
    <row r="18386" spans="7:16" s="1634" customFormat="1">
      <c r="G18386" s="3336"/>
      <c r="P18386" s="3337"/>
    </row>
    <row r="18387" spans="7:16" s="1634" customFormat="1">
      <c r="G18387" s="3336"/>
      <c r="P18387" s="3337"/>
    </row>
    <row r="18388" spans="7:16" s="1634" customFormat="1">
      <c r="G18388" s="3336"/>
      <c r="P18388" s="3337"/>
    </row>
    <row r="18389" spans="7:16" s="1634" customFormat="1">
      <c r="G18389" s="3336"/>
      <c r="P18389" s="3337"/>
    </row>
    <row r="18390" spans="7:16" s="1634" customFormat="1">
      <c r="G18390" s="3336"/>
      <c r="P18390" s="3337"/>
    </row>
    <row r="18391" spans="7:16" s="1634" customFormat="1">
      <c r="G18391" s="3336"/>
      <c r="P18391" s="3337"/>
    </row>
    <row r="18392" spans="7:16" s="1634" customFormat="1">
      <c r="G18392" s="3336"/>
      <c r="P18392" s="3337"/>
    </row>
    <row r="18393" spans="7:16" s="1634" customFormat="1">
      <c r="G18393" s="3336"/>
      <c r="P18393" s="3337"/>
    </row>
    <row r="18394" spans="7:16" s="1634" customFormat="1">
      <c r="G18394" s="3336"/>
      <c r="P18394" s="3337"/>
    </row>
    <row r="18395" spans="7:16" s="1634" customFormat="1">
      <c r="G18395" s="3336"/>
      <c r="P18395" s="3337"/>
    </row>
    <row r="18396" spans="7:16" s="1634" customFormat="1">
      <c r="G18396" s="3336"/>
      <c r="P18396" s="3337"/>
    </row>
    <row r="18397" spans="7:16" s="1634" customFormat="1">
      <c r="G18397" s="3336"/>
      <c r="P18397" s="3337"/>
    </row>
    <row r="18398" spans="7:16" s="1634" customFormat="1">
      <c r="G18398" s="3336"/>
      <c r="P18398" s="3337"/>
    </row>
    <row r="18399" spans="7:16" s="1634" customFormat="1">
      <c r="G18399" s="3336"/>
      <c r="P18399" s="3337"/>
    </row>
    <row r="18400" spans="7:16" s="1634" customFormat="1">
      <c r="G18400" s="3336"/>
      <c r="P18400" s="3337"/>
    </row>
    <row r="18401" spans="7:16" s="1634" customFormat="1">
      <c r="G18401" s="3336"/>
      <c r="P18401" s="3337"/>
    </row>
    <row r="18402" spans="7:16" s="1634" customFormat="1">
      <c r="G18402" s="3336"/>
      <c r="P18402" s="3337"/>
    </row>
    <row r="18403" spans="7:16" s="1634" customFormat="1">
      <c r="G18403" s="3336"/>
      <c r="P18403" s="3337"/>
    </row>
    <row r="18404" spans="7:16" s="1634" customFormat="1">
      <c r="G18404" s="3336"/>
      <c r="P18404" s="3337"/>
    </row>
    <row r="18405" spans="7:16" s="1634" customFormat="1">
      <c r="G18405" s="3336"/>
      <c r="P18405" s="3337"/>
    </row>
    <row r="18406" spans="7:16" s="1634" customFormat="1">
      <c r="G18406" s="3336"/>
      <c r="P18406" s="3337"/>
    </row>
    <row r="18407" spans="7:16" s="1634" customFormat="1">
      <c r="G18407" s="3336"/>
      <c r="P18407" s="3337"/>
    </row>
    <row r="18408" spans="7:16" s="1634" customFormat="1">
      <c r="G18408" s="3336"/>
      <c r="P18408" s="3337"/>
    </row>
    <row r="18409" spans="7:16" s="1634" customFormat="1">
      <c r="G18409" s="3336"/>
      <c r="P18409" s="3337"/>
    </row>
    <row r="18410" spans="7:16" s="1634" customFormat="1">
      <c r="G18410" s="3336"/>
      <c r="P18410" s="3337"/>
    </row>
    <row r="18411" spans="7:16" s="1634" customFormat="1">
      <c r="G18411" s="3336"/>
      <c r="P18411" s="3337"/>
    </row>
    <row r="18412" spans="7:16" s="1634" customFormat="1">
      <c r="G18412" s="3336"/>
      <c r="P18412" s="3337"/>
    </row>
    <row r="18413" spans="7:16" s="1634" customFormat="1">
      <c r="G18413" s="3336"/>
      <c r="P18413" s="3337"/>
    </row>
    <row r="18414" spans="7:16" s="1634" customFormat="1">
      <c r="G18414" s="3336"/>
      <c r="P18414" s="3337"/>
    </row>
    <row r="18415" spans="7:16" s="1634" customFormat="1">
      <c r="G18415" s="3336"/>
      <c r="P18415" s="3337"/>
    </row>
    <row r="18416" spans="7:16" s="1634" customFormat="1">
      <c r="G18416" s="3336"/>
      <c r="P18416" s="3337"/>
    </row>
    <row r="18417" spans="7:16" s="1634" customFormat="1">
      <c r="G18417" s="3336"/>
      <c r="P18417" s="3337"/>
    </row>
    <row r="18418" spans="7:16" s="1634" customFormat="1">
      <c r="G18418" s="3336"/>
      <c r="P18418" s="3337"/>
    </row>
    <row r="18419" spans="7:16" s="1634" customFormat="1">
      <c r="G18419" s="3336"/>
      <c r="P18419" s="3337"/>
    </row>
    <row r="18420" spans="7:16" s="1634" customFormat="1">
      <c r="G18420" s="3336"/>
      <c r="P18420" s="3337"/>
    </row>
    <row r="18421" spans="7:16" s="1634" customFormat="1">
      <c r="G18421" s="3336"/>
      <c r="P18421" s="3337"/>
    </row>
    <row r="18422" spans="7:16" s="1634" customFormat="1">
      <c r="G18422" s="3336"/>
      <c r="P18422" s="3337"/>
    </row>
    <row r="18423" spans="7:16" s="1634" customFormat="1">
      <c r="G18423" s="3336"/>
      <c r="P18423" s="3337"/>
    </row>
    <row r="18424" spans="7:16" s="1634" customFormat="1">
      <c r="G18424" s="3336"/>
      <c r="P18424" s="3337"/>
    </row>
    <row r="18425" spans="7:16" s="1634" customFormat="1">
      <c r="G18425" s="3336"/>
      <c r="P18425" s="3337"/>
    </row>
    <row r="18426" spans="7:16" s="1634" customFormat="1">
      <c r="G18426" s="3336"/>
      <c r="P18426" s="3337"/>
    </row>
    <row r="18427" spans="7:16" s="1634" customFormat="1">
      <c r="G18427" s="3336"/>
      <c r="P18427" s="3337"/>
    </row>
    <row r="18428" spans="7:16" s="1634" customFormat="1">
      <c r="G18428" s="3336"/>
      <c r="P18428" s="3337"/>
    </row>
    <row r="18429" spans="7:16" s="1634" customFormat="1">
      <c r="G18429" s="3336"/>
      <c r="P18429" s="3337"/>
    </row>
    <row r="18430" spans="7:16" s="1634" customFormat="1">
      <c r="G18430" s="3336"/>
      <c r="P18430" s="3337"/>
    </row>
    <row r="18431" spans="7:16" s="1634" customFormat="1">
      <c r="G18431" s="3336"/>
      <c r="P18431" s="3337"/>
    </row>
    <row r="18432" spans="7:16" s="1634" customFormat="1">
      <c r="G18432" s="3336"/>
      <c r="P18432" s="3337"/>
    </row>
    <row r="18433" spans="7:16" s="1634" customFormat="1">
      <c r="G18433" s="3336"/>
      <c r="P18433" s="3337"/>
    </row>
    <row r="18434" spans="7:16" s="1634" customFormat="1">
      <c r="G18434" s="3336"/>
      <c r="P18434" s="3337"/>
    </row>
    <row r="18435" spans="7:16" s="1634" customFormat="1">
      <c r="G18435" s="3336"/>
      <c r="P18435" s="3337"/>
    </row>
    <row r="18436" spans="7:16" s="1634" customFormat="1">
      <c r="G18436" s="3336"/>
      <c r="P18436" s="3337"/>
    </row>
    <row r="18437" spans="7:16" s="1634" customFormat="1">
      <c r="G18437" s="3336"/>
      <c r="P18437" s="3337"/>
    </row>
    <row r="18438" spans="7:16" s="1634" customFormat="1">
      <c r="G18438" s="3336"/>
      <c r="P18438" s="3337"/>
    </row>
    <row r="18439" spans="7:16" s="1634" customFormat="1">
      <c r="G18439" s="3336"/>
      <c r="P18439" s="3337"/>
    </row>
    <row r="18440" spans="7:16" s="1634" customFormat="1">
      <c r="G18440" s="3336"/>
      <c r="P18440" s="3337"/>
    </row>
    <row r="18441" spans="7:16" s="1634" customFormat="1">
      <c r="G18441" s="3336"/>
      <c r="P18441" s="3337"/>
    </row>
    <row r="18442" spans="7:16" s="1634" customFormat="1">
      <c r="G18442" s="3336"/>
      <c r="P18442" s="3337"/>
    </row>
    <row r="18443" spans="7:16" s="1634" customFormat="1">
      <c r="G18443" s="3336"/>
      <c r="P18443" s="3337"/>
    </row>
    <row r="18444" spans="7:16" s="1634" customFormat="1">
      <c r="G18444" s="3336"/>
      <c r="P18444" s="3337"/>
    </row>
    <row r="18445" spans="7:16" s="1634" customFormat="1">
      <c r="G18445" s="3336"/>
      <c r="P18445" s="3337"/>
    </row>
    <row r="18446" spans="7:16" s="1634" customFormat="1">
      <c r="G18446" s="3336"/>
      <c r="P18446" s="3337"/>
    </row>
    <row r="18447" spans="7:16" s="1634" customFormat="1">
      <c r="G18447" s="3336"/>
      <c r="P18447" s="3337"/>
    </row>
    <row r="18448" spans="7:16" s="1634" customFormat="1">
      <c r="G18448" s="3336"/>
      <c r="P18448" s="3337"/>
    </row>
    <row r="18449" spans="7:16" s="1634" customFormat="1">
      <c r="G18449" s="3336"/>
      <c r="P18449" s="3337"/>
    </row>
    <row r="18450" spans="7:16" s="1634" customFormat="1">
      <c r="G18450" s="3336"/>
      <c r="P18450" s="3337"/>
    </row>
    <row r="18451" spans="7:16" s="1634" customFormat="1">
      <c r="G18451" s="3336"/>
      <c r="P18451" s="3337"/>
    </row>
    <row r="18452" spans="7:16" s="1634" customFormat="1">
      <c r="G18452" s="3336"/>
      <c r="P18452" s="3337"/>
    </row>
    <row r="18453" spans="7:16" s="1634" customFormat="1">
      <c r="G18453" s="3336"/>
      <c r="P18453" s="3337"/>
    </row>
    <row r="18454" spans="7:16" s="1634" customFormat="1">
      <c r="G18454" s="3336"/>
      <c r="P18454" s="3337"/>
    </row>
    <row r="18455" spans="7:16" s="1634" customFormat="1">
      <c r="G18455" s="3336"/>
      <c r="P18455" s="3337"/>
    </row>
    <row r="18456" spans="7:16" s="1634" customFormat="1">
      <c r="G18456" s="3336"/>
      <c r="P18456" s="3337"/>
    </row>
    <row r="18457" spans="7:16" s="1634" customFormat="1">
      <c r="G18457" s="3336"/>
      <c r="P18457" s="3337"/>
    </row>
    <row r="18458" spans="7:16" s="1634" customFormat="1">
      <c r="G18458" s="3336"/>
      <c r="P18458" s="3337"/>
    </row>
    <row r="18459" spans="7:16" s="1634" customFormat="1">
      <c r="G18459" s="3336"/>
      <c r="P18459" s="3337"/>
    </row>
    <row r="18460" spans="7:16" s="1634" customFormat="1">
      <c r="G18460" s="3336"/>
      <c r="P18460" s="3337"/>
    </row>
    <row r="18461" spans="7:16" s="1634" customFormat="1">
      <c r="G18461" s="3336"/>
      <c r="P18461" s="3337"/>
    </row>
    <row r="18462" spans="7:16" s="1634" customFormat="1">
      <c r="G18462" s="3336"/>
      <c r="P18462" s="3337"/>
    </row>
    <row r="18463" spans="7:16" s="1634" customFormat="1">
      <c r="G18463" s="3336"/>
      <c r="P18463" s="3337"/>
    </row>
    <row r="18464" spans="7:16" s="1634" customFormat="1">
      <c r="G18464" s="3336"/>
      <c r="P18464" s="3337"/>
    </row>
    <row r="18465" spans="7:16" s="1634" customFormat="1">
      <c r="G18465" s="3336"/>
      <c r="P18465" s="3337"/>
    </row>
    <row r="18466" spans="7:16" s="1634" customFormat="1">
      <c r="G18466" s="3336"/>
      <c r="P18466" s="3337"/>
    </row>
    <row r="18467" spans="7:16" s="1634" customFormat="1">
      <c r="G18467" s="3336"/>
      <c r="P18467" s="3337"/>
    </row>
    <row r="18468" spans="7:16" s="1634" customFormat="1">
      <c r="G18468" s="3336"/>
      <c r="P18468" s="3337"/>
    </row>
    <row r="18469" spans="7:16" s="1634" customFormat="1">
      <c r="G18469" s="3336"/>
      <c r="P18469" s="3337"/>
    </row>
    <row r="18470" spans="7:16" s="1634" customFormat="1">
      <c r="G18470" s="3336"/>
      <c r="P18470" s="3337"/>
    </row>
    <row r="18471" spans="7:16" s="1634" customFormat="1">
      <c r="G18471" s="3336"/>
      <c r="P18471" s="3337"/>
    </row>
    <row r="18472" spans="7:16" s="1634" customFormat="1">
      <c r="G18472" s="3336"/>
      <c r="P18472" s="3337"/>
    </row>
    <row r="18473" spans="7:16" s="1634" customFormat="1">
      <c r="G18473" s="3336"/>
      <c r="P18473" s="3337"/>
    </row>
    <row r="18474" spans="7:16" s="1634" customFormat="1">
      <c r="G18474" s="3336"/>
      <c r="P18474" s="3337"/>
    </row>
    <row r="18475" spans="7:16" s="1634" customFormat="1">
      <c r="G18475" s="3336"/>
      <c r="P18475" s="3337"/>
    </row>
    <row r="18476" spans="7:16" s="1634" customFormat="1">
      <c r="G18476" s="3336"/>
      <c r="P18476" s="3337"/>
    </row>
    <row r="18477" spans="7:16" s="1634" customFormat="1">
      <c r="G18477" s="3336"/>
      <c r="P18477" s="3337"/>
    </row>
    <row r="18478" spans="7:16" s="1634" customFormat="1">
      <c r="G18478" s="3336"/>
      <c r="P18478" s="3337"/>
    </row>
    <row r="18479" spans="7:16" s="1634" customFormat="1">
      <c r="G18479" s="3336"/>
      <c r="P18479" s="3337"/>
    </row>
    <row r="18480" spans="7:16" s="1634" customFormat="1">
      <c r="G18480" s="3336"/>
      <c r="P18480" s="3337"/>
    </row>
    <row r="18481" spans="7:16" s="1634" customFormat="1">
      <c r="G18481" s="3336"/>
      <c r="P18481" s="3337"/>
    </row>
    <row r="18482" spans="7:16" s="1634" customFormat="1">
      <c r="G18482" s="3336"/>
      <c r="P18482" s="3337"/>
    </row>
    <row r="18483" spans="7:16" s="1634" customFormat="1">
      <c r="G18483" s="3336"/>
      <c r="P18483" s="3337"/>
    </row>
    <row r="18484" spans="7:16" s="1634" customFormat="1">
      <c r="G18484" s="3336"/>
      <c r="P18484" s="3337"/>
    </row>
    <row r="18485" spans="7:16" s="1634" customFormat="1">
      <c r="G18485" s="3336"/>
      <c r="P18485" s="3337"/>
    </row>
    <row r="18486" spans="7:16" s="1634" customFormat="1">
      <c r="G18486" s="3336"/>
      <c r="P18486" s="3337"/>
    </row>
    <row r="18487" spans="7:16" s="1634" customFormat="1">
      <c r="G18487" s="3336"/>
      <c r="P18487" s="3337"/>
    </row>
    <row r="18488" spans="7:16" s="1634" customFormat="1">
      <c r="G18488" s="3336"/>
      <c r="P18488" s="3337"/>
    </row>
    <row r="18489" spans="7:16" s="1634" customFormat="1">
      <c r="G18489" s="3336"/>
      <c r="P18489" s="3337"/>
    </row>
    <row r="18490" spans="7:16" s="1634" customFormat="1">
      <c r="G18490" s="3336"/>
      <c r="P18490" s="3337"/>
    </row>
    <row r="18491" spans="7:16" s="1634" customFormat="1">
      <c r="G18491" s="3336"/>
      <c r="P18491" s="3337"/>
    </row>
    <row r="18492" spans="7:16" s="1634" customFormat="1">
      <c r="G18492" s="3336"/>
      <c r="P18492" s="3337"/>
    </row>
    <row r="18493" spans="7:16" s="1634" customFormat="1">
      <c r="G18493" s="3336"/>
      <c r="P18493" s="3337"/>
    </row>
    <row r="18494" spans="7:16" s="1634" customFormat="1">
      <c r="G18494" s="3336"/>
      <c r="P18494" s="3337"/>
    </row>
    <row r="18495" spans="7:16" s="1634" customFormat="1">
      <c r="G18495" s="3336"/>
      <c r="P18495" s="3337"/>
    </row>
    <row r="18496" spans="7:16" s="1634" customFormat="1">
      <c r="G18496" s="3336"/>
      <c r="P18496" s="3337"/>
    </row>
    <row r="18497" spans="7:16" s="1634" customFormat="1">
      <c r="G18497" s="3336"/>
      <c r="P18497" s="3337"/>
    </row>
    <row r="18498" spans="7:16" s="1634" customFormat="1">
      <c r="G18498" s="3336"/>
      <c r="P18498" s="3337"/>
    </row>
    <row r="18499" spans="7:16" s="1634" customFormat="1">
      <c r="G18499" s="3336"/>
      <c r="P18499" s="3337"/>
    </row>
    <row r="18500" spans="7:16" s="1634" customFormat="1">
      <c r="G18500" s="3336"/>
      <c r="P18500" s="3337"/>
    </row>
    <row r="18501" spans="7:16" s="1634" customFormat="1">
      <c r="G18501" s="3336"/>
      <c r="P18501" s="3337"/>
    </row>
    <row r="18502" spans="7:16" s="1634" customFormat="1">
      <c r="G18502" s="3336"/>
      <c r="P18502" s="3337"/>
    </row>
    <row r="18503" spans="7:16" s="1634" customFormat="1">
      <c r="G18503" s="3336"/>
      <c r="P18503" s="3337"/>
    </row>
    <row r="18504" spans="7:16" s="1634" customFormat="1">
      <c r="G18504" s="3336"/>
      <c r="P18504" s="3337"/>
    </row>
    <row r="18505" spans="7:16" s="1634" customFormat="1">
      <c r="G18505" s="3336"/>
      <c r="P18505" s="3337"/>
    </row>
    <row r="18506" spans="7:16" s="1634" customFormat="1">
      <c r="G18506" s="3336"/>
      <c r="P18506" s="3337"/>
    </row>
    <row r="18507" spans="7:16" s="1634" customFormat="1">
      <c r="G18507" s="3336"/>
      <c r="P18507" s="3337"/>
    </row>
    <row r="18508" spans="7:16" s="1634" customFormat="1">
      <c r="G18508" s="3336"/>
      <c r="P18508" s="3337"/>
    </row>
    <row r="18509" spans="7:16" s="1634" customFormat="1">
      <c r="G18509" s="3336"/>
      <c r="P18509" s="3337"/>
    </row>
    <row r="18510" spans="7:16" s="1634" customFormat="1">
      <c r="G18510" s="3336"/>
      <c r="P18510" s="3337"/>
    </row>
    <row r="18511" spans="7:16" s="1634" customFormat="1">
      <c r="G18511" s="3336"/>
      <c r="P18511" s="3337"/>
    </row>
    <row r="18512" spans="7:16" s="1634" customFormat="1">
      <c r="G18512" s="3336"/>
      <c r="P18512" s="3337"/>
    </row>
    <row r="18513" spans="7:16" s="1634" customFormat="1">
      <c r="G18513" s="3336"/>
      <c r="P18513" s="3337"/>
    </row>
    <row r="18514" spans="7:16" s="1634" customFormat="1">
      <c r="G18514" s="3336"/>
      <c r="P18514" s="3337"/>
    </row>
    <row r="18515" spans="7:16" s="1634" customFormat="1">
      <c r="G18515" s="3336"/>
      <c r="P18515" s="3337"/>
    </row>
    <row r="18516" spans="7:16" s="1634" customFormat="1">
      <c r="G18516" s="3336"/>
      <c r="P18516" s="3337"/>
    </row>
    <row r="18517" spans="7:16" s="1634" customFormat="1">
      <c r="G18517" s="3336"/>
      <c r="P18517" s="3337"/>
    </row>
    <row r="18518" spans="7:16" s="1634" customFormat="1">
      <c r="G18518" s="3336"/>
      <c r="P18518" s="3337"/>
    </row>
    <row r="18519" spans="7:16" s="1634" customFormat="1">
      <c r="G18519" s="3336"/>
      <c r="P18519" s="3337"/>
    </row>
    <row r="18520" spans="7:16" s="1634" customFormat="1">
      <c r="G18520" s="3336"/>
      <c r="P18520" s="3337"/>
    </row>
    <row r="18521" spans="7:16" s="1634" customFormat="1">
      <c r="G18521" s="3336"/>
      <c r="P18521" s="3337"/>
    </row>
    <row r="18522" spans="7:16" s="1634" customFormat="1">
      <c r="G18522" s="3336"/>
      <c r="P18522" s="3337"/>
    </row>
    <row r="18523" spans="7:16" s="1634" customFormat="1">
      <c r="G18523" s="3336"/>
      <c r="P18523" s="3337"/>
    </row>
    <row r="18524" spans="7:16" s="1634" customFormat="1">
      <c r="G18524" s="3336"/>
      <c r="P18524" s="3337"/>
    </row>
    <row r="18525" spans="7:16" s="1634" customFormat="1">
      <c r="G18525" s="3336"/>
      <c r="P18525" s="3337"/>
    </row>
    <row r="18526" spans="7:16" s="1634" customFormat="1">
      <c r="G18526" s="3336"/>
      <c r="P18526" s="3337"/>
    </row>
    <row r="18527" spans="7:16" s="1634" customFormat="1">
      <c r="G18527" s="3336"/>
      <c r="P18527" s="3337"/>
    </row>
    <row r="18528" spans="7:16" s="1634" customFormat="1">
      <c r="G18528" s="3336"/>
      <c r="P18528" s="3337"/>
    </row>
    <row r="18529" spans="7:16" s="1634" customFormat="1">
      <c r="G18529" s="3336"/>
      <c r="P18529" s="3337"/>
    </row>
    <row r="18530" spans="7:16" s="1634" customFormat="1">
      <c r="G18530" s="3336"/>
      <c r="P18530" s="3337"/>
    </row>
    <row r="18531" spans="7:16" s="1634" customFormat="1">
      <c r="G18531" s="3336"/>
      <c r="P18531" s="3337"/>
    </row>
    <row r="18532" spans="7:16" s="1634" customFormat="1">
      <c r="G18532" s="3336"/>
      <c r="P18532" s="3337"/>
    </row>
    <row r="18533" spans="7:16" s="1634" customFormat="1">
      <c r="G18533" s="3336"/>
      <c r="P18533" s="3337"/>
    </row>
    <row r="18534" spans="7:16" s="1634" customFormat="1">
      <c r="G18534" s="3336"/>
      <c r="P18534" s="3337"/>
    </row>
    <row r="18535" spans="7:16" s="1634" customFormat="1">
      <c r="G18535" s="3336"/>
      <c r="P18535" s="3337"/>
    </row>
    <row r="18536" spans="7:16" s="1634" customFormat="1">
      <c r="G18536" s="3336"/>
      <c r="P18536" s="3337"/>
    </row>
    <row r="18537" spans="7:16" s="1634" customFormat="1">
      <c r="G18537" s="3336"/>
      <c r="P18537" s="3337"/>
    </row>
    <row r="18538" spans="7:16" s="1634" customFormat="1">
      <c r="G18538" s="3336"/>
      <c r="P18538" s="3337"/>
    </row>
    <row r="18539" spans="7:16" s="1634" customFormat="1">
      <c r="G18539" s="3336"/>
      <c r="P18539" s="3337"/>
    </row>
    <row r="18540" spans="7:16" s="1634" customFormat="1">
      <c r="G18540" s="3336"/>
      <c r="P18540" s="3337"/>
    </row>
    <row r="18541" spans="7:16" s="1634" customFormat="1">
      <c r="G18541" s="3336"/>
      <c r="P18541" s="3337"/>
    </row>
    <row r="18542" spans="7:16" s="1634" customFormat="1">
      <c r="G18542" s="3336"/>
      <c r="P18542" s="3337"/>
    </row>
    <row r="18543" spans="7:16" s="1634" customFormat="1">
      <c r="G18543" s="3336"/>
      <c r="P18543" s="3337"/>
    </row>
    <row r="18544" spans="7:16" s="1634" customFormat="1">
      <c r="G18544" s="3336"/>
      <c r="P18544" s="3337"/>
    </row>
    <row r="18545" spans="7:16" s="1634" customFormat="1">
      <c r="G18545" s="3336"/>
      <c r="P18545" s="3337"/>
    </row>
    <row r="18546" spans="7:16" s="1634" customFormat="1">
      <c r="G18546" s="3336"/>
      <c r="P18546" s="3337"/>
    </row>
    <row r="18547" spans="7:16" s="1634" customFormat="1">
      <c r="G18547" s="3336"/>
      <c r="P18547" s="3337"/>
    </row>
    <row r="18548" spans="7:16" s="1634" customFormat="1">
      <c r="G18548" s="3336"/>
      <c r="P18548" s="3337"/>
    </row>
    <row r="18549" spans="7:16" s="1634" customFormat="1">
      <c r="G18549" s="3336"/>
      <c r="P18549" s="3337"/>
    </row>
    <row r="18550" spans="7:16" s="1634" customFormat="1">
      <c r="G18550" s="3336"/>
      <c r="P18550" s="3337"/>
    </row>
    <row r="18551" spans="7:16" s="1634" customFormat="1">
      <c r="G18551" s="3336"/>
      <c r="P18551" s="3337"/>
    </row>
    <row r="18552" spans="7:16" s="1634" customFormat="1">
      <c r="G18552" s="3336"/>
      <c r="P18552" s="3337"/>
    </row>
    <row r="18553" spans="7:16" s="1634" customFormat="1">
      <c r="G18553" s="3336"/>
      <c r="P18553" s="3337"/>
    </row>
    <row r="18554" spans="7:16" s="1634" customFormat="1">
      <c r="G18554" s="3336"/>
      <c r="P18554" s="3337"/>
    </row>
    <row r="18555" spans="7:16" s="1634" customFormat="1">
      <c r="G18555" s="3336"/>
      <c r="P18555" s="3337"/>
    </row>
    <row r="18556" spans="7:16" s="1634" customFormat="1">
      <c r="G18556" s="3336"/>
      <c r="P18556" s="3337"/>
    </row>
    <row r="18557" spans="7:16" s="1634" customFormat="1">
      <c r="G18557" s="3336"/>
      <c r="P18557" s="3337"/>
    </row>
    <row r="18558" spans="7:16" s="1634" customFormat="1">
      <c r="G18558" s="3336"/>
      <c r="P18558" s="3337"/>
    </row>
    <row r="18559" spans="7:16" s="1634" customFormat="1">
      <c r="G18559" s="3336"/>
      <c r="P18559" s="3337"/>
    </row>
    <row r="18560" spans="7:16" s="1634" customFormat="1">
      <c r="G18560" s="3336"/>
      <c r="P18560" s="3337"/>
    </row>
    <row r="18561" spans="7:16" s="1634" customFormat="1">
      <c r="G18561" s="3336"/>
      <c r="P18561" s="3337"/>
    </row>
    <row r="18562" spans="7:16" s="1634" customFormat="1">
      <c r="G18562" s="3336"/>
      <c r="P18562" s="3337"/>
    </row>
    <row r="18563" spans="7:16" s="1634" customFormat="1">
      <c r="G18563" s="3336"/>
      <c r="P18563" s="3337"/>
    </row>
    <row r="18564" spans="7:16" s="1634" customFormat="1">
      <c r="G18564" s="3336"/>
      <c r="P18564" s="3337"/>
    </row>
    <row r="18565" spans="7:16" s="1634" customFormat="1">
      <c r="G18565" s="3336"/>
      <c r="P18565" s="3337"/>
    </row>
    <row r="18566" spans="7:16" s="1634" customFormat="1">
      <c r="G18566" s="3336"/>
      <c r="P18566" s="3337"/>
    </row>
    <row r="18567" spans="7:16" s="1634" customFormat="1">
      <c r="G18567" s="3336"/>
      <c r="P18567" s="3337"/>
    </row>
    <row r="18568" spans="7:16" s="1634" customFormat="1">
      <c r="G18568" s="3336"/>
      <c r="P18568" s="3337"/>
    </row>
    <row r="18569" spans="7:16" s="1634" customFormat="1">
      <c r="G18569" s="3336"/>
      <c r="P18569" s="3337"/>
    </row>
    <row r="18570" spans="7:16" s="1634" customFormat="1">
      <c r="G18570" s="3336"/>
      <c r="P18570" s="3337"/>
    </row>
    <row r="18571" spans="7:16" s="1634" customFormat="1">
      <c r="G18571" s="3336"/>
      <c r="P18571" s="3337"/>
    </row>
    <row r="18572" spans="7:16" s="1634" customFormat="1">
      <c r="G18572" s="3336"/>
      <c r="P18572" s="3337"/>
    </row>
    <row r="18573" spans="7:16" s="1634" customFormat="1">
      <c r="G18573" s="3336"/>
      <c r="P18573" s="3337"/>
    </row>
    <row r="18574" spans="7:16" s="1634" customFormat="1">
      <c r="G18574" s="3336"/>
      <c r="P18574" s="3337"/>
    </row>
    <row r="18575" spans="7:16" s="1634" customFormat="1">
      <c r="G18575" s="3336"/>
      <c r="P18575" s="3337"/>
    </row>
    <row r="18576" spans="7:16" s="1634" customFormat="1">
      <c r="G18576" s="3336"/>
      <c r="P18576" s="3337"/>
    </row>
    <row r="18577" spans="7:16" s="1634" customFormat="1">
      <c r="G18577" s="3336"/>
      <c r="P18577" s="3337"/>
    </row>
    <row r="18578" spans="7:16" s="1634" customFormat="1">
      <c r="G18578" s="3336"/>
      <c r="P18578" s="3337"/>
    </row>
    <row r="18579" spans="7:16" s="1634" customFormat="1">
      <c r="G18579" s="3336"/>
      <c r="P18579" s="3337"/>
    </row>
    <row r="18580" spans="7:16" s="1634" customFormat="1">
      <c r="G18580" s="3336"/>
      <c r="P18580" s="3337"/>
    </row>
    <row r="18581" spans="7:16" s="1634" customFormat="1">
      <c r="G18581" s="3336"/>
      <c r="P18581" s="3337"/>
    </row>
    <row r="18582" spans="7:16" s="1634" customFormat="1">
      <c r="G18582" s="3336"/>
      <c r="P18582" s="3337"/>
    </row>
    <row r="18583" spans="7:16" s="1634" customFormat="1">
      <c r="G18583" s="3336"/>
      <c r="P18583" s="3337"/>
    </row>
    <row r="18584" spans="7:16" s="1634" customFormat="1">
      <c r="G18584" s="3336"/>
      <c r="P18584" s="3337"/>
    </row>
    <row r="18585" spans="7:16" s="1634" customFormat="1">
      <c r="G18585" s="3336"/>
      <c r="P18585" s="3337"/>
    </row>
    <row r="18586" spans="7:16" s="1634" customFormat="1">
      <c r="G18586" s="3336"/>
      <c r="P18586" s="3337"/>
    </row>
    <row r="18587" spans="7:16" s="1634" customFormat="1">
      <c r="G18587" s="3336"/>
      <c r="P18587" s="3337"/>
    </row>
    <row r="18588" spans="7:16" s="1634" customFormat="1">
      <c r="G18588" s="3336"/>
      <c r="P18588" s="3337"/>
    </row>
    <row r="18589" spans="7:16" s="1634" customFormat="1">
      <c r="G18589" s="3336"/>
      <c r="P18589" s="3337"/>
    </row>
    <row r="18590" spans="7:16" s="1634" customFormat="1">
      <c r="G18590" s="3336"/>
      <c r="P18590" s="3337"/>
    </row>
    <row r="18591" spans="7:16" s="1634" customFormat="1">
      <c r="G18591" s="3336"/>
      <c r="P18591" s="3337"/>
    </row>
    <row r="18592" spans="7:16" s="1634" customFormat="1">
      <c r="G18592" s="3336"/>
      <c r="P18592" s="3337"/>
    </row>
    <row r="18593" spans="7:16" s="1634" customFormat="1">
      <c r="G18593" s="3336"/>
      <c r="P18593" s="3337"/>
    </row>
    <row r="18594" spans="7:16" s="1634" customFormat="1">
      <c r="G18594" s="3336"/>
      <c r="P18594" s="3337"/>
    </row>
    <row r="18595" spans="7:16" s="1634" customFormat="1">
      <c r="G18595" s="3336"/>
      <c r="P18595" s="3337"/>
    </row>
    <row r="18596" spans="7:16" s="1634" customFormat="1">
      <c r="G18596" s="3336"/>
      <c r="P18596" s="3337"/>
    </row>
    <row r="18597" spans="7:16" s="1634" customFormat="1">
      <c r="G18597" s="3336"/>
      <c r="P18597" s="3337"/>
    </row>
    <row r="18598" spans="7:16" s="1634" customFormat="1">
      <c r="G18598" s="3336"/>
      <c r="P18598" s="3337"/>
    </row>
    <row r="18599" spans="7:16" s="1634" customFormat="1">
      <c r="G18599" s="3336"/>
      <c r="P18599" s="3337"/>
    </row>
    <row r="18600" spans="7:16" s="1634" customFormat="1">
      <c r="G18600" s="3336"/>
      <c r="P18600" s="3337"/>
    </row>
    <row r="18601" spans="7:16" s="1634" customFormat="1">
      <c r="G18601" s="3336"/>
      <c r="P18601" s="3337"/>
    </row>
    <row r="18602" spans="7:16" s="1634" customFormat="1">
      <c r="G18602" s="3336"/>
      <c r="P18602" s="3337"/>
    </row>
    <row r="18603" spans="7:16" s="1634" customFormat="1">
      <c r="G18603" s="3336"/>
      <c r="P18603" s="3337"/>
    </row>
    <row r="18604" spans="7:16" s="1634" customFormat="1">
      <c r="G18604" s="3336"/>
      <c r="P18604" s="3337"/>
    </row>
    <row r="18605" spans="7:16" s="1634" customFormat="1">
      <c r="G18605" s="3336"/>
      <c r="P18605" s="3337"/>
    </row>
    <row r="18606" spans="7:16" s="1634" customFormat="1">
      <c r="G18606" s="3336"/>
      <c r="P18606" s="3337"/>
    </row>
    <row r="18607" spans="7:16" s="1634" customFormat="1">
      <c r="G18607" s="3336"/>
      <c r="P18607" s="3337"/>
    </row>
    <row r="18608" spans="7:16" s="1634" customFormat="1">
      <c r="G18608" s="3336"/>
      <c r="P18608" s="3337"/>
    </row>
    <row r="18609" spans="7:16" s="1634" customFormat="1">
      <c r="G18609" s="3336"/>
      <c r="P18609" s="3337"/>
    </row>
    <row r="18610" spans="7:16" s="1634" customFormat="1">
      <c r="G18610" s="3336"/>
      <c r="P18610" s="3337"/>
    </row>
    <row r="18611" spans="7:16" s="1634" customFormat="1">
      <c r="G18611" s="3336"/>
      <c r="P18611" s="3337"/>
    </row>
    <row r="18612" spans="7:16" s="1634" customFormat="1">
      <c r="G18612" s="3336"/>
      <c r="P18612" s="3337"/>
    </row>
    <row r="18613" spans="7:16" s="1634" customFormat="1">
      <c r="G18613" s="3336"/>
      <c r="P18613" s="3337"/>
    </row>
    <row r="18614" spans="7:16" s="1634" customFormat="1">
      <c r="G18614" s="3336"/>
      <c r="P18614" s="3337"/>
    </row>
    <row r="18615" spans="7:16" s="1634" customFormat="1">
      <c r="G18615" s="3336"/>
      <c r="P18615" s="3337"/>
    </row>
    <row r="18616" spans="7:16" s="1634" customFormat="1">
      <c r="G18616" s="3336"/>
      <c r="P18616" s="3337"/>
    </row>
    <row r="18617" spans="7:16" s="1634" customFormat="1">
      <c r="G18617" s="3336"/>
      <c r="P18617" s="3337"/>
    </row>
    <row r="18618" spans="7:16" s="1634" customFormat="1">
      <c r="G18618" s="3336"/>
      <c r="P18618" s="3337"/>
    </row>
    <row r="18619" spans="7:16" s="1634" customFormat="1">
      <c r="G18619" s="3336"/>
      <c r="P18619" s="3337"/>
    </row>
    <row r="18620" spans="7:16" s="1634" customFormat="1">
      <c r="G18620" s="3336"/>
      <c r="P18620" s="3337"/>
    </row>
    <row r="18621" spans="7:16" s="1634" customFormat="1">
      <c r="G18621" s="3336"/>
      <c r="P18621" s="3337"/>
    </row>
    <row r="18622" spans="7:16" s="1634" customFormat="1">
      <c r="G18622" s="3336"/>
      <c r="P18622" s="3337"/>
    </row>
    <row r="18623" spans="7:16" s="1634" customFormat="1">
      <c r="G18623" s="3336"/>
      <c r="P18623" s="3337"/>
    </row>
    <row r="18624" spans="7:16" s="1634" customFormat="1">
      <c r="G18624" s="3336"/>
      <c r="P18624" s="3337"/>
    </row>
    <row r="18625" spans="7:16" s="1634" customFormat="1">
      <c r="G18625" s="3336"/>
      <c r="P18625" s="3337"/>
    </row>
    <row r="18626" spans="7:16" s="1634" customFormat="1">
      <c r="G18626" s="3336"/>
      <c r="P18626" s="3337"/>
    </row>
    <row r="18627" spans="7:16" s="1634" customFormat="1">
      <c r="G18627" s="3336"/>
      <c r="P18627" s="3337"/>
    </row>
    <row r="18628" spans="7:16" s="1634" customFormat="1">
      <c r="G18628" s="3336"/>
      <c r="P18628" s="3337"/>
    </row>
    <row r="18629" spans="7:16" s="1634" customFormat="1">
      <c r="G18629" s="3336"/>
      <c r="P18629" s="3337"/>
    </row>
    <row r="18630" spans="7:16" s="1634" customFormat="1">
      <c r="G18630" s="3336"/>
      <c r="P18630" s="3337"/>
    </row>
    <row r="18631" spans="7:16" s="1634" customFormat="1">
      <c r="G18631" s="3336"/>
      <c r="P18631" s="3337"/>
    </row>
    <row r="18632" spans="7:16" s="1634" customFormat="1">
      <c r="G18632" s="3336"/>
      <c r="P18632" s="3337"/>
    </row>
    <row r="18633" spans="7:16" s="1634" customFormat="1">
      <c r="G18633" s="3336"/>
      <c r="P18633" s="3337"/>
    </row>
    <row r="18634" spans="7:16" s="1634" customFormat="1">
      <c r="G18634" s="3336"/>
      <c r="P18634" s="3337"/>
    </row>
    <row r="18635" spans="7:16" s="1634" customFormat="1">
      <c r="G18635" s="3336"/>
      <c r="P18635" s="3337"/>
    </row>
    <row r="18636" spans="7:16" s="1634" customFormat="1">
      <c r="G18636" s="3336"/>
      <c r="P18636" s="3337"/>
    </row>
    <row r="18637" spans="7:16" s="1634" customFormat="1">
      <c r="G18637" s="3336"/>
      <c r="P18637" s="3337"/>
    </row>
    <row r="18638" spans="7:16" s="1634" customFormat="1">
      <c r="G18638" s="3336"/>
      <c r="P18638" s="3337"/>
    </row>
    <row r="18639" spans="7:16" s="1634" customFormat="1">
      <c r="G18639" s="3336"/>
      <c r="P18639" s="3337"/>
    </row>
    <row r="18640" spans="7:16" s="1634" customFormat="1">
      <c r="G18640" s="3336"/>
      <c r="P18640" s="3337"/>
    </row>
    <row r="18641" spans="7:16" s="1634" customFormat="1">
      <c r="G18641" s="3336"/>
      <c r="P18641" s="3337"/>
    </row>
    <row r="18642" spans="7:16" s="1634" customFormat="1">
      <c r="G18642" s="3336"/>
      <c r="P18642" s="3337"/>
    </row>
    <row r="18643" spans="7:16" s="1634" customFormat="1">
      <c r="G18643" s="3336"/>
      <c r="P18643" s="3337"/>
    </row>
    <row r="18644" spans="7:16" s="1634" customFormat="1">
      <c r="G18644" s="3336"/>
      <c r="P18644" s="3337"/>
    </row>
    <row r="18645" spans="7:16" s="1634" customFormat="1">
      <c r="G18645" s="3336"/>
      <c r="P18645" s="3337"/>
    </row>
    <row r="18646" spans="7:16" s="1634" customFormat="1">
      <c r="G18646" s="3336"/>
      <c r="P18646" s="3337"/>
    </row>
    <row r="18647" spans="7:16" s="1634" customFormat="1">
      <c r="G18647" s="3336"/>
      <c r="P18647" s="3337"/>
    </row>
    <row r="18648" spans="7:16" s="1634" customFormat="1">
      <c r="G18648" s="3336"/>
      <c r="P18648" s="3337"/>
    </row>
    <row r="18649" spans="7:16" s="1634" customFormat="1">
      <c r="G18649" s="3336"/>
      <c r="P18649" s="3337"/>
    </row>
    <row r="18650" spans="7:16" s="1634" customFormat="1">
      <c r="G18650" s="3336"/>
      <c r="P18650" s="3337"/>
    </row>
    <row r="18651" spans="7:16" s="1634" customFormat="1">
      <c r="G18651" s="3336"/>
      <c r="P18651" s="3337"/>
    </row>
    <row r="18652" spans="7:16" s="1634" customFormat="1">
      <c r="G18652" s="3336"/>
      <c r="P18652" s="3337"/>
    </row>
    <row r="18653" spans="7:16" s="1634" customFormat="1">
      <c r="G18653" s="3336"/>
      <c r="P18653" s="3337"/>
    </row>
    <row r="18654" spans="7:16" s="1634" customFormat="1">
      <c r="G18654" s="3336"/>
      <c r="P18654" s="3337"/>
    </row>
    <row r="18655" spans="7:16" s="1634" customFormat="1">
      <c r="G18655" s="3336"/>
      <c r="P18655" s="3337"/>
    </row>
    <row r="18656" spans="7:16" s="1634" customFormat="1">
      <c r="G18656" s="3336"/>
      <c r="P18656" s="3337"/>
    </row>
    <row r="18657" spans="7:16" s="1634" customFormat="1">
      <c r="G18657" s="3336"/>
      <c r="P18657" s="3337"/>
    </row>
    <row r="18658" spans="7:16" s="1634" customFormat="1">
      <c r="G18658" s="3336"/>
      <c r="P18658" s="3337"/>
    </row>
    <row r="18659" spans="7:16" s="1634" customFormat="1">
      <c r="G18659" s="3336"/>
      <c r="P18659" s="3337"/>
    </row>
    <row r="18660" spans="7:16" s="1634" customFormat="1">
      <c r="G18660" s="3336"/>
      <c r="P18660" s="3337"/>
    </row>
    <row r="18661" spans="7:16" s="1634" customFormat="1">
      <c r="G18661" s="3336"/>
      <c r="P18661" s="3337"/>
    </row>
    <row r="18662" spans="7:16" s="1634" customFormat="1">
      <c r="G18662" s="3336"/>
      <c r="P18662" s="3337"/>
    </row>
    <row r="18663" spans="7:16" s="1634" customFormat="1">
      <c r="G18663" s="3336"/>
      <c r="P18663" s="3337"/>
    </row>
    <row r="18664" spans="7:16" s="1634" customFormat="1">
      <c r="G18664" s="3336"/>
      <c r="P18664" s="3337"/>
    </row>
    <row r="18665" spans="7:16" s="1634" customFormat="1">
      <c r="G18665" s="3336"/>
      <c r="P18665" s="3337"/>
    </row>
    <row r="18666" spans="7:16" s="1634" customFormat="1">
      <c r="G18666" s="3336"/>
      <c r="P18666" s="3337"/>
    </row>
    <row r="18667" spans="7:16" s="1634" customFormat="1">
      <c r="G18667" s="3336"/>
      <c r="P18667" s="3337"/>
    </row>
    <row r="18668" spans="7:16" s="1634" customFormat="1">
      <c r="G18668" s="3336"/>
      <c r="P18668" s="3337"/>
    </row>
    <row r="18669" spans="7:16" s="1634" customFormat="1">
      <c r="G18669" s="3336"/>
      <c r="P18669" s="3337"/>
    </row>
    <row r="18670" spans="7:16" s="1634" customFormat="1">
      <c r="G18670" s="3336"/>
      <c r="P18670" s="3337"/>
    </row>
    <row r="18671" spans="7:16" s="1634" customFormat="1">
      <c r="G18671" s="3336"/>
      <c r="P18671" s="3337"/>
    </row>
    <row r="18672" spans="7:16" s="1634" customFormat="1">
      <c r="G18672" s="3336"/>
      <c r="P18672" s="3337"/>
    </row>
    <row r="18673" spans="7:16" s="1634" customFormat="1">
      <c r="G18673" s="3336"/>
      <c r="P18673" s="3337"/>
    </row>
    <row r="18674" spans="7:16" s="1634" customFormat="1">
      <c r="G18674" s="3336"/>
      <c r="P18674" s="3337"/>
    </row>
    <row r="18675" spans="7:16" s="1634" customFormat="1">
      <c r="G18675" s="3336"/>
      <c r="P18675" s="3337"/>
    </row>
    <row r="18676" spans="7:16" s="1634" customFormat="1">
      <c r="G18676" s="3336"/>
      <c r="P18676" s="3337"/>
    </row>
    <row r="18677" spans="7:16" s="1634" customFormat="1">
      <c r="G18677" s="3336"/>
      <c r="P18677" s="3337"/>
    </row>
    <row r="18678" spans="7:16" s="1634" customFormat="1">
      <c r="G18678" s="3336"/>
      <c r="P18678" s="3337"/>
    </row>
    <row r="18679" spans="7:16" s="1634" customFormat="1">
      <c r="G18679" s="3336"/>
      <c r="P18679" s="3337"/>
    </row>
    <row r="18680" spans="7:16" s="1634" customFormat="1">
      <c r="G18680" s="3336"/>
      <c r="P18680" s="3337"/>
    </row>
    <row r="18681" spans="7:16" s="1634" customFormat="1">
      <c r="G18681" s="3336"/>
      <c r="P18681" s="3337"/>
    </row>
    <row r="18682" spans="7:16" s="1634" customFormat="1">
      <c r="G18682" s="3336"/>
      <c r="P18682" s="3337"/>
    </row>
    <row r="18683" spans="7:16" s="1634" customFormat="1">
      <c r="G18683" s="3336"/>
      <c r="P18683" s="3337"/>
    </row>
    <row r="18684" spans="7:16" s="1634" customFormat="1">
      <c r="G18684" s="3336"/>
      <c r="P18684" s="3337"/>
    </row>
    <row r="18685" spans="7:16" s="1634" customFormat="1">
      <c r="G18685" s="3336"/>
      <c r="P18685" s="3337"/>
    </row>
    <row r="18686" spans="7:16" s="1634" customFormat="1">
      <c r="G18686" s="3336"/>
      <c r="P18686" s="3337"/>
    </row>
    <row r="18687" spans="7:16" s="1634" customFormat="1">
      <c r="G18687" s="3336"/>
      <c r="P18687" s="3337"/>
    </row>
    <row r="18688" spans="7:16" s="1634" customFormat="1">
      <c r="G18688" s="3336"/>
      <c r="P18688" s="3337"/>
    </row>
    <row r="18689" spans="7:16" s="1634" customFormat="1">
      <c r="G18689" s="3336"/>
      <c r="P18689" s="3337"/>
    </row>
    <row r="18690" spans="7:16" s="1634" customFormat="1">
      <c r="G18690" s="3336"/>
      <c r="P18690" s="3337"/>
    </row>
    <row r="18691" spans="7:16" s="1634" customFormat="1">
      <c r="G18691" s="3336"/>
      <c r="P18691" s="3337"/>
    </row>
    <row r="18692" spans="7:16" s="1634" customFormat="1">
      <c r="G18692" s="3336"/>
      <c r="P18692" s="3337"/>
    </row>
    <row r="18693" spans="7:16" s="1634" customFormat="1">
      <c r="G18693" s="3336"/>
      <c r="P18693" s="3337"/>
    </row>
    <row r="18694" spans="7:16" s="1634" customFormat="1">
      <c r="G18694" s="3336"/>
      <c r="P18694" s="3337"/>
    </row>
    <row r="18695" spans="7:16" s="1634" customFormat="1">
      <c r="G18695" s="3336"/>
      <c r="P18695" s="3337"/>
    </row>
    <row r="18696" spans="7:16" s="1634" customFormat="1">
      <c r="G18696" s="3336"/>
      <c r="P18696" s="3337"/>
    </row>
    <row r="18697" spans="7:16" s="1634" customFormat="1">
      <c r="G18697" s="3336"/>
      <c r="P18697" s="3337"/>
    </row>
    <row r="18698" spans="7:16" s="1634" customFormat="1">
      <c r="G18698" s="3336"/>
      <c r="P18698" s="3337"/>
    </row>
    <row r="18699" spans="7:16" s="1634" customFormat="1">
      <c r="G18699" s="3336"/>
      <c r="P18699" s="3337"/>
    </row>
    <row r="18700" spans="7:16" s="1634" customFormat="1">
      <c r="G18700" s="3336"/>
      <c r="P18700" s="3337"/>
    </row>
    <row r="18701" spans="7:16" s="1634" customFormat="1">
      <c r="G18701" s="3336"/>
      <c r="P18701" s="3337"/>
    </row>
    <row r="18702" spans="7:16" s="1634" customFormat="1">
      <c r="G18702" s="3336"/>
      <c r="P18702" s="3337"/>
    </row>
    <row r="18703" spans="7:16" s="1634" customFormat="1">
      <c r="G18703" s="3336"/>
      <c r="P18703" s="3337"/>
    </row>
    <row r="18704" spans="7:16" s="1634" customFormat="1">
      <c r="G18704" s="3336"/>
      <c r="P18704" s="3337"/>
    </row>
    <row r="18705" spans="7:16" s="1634" customFormat="1">
      <c r="G18705" s="3336"/>
      <c r="P18705" s="3337"/>
    </row>
    <row r="18706" spans="7:16" s="1634" customFormat="1">
      <c r="G18706" s="3336"/>
      <c r="P18706" s="3337"/>
    </row>
    <row r="18707" spans="7:16" s="1634" customFormat="1">
      <c r="G18707" s="3336"/>
      <c r="P18707" s="3337"/>
    </row>
    <row r="18708" spans="7:16" s="1634" customFormat="1">
      <c r="G18708" s="3336"/>
      <c r="P18708" s="3337"/>
    </row>
    <row r="18709" spans="7:16" s="1634" customFormat="1">
      <c r="G18709" s="3336"/>
      <c r="P18709" s="3337"/>
    </row>
    <row r="18710" spans="7:16" s="1634" customFormat="1">
      <c r="G18710" s="3336"/>
      <c r="P18710" s="3337"/>
    </row>
    <row r="18711" spans="7:16" s="1634" customFormat="1">
      <c r="G18711" s="3336"/>
      <c r="P18711" s="3337"/>
    </row>
    <row r="18712" spans="7:16" s="1634" customFormat="1">
      <c r="G18712" s="3336"/>
      <c r="P18712" s="3337"/>
    </row>
    <row r="18713" spans="7:16" s="1634" customFormat="1">
      <c r="G18713" s="3336"/>
      <c r="P18713" s="3337"/>
    </row>
    <row r="18714" spans="7:16" s="1634" customFormat="1">
      <c r="G18714" s="3336"/>
      <c r="P18714" s="3337"/>
    </row>
    <row r="18715" spans="7:16" s="1634" customFormat="1">
      <c r="G18715" s="3336"/>
      <c r="P18715" s="3337"/>
    </row>
    <row r="18716" spans="7:16" s="1634" customFormat="1">
      <c r="G18716" s="3336"/>
      <c r="P18716" s="3337"/>
    </row>
    <row r="18717" spans="7:16" s="1634" customFormat="1">
      <c r="G18717" s="3336"/>
      <c r="P18717" s="3337"/>
    </row>
    <row r="18718" spans="7:16" s="1634" customFormat="1">
      <c r="G18718" s="3336"/>
      <c r="P18718" s="3337"/>
    </row>
    <row r="18719" spans="7:16" s="1634" customFormat="1">
      <c r="G18719" s="3336"/>
      <c r="P18719" s="3337"/>
    </row>
    <row r="18720" spans="7:16" s="1634" customFormat="1">
      <c r="G18720" s="3336"/>
      <c r="P18720" s="3337"/>
    </row>
    <row r="18721" spans="7:16" s="1634" customFormat="1">
      <c r="G18721" s="3336"/>
      <c r="P18721" s="3337"/>
    </row>
    <row r="18722" spans="7:16" s="1634" customFormat="1">
      <c r="G18722" s="3336"/>
      <c r="P18722" s="3337"/>
    </row>
    <row r="18723" spans="7:16" s="1634" customFormat="1">
      <c r="G18723" s="3336"/>
      <c r="P18723" s="3337"/>
    </row>
    <row r="18724" spans="7:16" s="1634" customFormat="1">
      <c r="G18724" s="3336"/>
      <c r="P18724" s="3337"/>
    </row>
    <row r="18725" spans="7:16" s="1634" customFormat="1">
      <c r="G18725" s="3336"/>
      <c r="P18725" s="3337"/>
    </row>
    <row r="18726" spans="7:16" s="1634" customFormat="1">
      <c r="G18726" s="3336"/>
      <c r="P18726" s="3337"/>
    </row>
    <row r="18727" spans="7:16" s="1634" customFormat="1">
      <c r="G18727" s="3336"/>
      <c r="P18727" s="3337"/>
    </row>
    <row r="18728" spans="7:16" s="1634" customFormat="1">
      <c r="G18728" s="3336"/>
      <c r="P18728" s="3337"/>
    </row>
    <row r="18729" spans="7:16" s="1634" customFormat="1">
      <c r="G18729" s="3336"/>
      <c r="P18729" s="3337"/>
    </row>
    <row r="18730" spans="7:16" s="1634" customFormat="1">
      <c r="G18730" s="3336"/>
      <c r="P18730" s="3337"/>
    </row>
    <row r="18731" spans="7:16" s="1634" customFormat="1">
      <c r="G18731" s="3336"/>
      <c r="P18731" s="3337"/>
    </row>
    <row r="18732" spans="7:16" s="1634" customFormat="1">
      <c r="G18732" s="3336"/>
      <c r="P18732" s="3337"/>
    </row>
    <row r="18733" spans="7:16" s="1634" customFormat="1">
      <c r="G18733" s="3336"/>
      <c r="P18733" s="3337"/>
    </row>
    <row r="18734" spans="7:16" s="1634" customFormat="1">
      <c r="G18734" s="3336"/>
      <c r="P18734" s="3337"/>
    </row>
    <row r="18735" spans="7:16" s="1634" customFormat="1">
      <c r="G18735" s="3336"/>
      <c r="P18735" s="3337"/>
    </row>
    <row r="18736" spans="7:16" s="1634" customFormat="1">
      <c r="G18736" s="3336"/>
      <c r="P18736" s="3337"/>
    </row>
    <row r="18737" spans="7:16" s="1634" customFormat="1">
      <c r="G18737" s="3336"/>
      <c r="P18737" s="3337"/>
    </row>
    <row r="18738" spans="7:16" s="1634" customFormat="1">
      <c r="G18738" s="3336"/>
      <c r="P18738" s="3337"/>
    </row>
    <row r="18739" spans="7:16" s="1634" customFormat="1">
      <c r="G18739" s="3336"/>
      <c r="P18739" s="3337"/>
    </row>
    <row r="18740" spans="7:16" s="1634" customFormat="1">
      <c r="G18740" s="3336"/>
      <c r="P18740" s="3337"/>
    </row>
    <row r="18741" spans="7:16" s="1634" customFormat="1">
      <c r="G18741" s="3336"/>
      <c r="P18741" s="3337"/>
    </row>
    <row r="18742" spans="7:16" s="1634" customFormat="1">
      <c r="G18742" s="3336"/>
      <c r="P18742" s="3337"/>
    </row>
    <row r="18743" spans="7:16" s="1634" customFormat="1">
      <c r="G18743" s="3336"/>
      <c r="P18743" s="3337"/>
    </row>
    <row r="18744" spans="7:16" s="1634" customFormat="1">
      <c r="G18744" s="3336"/>
      <c r="P18744" s="3337"/>
    </row>
    <row r="18745" spans="7:16" s="1634" customFormat="1">
      <c r="G18745" s="3336"/>
      <c r="P18745" s="3337"/>
    </row>
    <row r="18746" spans="7:16" s="1634" customFormat="1">
      <c r="G18746" s="3336"/>
      <c r="P18746" s="3337"/>
    </row>
    <row r="18747" spans="7:16" s="1634" customFormat="1">
      <c r="G18747" s="3336"/>
      <c r="P18747" s="3337"/>
    </row>
    <row r="18748" spans="7:16" s="1634" customFormat="1">
      <c r="G18748" s="3336"/>
      <c r="P18748" s="3337"/>
    </row>
    <row r="18749" spans="7:16" s="1634" customFormat="1">
      <c r="G18749" s="3336"/>
      <c r="P18749" s="3337"/>
    </row>
    <row r="18750" spans="7:16" s="1634" customFormat="1">
      <c r="G18750" s="3336"/>
      <c r="P18750" s="3337"/>
    </row>
    <row r="18751" spans="7:16" s="1634" customFormat="1">
      <c r="G18751" s="3336"/>
      <c r="P18751" s="3337"/>
    </row>
    <row r="18752" spans="7:16" s="1634" customFormat="1">
      <c r="G18752" s="3336"/>
      <c r="P18752" s="3337"/>
    </row>
    <row r="18753" spans="7:16" s="1634" customFormat="1">
      <c r="G18753" s="3336"/>
      <c r="P18753" s="3337"/>
    </row>
    <row r="18754" spans="7:16" s="1634" customFormat="1">
      <c r="G18754" s="3336"/>
      <c r="P18754" s="3337"/>
    </row>
    <row r="18755" spans="7:16" s="1634" customFormat="1">
      <c r="G18755" s="3336"/>
      <c r="P18755" s="3337"/>
    </row>
    <row r="18756" spans="7:16" s="1634" customFormat="1">
      <c r="G18756" s="3336"/>
      <c r="P18756" s="3337"/>
    </row>
    <row r="18757" spans="7:16" s="1634" customFormat="1">
      <c r="G18757" s="3336"/>
      <c r="P18757" s="3337"/>
    </row>
    <row r="18758" spans="7:16" s="1634" customFormat="1">
      <c r="G18758" s="3336"/>
      <c r="P18758" s="3337"/>
    </row>
    <row r="18759" spans="7:16" s="1634" customFormat="1">
      <c r="G18759" s="3336"/>
      <c r="P18759" s="3337"/>
    </row>
    <row r="18760" spans="7:16" s="1634" customFormat="1">
      <c r="G18760" s="3336"/>
      <c r="P18760" s="3337"/>
    </row>
    <row r="18761" spans="7:16" s="1634" customFormat="1">
      <c r="G18761" s="3336"/>
      <c r="P18761" s="3337"/>
    </row>
    <row r="18762" spans="7:16" s="1634" customFormat="1">
      <c r="G18762" s="3336"/>
      <c r="P18762" s="3337"/>
    </row>
    <row r="18763" spans="7:16" s="1634" customFormat="1">
      <c r="G18763" s="3336"/>
      <c r="P18763" s="3337"/>
    </row>
    <row r="18764" spans="7:16" s="1634" customFormat="1">
      <c r="G18764" s="3336"/>
      <c r="P18764" s="3337"/>
    </row>
    <row r="18765" spans="7:16" s="1634" customFormat="1">
      <c r="G18765" s="3336"/>
      <c r="P18765" s="3337"/>
    </row>
    <row r="18766" spans="7:16" s="1634" customFormat="1">
      <c r="G18766" s="3336"/>
      <c r="P18766" s="3337"/>
    </row>
    <row r="18767" spans="7:16" s="1634" customFormat="1">
      <c r="G18767" s="3336"/>
      <c r="P18767" s="3337"/>
    </row>
    <row r="18768" spans="7:16" s="1634" customFormat="1">
      <c r="G18768" s="3336"/>
      <c r="P18768" s="3337"/>
    </row>
    <row r="18769" spans="7:16" s="1634" customFormat="1">
      <c r="G18769" s="3336"/>
      <c r="P18769" s="3337"/>
    </row>
    <row r="18770" spans="7:16" s="1634" customFormat="1">
      <c r="G18770" s="3336"/>
      <c r="P18770" s="3337"/>
    </row>
    <row r="18771" spans="7:16" s="1634" customFormat="1">
      <c r="G18771" s="3336"/>
      <c r="P18771" s="3337"/>
    </row>
    <row r="18772" spans="7:16" s="1634" customFormat="1">
      <c r="G18772" s="3336"/>
      <c r="P18772" s="3337"/>
    </row>
    <row r="18773" spans="7:16" s="1634" customFormat="1">
      <c r="G18773" s="3336"/>
      <c r="P18773" s="3337"/>
    </row>
    <row r="18774" spans="7:16" s="1634" customFormat="1">
      <c r="G18774" s="3336"/>
      <c r="P18774" s="3337"/>
    </row>
    <row r="18775" spans="7:16" s="1634" customFormat="1">
      <c r="G18775" s="3336"/>
      <c r="P18775" s="3337"/>
    </row>
    <row r="18776" spans="7:16" s="1634" customFormat="1">
      <c r="G18776" s="3336"/>
      <c r="P18776" s="3337"/>
    </row>
    <row r="18777" spans="7:16" s="1634" customFormat="1">
      <c r="G18777" s="3336"/>
      <c r="P18777" s="3337"/>
    </row>
    <row r="18778" spans="7:16" s="1634" customFormat="1">
      <c r="G18778" s="3336"/>
      <c r="P18778" s="3337"/>
    </row>
    <row r="18779" spans="7:16" s="1634" customFormat="1">
      <c r="G18779" s="3336"/>
      <c r="P18779" s="3337"/>
    </row>
    <row r="18780" spans="7:16" s="1634" customFormat="1">
      <c r="G18780" s="3336"/>
      <c r="P18780" s="3337"/>
    </row>
    <row r="18781" spans="7:16" s="1634" customFormat="1">
      <c r="G18781" s="3336"/>
      <c r="P18781" s="3337"/>
    </row>
    <row r="18782" spans="7:16" s="1634" customFormat="1">
      <c r="G18782" s="3336"/>
      <c r="P18782" s="3337"/>
    </row>
    <row r="18783" spans="7:16" s="1634" customFormat="1">
      <c r="G18783" s="3336"/>
      <c r="P18783" s="3337"/>
    </row>
    <row r="18784" spans="7:16" s="1634" customFormat="1">
      <c r="G18784" s="3336"/>
      <c r="P18784" s="3337"/>
    </row>
    <row r="18785" spans="7:16" s="1634" customFormat="1">
      <c r="G18785" s="3336"/>
      <c r="P18785" s="3337"/>
    </row>
    <row r="18786" spans="7:16" s="1634" customFormat="1">
      <c r="G18786" s="3336"/>
      <c r="P18786" s="3337"/>
    </row>
    <row r="18787" spans="7:16" s="1634" customFormat="1">
      <c r="G18787" s="3336"/>
      <c r="P18787" s="3337"/>
    </row>
    <row r="18788" spans="7:16" s="1634" customFormat="1">
      <c r="G18788" s="3336"/>
      <c r="P18788" s="3337"/>
    </row>
    <row r="18789" spans="7:16" s="1634" customFormat="1">
      <c r="G18789" s="3336"/>
      <c r="P18789" s="3337"/>
    </row>
    <row r="18790" spans="7:16" s="1634" customFormat="1">
      <c r="G18790" s="3336"/>
      <c r="P18790" s="3337"/>
    </row>
    <row r="18791" spans="7:16" s="1634" customFormat="1">
      <c r="G18791" s="3336"/>
      <c r="P18791" s="3337"/>
    </row>
    <row r="18792" spans="7:16" s="1634" customFormat="1">
      <c r="G18792" s="3336"/>
      <c r="P18792" s="3337"/>
    </row>
    <row r="18793" spans="7:16" s="1634" customFormat="1">
      <c r="G18793" s="3336"/>
      <c r="P18793" s="3337"/>
    </row>
    <row r="18794" spans="7:16" s="1634" customFormat="1">
      <c r="G18794" s="3336"/>
      <c r="P18794" s="3337"/>
    </row>
    <row r="18795" spans="7:16" s="1634" customFormat="1">
      <c r="G18795" s="3336"/>
      <c r="P18795" s="3337"/>
    </row>
    <row r="18796" spans="7:16" s="1634" customFormat="1">
      <c r="G18796" s="3336"/>
      <c r="P18796" s="3337"/>
    </row>
    <row r="18797" spans="7:16" s="1634" customFormat="1">
      <c r="G18797" s="3336"/>
      <c r="P18797" s="3337"/>
    </row>
    <row r="18798" spans="7:16" s="1634" customFormat="1">
      <c r="G18798" s="3336"/>
      <c r="P18798" s="3337"/>
    </row>
    <row r="18799" spans="7:16" s="1634" customFormat="1">
      <c r="G18799" s="3336"/>
      <c r="P18799" s="3337"/>
    </row>
    <row r="18800" spans="7:16" s="1634" customFormat="1">
      <c r="G18800" s="3336"/>
      <c r="P18800" s="3337"/>
    </row>
    <row r="18801" spans="7:16" s="1634" customFormat="1">
      <c r="G18801" s="3336"/>
      <c r="P18801" s="3337"/>
    </row>
    <row r="18802" spans="7:16" s="1634" customFormat="1">
      <c r="G18802" s="3336"/>
      <c r="P18802" s="3337"/>
    </row>
    <row r="18803" spans="7:16" s="1634" customFormat="1">
      <c r="G18803" s="3336"/>
      <c r="P18803" s="3337"/>
    </row>
    <row r="18804" spans="7:16" s="1634" customFormat="1">
      <c r="G18804" s="3336"/>
      <c r="P18804" s="3337"/>
    </row>
    <row r="18805" spans="7:16" s="1634" customFormat="1">
      <c r="G18805" s="3336"/>
      <c r="P18805" s="3337"/>
    </row>
    <row r="18806" spans="7:16" s="1634" customFormat="1">
      <c r="G18806" s="3336"/>
      <c r="P18806" s="3337"/>
    </row>
    <row r="18807" spans="7:16" s="1634" customFormat="1">
      <c r="G18807" s="3336"/>
      <c r="P18807" s="3337"/>
    </row>
    <row r="18808" spans="7:16" s="1634" customFormat="1">
      <c r="G18808" s="3336"/>
      <c r="P18808" s="3337"/>
    </row>
    <row r="18809" spans="7:16" s="1634" customFormat="1">
      <c r="G18809" s="3336"/>
      <c r="P18809" s="3337"/>
    </row>
    <row r="18810" spans="7:16" s="1634" customFormat="1">
      <c r="G18810" s="3336"/>
      <c r="P18810" s="3337"/>
    </row>
    <row r="18811" spans="7:16" s="1634" customFormat="1">
      <c r="G18811" s="3336"/>
      <c r="P18811" s="3337"/>
    </row>
    <row r="18812" spans="7:16" s="1634" customFormat="1">
      <c r="G18812" s="3336"/>
      <c r="P18812" s="3337"/>
    </row>
    <row r="18813" spans="7:16" s="1634" customFormat="1">
      <c r="G18813" s="3336"/>
      <c r="P18813" s="3337"/>
    </row>
    <row r="18814" spans="7:16" s="1634" customFormat="1">
      <c r="G18814" s="3336"/>
      <c r="P18814" s="3337"/>
    </row>
    <row r="18815" spans="7:16" s="1634" customFormat="1">
      <c r="G18815" s="3336"/>
      <c r="P18815" s="3337"/>
    </row>
    <row r="18816" spans="7:16" s="1634" customFormat="1">
      <c r="G18816" s="3336"/>
      <c r="P18816" s="3337"/>
    </row>
    <row r="18817" spans="7:16" s="1634" customFormat="1">
      <c r="G18817" s="3336"/>
      <c r="P18817" s="3337"/>
    </row>
    <row r="18818" spans="7:16" s="1634" customFormat="1">
      <c r="G18818" s="3336"/>
      <c r="P18818" s="3337"/>
    </row>
    <row r="18819" spans="7:16" s="1634" customFormat="1">
      <c r="G18819" s="3336"/>
      <c r="P18819" s="3337"/>
    </row>
    <row r="18820" spans="7:16" s="1634" customFormat="1">
      <c r="G18820" s="3336"/>
      <c r="P18820" s="3337"/>
    </row>
    <row r="18821" spans="7:16" s="1634" customFormat="1">
      <c r="G18821" s="3336"/>
      <c r="P18821" s="3337"/>
    </row>
    <row r="18822" spans="7:16" s="1634" customFormat="1">
      <c r="G18822" s="3336"/>
      <c r="P18822" s="3337"/>
    </row>
    <row r="18823" spans="7:16" s="1634" customFormat="1">
      <c r="G18823" s="3336"/>
      <c r="P18823" s="3337"/>
    </row>
    <row r="18824" spans="7:16" s="1634" customFormat="1">
      <c r="G18824" s="3336"/>
      <c r="P18824" s="3337"/>
    </row>
    <row r="18825" spans="7:16" s="1634" customFormat="1">
      <c r="G18825" s="3336"/>
      <c r="P18825" s="3337"/>
    </row>
    <row r="18826" spans="7:16" s="1634" customFormat="1">
      <c r="G18826" s="3336"/>
      <c r="P18826" s="3337"/>
    </row>
    <row r="18827" spans="7:16" s="1634" customFormat="1">
      <c r="G18827" s="3336"/>
      <c r="P18827" s="3337"/>
    </row>
    <row r="18828" spans="7:16" s="1634" customFormat="1">
      <c r="G18828" s="3336"/>
      <c r="P18828" s="3337"/>
    </row>
    <row r="18829" spans="7:16" s="1634" customFormat="1">
      <c r="G18829" s="3336"/>
      <c r="P18829" s="3337"/>
    </row>
    <row r="18830" spans="7:16" s="1634" customFormat="1">
      <c r="G18830" s="3336"/>
      <c r="P18830" s="3337"/>
    </row>
    <row r="18831" spans="7:16" s="1634" customFormat="1">
      <c r="G18831" s="3336"/>
      <c r="P18831" s="3337"/>
    </row>
    <row r="18832" spans="7:16" s="1634" customFormat="1">
      <c r="G18832" s="3336"/>
      <c r="P18832" s="3337"/>
    </row>
    <row r="18833" spans="7:16" s="1634" customFormat="1">
      <c r="G18833" s="3336"/>
      <c r="P18833" s="3337"/>
    </row>
    <row r="18834" spans="7:16" s="1634" customFormat="1">
      <c r="G18834" s="3336"/>
      <c r="P18834" s="3337"/>
    </row>
    <row r="18835" spans="7:16" s="1634" customFormat="1">
      <c r="G18835" s="3336"/>
      <c r="P18835" s="3337"/>
    </row>
    <row r="18836" spans="7:16" s="1634" customFormat="1">
      <c r="G18836" s="3336"/>
      <c r="P18836" s="3337"/>
    </row>
    <row r="18837" spans="7:16" s="1634" customFormat="1">
      <c r="G18837" s="3336"/>
      <c r="P18837" s="3337"/>
    </row>
    <row r="18838" spans="7:16" s="1634" customFormat="1">
      <c r="G18838" s="3336"/>
      <c r="P18838" s="3337"/>
    </row>
    <row r="18839" spans="7:16" s="1634" customFormat="1">
      <c r="G18839" s="3336"/>
      <c r="P18839" s="3337"/>
    </row>
    <row r="18840" spans="7:16" s="1634" customFormat="1">
      <c r="G18840" s="3336"/>
      <c r="P18840" s="3337"/>
    </row>
    <row r="18841" spans="7:16" s="1634" customFormat="1">
      <c r="G18841" s="3336"/>
      <c r="P18841" s="3337"/>
    </row>
    <row r="18842" spans="7:16" s="1634" customFormat="1">
      <c r="G18842" s="3336"/>
      <c r="P18842" s="3337"/>
    </row>
    <row r="18843" spans="7:16" s="1634" customFormat="1">
      <c r="G18843" s="3336"/>
      <c r="P18843" s="3337"/>
    </row>
    <row r="18844" spans="7:16" s="1634" customFormat="1">
      <c r="G18844" s="3336"/>
      <c r="P18844" s="3337"/>
    </row>
    <row r="18845" spans="7:16" s="1634" customFormat="1">
      <c r="G18845" s="3336"/>
      <c r="P18845" s="3337"/>
    </row>
    <row r="18846" spans="7:16" s="1634" customFormat="1">
      <c r="G18846" s="3336"/>
      <c r="P18846" s="3337"/>
    </row>
    <row r="18847" spans="7:16" s="1634" customFormat="1">
      <c r="G18847" s="3336"/>
      <c r="P18847" s="3337"/>
    </row>
    <row r="18848" spans="7:16" s="1634" customFormat="1">
      <c r="G18848" s="3336"/>
      <c r="P18848" s="3337"/>
    </row>
    <row r="18849" spans="7:16" s="1634" customFormat="1">
      <c r="G18849" s="3336"/>
      <c r="P18849" s="3337"/>
    </row>
    <row r="18850" spans="7:16" s="1634" customFormat="1">
      <c r="G18850" s="3336"/>
      <c r="P18850" s="3337"/>
    </row>
    <row r="18851" spans="7:16" s="1634" customFormat="1">
      <c r="G18851" s="3336"/>
      <c r="P18851" s="3337"/>
    </row>
    <row r="18852" spans="7:16" s="1634" customFormat="1">
      <c r="G18852" s="3336"/>
      <c r="P18852" s="3337"/>
    </row>
    <row r="18853" spans="7:16" s="1634" customFormat="1">
      <c r="G18853" s="3336"/>
      <c r="P18853" s="3337"/>
    </row>
    <row r="18854" spans="7:16" s="1634" customFormat="1">
      <c r="G18854" s="3336"/>
      <c r="P18854" s="3337"/>
    </row>
    <row r="18855" spans="7:16" s="1634" customFormat="1">
      <c r="G18855" s="3336"/>
      <c r="P18855" s="3337"/>
    </row>
    <row r="18856" spans="7:16" s="1634" customFormat="1">
      <c r="G18856" s="3336"/>
      <c r="P18856" s="3337"/>
    </row>
    <row r="18857" spans="7:16" s="1634" customFormat="1">
      <c r="G18857" s="3336"/>
      <c r="P18857" s="3337"/>
    </row>
    <row r="18858" spans="7:16" s="1634" customFormat="1">
      <c r="G18858" s="3336"/>
      <c r="P18858" s="3337"/>
    </row>
    <row r="18859" spans="7:16" s="1634" customFormat="1">
      <c r="G18859" s="3336"/>
      <c r="P18859" s="3337"/>
    </row>
    <row r="18860" spans="7:16" s="1634" customFormat="1">
      <c r="G18860" s="3336"/>
      <c r="P18860" s="3337"/>
    </row>
    <row r="18861" spans="7:16" s="1634" customFormat="1">
      <c r="G18861" s="3336"/>
      <c r="P18861" s="3337"/>
    </row>
    <row r="18862" spans="7:16" s="1634" customFormat="1">
      <c r="G18862" s="3336"/>
      <c r="P18862" s="3337"/>
    </row>
    <row r="18863" spans="7:16" s="1634" customFormat="1">
      <c r="G18863" s="3336"/>
      <c r="P18863" s="3337"/>
    </row>
    <row r="18864" spans="7:16" s="1634" customFormat="1">
      <c r="G18864" s="3336"/>
      <c r="P18864" s="3337"/>
    </row>
    <row r="18865" spans="7:16" s="1634" customFormat="1">
      <c r="G18865" s="3336"/>
      <c r="P18865" s="3337"/>
    </row>
    <row r="18866" spans="7:16" s="1634" customFormat="1">
      <c r="G18866" s="3336"/>
      <c r="P18866" s="3337"/>
    </row>
    <row r="18867" spans="7:16" s="1634" customFormat="1">
      <c r="G18867" s="3336"/>
      <c r="P18867" s="3337"/>
    </row>
    <row r="18868" spans="7:16" s="1634" customFormat="1">
      <c r="G18868" s="3336"/>
      <c r="P18868" s="3337"/>
    </row>
    <row r="18869" spans="7:16" s="1634" customFormat="1">
      <c r="G18869" s="3336"/>
      <c r="P18869" s="3337"/>
    </row>
    <row r="18870" spans="7:16" s="1634" customFormat="1">
      <c r="G18870" s="3336"/>
      <c r="P18870" s="3337"/>
    </row>
    <row r="18871" spans="7:16" s="1634" customFormat="1">
      <c r="G18871" s="3336"/>
      <c r="P18871" s="3337"/>
    </row>
    <row r="18872" spans="7:16" s="1634" customFormat="1">
      <c r="G18872" s="3336"/>
      <c r="P18872" s="3337"/>
    </row>
    <row r="18873" spans="7:16" s="1634" customFormat="1">
      <c r="G18873" s="3336"/>
      <c r="P18873" s="3337"/>
    </row>
    <row r="18874" spans="7:16" s="1634" customFormat="1">
      <c r="G18874" s="3336"/>
      <c r="P18874" s="3337"/>
    </row>
    <row r="18875" spans="7:16" s="1634" customFormat="1">
      <c r="G18875" s="3336"/>
      <c r="P18875" s="3337"/>
    </row>
    <row r="18876" spans="7:16" s="1634" customFormat="1">
      <c r="G18876" s="3336"/>
      <c r="P18876" s="3337"/>
    </row>
    <row r="18877" spans="7:16" s="1634" customFormat="1">
      <c r="G18877" s="3336"/>
      <c r="P18877" s="3337"/>
    </row>
    <row r="18878" spans="7:16" s="1634" customFormat="1">
      <c r="G18878" s="3336"/>
      <c r="P18878" s="3337"/>
    </row>
    <row r="18879" spans="7:16" s="1634" customFormat="1">
      <c r="G18879" s="3336"/>
      <c r="P18879" s="3337"/>
    </row>
    <row r="18880" spans="7:16" s="1634" customFormat="1">
      <c r="G18880" s="3336"/>
      <c r="P18880" s="3337"/>
    </row>
    <row r="18881" spans="7:16" s="1634" customFormat="1">
      <c r="G18881" s="3336"/>
      <c r="P18881" s="3337"/>
    </row>
    <row r="18882" spans="7:16" s="1634" customFormat="1">
      <c r="G18882" s="3336"/>
      <c r="P18882" s="3337"/>
    </row>
    <row r="18883" spans="7:16" s="1634" customFormat="1">
      <c r="G18883" s="3336"/>
      <c r="P18883" s="3337"/>
    </row>
    <row r="18884" spans="7:16" s="1634" customFormat="1">
      <c r="G18884" s="3336"/>
      <c r="P18884" s="3337"/>
    </row>
    <row r="18885" spans="7:16" s="1634" customFormat="1">
      <c r="G18885" s="3336"/>
      <c r="P18885" s="3337"/>
    </row>
    <row r="18886" spans="7:16" s="1634" customFormat="1">
      <c r="G18886" s="3336"/>
      <c r="P18886" s="3337"/>
    </row>
    <row r="18887" spans="7:16" s="1634" customFormat="1">
      <c r="G18887" s="3336"/>
      <c r="P18887" s="3337"/>
    </row>
    <row r="18888" spans="7:16" s="1634" customFormat="1">
      <c r="G18888" s="3336"/>
      <c r="P18888" s="3337"/>
    </row>
    <row r="18889" spans="7:16" s="1634" customFormat="1">
      <c r="G18889" s="3336"/>
      <c r="P18889" s="3337"/>
    </row>
    <row r="18890" spans="7:16" s="1634" customFormat="1">
      <c r="G18890" s="3336"/>
      <c r="P18890" s="3337"/>
    </row>
    <row r="18891" spans="7:16" s="1634" customFormat="1">
      <c r="G18891" s="3336"/>
      <c r="P18891" s="3337"/>
    </row>
    <row r="18892" spans="7:16" s="1634" customFormat="1">
      <c r="G18892" s="3336"/>
      <c r="P18892" s="3337"/>
    </row>
    <row r="18893" spans="7:16" s="1634" customFormat="1">
      <c r="G18893" s="3336"/>
      <c r="P18893" s="3337"/>
    </row>
    <row r="18894" spans="7:16" s="1634" customFormat="1">
      <c r="G18894" s="3336"/>
      <c r="P18894" s="3337"/>
    </row>
    <row r="18895" spans="7:16" s="1634" customFormat="1">
      <c r="G18895" s="3336"/>
      <c r="P18895" s="3337"/>
    </row>
    <row r="18896" spans="7:16" s="1634" customFormat="1">
      <c r="G18896" s="3336"/>
      <c r="P18896" s="3337"/>
    </row>
    <row r="18897" spans="7:16" s="1634" customFormat="1">
      <c r="G18897" s="3336"/>
      <c r="P18897" s="3337"/>
    </row>
    <row r="18898" spans="7:16" s="1634" customFormat="1">
      <c r="G18898" s="3336"/>
      <c r="P18898" s="3337"/>
    </row>
    <row r="18899" spans="7:16" s="1634" customFormat="1">
      <c r="G18899" s="3336"/>
      <c r="P18899" s="3337"/>
    </row>
    <row r="18900" spans="7:16" s="1634" customFormat="1">
      <c r="G18900" s="3336"/>
      <c r="P18900" s="3337"/>
    </row>
    <row r="18901" spans="7:16" s="1634" customFormat="1">
      <c r="G18901" s="3336"/>
      <c r="P18901" s="3337"/>
    </row>
    <row r="18902" spans="7:16" s="1634" customFormat="1">
      <c r="G18902" s="3336"/>
      <c r="P18902" s="3337"/>
    </row>
    <row r="18903" spans="7:16" s="1634" customFormat="1">
      <c r="G18903" s="3336"/>
      <c r="P18903" s="3337"/>
    </row>
    <row r="18904" spans="7:16" s="1634" customFormat="1">
      <c r="G18904" s="3336"/>
      <c r="P18904" s="3337"/>
    </row>
    <row r="18905" spans="7:16" s="1634" customFormat="1">
      <c r="G18905" s="3336"/>
      <c r="P18905" s="3337"/>
    </row>
    <row r="18906" spans="7:16" s="1634" customFormat="1">
      <c r="G18906" s="3336"/>
      <c r="P18906" s="3337"/>
    </row>
    <row r="18907" spans="7:16" s="1634" customFormat="1">
      <c r="G18907" s="3336"/>
      <c r="P18907" s="3337"/>
    </row>
    <row r="18908" spans="7:16" s="1634" customFormat="1">
      <c r="G18908" s="3336"/>
      <c r="P18908" s="3337"/>
    </row>
    <row r="18909" spans="7:16" s="1634" customFormat="1">
      <c r="G18909" s="3336"/>
      <c r="P18909" s="3337"/>
    </row>
    <row r="18910" spans="7:16" s="1634" customFormat="1">
      <c r="G18910" s="3336"/>
      <c r="P18910" s="3337"/>
    </row>
    <row r="18911" spans="7:16" s="1634" customFormat="1">
      <c r="G18911" s="3336"/>
      <c r="P18911" s="3337"/>
    </row>
    <row r="18912" spans="7:16" s="1634" customFormat="1">
      <c r="G18912" s="3336"/>
      <c r="P18912" s="3337"/>
    </row>
    <row r="18913" spans="7:16" s="1634" customFormat="1">
      <c r="G18913" s="3336"/>
      <c r="P18913" s="3337"/>
    </row>
    <row r="18914" spans="7:16" s="1634" customFormat="1">
      <c r="G18914" s="3336"/>
      <c r="P18914" s="3337"/>
    </row>
    <row r="18915" spans="7:16" s="1634" customFormat="1">
      <c r="G18915" s="3336"/>
      <c r="P18915" s="3337"/>
    </row>
    <row r="18916" spans="7:16" s="1634" customFormat="1">
      <c r="G18916" s="3336"/>
      <c r="P18916" s="3337"/>
    </row>
    <row r="18917" spans="7:16" s="1634" customFormat="1">
      <c r="G18917" s="3336"/>
      <c r="P18917" s="3337"/>
    </row>
    <row r="18918" spans="7:16" s="1634" customFormat="1">
      <c r="G18918" s="3336"/>
      <c r="P18918" s="3337"/>
    </row>
    <row r="18919" spans="7:16" s="1634" customFormat="1">
      <c r="G18919" s="3336"/>
      <c r="P18919" s="3337"/>
    </row>
    <row r="18920" spans="7:16" s="1634" customFormat="1">
      <c r="G18920" s="3336"/>
      <c r="P18920" s="3337"/>
    </row>
    <row r="18921" spans="7:16" s="1634" customFormat="1">
      <c r="G18921" s="3336"/>
      <c r="P18921" s="3337"/>
    </row>
    <row r="18922" spans="7:16" s="1634" customFormat="1">
      <c r="G18922" s="3336"/>
      <c r="P18922" s="3337"/>
    </row>
    <row r="18923" spans="7:16" s="1634" customFormat="1">
      <c r="G18923" s="3336"/>
      <c r="P18923" s="3337"/>
    </row>
    <row r="18924" spans="7:16" s="1634" customFormat="1">
      <c r="G18924" s="3336"/>
      <c r="P18924" s="3337"/>
    </row>
    <row r="18925" spans="7:16" s="1634" customFormat="1">
      <c r="G18925" s="3336"/>
      <c r="P18925" s="3337"/>
    </row>
    <row r="18926" spans="7:16" s="1634" customFormat="1">
      <c r="G18926" s="3336"/>
      <c r="P18926" s="3337"/>
    </row>
    <row r="18927" spans="7:16" s="1634" customFormat="1">
      <c r="G18927" s="3336"/>
      <c r="P18927" s="3337"/>
    </row>
    <row r="18928" spans="7:16" s="1634" customFormat="1">
      <c r="G18928" s="3336"/>
      <c r="P18928" s="3337"/>
    </row>
    <row r="18929" spans="7:16" s="1634" customFormat="1">
      <c r="G18929" s="3336"/>
      <c r="P18929" s="3337"/>
    </row>
    <row r="18930" spans="7:16" s="1634" customFormat="1">
      <c r="G18930" s="3336"/>
      <c r="P18930" s="3337"/>
    </row>
    <row r="18931" spans="7:16" s="1634" customFormat="1">
      <c r="G18931" s="3336"/>
      <c r="P18931" s="3337"/>
    </row>
    <row r="18932" spans="7:16" s="1634" customFormat="1">
      <c r="G18932" s="3336"/>
      <c r="P18932" s="3337"/>
    </row>
    <row r="18933" spans="7:16" s="1634" customFormat="1">
      <c r="G18933" s="3336"/>
      <c r="P18933" s="3337"/>
    </row>
    <row r="18934" spans="7:16" s="1634" customFormat="1">
      <c r="G18934" s="3336"/>
      <c r="P18934" s="3337"/>
    </row>
    <row r="18935" spans="7:16" s="1634" customFormat="1">
      <c r="G18935" s="3336"/>
      <c r="P18935" s="3337"/>
    </row>
    <row r="18936" spans="7:16" s="1634" customFormat="1">
      <c r="G18936" s="3336"/>
      <c r="P18936" s="3337"/>
    </row>
    <row r="18937" spans="7:16" s="1634" customFormat="1">
      <c r="G18937" s="3336"/>
      <c r="P18937" s="3337"/>
    </row>
    <row r="18938" spans="7:16" s="1634" customFormat="1">
      <c r="G18938" s="3336"/>
      <c r="P18938" s="3337"/>
    </row>
    <row r="18939" spans="7:16" s="1634" customFormat="1">
      <c r="G18939" s="3336"/>
      <c r="P18939" s="3337"/>
    </row>
    <row r="18940" spans="7:16" s="1634" customFormat="1">
      <c r="G18940" s="3336"/>
      <c r="P18940" s="3337"/>
    </row>
    <row r="18941" spans="7:16" s="1634" customFormat="1">
      <c r="G18941" s="3336"/>
      <c r="P18941" s="3337"/>
    </row>
    <row r="18942" spans="7:16" s="1634" customFormat="1">
      <c r="G18942" s="3336"/>
      <c r="P18942" s="3337"/>
    </row>
    <row r="18943" spans="7:16" s="1634" customFormat="1">
      <c r="G18943" s="3336"/>
      <c r="P18943" s="3337"/>
    </row>
    <row r="18944" spans="7:16" s="1634" customFormat="1">
      <c r="G18944" s="3336"/>
      <c r="P18944" s="3337"/>
    </row>
    <row r="18945" spans="7:16" s="1634" customFormat="1">
      <c r="G18945" s="3336"/>
      <c r="P18945" s="3337"/>
    </row>
    <row r="18946" spans="7:16" s="1634" customFormat="1">
      <c r="G18946" s="3336"/>
      <c r="P18946" s="3337"/>
    </row>
    <row r="18947" spans="7:16" s="1634" customFormat="1">
      <c r="G18947" s="3336"/>
      <c r="P18947" s="3337"/>
    </row>
    <row r="18948" spans="7:16" s="1634" customFormat="1">
      <c r="G18948" s="3336"/>
      <c r="P18948" s="3337"/>
    </row>
    <row r="18949" spans="7:16" s="1634" customFormat="1">
      <c r="G18949" s="3336"/>
      <c r="P18949" s="3337"/>
    </row>
    <row r="18950" spans="7:16" s="1634" customFormat="1">
      <c r="G18950" s="3336"/>
      <c r="P18950" s="3337"/>
    </row>
    <row r="18951" spans="7:16" s="1634" customFormat="1">
      <c r="G18951" s="3336"/>
      <c r="P18951" s="3337"/>
    </row>
    <row r="18952" spans="7:16" s="1634" customFormat="1">
      <c r="G18952" s="3336"/>
      <c r="P18952" s="3337"/>
    </row>
    <row r="18953" spans="7:16" s="1634" customFormat="1">
      <c r="G18953" s="3336"/>
      <c r="P18953" s="3337"/>
    </row>
    <row r="18954" spans="7:16" s="1634" customFormat="1">
      <c r="G18954" s="3336"/>
      <c r="P18954" s="3337"/>
    </row>
    <row r="18955" spans="7:16" s="1634" customFormat="1">
      <c r="G18955" s="3336"/>
      <c r="P18955" s="3337"/>
    </row>
    <row r="18956" spans="7:16" s="1634" customFormat="1">
      <c r="G18956" s="3336"/>
      <c r="P18956" s="3337"/>
    </row>
    <row r="18957" spans="7:16" s="1634" customFormat="1">
      <c r="G18957" s="3336"/>
      <c r="P18957" s="3337"/>
    </row>
    <row r="18958" spans="7:16" s="1634" customFormat="1">
      <c r="G18958" s="3336"/>
      <c r="P18958" s="3337"/>
    </row>
    <row r="18959" spans="7:16" s="1634" customFormat="1">
      <c r="G18959" s="3336"/>
      <c r="P18959" s="3337"/>
    </row>
    <row r="18960" spans="7:16" s="1634" customFormat="1">
      <c r="G18960" s="3336"/>
      <c r="P18960" s="3337"/>
    </row>
    <row r="18961" spans="7:16" s="1634" customFormat="1">
      <c r="G18961" s="3336"/>
      <c r="P18961" s="3337"/>
    </row>
    <row r="18962" spans="7:16" s="1634" customFormat="1">
      <c r="G18962" s="3336"/>
      <c r="P18962" s="3337"/>
    </row>
    <row r="18963" spans="7:16" s="1634" customFormat="1">
      <c r="G18963" s="3336"/>
      <c r="P18963" s="3337"/>
    </row>
    <row r="18964" spans="7:16" s="1634" customFormat="1">
      <c r="G18964" s="3336"/>
      <c r="P18964" s="3337"/>
    </row>
    <row r="18965" spans="7:16" s="1634" customFormat="1">
      <c r="G18965" s="3336"/>
      <c r="P18965" s="3337"/>
    </row>
    <row r="18966" spans="7:16" s="1634" customFormat="1">
      <c r="G18966" s="3336"/>
      <c r="P18966" s="3337"/>
    </row>
    <row r="18967" spans="7:16" s="1634" customFormat="1">
      <c r="G18967" s="3336"/>
      <c r="P18967" s="3337"/>
    </row>
    <row r="18968" spans="7:16" s="1634" customFormat="1">
      <c r="G18968" s="3336"/>
      <c r="P18968" s="3337"/>
    </row>
    <row r="18969" spans="7:16" s="1634" customFormat="1">
      <c r="G18969" s="3336"/>
      <c r="P18969" s="3337"/>
    </row>
    <row r="18970" spans="7:16" s="1634" customFormat="1">
      <c r="G18970" s="3336"/>
      <c r="P18970" s="3337"/>
    </row>
    <row r="18971" spans="7:16" s="1634" customFormat="1">
      <c r="G18971" s="3336"/>
      <c r="P18971" s="3337"/>
    </row>
    <row r="18972" spans="7:16" s="1634" customFormat="1">
      <c r="G18972" s="3336"/>
      <c r="P18972" s="3337"/>
    </row>
    <row r="18973" spans="7:16" s="1634" customFormat="1">
      <c r="G18973" s="3336"/>
      <c r="P18973" s="3337"/>
    </row>
    <row r="18974" spans="7:16" s="1634" customFormat="1">
      <c r="G18974" s="3336"/>
      <c r="P18974" s="3337"/>
    </row>
    <row r="18975" spans="7:16" s="1634" customFormat="1">
      <c r="G18975" s="3336"/>
      <c r="P18975" s="3337"/>
    </row>
    <row r="18976" spans="7:16" s="1634" customFormat="1">
      <c r="G18976" s="3336"/>
      <c r="P18976" s="3337"/>
    </row>
    <row r="18977" spans="7:16" s="1634" customFormat="1">
      <c r="G18977" s="3336"/>
      <c r="P18977" s="3337"/>
    </row>
    <row r="18978" spans="7:16" s="1634" customFormat="1">
      <c r="G18978" s="3336"/>
      <c r="P18978" s="3337"/>
    </row>
    <row r="18979" spans="7:16" s="1634" customFormat="1">
      <c r="G18979" s="3336"/>
      <c r="P18979" s="3337"/>
    </row>
    <row r="18980" spans="7:16" s="1634" customFormat="1">
      <c r="G18980" s="3336"/>
      <c r="P18980" s="3337"/>
    </row>
    <row r="18981" spans="7:16" s="1634" customFormat="1">
      <c r="G18981" s="3336"/>
      <c r="P18981" s="3337"/>
    </row>
    <row r="18982" spans="7:16" s="1634" customFormat="1">
      <c r="G18982" s="3336"/>
      <c r="P18982" s="3337"/>
    </row>
    <row r="18983" spans="7:16" s="1634" customFormat="1">
      <c r="G18983" s="3336"/>
      <c r="P18983" s="3337"/>
    </row>
    <row r="18984" spans="7:16" s="1634" customFormat="1">
      <c r="G18984" s="3336"/>
      <c r="P18984" s="3337"/>
    </row>
    <row r="18985" spans="7:16" s="1634" customFormat="1">
      <c r="G18985" s="3336"/>
      <c r="P18985" s="3337"/>
    </row>
    <row r="18986" spans="7:16" s="1634" customFormat="1">
      <c r="G18986" s="3336"/>
      <c r="P18986" s="3337"/>
    </row>
    <row r="18987" spans="7:16" s="1634" customFormat="1">
      <c r="G18987" s="3336"/>
      <c r="P18987" s="3337"/>
    </row>
    <row r="18988" spans="7:16" s="1634" customFormat="1">
      <c r="G18988" s="3336"/>
      <c r="P18988" s="3337"/>
    </row>
    <row r="18989" spans="7:16" s="1634" customFormat="1">
      <c r="G18989" s="3336"/>
      <c r="P18989" s="3337"/>
    </row>
    <row r="18990" spans="7:16" s="1634" customFormat="1">
      <c r="G18990" s="3336"/>
      <c r="P18990" s="3337"/>
    </row>
    <row r="18991" spans="7:16" s="1634" customFormat="1">
      <c r="G18991" s="3336"/>
      <c r="P18991" s="3337"/>
    </row>
    <row r="18992" spans="7:16" s="1634" customFormat="1">
      <c r="G18992" s="3336"/>
      <c r="P18992" s="3337"/>
    </row>
    <row r="18993" spans="7:16" s="1634" customFormat="1">
      <c r="G18993" s="3336"/>
      <c r="P18993" s="3337"/>
    </row>
    <row r="18994" spans="7:16" s="1634" customFormat="1">
      <c r="G18994" s="3336"/>
      <c r="P18994" s="3337"/>
    </row>
    <row r="18995" spans="7:16" s="1634" customFormat="1">
      <c r="G18995" s="3336"/>
      <c r="P18995" s="3337"/>
    </row>
    <row r="18996" spans="7:16" s="1634" customFormat="1">
      <c r="G18996" s="3336"/>
      <c r="P18996" s="3337"/>
    </row>
    <row r="18997" spans="7:16" s="1634" customFormat="1">
      <c r="G18997" s="3336"/>
      <c r="P18997" s="3337"/>
    </row>
    <row r="18998" spans="7:16" s="1634" customFormat="1">
      <c r="G18998" s="3336"/>
      <c r="P18998" s="3337"/>
    </row>
    <row r="18999" spans="7:16" s="1634" customFormat="1">
      <c r="G18999" s="3336"/>
      <c r="P18999" s="3337"/>
    </row>
    <row r="19000" spans="7:16" s="1634" customFormat="1">
      <c r="G19000" s="3336"/>
      <c r="P19000" s="3337"/>
    </row>
    <row r="19001" spans="7:16" s="1634" customFormat="1">
      <c r="G19001" s="3336"/>
      <c r="P19001" s="3337"/>
    </row>
    <row r="19002" spans="7:16" s="1634" customFormat="1">
      <c r="G19002" s="3336"/>
      <c r="P19002" s="3337"/>
    </row>
    <row r="19003" spans="7:16" s="1634" customFormat="1">
      <c r="G19003" s="3336"/>
      <c r="P19003" s="3337"/>
    </row>
    <row r="19004" spans="7:16" s="1634" customFormat="1">
      <c r="G19004" s="3336"/>
      <c r="P19004" s="3337"/>
    </row>
    <row r="19005" spans="7:16" s="1634" customFormat="1">
      <c r="G19005" s="3336"/>
      <c r="P19005" s="3337"/>
    </row>
    <row r="19006" spans="7:16" s="1634" customFormat="1">
      <c r="G19006" s="3336"/>
      <c r="P19006" s="3337"/>
    </row>
    <row r="19007" spans="7:16" s="1634" customFormat="1">
      <c r="G19007" s="3336"/>
      <c r="P19007" s="3337"/>
    </row>
    <row r="19008" spans="7:16" s="1634" customFormat="1">
      <c r="G19008" s="3336"/>
      <c r="P19008" s="3337"/>
    </row>
    <row r="19009" spans="7:16" s="1634" customFormat="1">
      <c r="G19009" s="3336"/>
      <c r="P19009" s="3337"/>
    </row>
    <row r="19010" spans="7:16" s="1634" customFormat="1">
      <c r="G19010" s="3336"/>
      <c r="P19010" s="3337"/>
    </row>
    <row r="19011" spans="7:16" s="1634" customFormat="1">
      <c r="G19011" s="3336"/>
      <c r="P19011" s="3337"/>
    </row>
    <row r="19012" spans="7:16" s="1634" customFormat="1">
      <c r="G19012" s="3336"/>
      <c r="P19012" s="3337"/>
    </row>
    <row r="19013" spans="7:16" s="1634" customFormat="1">
      <c r="G19013" s="3336"/>
      <c r="P19013" s="3337"/>
    </row>
    <row r="19014" spans="7:16" s="1634" customFormat="1">
      <c r="G19014" s="3336"/>
      <c r="P19014" s="3337"/>
    </row>
    <row r="19015" spans="7:16" s="1634" customFormat="1">
      <c r="G19015" s="3336"/>
      <c r="P19015" s="3337"/>
    </row>
    <row r="19016" spans="7:16" s="1634" customFormat="1">
      <c r="G19016" s="3336"/>
      <c r="P19016" s="3337"/>
    </row>
    <row r="19017" spans="7:16" s="1634" customFormat="1">
      <c r="G19017" s="3336"/>
      <c r="P19017" s="3337"/>
    </row>
    <row r="19018" spans="7:16" s="1634" customFormat="1">
      <c r="G19018" s="3336"/>
      <c r="P19018" s="3337"/>
    </row>
    <row r="19019" spans="7:16" s="1634" customFormat="1">
      <c r="G19019" s="3336"/>
      <c r="P19019" s="3337"/>
    </row>
    <row r="19020" spans="7:16" s="1634" customFormat="1">
      <c r="G19020" s="3336"/>
      <c r="P19020" s="3337"/>
    </row>
    <row r="19021" spans="7:16" s="1634" customFormat="1">
      <c r="G19021" s="3336"/>
      <c r="P19021" s="3337"/>
    </row>
    <row r="19022" spans="7:16" s="1634" customFormat="1">
      <c r="G19022" s="3336"/>
      <c r="P19022" s="3337"/>
    </row>
    <row r="19023" spans="7:16" s="1634" customFormat="1">
      <c r="G19023" s="3336"/>
      <c r="P19023" s="3337"/>
    </row>
    <row r="19024" spans="7:16" s="1634" customFormat="1">
      <c r="G19024" s="3336"/>
      <c r="P19024" s="3337"/>
    </row>
    <row r="19025" spans="7:16" s="1634" customFormat="1">
      <c r="G19025" s="3336"/>
      <c r="P19025" s="3337"/>
    </row>
    <row r="19026" spans="7:16" s="1634" customFormat="1">
      <c r="G19026" s="3336"/>
      <c r="P19026" s="3337"/>
    </row>
    <row r="19027" spans="7:16" s="1634" customFormat="1">
      <c r="G19027" s="3336"/>
      <c r="P19027" s="3337"/>
    </row>
    <row r="19028" spans="7:16" s="1634" customFormat="1">
      <c r="G19028" s="3336"/>
      <c r="P19028" s="3337"/>
    </row>
    <row r="19029" spans="7:16" s="1634" customFormat="1">
      <c r="G19029" s="3336"/>
      <c r="P19029" s="3337"/>
    </row>
    <row r="19030" spans="7:16" s="1634" customFormat="1">
      <c r="G19030" s="3336"/>
      <c r="P19030" s="3337"/>
    </row>
    <row r="19031" spans="7:16" s="1634" customFormat="1">
      <c r="G19031" s="3336"/>
      <c r="P19031" s="3337"/>
    </row>
    <row r="19032" spans="7:16" s="1634" customFormat="1">
      <c r="G19032" s="3336"/>
      <c r="P19032" s="3337"/>
    </row>
    <row r="19033" spans="7:16" s="1634" customFormat="1">
      <c r="G19033" s="3336"/>
      <c r="P19033" s="3337"/>
    </row>
    <row r="19034" spans="7:16" s="1634" customFormat="1">
      <c r="G19034" s="3336"/>
      <c r="P19034" s="3337"/>
    </row>
    <row r="19035" spans="7:16" s="1634" customFormat="1">
      <c r="G19035" s="3336"/>
      <c r="P19035" s="3337"/>
    </row>
    <row r="19036" spans="7:16" s="1634" customFormat="1">
      <c r="G19036" s="3336"/>
      <c r="P19036" s="3337"/>
    </row>
    <row r="19037" spans="7:16" s="1634" customFormat="1">
      <c r="G19037" s="3336"/>
      <c r="P19037" s="3337"/>
    </row>
    <row r="19038" spans="7:16" s="1634" customFormat="1">
      <c r="G19038" s="3336"/>
      <c r="P19038" s="3337"/>
    </row>
    <row r="19039" spans="7:16" s="1634" customFormat="1">
      <c r="G19039" s="3336"/>
      <c r="P19039" s="3337"/>
    </row>
    <row r="19040" spans="7:16" s="1634" customFormat="1">
      <c r="G19040" s="3336"/>
      <c r="P19040" s="3337"/>
    </row>
    <row r="19041" spans="7:16" s="1634" customFormat="1">
      <c r="G19041" s="3336"/>
      <c r="P19041" s="3337"/>
    </row>
    <row r="19042" spans="7:16" s="1634" customFormat="1">
      <c r="G19042" s="3336"/>
      <c r="P19042" s="3337"/>
    </row>
    <row r="19043" spans="7:16" s="1634" customFormat="1">
      <c r="G19043" s="3336"/>
      <c r="P19043" s="3337"/>
    </row>
    <row r="19044" spans="7:16" s="1634" customFormat="1">
      <c r="G19044" s="3336"/>
      <c r="P19044" s="3337"/>
    </row>
    <row r="19045" spans="7:16" s="1634" customFormat="1">
      <c r="G19045" s="3336"/>
      <c r="P19045" s="3337"/>
    </row>
    <row r="19046" spans="7:16" s="1634" customFormat="1">
      <c r="G19046" s="3336"/>
      <c r="P19046" s="3337"/>
    </row>
    <row r="19047" spans="7:16" s="1634" customFormat="1">
      <c r="G19047" s="3336"/>
      <c r="P19047" s="3337"/>
    </row>
    <row r="19048" spans="7:16" s="1634" customFormat="1">
      <c r="G19048" s="3336"/>
      <c r="P19048" s="3337"/>
    </row>
    <row r="19049" spans="7:16" s="1634" customFormat="1">
      <c r="G19049" s="3336"/>
      <c r="P19049" s="3337"/>
    </row>
    <row r="19050" spans="7:16" s="1634" customFormat="1">
      <c r="G19050" s="3336"/>
      <c r="P19050" s="3337"/>
    </row>
    <row r="19051" spans="7:16" s="1634" customFormat="1">
      <c r="G19051" s="3336"/>
      <c r="P19051" s="3337"/>
    </row>
    <row r="19052" spans="7:16" s="1634" customFormat="1">
      <c r="G19052" s="3336"/>
      <c r="P19052" s="3337"/>
    </row>
    <row r="19053" spans="7:16" s="1634" customFormat="1">
      <c r="G19053" s="3336"/>
      <c r="P19053" s="3337"/>
    </row>
    <row r="19054" spans="7:16" s="1634" customFormat="1">
      <c r="G19054" s="3336"/>
      <c r="P19054" s="3337"/>
    </row>
    <row r="19055" spans="7:16" s="1634" customFormat="1">
      <c r="G19055" s="3336"/>
      <c r="P19055" s="3337"/>
    </row>
    <row r="19056" spans="7:16" s="1634" customFormat="1">
      <c r="G19056" s="3336"/>
      <c r="P19056" s="3337"/>
    </row>
    <row r="19057" spans="7:16" s="1634" customFormat="1">
      <c r="G19057" s="3336"/>
      <c r="P19057" s="3337"/>
    </row>
    <row r="19058" spans="7:16" s="1634" customFormat="1">
      <c r="G19058" s="3336"/>
      <c r="P19058" s="3337"/>
    </row>
    <row r="19059" spans="7:16" s="1634" customFormat="1">
      <c r="G19059" s="3336"/>
      <c r="P19059" s="3337"/>
    </row>
    <row r="19060" spans="7:16" s="1634" customFormat="1">
      <c r="G19060" s="3336"/>
      <c r="P19060" s="3337"/>
    </row>
    <row r="19061" spans="7:16" s="1634" customFormat="1">
      <c r="G19061" s="3336"/>
      <c r="P19061" s="3337"/>
    </row>
    <row r="19062" spans="7:16" s="1634" customFormat="1">
      <c r="G19062" s="3336"/>
      <c r="P19062" s="3337"/>
    </row>
    <row r="19063" spans="7:16" s="1634" customFormat="1">
      <c r="G19063" s="3336"/>
      <c r="P19063" s="3337"/>
    </row>
    <row r="19064" spans="7:16" s="1634" customFormat="1">
      <c r="G19064" s="3336"/>
      <c r="P19064" s="3337"/>
    </row>
    <row r="19065" spans="7:16" s="1634" customFormat="1">
      <c r="G19065" s="3336"/>
      <c r="P19065" s="3337"/>
    </row>
    <row r="19066" spans="7:16" s="1634" customFormat="1">
      <c r="G19066" s="3336"/>
      <c r="P19066" s="3337"/>
    </row>
    <row r="19067" spans="7:16" s="1634" customFormat="1">
      <c r="G19067" s="3336"/>
      <c r="P19067" s="3337"/>
    </row>
    <row r="19068" spans="7:16" s="1634" customFormat="1">
      <c r="G19068" s="3336"/>
      <c r="P19068" s="3337"/>
    </row>
    <row r="19069" spans="7:16" s="1634" customFormat="1">
      <c r="G19069" s="3336"/>
      <c r="P19069" s="3337"/>
    </row>
    <row r="19070" spans="7:16" s="1634" customFormat="1">
      <c r="G19070" s="3336"/>
      <c r="P19070" s="3337"/>
    </row>
    <row r="19071" spans="7:16" s="1634" customFormat="1">
      <c r="G19071" s="3336"/>
      <c r="P19071" s="3337"/>
    </row>
    <row r="19072" spans="7:16" s="1634" customFormat="1">
      <c r="G19072" s="3336"/>
      <c r="P19072" s="3337"/>
    </row>
    <row r="19073" spans="7:16" s="1634" customFormat="1">
      <c r="G19073" s="3336"/>
      <c r="P19073" s="3337"/>
    </row>
    <row r="19074" spans="7:16" s="1634" customFormat="1">
      <c r="G19074" s="3336"/>
      <c r="P19074" s="3337"/>
    </row>
    <row r="19075" spans="7:16" s="1634" customFormat="1">
      <c r="G19075" s="3336"/>
      <c r="P19075" s="3337"/>
    </row>
    <row r="19076" spans="7:16" s="1634" customFormat="1">
      <c r="G19076" s="3336"/>
      <c r="P19076" s="3337"/>
    </row>
    <row r="19077" spans="7:16" s="1634" customFormat="1">
      <c r="G19077" s="3336"/>
      <c r="P19077" s="3337"/>
    </row>
    <row r="19078" spans="7:16" s="1634" customFormat="1">
      <c r="G19078" s="3336"/>
      <c r="P19078" s="3337"/>
    </row>
    <row r="19079" spans="7:16" s="1634" customFormat="1">
      <c r="G19079" s="3336"/>
      <c r="P19079" s="3337"/>
    </row>
    <row r="19080" spans="7:16" s="1634" customFormat="1">
      <c r="G19080" s="3336"/>
      <c r="P19080" s="3337"/>
    </row>
    <row r="19081" spans="7:16" s="1634" customFormat="1">
      <c r="G19081" s="3336"/>
      <c r="P19081" s="3337"/>
    </row>
    <row r="19082" spans="7:16" s="1634" customFormat="1">
      <c r="G19082" s="3336"/>
      <c r="P19082" s="3337"/>
    </row>
    <row r="19083" spans="7:16" s="1634" customFormat="1">
      <c r="G19083" s="3336"/>
      <c r="P19083" s="3337"/>
    </row>
    <row r="19084" spans="7:16" s="1634" customFormat="1">
      <c r="G19084" s="3336"/>
      <c r="P19084" s="3337"/>
    </row>
    <row r="19085" spans="7:16" s="1634" customFormat="1">
      <c r="G19085" s="3336"/>
      <c r="P19085" s="3337"/>
    </row>
    <row r="19086" spans="7:16" s="1634" customFormat="1">
      <c r="G19086" s="3336"/>
      <c r="P19086" s="3337"/>
    </row>
    <row r="19087" spans="7:16" s="1634" customFormat="1">
      <c r="G19087" s="3336"/>
      <c r="P19087" s="3337"/>
    </row>
    <row r="19088" spans="7:16" s="1634" customFormat="1">
      <c r="G19088" s="3336"/>
      <c r="P19088" s="3337"/>
    </row>
    <row r="19089" spans="7:16" s="1634" customFormat="1">
      <c r="G19089" s="3336"/>
      <c r="P19089" s="3337"/>
    </row>
    <row r="19090" spans="7:16" s="1634" customFormat="1">
      <c r="G19090" s="3336"/>
      <c r="P19090" s="3337"/>
    </row>
    <row r="19091" spans="7:16" s="1634" customFormat="1">
      <c r="G19091" s="3336"/>
      <c r="P19091" s="3337"/>
    </row>
    <row r="19092" spans="7:16" s="1634" customFormat="1">
      <c r="G19092" s="3336"/>
      <c r="P19092" s="3337"/>
    </row>
    <row r="19093" spans="7:16" s="1634" customFormat="1">
      <c r="G19093" s="3336"/>
      <c r="P19093" s="3337"/>
    </row>
    <row r="19094" spans="7:16" s="1634" customFormat="1">
      <c r="G19094" s="3336"/>
      <c r="P19094" s="3337"/>
    </row>
    <row r="19095" spans="7:16" s="1634" customFormat="1">
      <c r="G19095" s="3336"/>
      <c r="P19095" s="3337"/>
    </row>
    <row r="19096" spans="7:16" s="1634" customFormat="1">
      <c r="G19096" s="3336"/>
      <c r="P19096" s="3337"/>
    </row>
    <row r="19097" spans="7:16" s="1634" customFormat="1">
      <c r="G19097" s="3336"/>
      <c r="P19097" s="3337"/>
    </row>
    <row r="19098" spans="7:16" s="1634" customFormat="1">
      <c r="G19098" s="3336"/>
      <c r="P19098" s="3337"/>
    </row>
    <row r="19099" spans="7:16" s="1634" customFormat="1">
      <c r="G19099" s="3336"/>
      <c r="P19099" s="3337"/>
    </row>
    <row r="19100" spans="7:16" s="1634" customFormat="1">
      <c r="G19100" s="3336"/>
      <c r="P19100" s="3337"/>
    </row>
    <row r="19101" spans="7:16" s="1634" customFormat="1">
      <c r="G19101" s="3336"/>
      <c r="P19101" s="3337"/>
    </row>
    <row r="19102" spans="7:16" s="1634" customFormat="1">
      <c r="G19102" s="3336"/>
      <c r="P19102" s="3337"/>
    </row>
    <row r="19103" spans="7:16" s="1634" customFormat="1">
      <c r="G19103" s="3336"/>
      <c r="P19103" s="3337"/>
    </row>
    <row r="19104" spans="7:16" s="1634" customFormat="1">
      <c r="G19104" s="3336"/>
      <c r="P19104" s="3337"/>
    </row>
    <row r="19105" spans="7:16" s="1634" customFormat="1">
      <c r="G19105" s="3336"/>
      <c r="P19105" s="3337"/>
    </row>
    <row r="19106" spans="7:16" s="1634" customFormat="1">
      <c r="G19106" s="3336"/>
      <c r="P19106" s="3337"/>
    </row>
    <row r="19107" spans="7:16" s="1634" customFormat="1">
      <c r="G19107" s="3336"/>
      <c r="P19107" s="3337"/>
    </row>
    <row r="19108" spans="7:16" s="1634" customFormat="1">
      <c r="G19108" s="3336"/>
      <c r="P19108" s="3337"/>
    </row>
    <row r="19109" spans="7:16" s="1634" customFormat="1">
      <c r="G19109" s="3336"/>
      <c r="P19109" s="3337"/>
    </row>
    <row r="19110" spans="7:16" s="1634" customFormat="1">
      <c r="G19110" s="3336"/>
      <c r="P19110" s="3337"/>
    </row>
    <row r="19111" spans="7:16" s="1634" customFormat="1">
      <c r="G19111" s="3336"/>
      <c r="P19111" s="3337"/>
    </row>
    <row r="19112" spans="7:16" s="1634" customFormat="1">
      <c r="G19112" s="3336"/>
      <c r="P19112" s="3337"/>
    </row>
    <row r="19113" spans="7:16" s="1634" customFormat="1">
      <c r="G19113" s="3336"/>
      <c r="P19113" s="3337"/>
    </row>
    <row r="19114" spans="7:16" s="1634" customFormat="1">
      <c r="G19114" s="3336"/>
      <c r="P19114" s="3337"/>
    </row>
    <row r="19115" spans="7:16" s="1634" customFormat="1">
      <c r="G19115" s="3336"/>
      <c r="P19115" s="3337"/>
    </row>
    <row r="19116" spans="7:16" s="1634" customFormat="1">
      <c r="G19116" s="3336"/>
      <c r="P19116" s="3337"/>
    </row>
    <row r="19117" spans="7:16" s="1634" customFormat="1">
      <c r="G19117" s="3336"/>
      <c r="P19117" s="3337"/>
    </row>
    <row r="19118" spans="7:16" s="1634" customFormat="1">
      <c r="G19118" s="3336"/>
      <c r="P19118" s="3337"/>
    </row>
    <row r="19119" spans="7:16" s="1634" customFormat="1">
      <c r="G19119" s="3336"/>
      <c r="P19119" s="3337"/>
    </row>
    <row r="19120" spans="7:16" s="1634" customFormat="1">
      <c r="G19120" s="3336"/>
      <c r="P19120" s="3337"/>
    </row>
    <row r="19121" spans="7:16" s="1634" customFormat="1">
      <c r="G19121" s="3336"/>
      <c r="P19121" s="3337"/>
    </row>
    <row r="19122" spans="7:16" s="1634" customFormat="1">
      <c r="G19122" s="3336"/>
      <c r="P19122" s="3337"/>
    </row>
    <row r="19123" spans="7:16" s="1634" customFormat="1">
      <c r="G19123" s="3336"/>
      <c r="P19123" s="3337"/>
    </row>
    <row r="19124" spans="7:16" s="1634" customFormat="1">
      <c r="G19124" s="3336"/>
      <c r="P19124" s="3337"/>
    </row>
    <row r="19125" spans="7:16" s="1634" customFormat="1">
      <c r="G19125" s="3336"/>
      <c r="P19125" s="3337"/>
    </row>
    <row r="19126" spans="7:16" s="1634" customFormat="1">
      <c r="G19126" s="3336"/>
      <c r="P19126" s="3337"/>
    </row>
    <row r="19127" spans="7:16" s="1634" customFormat="1">
      <c r="G19127" s="3336"/>
      <c r="P19127" s="3337"/>
    </row>
    <row r="19128" spans="7:16" s="1634" customFormat="1">
      <c r="G19128" s="3336"/>
      <c r="P19128" s="3337"/>
    </row>
    <row r="19129" spans="7:16" s="1634" customFormat="1">
      <c r="G19129" s="3336"/>
      <c r="P19129" s="3337"/>
    </row>
    <row r="19130" spans="7:16" s="1634" customFormat="1">
      <c r="G19130" s="3336"/>
      <c r="P19130" s="3337"/>
    </row>
    <row r="19131" spans="7:16" s="1634" customFormat="1">
      <c r="G19131" s="3336"/>
      <c r="P19131" s="3337"/>
    </row>
    <row r="19132" spans="7:16" s="1634" customFormat="1">
      <c r="G19132" s="3336"/>
      <c r="P19132" s="3337"/>
    </row>
    <row r="19133" spans="7:16" s="1634" customFormat="1">
      <c r="G19133" s="3336"/>
      <c r="P19133" s="3337"/>
    </row>
    <row r="19134" spans="7:16" s="1634" customFormat="1">
      <c r="G19134" s="3336"/>
      <c r="P19134" s="3337"/>
    </row>
    <row r="19135" spans="7:16" s="1634" customFormat="1">
      <c r="G19135" s="3336"/>
      <c r="P19135" s="3337"/>
    </row>
    <row r="19136" spans="7:16" s="1634" customFormat="1">
      <c r="G19136" s="3336"/>
      <c r="P19136" s="3337"/>
    </row>
    <row r="19137" spans="7:16" s="1634" customFormat="1">
      <c r="G19137" s="3336"/>
      <c r="P19137" s="3337"/>
    </row>
    <row r="19138" spans="7:16" s="1634" customFormat="1">
      <c r="G19138" s="3336"/>
      <c r="P19138" s="3337"/>
    </row>
    <row r="19139" spans="7:16" s="1634" customFormat="1">
      <c r="G19139" s="3336"/>
      <c r="P19139" s="3337"/>
    </row>
    <row r="19140" spans="7:16" s="1634" customFormat="1">
      <c r="G19140" s="3336"/>
      <c r="P19140" s="3337"/>
    </row>
    <row r="19141" spans="7:16" s="1634" customFormat="1">
      <c r="G19141" s="3336"/>
      <c r="P19141" s="3337"/>
    </row>
    <row r="19142" spans="7:16" s="1634" customFormat="1">
      <c r="G19142" s="3336"/>
      <c r="P19142" s="3337"/>
    </row>
    <row r="19143" spans="7:16" s="1634" customFormat="1">
      <c r="G19143" s="3336"/>
      <c r="P19143" s="3337"/>
    </row>
    <row r="19144" spans="7:16" s="1634" customFormat="1">
      <c r="G19144" s="3336"/>
      <c r="P19144" s="3337"/>
    </row>
    <row r="19145" spans="7:16" s="1634" customFormat="1">
      <c r="G19145" s="3336"/>
      <c r="P19145" s="3337"/>
    </row>
    <row r="19146" spans="7:16" s="1634" customFormat="1">
      <c r="G19146" s="3336"/>
      <c r="P19146" s="3337"/>
    </row>
    <row r="19147" spans="7:16" s="1634" customFormat="1">
      <c r="G19147" s="3336"/>
      <c r="P19147" s="3337"/>
    </row>
    <row r="19148" spans="7:16" s="1634" customFormat="1">
      <c r="G19148" s="3336"/>
      <c r="P19148" s="3337"/>
    </row>
    <row r="19149" spans="7:16" s="1634" customFormat="1">
      <c r="G19149" s="3336"/>
      <c r="P19149" s="3337"/>
    </row>
    <row r="19150" spans="7:16" s="1634" customFormat="1">
      <c r="G19150" s="3336"/>
      <c r="P19150" s="3337"/>
    </row>
    <row r="19151" spans="7:16" s="1634" customFormat="1">
      <c r="G19151" s="3336"/>
      <c r="P19151" s="3337"/>
    </row>
    <row r="19152" spans="7:16" s="1634" customFormat="1">
      <c r="G19152" s="3336"/>
      <c r="P19152" s="3337"/>
    </row>
    <row r="19153" spans="7:16" s="1634" customFormat="1">
      <c r="G19153" s="3336"/>
      <c r="P19153" s="3337"/>
    </row>
    <row r="19154" spans="7:16" s="1634" customFormat="1">
      <c r="G19154" s="3336"/>
      <c r="P19154" s="3337"/>
    </row>
    <row r="19155" spans="7:16" s="1634" customFormat="1">
      <c r="G19155" s="3336"/>
      <c r="P19155" s="3337"/>
    </row>
    <row r="19156" spans="7:16" s="1634" customFormat="1">
      <c r="G19156" s="3336"/>
      <c r="P19156" s="3337"/>
    </row>
    <row r="19157" spans="7:16" s="1634" customFormat="1">
      <c r="G19157" s="3336"/>
      <c r="P19157" s="3337"/>
    </row>
    <row r="19158" spans="7:16" s="1634" customFormat="1">
      <c r="G19158" s="3336"/>
      <c r="P19158" s="3337"/>
    </row>
    <row r="19159" spans="7:16" s="1634" customFormat="1">
      <c r="G19159" s="3336"/>
      <c r="P19159" s="3337"/>
    </row>
    <row r="19160" spans="7:16" s="1634" customFormat="1">
      <c r="G19160" s="3336"/>
      <c r="P19160" s="3337"/>
    </row>
    <row r="19161" spans="7:16" s="1634" customFormat="1">
      <c r="G19161" s="3336"/>
      <c r="P19161" s="3337"/>
    </row>
    <row r="19162" spans="7:16" s="1634" customFormat="1">
      <c r="G19162" s="3336"/>
      <c r="P19162" s="3337"/>
    </row>
    <row r="19163" spans="7:16" s="1634" customFormat="1">
      <c r="G19163" s="3336"/>
      <c r="P19163" s="3337"/>
    </row>
    <row r="19164" spans="7:16" s="1634" customFormat="1">
      <c r="G19164" s="3336"/>
      <c r="P19164" s="3337"/>
    </row>
    <row r="19165" spans="7:16" s="1634" customFormat="1">
      <c r="G19165" s="3336"/>
      <c r="P19165" s="3337"/>
    </row>
    <row r="19166" spans="7:16" s="1634" customFormat="1">
      <c r="G19166" s="3336"/>
      <c r="P19166" s="3337"/>
    </row>
    <row r="19167" spans="7:16" s="1634" customFormat="1">
      <c r="G19167" s="3336"/>
      <c r="P19167" s="3337"/>
    </row>
    <row r="19168" spans="7:16" s="1634" customFormat="1">
      <c r="G19168" s="3336"/>
      <c r="P19168" s="3337"/>
    </row>
    <row r="19169" spans="7:16" s="1634" customFormat="1">
      <c r="G19169" s="3336"/>
      <c r="P19169" s="3337"/>
    </row>
    <row r="19170" spans="7:16" s="1634" customFormat="1">
      <c r="G19170" s="3336"/>
      <c r="P19170" s="3337"/>
    </row>
    <row r="19171" spans="7:16" s="1634" customFormat="1">
      <c r="G19171" s="3336"/>
      <c r="P19171" s="3337"/>
    </row>
    <row r="19172" spans="7:16" s="1634" customFormat="1">
      <c r="G19172" s="3336"/>
      <c r="P19172" s="3337"/>
    </row>
    <row r="19173" spans="7:16" s="1634" customFormat="1">
      <c r="G19173" s="3336"/>
      <c r="P19173" s="3337"/>
    </row>
    <row r="19174" spans="7:16" s="1634" customFormat="1">
      <c r="G19174" s="3336"/>
      <c r="P19174" s="3337"/>
    </row>
    <row r="19175" spans="7:16" s="1634" customFormat="1">
      <c r="G19175" s="3336"/>
      <c r="P19175" s="3337"/>
    </row>
    <row r="19176" spans="7:16" s="1634" customFormat="1">
      <c r="G19176" s="3336"/>
      <c r="P19176" s="3337"/>
    </row>
    <row r="19177" spans="7:16" s="1634" customFormat="1">
      <c r="G19177" s="3336"/>
      <c r="P19177" s="3337"/>
    </row>
    <row r="19178" spans="7:16" s="1634" customFormat="1">
      <c r="G19178" s="3336"/>
      <c r="P19178" s="3337"/>
    </row>
    <row r="19179" spans="7:16" s="1634" customFormat="1">
      <c r="G19179" s="3336"/>
      <c r="P19179" s="3337"/>
    </row>
    <row r="19180" spans="7:16" s="1634" customFormat="1">
      <c r="G19180" s="3336"/>
      <c r="P19180" s="3337"/>
    </row>
    <row r="19181" spans="7:16" s="1634" customFormat="1">
      <c r="G19181" s="3336"/>
      <c r="P19181" s="3337"/>
    </row>
    <row r="19182" spans="7:16" s="1634" customFormat="1">
      <c r="G19182" s="3336"/>
      <c r="P19182" s="3337"/>
    </row>
    <row r="19183" spans="7:16" s="1634" customFormat="1">
      <c r="G19183" s="3336"/>
      <c r="P19183" s="3337"/>
    </row>
    <row r="19184" spans="7:16" s="1634" customFormat="1">
      <c r="G19184" s="3336"/>
      <c r="P19184" s="3337"/>
    </row>
    <row r="19185" spans="7:16" s="1634" customFormat="1">
      <c r="G19185" s="3336"/>
      <c r="P19185" s="3337"/>
    </row>
    <row r="19186" spans="7:16" s="1634" customFormat="1">
      <c r="G19186" s="3336"/>
      <c r="P19186" s="3337"/>
    </row>
    <row r="19187" spans="7:16" s="1634" customFormat="1">
      <c r="G19187" s="3336"/>
      <c r="P19187" s="3337"/>
    </row>
    <row r="19188" spans="7:16" s="1634" customFormat="1">
      <c r="G19188" s="3336"/>
      <c r="P19188" s="3337"/>
    </row>
    <row r="19189" spans="7:16" s="1634" customFormat="1">
      <c r="G19189" s="3336"/>
      <c r="P19189" s="3337"/>
    </row>
    <row r="19190" spans="7:16" s="1634" customFormat="1">
      <c r="G19190" s="3336"/>
      <c r="P19190" s="3337"/>
    </row>
    <row r="19191" spans="7:16" s="1634" customFormat="1">
      <c r="G19191" s="3336"/>
      <c r="P19191" s="3337"/>
    </row>
    <row r="19192" spans="7:16" s="1634" customFormat="1">
      <c r="G19192" s="3336"/>
      <c r="P19192" s="3337"/>
    </row>
    <row r="19193" spans="7:16" s="1634" customFormat="1">
      <c r="G19193" s="3336"/>
      <c r="P19193" s="3337"/>
    </row>
    <row r="19194" spans="7:16" s="1634" customFormat="1">
      <c r="G19194" s="3336"/>
      <c r="P19194" s="3337"/>
    </row>
    <row r="19195" spans="7:16" s="1634" customFormat="1">
      <c r="G19195" s="3336"/>
      <c r="P19195" s="3337"/>
    </row>
    <row r="19196" spans="7:16" s="1634" customFormat="1">
      <c r="G19196" s="3336"/>
      <c r="P19196" s="3337"/>
    </row>
    <row r="19197" spans="7:16" s="1634" customFormat="1">
      <c r="G19197" s="3336"/>
      <c r="P19197" s="3337"/>
    </row>
    <row r="19198" spans="7:16" s="1634" customFormat="1">
      <c r="G19198" s="3336"/>
      <c r="P19198" s="3337"/>
    </row>
    <row r="19199" spans="7:16" s="1634" customFormat="1">
      <c r="G19199" s="3336"/>
      <c r="P19199" s="3337"/>
    </row>
    <row r="19200" spans="7:16" s="1634" customFormat="1">
      <c r="G19200" s="3336"/>
      <c r="P19200" s="3337"/>
    </row>
    <row r="19201" spans="7:16" s="1634" customFormat="1">
      <c r="G19201" s="3336"/>
      <c r="P19201" s="3337"/>
    </row>
    <row r="19202" spans="7:16" s="1634" customFormat="1">
      <c r="G19202" s="3336"/>
      <c r="P19202" s="3337"/>
    </row>
    <row r="19203" spans="7:16" s="1634" customFormat="1">
      <c r="G19203" s="3336"/>
      <c r="P19203" s="3337"/>
    </row>
    <row r="19204" spans="7:16" s="1634" customFormat="1">
      <c r="G19204" s="3336"/>
      <c r="P19204" s="3337"/>
    </row>
    <row r="19205" spans="7:16" s="1634" customFormat="1">
      <c r="G19205" s="3336"/>
      <c r="P19205" s="3337"/>
    </row>
    <row r="19206" spans="7:16" s="1634" customFormat="1">
      <c r="G19206" s="3336"/>
      <c r="P19206" s="3337"/>
    </row>
    <row r="19207" spans="7:16" s="1634" customFormat="1">
      <c r="G19207" s="3336"/>
      <c r="P19207" s="3337"/>
    </row>
    <row r="19208" spans="7:16" s="1634" customFormat="1">
      <c r="G19208" s="3336"/>
      <c r="P19208" s="3337"/>
    </row>
    <row r="19209" spans="7:16" s="1634" customFormat="1">
      <c r="G19209" s="3336"/>
      <c r="P19209" s="3337"/>
    </row>
    <row r="19210" spans="7:16" s="1634" customFormat="1">
      <c r="G19210" s="3336"/>
      <c r="P19210" s="3337"/>
    </row>
    <row r="19211" spans="7:16" s="1634" customFormat="1">
      <c r="G19211" s="3336"/>
      <c r="P19211" s="3337"/>
    </row>
    <row r="19212" spans="7:16" s="1634" customFormat="1">
      <c r="G19212" s="3336"/>
      <c r="P19212" s="3337"/>
    </row>
    <row r="19213" spans="7:16" s="1634" customFormat="1">
      <c r="G19213" s="3336"/>
      <c r="P19213" s="3337"/>
    </row>
    <row r="19214" spans="7:16" s="1634" customFormat="1">
      <c r="G19214" s="3336"/>
      <c r="P19214" s="3337"/>
    </row>
    <row r="19215" spans="7:16" s="1634" customFormat="1">
      <c r="G19215" s="3336"/>
      <c r="P19215" s="3337"/>
    </row>
    <row r="19216" spans="7:16" s="1634" customFormat="1">
      <c r="G19216" s="3336"/>
      <c r="P19216" s="3337"/>
    </row>
    <row r="19217" spans="7:16" s="1634" customFormat="1">
      <c r="G19217" s="3336"/>
      <c r="P19217" s="3337"/>
    </row>
    <row r="19218" spans="7:16" s="1634" customFormat="1">
      <c r="G19218" s="3336"/>
      <c r="P19218" s="3337"/>
    </row>
    <row r="19219" spans="7:16" s="1634" customFormat="1">
      <c r="G19219" s="3336"/>
      <c r="P19219" s="3337"/>
    </row>
    <row r="19220" spans="7:16" s="1634" customFormat="1">
      <c r="G19220" s="3336"/>
      <c r="P19220" s="3337"/>
    </row>
    <row r="19221" spans="7:16" s="1634" customFormat="1">
      <c r="G19221" s="3336"/>
      <c r="P19221" s="3337"/>
    </row>
    <row r="19222" spans="7:16" s="1634" customFormat="1">
      <c r="G19222" s="3336"/>
      <c r="P19222" s="3337"/>
    </row>
    <row r="19223" spans="7:16" s="1634" customFormat="1">
      <c r="G19223" s="3336"/>
      <c r="P19223" s="3337"/>
    </row>
    <row r="19224" spans="7:16" s="1634" customFormat="1">
      <c r="G19224" s="3336"/>
      <c r="P19224" s="3337"/>
    </row>
    <row r="19225" spans="7:16" s="1634" customFormat="1">
      <c r="G19225" s="3336"/>
      <c r="P19225" s="3337"/>
    </row>
    <row r="19226" spans="7:16" s="1634" customFormat="1">
      <c r="G19226" s="3336"/>
      <c r="P19226" s="3337"/>
    </row>
    <row r="19227" spans="7:16" s="1634" customFormat="1">
      <c r="G19227" s="3336"/>
      <c r="P19227" s="3337"/>
    </row>
    <row r="19228" spans="7:16" s="1634" customFormat="1">
      <c r="G19228" s="3336"/>
      <c r="P19228" s="3337"/>
    </row>
    <row r="19229" spans="7:16" s="1634" customFormat="1">
      <c r="G19229" s="3336"/>
      <c r="P19229" s="3337"/>
    </row>
    <row r="19230" spans="7:16" s="1634" customFormat="1">
      <c r="G19230" s="3336"/>
      <c r="P19230" s="3337"/>
    </row>
    <row r="19231" spans="7:16" s="1634" customFormat="1">
      <c r="G19231" s="3336"/>
      <c r="P19231" s="3337"/>
    </row>
    <row r="19232" spans="7:16" s="1634" customFormat="1">
      <c r="G19232" s="3336"/>
      <c r="P19232" s="3337"/>
    </row>
    <row r="19233" spans="7:16" s="1634" customFormat="1">
      <c r="G19233" s="3336"/>
      <c r="P19233" s="3337"/>
    </row>
    <row r="19234" spans="7:16" s="1634" customFormat="1">
      <c r="G19234" s="3336"/>
      <c r="P19234" s="3337"/>
    </row>
    <row r="19235" spans="7:16" s="1634" customFormat="1">
      <c r="G19235" s="3336"/>
      <c r="P19235" s="3337"/>
    </row>
    <row r="19236" spans="7:16" s="1634" customFormat="1">
      <c r="G19236" s="3336"/>
      <c r="P19236" s="3337"/>
    </row>
    <row r="19237" spans="7:16" s="1634" customFormat="1">
      <c r="G19237" s="3336"/>
      <c r="P19237" s="3337"/>
    </row>
    <row r="19238" spans="7:16" s="1634" customFormat="1">
      <c r="G19238" s="3336"/>
      <c r="P19238" s="3337"/>
    </row>
    <row r="19239" spans="7:16" s="1634" customFormat="1">
      <c r="G19239" s="3336"/>
      <c r="P19239" s="3337"/>
    </row>
    <row r="19240" spans="7:16" s="1634" customFormat="1">
      <c r="G19240" s="3336"/>
      <c r="P19240" s="3337"/>
    </row>
    <row r="19241" spans="7:16" s="1634" customFormat="1">
      <c r="G19241" s="3336"/>
      <c r="P19241" s="3337"/>
    </row>
    <row r="19242" spans="7:16" s="1634" customFormat="1">
      <c r="G19242" s="3336"/>
      <c r="P19242" s="3337"/>
    </row>
    <row r="19243" spans="7:16" s="1634" customFormat="1">
      <c r="G19243" s="3336"/>
      <c r="P19243" s="3337"/>
    </row>
    <row r="19244" spans="7:16" s="1634" customFormat="1">
      <c r="G19244" s="3336"/>
      <c r="P19244" s="3337"/>
    </row>
    <row r="19245" spans="7:16" s="1634" customFormat="1">
      <c r="G19245" s="3336"/>
      <c r="P19245" s="3337"/>
    </row>
    <row r="19246" spans="7:16" s="1634" customFormat="1">
      <c r="G19246" s="3336"/>
      <c r="P19246" s="3337"/>
    </row>
    <row r="19247" spans="7:16" s="1634" customFormat="1">
      <c r="G19247" s="3336"/>
      <c r="P19247" s="3337"/>
    </row>
    <row r="19248" spans="7:16" s="1634" customFormat="1">
      <c r="G19248" s="3336"/>
      <c r="P19248" s="3337"/>
    </row>
    <row r="19249" spans="7:16" s="1634" customFormat="1">
      <c r="G19249" s="3336"/>
      <c r="P19249" s="3337"/>
    </row>
    <row r="19250" spans="7:16" s="1634" customFormat="1">
      <c r="G19250" s="3336"/>
      <c r="P19250" s="3337"/>
    </row>
    <row r="19251" spans="7:16" s="1634" customFormat="1">
      <c r="G19251" s="3336"/>
      <c r="P19251" s="3337"/>
    </row>
    <row r="19252" spans="7:16" s="1634" customFormat="1">
      <c r="G19252" s="3336"/>
      <c r="P19252" s="3337"/>
    </row>
    <row r="19253" spans="7:16" s="1634" customFormat="1">
      <c r="G19253" s="3336"/>
      <c r="P19253" s="3337"/>
    </row>
    <row r="19254" spans="7:16" s="1634" customFormat="1">
      <c r="G19254" s="3336"/>
      <c r="P19254" s="3337"/>
    </row>
    <row r="19255" spans="7:16" s="1634" customFormat="1">
      <c r="G19255" s="3336"/>
      <c r="P19255" s="3337"/>
    </row>
    <row r="19256" spans="7:16" s="1634" customFormat="1">
      <c r="G19256" s="3336"/>
      <c r="P19256" s="3337"/>
    </row>
    <row r="19257" spans="7:16" s="1634" customFormat="1">
      <c r="G19257" s="3336"/>
      <c r="P19257" s="3337"/>
    </row>
    <row r="19258" spans="7:16" s="1634" customFormat="1">
      <c r="G19258" s="3336"/>
      <c r="P19258" s="3337"/>
    </row>
    <row r="19259" spans="7:16" s="1634" customFormat="1">
      <c r="G19259" s="3336"/>
      <c r="P19259" s="3337"/>
    </row>
    <row r="19260" spans="7:16" s="1634" customFormat="1">
      <c r="G19260" s="3336"/>
      <c r="P19260" s="3337"/>
    </row>
    <row r="19261" spans="7:16" s="1634" customFormat="1">
      <c r="G19261" s="3336"/>
      <c r="P19261" s="3337"/>
    </row>
    <row r="19262" spans="7:16" s="1634" customFormat="1">
      <c r="G19262" s="3336"/>
      <c r="P19262" s="3337"/>
    </row>
    <row r="19263" spans="7:16" s="1634" customFormat="1">
      <c r="G19263" s="3336"/>
      <c r="P19263" s="3337"/>
    </row>
    <row r="19264" spans="7:16" s="1634" customFormat="1">
      <c r="G19264" s="3336"/>
      <c r="P19264" s="3337"/>
    </row>
    <row r="19265" spans="7:16" s="1634" customFormat="1">
      <c r="G19265" s="3336"/>
      <c r="P19265" s="3337"/>
    </row>
    <row r="19266" spans="7:16" s="1634" customFormat="1">
      <c r="G19266" s="3336"/>
      <c r="P19266" s="3337"/>
    </row>
    <row r="19267" spans="7:16" s="1634" customFormat="1">
      <c r="G19267" s="3336"/>
      <c r="P19267" s="3337"/>
    </row>
    <row r="19268" spans="7:16" s="1634" customFormat="1">
      <c r="G19268" s="3336"/>
      <c r="P19268" s="3337"/>
    </row>
    <row r="19269" spans="7:16" s="1634" customFormat="1">
      <c r="G19269" s="3336"/>
      <c r="P19269" s="3337"/>
    </row>
    <row r="19270" spans="7:16" s="1634" customFormat="1">
      <c r="G19270" s="3336"/>
      <c r="P19270" s="3337"/>
    </row>
    <row r="19271" spans="7:16" s="1634" customFormat="1">
      <c r="G19271" s="3336"/>
      <c r="P19271" s="3337"/>
    </row>
    <row r="19272" spans="7:16" s="1634" customFormat="1">
      <c r="G19272" s="3336"/>
      <c r="P19272" s="3337"/>
    </row>
    <row r="19273" spans="7:16" s="1634" customFormat="1">
      <c r="G19273" s="3336"/>
      <c r="P19273" s="3337"/>
    </row>
    <row r="19274" spans="7:16" s="1634" customFormat="1">
      <c r="G19274" s="3336"/>
      <c r="P19274" s="3337"/>
    </row>
    <row r="19275" spans="7:16" s="1634" customFormat="1">
      <c r="G19275" s="3336"/>
      <c r="P19275" s="3337"/>
    </row>
    <row r="19276" spans="7:16" s="1634" customFormat="1">
      <c r="G19276" s="3336"/>
      <c r="P19276" s="3337"/>
    </row>
    <row r="19277" spans="7:16" s="1634" customFormat="1">
      <c r="G19277" s="3336"/>
      <c r="P19277" s="3337"/>
    </row>
    <row r="19278" spans="7:16" s="1634" customFormat="1">
      <c r="G19278" s="3336"/>
      <c r="P19278" s="3337"/>
    </row>
    <row r="19279" spans="7:16" s="1634" customFormat="1">
      <c r="G19279" s="3336"/>
      <c r="P19279" s="3337"/>
    </row>
    <row r="19280" spans="7:16" s="1634" customFormat="1">
      <c r="G19280" s="3336"/>
      <c r="P19280" s="3337"/>
    </row>
    <row r="19281" spans="7:16" s="1634" customFormat="1">
      <c r="G19281" s="3336"/>
      <c r="P19281" s="3337"/>
    </row>
    <row r="19282" spans="7:16" s="1634" customFormat="1">
      <c r="G19282" s="3336"/>
      <c r="P19282" s="3337"/>
    </row>
    <row r="19283" spans="7:16" s="1634" customFormat="1">
      <c r="G19283" s="3336"/>
      <c r="P19283" s="3337"/>
    </row>
    <row r="19284" spans="7:16" s="1634" customFormat="1">
      <c r="G19284" s="3336"/>
      <c r="P19284" s="3337"/>
    </row>
    <row r="19285" spans="7:16" s="1634" customFormat="1">
      <c r="G19285" s="3336"/>
      <c r="P19285" s="3337"/>
    </row>
    <row r="19286" spans="7:16" s="1634" customFormat="1">
      <c r="G19286" s="3336"/>
      <c r="P19286" s="3337"/>
    </row>
    <row r="19287" spans="7:16" s="1634" customFormat="1">
      <c r="G19287" s="3336"/>
      <c r="P19287" s="3337"/>
    </row>
    <row r="19288" spans="7:16" s="1634" customFormat="1">
      <c r="G19288" s="3336"/>
      <c r="P19288" s="3337"/>
    </row>
    <row r="19289" spans="7:16" s="1634" customFormat="1">
      <c r="G19289" s="3336"/>
      <c r="P19289" s="3337"/>
    </row>
    <row r="19290" spans="7:16" s="1634" customFormat="1">
      <c r="G19290" s="3336"/>
      <c r="P19290" s="3337"/>
    </row>
    <row r="19291" spans="7:16" s="1634" customFormat="1">
      <c r="G19291" s="3336"/>
      <c r="P19291" s="3337"/>
    </row>
    <row r="19292" spans="7:16" s="1634" customFormat="1">
      <c r="G19292" s="3336"/>
      <c r="P19292" s="3337"/>
    </row>
    <row r="19293" spans="7:16" s="1634" customFormat="1">
      <c r="G19293" s="3336"/>
      <c r="P19293" s="3337"/>
    </row>
    <row r="19294" spans="7:16" s="1634" customFormat="1">
      <c r="G19294" s="3336"/>
      <c r="P19294" s="3337"/>
    </row>
    <row r="19295" spans="7:16" s="1634" customFormat="1">
      <c r="G19295" s="3336"/>
      <c r="P19295" s="3337"/>
    </row>
    <row r="19296" spans="7:16" s="1634" customFormat="1">
      <c r="G19296" s="3336"/>
      <c r="P19296" s="3337"/>
    </row>
    <row r="19297" spans="7:16" s="1634" customFormat="1">
      <c r="G19297" s="3336"/>
      <c r="P19297" s="3337"/>
    </row>
    <row r="19298" spans="7:16" s="1634" customFormat="1">
      <c r="G19298" s="3336"/>
      <c r="P19298" s="3337"/>
    </row>
    <row r="19299" spans="7:16" s="1634" customFormat="1">
      <c r="G19299" s="3336"/>
      <c r="P19299" s="3337"/>
    </row>
    <row r="19300" spans="7:16" s="1634" customFormat="1">
      <c r="G19300" s="3336"/>
      <c r="P19300" s="3337"/>
    </row>
    <row r="19301" spans="7:16" s="1634" customFormat="1">
      <c r="G19301" s="3336"/>
      <c r="P19301" s="3337"/>
    </row>
    <row r="19302" spans="7:16" s="1634" customFormat="1">
      <c r="G19302" s="3336"/>
      <c r="P19302" s="3337"/>
    </row>
    <row r="19303" spans="7:16" s="1634" customFormat="1">
      <c r="G19303" s="3336"/>
      <c r="P19303" s="3337"/>
    </row>
    <row r="19304" spans="7:16" s="1634" customFormat="1">
      <c r="G19304" s="3336"/>
      <c r="P19304" s="3337"/>
    </row>
    <row r="19305" spans="7:16" s="1634" customFormat="1">
      <c r="G19305" s="3336"/>
      <c r="P19305" s="3337"/>
    </row>
    <row r="19306" spans="7:16" s="1634" customFormat="1">
      <c r="G19306" s="3336"/>
      <c r="P19306" s="3337"/>
    </row>
    <row r="19307" spans="7:16" s="1634" customFormat="1">
      <c r="G19307" s="3336"/>
      <c r="P19307" s="3337"/>
    </row>
    <row r="19308" spans="7:16" s="1634" customFormat="1">
      <c r="G19308" s="3336"/>
      <c r="P19308" s="3337"/>
    </row>
    <row r="19309" spans="7:16" s="1634" customFormat="1">
      <c r="G19309" s="3336"/>
      <c r="P19309" s="3337"/>
    </row>
    <row r="19310" spans="7:16" s="1634" customFormat="1">
      <c r="G19310" s="3336"/>
      <c r="P19310" s="3337"/>
    </row>
    <row r="19311" spans="7:16" s="1634" customFormat="1">
      <c r="G19311" s="3336"/>
      <c r="P19311" s="3337"/>
    </row>
    <row r="19312" spans="7:16" s="1634" customFormat="1">
      <c r="G19312" s="3336"/>
      <c r="P19312" s="3337"/>
    </row>
    <row r="19313" spans="7:16" s="1634" customFormat="1">
      <c r="G19313" s="3336"/>
      <c r="P19313" s="3337"/>
    </row>
    <row r="19314" spans="7:16" s="1634" customFormat="1">
      <c r="G19314" s="3336"/>
      <c r="P19314" s="3337"/>
    </row>
    <row r="19315" spans="7:16" s="1634" customFormat="1">
      <c r="G19315" s="3336"/>
      <c r="P19315" s="3337"/>
    </row>
    <row r="19316" spans="7:16" s="1634" customFormat="1">
      <c r="G19316" s="3336"/>
      <c r="P19316" s="3337"/>
    </row>
    <row r="19317" spans="7:16" s="1634" customFormat="1">
      <c r="G19317" s="3336"/>
      <c r="P19317" s="3337"/>
    </row>
    <row r="19318" spans="7:16" s="1634" customFormat="1">
      <c r="G19318" s="3336"/>
      <c r="P19318" s="3337"/>
    </row>
    <row r="19319" spans="7:16" s="1634" customFormat="1">
      <c r="G19319" s="3336"/>
      <c r="P19319" s="3337"/>
    </row>
    <row r="19320" spans="7:16" s="1634" customFormat="1">
      <c r="G19320" s="3336"/>
      <c r="P19320" s="3337"/>
    </row>
    <row r="19321" spans="7:16" s="1634" customFormat="1">
      <c r="G19321" s="3336"/>
      <c r="P19321" s="3337"/>
    </row>
    <row r="19322" spans="7:16" s="1634" customFormat="1">
      <c r="G19322" s="3336"/>
      <c r="P19322" s="3337"/>
    </row>
    <row r="19323" spans="7:16" s="1634" customFormat="1">
      <c r="G19323" s="3336"/>
      <c r="P19323" s="3337"/>
    </row>
    <row r="19324" spans="7:16" s="1634" customFormat="1">
      <c r="G19324" s="3336"/>
      <c r="P19324" s="3337"/>
    </row>
    <row r="19325" spans="7:16" s="1634" customFormat="1">
      <c r="G19325" s="3336"/>
      <c r="P19325" s="3337"/>
    </row>
    <row r="19326" spans="7:16" s="1634" customFormat="1">
      <c r="G19326" s="3336"/>
      <c r="P19326" s="3337"/>
    </row>
    <row r="19327" spans="7:16" s="1634" customFormat="1">
      <c r="G19327" s="3336"/>
      <c r="P19327" s="3337"/>
    </row>
    <row r="19328" spans="7:16" s="1634" customFormat="1">
      <c r="G19328" s="3336"/>
      <c r="P19328" s="3337"/>
    </row>
    <row r="19329" spans="7:16" s="1634" customFormat="1">
      <c r="G19329" s="3336"/>
      <c r="P19329" s="3337"/>
    </row>
    <row r="19330" spans="7:16" s="1634" customFormat="1">
      <c r="G19330" s="3336"/>
      <c r="P19330" s="3337"/>
    </row>
    <row r="19331" spans="7:16" s="1634" customFormat="1">
      <c r="G19331" s="3336"/>
      <c r="P19331" s="3337"/>
    </row>
    <row r="19332" spans="7:16" s="1634" customFormat="1">
      <c r="G19332" s="3336"/>
      <c r="P19332" s="3337"/>
    </row>
    <row r="19333" spans="7:16" s="1634" customFormat="1">
      <c r="G19333" s="3336"/>
      <c r="P19333" s="3337"/>
    </row>
    <row r="19334" spans="7:16" s="1634" customFormat="1">
      <c r="G19334" s="3336"/>
      <c r="P19334" s="3337"/>
    </row>
    <row r="19335" spans="7:16" s="1634" customFormat="1">
      <c r="G19335" s="3336"/>
      <c r="P19335" s="3337"/>
    </row>
    <row r="19336" spans="7:16" s="1634" customFormat="1">
      <c r="G19336" s="3336"/>
      <c r="P19336" s="3337"/>
    </row>
    <row r="19337" spans="7:16" s="1634" customFormat="1">
      <c r="G19337" s="3336"/>
      <c r="P19337" s="3337"/>
    </row>
    <row r="19338" spans="7:16" s="1634" customFormat="1">
      <c r="G19338" s="3336"/>
      <c r="P19338" s="3337"/>
    </row>
    <row r="19339" spans="7:16" s="1634" customFormat="1">
      <c r="G19339" s="3336"/>
      <c r="P19339" s="3337"/>
    </row>
    <row r="19340" spans="7:16" s="1634" customFormat="1">
      <c r="G19340" s="3336"/>
      <c r="P19340" s="3337"/>
    </row>
    <row r="19341" spans="7:16" s="1634" customFormat="1">
      <c r="G19341" s="3336"/>
      <c r="P19341" s="3337"/>
    </row>
    <row r="19342" spans="7:16" s="1634" customFormat="1">
      <c r="G19342" s="3336"/>
      <c r="P19342" s="3337"/>
    </row>
    <row r="19343" spans="7:16" s="1634" customFormat="1">
      <c r="G19343" s="3336"/>
      <c r="P19343" s="3337"/>
    </row>
    <row r="19344" spans="7:16" s="1634" customFormat="1">
      <c r="G19344" s="3336"/>
      <c r="P19344" s="3337"/>
    </row>
    <row r="19345" spans="7:16" s="1634" customFormat="1">
      <c r="G19345" s="3336"/>
      <c r="P19345" s="3337"/>
    </row>
    <row r="19346" spans="7:16" s="1634" customFormat="1">
      <c r="G19346" s="3336"/>
      <c r="P19346" s="3337"/>
    </row>
    <row r="19347" spans="7:16" s="1634" customFormat="1">
      <c r="G19347" s="3336"/>
      <c r="P19347" s="3337"/>
    </row>
    <row r="19348" spans="7:16" s="1634" customFormat="1">
      <c r="G19348" s="3336"/>
      <c r="P19348" s="3337"/>
    </row>
    <row r="19349" spans="7:16" s="1634" customFormat="1">
      <c r="G19349" s="3336"/>
      <c r="P19349" s="3337"/>
    </row>
    <row r="19350" spans="7:16" s="1634" customFormat="1">
      <c r="G19350" s="3336"/>
      <c r="P19350" s="3337"/>
    </row>
    <row r="19351" spans="7:16" s="1634" customFormat="1">
      <c r="G19351" s="3336"/>
      <c r="P19351" s="3337"/>
    </row>
    <row r="19352" spans="7:16" s="1634" customFormat="1">
      <c r="G19352" s="3336"/>
      <c r="P19352" s="3337"/>
    </row>
    <row r="19353" spans="7:16" s="1634" customFormat="1">
      <c r="G19353" s="3336"/>
      <c r="P19353" s="3337"/>
    </row>
    <row r="19354" spans="7:16" s="1634" customFormat="1">
      <c r="G19354" s="3336"/>
      <c r="P19354" s="3337"/>
    </row>
    <row r="19355" spans="7:16" s="1634" customFormat="1">
      <c r="G19355" s="3336"/>
      <c r="P19355" s="3337"/>
    </row>
    <row r="19356" spans="7:16" s="1634" customFormat="1">
      <c r="G19356" s="3336"/>
      <c r="P19356" s="3337"/>
    </row>
    <row r="19357" spans="7:16" s="1634" customFormat="1">
      <c r="G19357" s="3336"/>
      <c r="P19357" s="3337"/>
    </row>
    <row r="19358" spans="7:16" s="1634" customFormat="1">
      <c r="G19358" s="3336"/>
      <c r="P19358" s="3337"/>
    </row>
    <row r="19359" spans="7:16" s="1634" customFormat="1">
      <c r="G19359" s="3336"/>
      <c r="P19359" s="3337"/>
    </row>
    <row r="19360" spans="7:16" s="1634" customFormat="1">
      <c r="G19360" s="3336"/>
      <c r="P19360" s="3337"/>
    </row>
    <row r="19361" spans="7:16" s="1634" customFormat="1">
      <c r="G19361" s="3336"/>
      <c r="P19361" s="3337"/>
    </row>
    <row r="19362" spans="7:16" s="1634" customFormat="1">
      <c r="G19362" s="3336"/>
      <c r="P19362" s="3337"/>
    </row>
    <row r="19363" spans="7:16" s="1634" customFormat="1">
      <c r="G19363" s="3336"/>
      <c r="P19363" s="3337"/>
    </row>
    <row r="19364" spans="7:16" s="1634" customFormat="1">
      <c r="G19364" s="3336"/>
      <c r="P19364" s="3337"/>
    </row>
    <row r="19365" spans="7:16" s="1634" customFormat="1">
      <c r="G19365" s="3336"/>
      <c r="P19365" s="3337"/>
    </row>
    <row r="19366" spans="7:16" s="1634" customFormat="1">
      <c r="G19366" s="3336"/>
      <c r="P19366" s="3337"/>
    </row>
    <row r="19367" spans="7:16" s="1634" customFormat="1">
      <c r="G19367" s="3336"/>
      <c r="P19367" s="3337"/>
    </row>
    <row r="19368" spans="7:16" s="1634" customFormat="1">
      <c r="G19368" s="3336"/>
      <c r="P19368" s="3337"/>
    </row>
    <row r="19369" spans="7:16" s="1634" customFormat="1">
      <c r="G19369" s="3336"/>
      <c r="P19369" s="3337"/>
    </row>
    <row r="19370" spans="7:16" s="1634" customFormat="1">
      <c r="G19370" s="3336"/>
      <c r="P19370" s="3337"/>
    </row>
    <row r="19371" spans="7:16" s="1634" customFormat="1">
      <c r="G19371" s="3336"/>
      <c r="P19371" s="3337"/>
    </row>
    <row r="19372" spans="7:16" s="1634" customFormat="1">
      <c r="G19372" s="3336"/>
      <c r="P19372" s="3337"/>
    </row>
    <row r="19373" spans="7:16" s="1634" customFormat="1">
      <c r="G19373" s="3336"/>
      <c r="P19373" s="3337"/>
    </row>
    <row r="19374" spans="7:16" s="1634" customFormat="1">
      <c r="G19374" s="3336"/>
      <c r="P19374" s="3337"/>
    </row>
    <row r="19375" spans="7:16" s="1634" customFormat="1">
      <c r="G19375" s="3336"/>
      <c r="P19375" s="3337"/>
    </row>
    <row r="19376" spans="7:16" s="1634" customFormat="1">
      <c r="G19376" s="3336"/>
      <c r="P19376" s="3337"/>
    </row>
    <row r="19377" spans="7:16" s="1634" customFormat="1">
      <c r="G19377" s="3336"/>
      <c r="P19377" s="3337"/>
    </row>
    <row r="19378" spans="7:16" s="1634" customFormat="1">
      <c r="G19378" s="3336"/>
      <c r="P19378" s="3337"/>
    </row>
    <row r="19379" spans="7:16" s="1634" customFormat="1">
      <c r="G19379" s="3336"/>
      <c r="P19379" s="3337"/>
    </row>
    <row r="19380" spans="7:16" s="1634" customFormat="1">
      <c r="G19380" s="3336"/>
      <c r="P19380" s="3337"/>
    </row>
    <row r="19381" spans="7:16" s="1634" customFormat="1">
      <c r="G19381" s="3336"/>
      <c r="P19381" s="3337"/>
    </row>
    <row r="19382" spans="7:16" s="1634" customFormat="1">
      <c r="G19382" s="3336"/>
      <c r="P19382" s="3337"/>
    </row>
    <row r="19383" spans="7:16" s="1634" customFormat="1">
      <c r="G19383" s="3336"/>
      <c r="P19383" s="3337"/>
    </row>
    <row r="19384" spans="7:16" s="1634" customFormat="1">
      <c r="G19384" s="3336"/>
      <c r="P19384" s="3337"/>
    </row>
    <row r="19385" spans="7:16" s="1634" customFormat="1">
      <c r="G19385" s="3336"/>
      <c r="P19385" s="3337"/>
    </row>
    <row r="19386" spans="7:16" s="1634" customFormat="1">
      <c r="G19386" s="3336"/>
      <c r="P19386" s="3337"/>
    </row>
    <row r="19387" spans="7:16" s="1634" customFormat="1">
      <c r="G19387" s="3336"/>
      <c r="P19387" s="3337"/>
    </row>
    <row r="19388" spans="7:16" s="1634" customFormat="1">
      <c r="G19388" s="3336"/>
      <c r="P19388" s="3337"/>
    </row>
    <row r="19389" spans="7:16" s="1634" customFormat="1">
      <c r="G19389" s="3336"/>
      <c r="P19389" s="3337"/>
    </row>
    <row r="19390" spans="7:16" s="1634" customFormat="1">
      <c r="G19390" s="3336"/>
      <c r="P19390" s="3337"/>
    </row>
    <row r="19391" spans="7:16" s="1634" customFormat="1">
      <c r="G19391" s="3336"/>
      <c r="P19391" s="3337"/>
    </row>
    <row r="19392" spans="7:16" s="1634" customFormat="1">
      <c r="G19392" s="3336"/>
      <c r="P19392" s="3337"/>
    </row>
    <row r="19393" spans="7:16" s="1634" customFormat="1">
      <c r="G19393" s="3336"/>
      <c r="P19393" s="3337"/>
    </row>
    <row r="19394" spans="7:16" s="1634" customFormat="1">
      <c r="G19394" s="3336"/>
      <c r="P19394" s="3337"/>
    </row>
    <row r="19395" spans="7:16" s="1634" customFormat="1">
      <c r="G19395" s="3336"/>
      <c r="P19395" s="3337"/>
    </row>
    <row r="19396" spans="7:16" s="1634" customFormat="1">
      <c r="G19396" s="3336"/>
      <c r="P19396" s="3337"/>
    </row>
    <row r="19397" spans="7:16" s="1634" customFormat="1">
      <c r="G19397" s="3336"/>
      <c r="P19397" s="3337"/>
    </row>
    <row r="19398" spans="7:16" s="1634" customFormat="1">
      <c r="G19398" s="3336"/>
      <c r="P19398" s="3337"/>
    </row>
    <row r="19399" spans="7:16" s="1634" customFormat="1">
      <c r="G19399" s="3336"/>
      <c r="P19399" s="3337"/>
    </row>
    <row r="19400" spans="7:16" s="1634" customFormat="1">
      <c r="G19400" s="3336"/>
      <c r="P19400" s="3337"/>
    </row>
    <row r="19401" spans="7:16" s="1634" customFormat="1">
      <c r="G19401" s="3336"/>
      <c r="P19401" s="3337"/>
    </row>
    <row r="19402" spans="7:16" s="1634" customFormat="1">
      <c r="G19402" s="3336"/>
      <c r="P19402" s="3337"/>
    </row>
    <row r="19403" spans="7:16" s="1634" customFormat="1">
      <c r="G19403" s="3336"/>
      <c r="P19403" s="3337"/>
    </row>
    <row r="19404" spans="7:16" s="1634" customFormat="1">
      <c r="G19404" s="3336"/>
      <c r="P19404" s="3337"/>
    </row>
    <row r="19405" spans="7:16" s="1634" customFormat="1">
      <c r="G19405" s="3336"/>
      <c r="P19405" s="3337"/>
    </row>
    <row r="19406" spans="7:16" s="1634" customFormat="1">
      <c r="G19406" s="3336"/>
      <c r="P19406" s="3337"/>
    </row>
    <row r="19407" spans="7:16" s="1634" customFormat="1">
      <c r="G19407" s="3336"/>
      <c r="P19407" s="3337"/>
    </row>
    <row r="19408" spans="7:16" s="1634" customFormat="1">
      <c r="G19408" s="3336"/>
      <c r="P19408" s="3337"/>
    </row>
    <row r="19409" spans="7:16" s="1634" customFormat="1">
      <c r="G19409" s="3336"/>
      <c r="P19409" s="3337"/>
    </row>
    <row r="19410" spans="7:16" s="1634" customFormat="1">
      <c r="G19410" s="3336"/>
      <c r="P19410" s="3337"/>
    </row>
    <row r="19411" spans="7:16" s="1634" customFormat="1">
      <c r="G19411" s="3336"/>
      <c r="P19411" s="3337"/>
    </row>
    <row r="19412" spans="7:16" s="1634" customFormat="1">
      <c r="G19412" s="3336"/>
      <c r="P19412" s="3337"/>
    </row>
    <row r="19413" spans="7:16" s="1634" customFormat="1">
      <c r="G19413" s="3336"/>
      <c r="P19413" s="3337"/>
    </row>
    <row r="19414" spans="7:16" s="1634" customFormat="1">
      <c r="G19414" s="3336"/>
      <c r="P19414" s="3337"/>
    </row>
    <row r="19415" spans="7:16" s="1634" customFormat="1">
      <c r="G19415" s="3336"/>
      <c r="P19415" s="3337"/>
    </row>
    <row r="19416" spans="7:16" s="1634" customFormat="1">
      <c r="G19416" s="3336"/>
      <c r="P19416" s="3337"/>
    </row>
    <row r="19417" spans="7:16" s="1634" customFormat="1">
      <c r="G19417" s="3336"/>
      <c r="P19417" s="3337"/>
    </row>
    <row r="19418" spans="7:16" s="1634" customFormat="1">
      <c r="G19418" s="3336"/>
      <c r="P19418" s="3337"/>
    </row>
    <row r="19419" spans="7:16" s="1634" customFormat="1">
      <c r="G19419" s="3336"/>
      <c r="P19419" s="3337"/>
    </row>
    <row r="19420" spans="7:16" s="1634" customFormat="1">
      <c r="G19420" s="3336"/>
      <c r="P19420" s="3337"/>
    </row>
    <row r="19421" spans="7:16" s="1634" customFormat="1">
      <c r="G19421" s="3336"/>
      <c r="P19421" s="3337"/>
    </row>
    <row r="19422" spans="7:16" s="1634" customFormat="1">
      <c r="G19422" s="3336"/>
      <c r="P19422" s="3337"/>
    </row>
    <row r="19423" spans="7:16" s="1634" customFormat="1">
      <c r="G19423" s="3336"/>
      <c r="P19423" s="3337"/>
    </row>
    <row r="19424" spans="7:16" s="1634" customFormat="1">
      <c r="G19424" s="3336"/>
      <c r="P19424" s="3337"/>
    </row>
    <row r="19425" spans="7:16" s="1634" customFormat="1">
      <c r="G19425" s="3336"/>
      <c r="P19425" s="3337"/>
    </row>
    <row r="19426" spans="7:16" s="1634" customFormat="1">
      <c r="G19426" s="3336"/>
      <c r="P19426" s="3337"/>
    </row>
    <row r="19427" spans="7:16" s="1634" customFormat="1">
      <c r="G19427" s="3336"/>
      <c r="P19427" s="3337"/>
    </row>
    <row r="19428" spans="7:16" s="1634" customFormat="1">
      <c r="G19428" s="3336"/>
      <c r="P19428" s="3337"/>
    </row>
    <row r="19429" spans="7:16" s="1634" customFormat="1">
      <c r="G19429" s="3336"/>
      <c r="P19429" s="3337"/>
    </row>
    <row r="19430" spans="7:16" s="1634" customFormat="1">
      <c r="G19430" s="3336"/>
      <c r="P19430" s="3337"/>
    </row>
    <row r="19431" spans="7:16" s="1634" customFormat="1">
      <c r="G19431" s="3336"/>
      <c r="P19431" s="3337"/>
    </row>
    <row r="19432" spans="7:16" s="1634" customFormat="1">
      <c r="G19432" s="3336"/>
      <c r="P19432" s="3337"/>
    </row>
    <row r="19433" spans="7:16" s="1634" customFormat="1">
      <c r="G19433" s="3336"/>
      <c r="P19433" s="3337"/>
    </row>
    <row r="19434" spans="7:16" s="1634" customFormat="1">
      <c r="G19434" s="3336"/>
      <c r="P19434" s="3337"/>
    </row>
    <row r="19435" spans="7:16" s="1634" customFormat="1">
      <c r="G19435" s="3336"/>
      <c r="P19435" s="3337"/>
    </row>
    <row r="19436" spans="7:16" s="1634" customFormat="1">
      <c r="G19436" s="3336"/>
      <c r="P19436" s="3337"/>
    </row>
    <row r="19437" spans="7:16" s="1634" customFormat="1">
      <c r="G19437" s="3336"/>
      <c r="P19437" s="3337"/>
    </row>
    <row r="19438" spans="7:16" s="1634" customFormat="1">
      <c r="G19438" s="3336"/>
      <c r="P19438" s="3337"/>
    </row>
    <row r="19439" spans="7:16" s="1634" customFormat="1">
      <c r="G19439" s="3336"/>
      <c r="P19439" s="3337"/>
    </row>
    <row r="19440" spans="7:16" s="1634" customFormat="1">
      <c r="G19440" s="3336"/>
      <c r="P19440" s="3337"/>
    </row>
    <row r="19441" spans="7:16" s="1634" customFormat="1">
      <c r="G19441" s="3336"/>
      <c r="P19441" s="3337"/>
    </row>
    <row r="19442" spans="7:16" s="1634" customFormat="1">
      <c r="G19442" s="3336"/>
      <c r="P19442" s="3337"/>
    </row>
    <row r="19443" spans="7:16" s="1634" customFormat="1">
      <c r="G19443" s="3336"/>
      <c r="P19443" s="3337"/>
    </row>
    <row r="19444" spans="7:16" s="1634" customFormat="1">
      <c r="G19444" s="3336"/>
      <c r="P19444" s="3337"/>
    </row>
    <row r="19445" spans="7:16" s="1634" customFormat="1">
      <c r="G19445" s="3336"/>
      <c r="P19445" s="3337"/>
    </row>
    <row r="19446" spans="7:16" s="1634" customFormat="1">
      <c r="G19446" s="3336"/>
      <c r="P19446" s="3337"/>
    </row>
    <row r="19447" spans="7:16" s="1634" customFormat="1">
      <c r="G19447" s="3336"/>
      <c r="P19447" s="3337"/>
    </row>
    <row r="19448" spans="7:16" s="1634" customFormat="1">
      <c r="G19448" s="3336"/>
      <c r="P19448" s="3337"/>
    </row>
    <row r="19449" spans="7:16" s="1634" customFormat="1">
      <c r="G19449" s="3336"/>
      <c r="P19449" s="3337"/>
    </row>
    <row r="19450" spans="7:16" s="1634" customFormat="1">
      <c r="G19450" s="3336"/>
      <c r="P19450" s="3337"/>
    </row>
    <row r="19451" spans="7:16" s="1634" customFormat="1">
      <c r="G19451" s="3336"/>
      <c r="P19451" s="3337"/>
    </row>
    <row r="19452" spans="7:16" s="1634" customFormat="1">
      <c r="G19452" s="3336"/>
      <c r="P19452" s="3337"/>
    </row>
    <row r="19453" spans="7:16" s="1634" customFormat="1">
      <c r="G19453" s="3336"/>
      <c r="P19453" s="3337"/>
    </row>
    <row r="19454" spans="7:16" s="1634" customFormat="1">
      <c r="G19454" s="3336"/>
      <c r="P19454" s="3337"/>
    </row>
    <row r="19455" spans="7:16" s="1634" customFormat="1">
      <c r="G19455" s="3336"/>
      <c r="P19455" s="3337"/>
    </row>
    <row r="19456" spans="7:16" s="1634" customFormat="1">
      <c r="G19456" s="3336"/>
      <c r="P19456" s="3337"/>
    </row>
    <row r="19457" spans="7:16" s="1634" customFormat="1">
      <c r="G19457" s="3336"/>
      <c r="P19457" s="3337"/>
    </row>
    <row r="19458" spans="7:16" s="1634" customFormat="1">
      <c r="G19458" s="3336"/>
      <c r="P19458" s="3337"/>
    </row>
    <row r="19459" spans="7:16" s="1634" customFormat="1">
      <c r="G19459" s="3336"/>
      <c r="P19459" s="3337"/>
    </row>
    <row r="19460" spans="7:16" s="1634" customFormat="1">
      <c r="G19460" s="3336"/>
      <c r="P19460" s="3337"/>
    </row>
    <row r="19461" spans="7:16" s="1634" customFormat="1">
      <c r="G19461" s="3336"/>
      <c r="P19461" s="3337"/>
    </row>
    <row r="19462" spans="7:16" s="1634" customFormat="1">
      <c r="G19462" s="3336"/>
      <c r="P19462" s="3337"/>
    </row>
    <row r="19463" spans="7:16" s="1634" customFormat="1">
      <c r="G19463" s="3336"/>
      <c r="P19463" s="3337"/>
    </row>
    <row r="19464" spans="7:16" s="1634" customFormat="1">
      <c r="G19464" s="3336"/>
      <c r="P19464" s="3337"/>
    </row>
    <row r="19465" spans="7:16" s="1634" customFormat="1">
      <c r="G19465" s="3336"/>
      <c r="P19465" s="3337"/>
    </row>
    <row r="19466" spans="7:16" s="1634" customFormat="1">
      <c r="G19466" s="3336"/>
      <c r="P19466" s="3337"/>
    </row>
    <row r="19467" spans="7:16" s="1634" customFormat="1">
      <c r="G19467" s="3336"/>
      <c r="P19467" s="3337"/>
    </row>
    <row r="19468" spans="7:16" s="1634" customFormat="1">
      <c r="G19468" s="3336"/>
      <c r="P19468" s="3337"/>
    </row>
    <row r="19469" spans="7:16" s="1634" customFormat="1">
      <c r="G19469" s="3336"/>
      <c r="P19469" s="3337"/>
    </row>
    <row r="19470" spans="7:16" s="1634" customFormat="1">
      <c r="G19470" s="3336"/>
      <c r="P19470" s="3337"/>
    </row>
    <row r="19471" spans="7:16" s="1634" customFormat="1">
      <c r="G19471" s="3336"/>
      <c r="P19471" s="3337"/>
    </row>
    <row r="19472" spans="7:16" s="1634" customFormat="1">
      <c r="G19472" s="3336"/>
      <c r="P19472" s="3337"/>
    </row>
    <row r="19473" spans="7:16" s="1634" customFormat="1">
      <c r="G19473" s="3336"/>
      <c r="P19473" s="3337"/>
    </row>
    <row r="19474" spans="7:16" s="1634" customFormat="1">
      <c r="G19474" s="3336"/>
      <c r="P19474" s="3337"/>
    </row>
    <row r="19475" spans="7:16" s="1634" customFormat="1">
      <c r="G19475" s="3336"/>
      <c r="P19475" s="3337"/>
    </row>
    <row r="19476" spans="7:16" s="1634" customFormat="1">
      <c r="G19476" s="3336"/>
      <c r="P19476" s="3337"/>
    </row>
    <row r="19477" spans="7:16" s="1634" customFormat="1">
      <c r="G19477" s="3336"/>
      <c r="P19477" s="3337"/>
    </row>
    <row r="19478" spans="7:16" s="1634" customFormat="1">
      <c r="G19478" s="3336"/>
      <c r="P19478" s="3337"/>
    </row>
    <row r="19479" spans="7:16" s="1634" customFormat="1">
      <c r="G19479" s="3336"/>
      <c r="P19479" s="3337"/>
    </row>
    <row r="19480" spans="7:16" s="1634" customFormat="1">
      <c r="G19480" s="3336"/>
      <c r="P19480" s="3337"/>
    </row>
    <row r="19481" spans="7:16" s="1634" customFormat="1">
      <c r="G19481" s="3336"/>
      <c r="P19481" s="3337"/>
    </row>
    <row r="19482" spans="7:16" s="1634" customFormat="1">
      <c r="G19482" s="3336"/>
      <c r="P19482" s="3337"/>
    </row>
    <row r="19483" spans="7:16" s="1634" customFormat="1">
      <c r="G19483" s="3336"/>
      <c r="P19483" s="3337"/>
    </row>
    <row r="19484" spans="7:16" s="1634" customFormat="1">
      <c r="G19484" s="3336"/>
      <c r="P19484" s="3337"/>
    </row>
    <row r="19485" spans="7:16" s="1634" customFormat="1">
      <c r="G19485" s="3336"/>
      <c r="P19485" s="3337"/>
    </row>
    <row r="19486" spans="7:16" s="1634" customFormat="1">
      <c r="G19486" s="3336"/>
      <c r="P19486" s="3337"/>
    </row>
    <row r="19487" spans="7:16" s="1634" customFormat="1">
      <c r="G19487" s="3336"/>
      <c r="P19487" s="3337"/>
    </row>
    <row r="19488" spans="7:16" s="1634" customFormat="1">
      <c r="G19488" s="3336"/>
      <c r="P19488" s="3337"/>
    </row>
    <row r="19489" spans="7:16" s="1634" customFormat="1">
      <c r="G19489" s="3336"/>
      <c r="P19489" s="3337"/>
    </row>
    <row r="19490" spans="7:16" s="1634" customFormat="1">
      <c r="G19490" s="3336"/>
      <c r="P19490" s="3337"/>
    </row>
    <row r="19491" spans="7:16" s="1634" customFormat="1">
      <c r="G19491" s="3336"/>
      <c r="P19491" s="3337"/>
    </row>
    <row r="19492" spans="7:16" s="1634" customFormat="1">
      <c r="G19492" s="3336"/>
      <c r="P19492" s="3337"/>
    </row>
    <row r="19493" spans="7:16" s="1634" customFormat="1">
      <c r="G19493" s="3336"/>
      <c r="P19493" s="3337"/>
    </row>
    <row r="19494" spans="7:16" s="1634" customFormat="1">
      <c r="G19494" s="3336"/>
      <c r="P19494" s="3337"/>
    </row>
    <row r="19495" spans="7:16" s="1634" customFormat="1">
      <c r="G19495" s="3336"/>
      <c r="P19495" s="3337"/>
    </row>
    <row r="19496" spans="7:16" s="1634" customFormat="1">
      <c r="G19496" s="3336"/>
      <c r="P19496" s="3337"/>
    </row>
    <row r="19497" spans="7:16" s="1634" customFormat="1">
      <c r="G19497" s="3336"/>
      <c r="P19497" s="3337"/>
    </row>
    <row r="19498" spans="7:16" s="1634" customFormat="1">
      <c r="G19498" s="3336"/>
      <c r="P19498" s="3337"/>
    </row>
    <row r="19499" spans="7:16" s="1634" customFormat="1">
      <c r="G19499" s="3336"/>
      <c r="P19499" s="3337"/>
    </row>
    <row r="19500" spans="7:16" s="1634" customFormat="1">
      <c r="G19500" s="3336"/>
      <c r="P19500" s="3337"/>
    </row>
    <row r="19501" spans="7:16" s="1634" customFormat="1">
      <c r="G19501" s="3336"/>
      <c r="P19501" s="3337"/>
    </row>
    <row r="19502" spans="7:16" s="1634" customFormat="1">
      <c r="G19502" s="3336"/>
      <c r="P19502" s="3337"/>
    </row>
    <row r="19503" spans="7:16" s="1634" customFormat="1">
      <c r="G19503" s="3336"/>
      <c r="P19503" s="3337"/>
    </row>
    <row r="19504" spans="7:16" s="1634" customFormat="1">
      <c r="G19504" s="3336"/>
      <c r="P19504" s="3337"/>
    </row>
    <row r="19505" spans="7:16" s="1634" customFormat="1">
      <c r="G19505" s="3336"/>
      <c r="P19505" s="3337"/>
    </row>
    <row r="19506" spans="7:16" s="1634" customFormat="1">
      <c r="G19506" s="3336"/>
      <c r="P19506" s="3337"/>
    </row>
    <row r="19507" spans="7:16" s="1634" customFormat="1">
      <c r="G19507" s="3336"/>
      <c r="P19507" s="3337"/>
    </row>
    <row r="19508" spans="7:16" s="1634" customFormat="1">
      <c r="G19508" s="3336"/>
      <c r="P19508" s="3337"/>
    </row>
    <row r="19509" spans="7:16" s="1634" customFormat="1">
      <c r="G19509" s="3336"/>
      <c r="P19509" s="3337"/>
    </row>
    <row r="19510" spans="7:16" s="1634" customFormat="1">
      <c r="G19510" s="3336"/>
      <c r="P19510" s="3337"/>
    </row>
    <row r="19511" spans="7:16" s="1634" customFormat="1">
      <c r="G19511" s="3336"/>
      <c r="P19511" s="3337"/>
    </row>
    <row r="19512" spans="7:16" s="1634" customFormat="1">
      <c r="G19512" s="3336"/>
      <c r="P19512" s="3337"/>
    </row>
    <row r="19513" spans="7:16" s="1634" customFormat="1">
      <c r="G19513" s="3336"/>
      <c r="P19513" s="3337"/>
    </row>
    <row r="19514" spans="7:16" s="1634" customFormat="1">
      <c r="G19514" s="3336"/>
      <c r="P19514" s="3337"/>
    </row>
    <row r="19515" spans="7:16" s="1634" customFormat="1">
      <c r="G19515" s="3336"/>
      <c r="P19515" s="3337"/>
    </row>
    <row r="19516" spans="7:16" s="1634" customFormat="1">
      <c r="G19516" s="3336"/>
      <c r="P19516" s="3337"/>
    </row>
    <row r="19517" spans="7:16" s="1634" customFormat="1">
      <c r="G19517" s="3336"/>
      <c r="P19517" s="3337"/>
    </row>
    <row r="19518" spans="7:16" s="1634" customFormat="1">
      <c r="G19518" s="3336"/>
      <c r="P19518" s="3337"/>
    </row>
    <row r="19519" spans="7:16" s="1634" customFormat="1">
      <c r="G19519" s="3336"/>
      <c r="P19519" s="3337"/>
    </row>
    <row r="19520" spans="7:16" s="1634" customFormat="1">
      <c r="G19520" s="3336"/>
      <c r="P19520" s="3337"/>
    </row>
    <row r="19521" spans="7:16" s="1634" customFormat="1">
      <c r="G19521" s="3336"/>
      <c r="P19521" s="3337"/>
    </row>
    <row r="19522" spans="7:16" s="1634" customFormat="1">
      <c r="G19522" s="3336"/>
      <c r="P19522" s="3337"/>
    </row>
    <row r="19523" spans="7:16" s="1634" customFormat="1">
      <c r="G19523" s="3336"/>
      <c r="P19523" s="3337"/>
    </row>
    <row r="19524" spans="7:16" s="1634" customFormat="1">
      <c r="G19524" s="3336"/>
      <c r="P19524" s="3337"/>
    </row>
    <row r="19525" spans="7:16" s="1634" customFormat="1">
      <c r="G19525" s="3336"/>
      <c r="P19525" s="3337"/>
    </row>
    <row r="19526" spans="7:16" s="1634" customFormat="1">
      <c r="G19526" s="3336"/>
      <c r="P19526" s="3337"/>
    </row>
    <row r="19527" spans="7:16" s="1634" customFormat="1">
      <c r="G19527" s="3336"/>
      <c r="P19527" s="3337"/>
    </row>
    <row r="19528" spans="7:16" s="1634" customFormat="1">
      <c r="G19528" s="3336"/>
      <c r="P19528" s="3337"/>
    </row>
    <row r="19529" spans="7:16" s="1634" customFormat="1">
      <c r="G19529" s="3336"/>
      <c r="P19529" s="3337"/>
    </row>
    <row r="19530" spans="7:16" s="1634" customFormat="1">
      <c r="G19530" s="3336"/>
      <c r="P19530" s="3337"/>
    </row>
    <row r="19531" spans="7:16" s="1634" customFormat="1">
      <c r="G19531" s="3336"/>
      <c r="P19531" s="3337"/>
    </row>
    <row r="19532" spans="7:16" s="1634" customFormat="1">
      <c r="G19532" s="3336"/>
      <c r="P19532" s="3337"/>
    </row>
    <row r="19533" spans="7:16" s="1634" customFormat="1">
      <c r="G19533" s="3336"/>
      <c r="P19533" s="3337"/>
    </row>
    <row r="19534" spans="7:16" s="1634" customFormat="1">
      <c r="G19534" s="3336"/>
      <c r="P19534" s="3337"/>
    </row>
    <row r="19535" spans="7:16" s="1634" customFormat="1">
      <c r="G19535" s="3336"/>
      <c r="P19535" s="3337"/>
    </row>
    <row r="19536" spans="7:16" s="1634" customFormat="1">
      <c r="G19536" s="3336"/>
      <c r="P19536" s="3337"/>
    </row>
    <row r="19537" spans="7:16" s="1634" customFormat="1">
      <c r="G19537" s="3336"/>
      <c r="P19537" s="3337"/>
    </row>
    <row r="19538" spans="7:16" s="1634" customFormat="1">
      <c r="G19538" s="3336"/>
      <c r="P19538" s="3337"/>
    </row>
    <row r="19539" spans="7:16" s="1634" customFormat="1">
      <c r="G19539" s="3336"/>
      <c r="P19539" s="3337"/>
    </row>
    <row r="19540" spans="7:16" s="1634" customFormat="1">
      <c r="G19540" s="3336"/>
      <c r="P19540" s="3337"/>
    </row>
    <row r="19541" spans="7:16" s="1634" customFormat="1">
      <c r="G19541" s="3336"/>
      <c r="P19541" s="3337"/>
    </row>
    <row r="19542" spans="7:16" s="1634" customFormat="1">
      <c r="G19542" s="3336"/>
      <c r="P19542" s="3337"/>
    </row>
    <row r="19543" spans="7:16" s="1634" customFormat="1">
      <c r="G19543" s="3336"/>
      <c r="P19543" s="3337"/>
    </row>
    <row r="19544" spans="7:16" s="1634" customFormat="1">
      <c r="G19544" s="3336"/>
      <c r="P19544" s="3337"/>
    </row>
    <row r="19545" spans="7:16" s="1634" customFormat="1">
      <c r="G19545" s="3336"/>
      <c r="P19545" s="3337"/>
    </row>
    <row r="19546" spans="7:16" s="1634" customFormat="1">
      <c r="G19546" s="3336"/>
      <c r="P19546" s="3337"/>
    </row>
    <row r="19547" spans="7:16" s="1634" customFormat="1">
      <c r="G19547" s="3336"/>
      <c r="P19547" s="3337"/>
    </row>
    <row r="19548" spans="7:16" s="1634" customFormat="1">
      <c r="G19548" s="3336"/>
      <c r="P19548" s="3337"/>
    </row>
    <row r="19549" spans="7:16" s="1634" customFormat="1">
      <c r="G19549" s="3336"/>
      <c r="P19549" s="3337"/>
    </row>
    <row r="19550" spans="7:16" s="1634" customFormat="1">
      <c r="G19550" s="3336"/>
      <c r="P19550" s="3337"/>
    </row>
    <row r="19551" spans="7:16" s="1634" customFormat="1">
      <c r="G19551" s="3336"/>
      <c r="P19551" s="3337"/>
    </row>
    <row r="19552" spans="7:16" s="1634" customFormat="1">
      <c r="G19552" s="3336"/>
      <c r="P19552" s="3337"/>
    </row>
    <row r="19553" spans="7:16" s="1634" customFormat="1">
      <c r="G19553" s="3336"/>
      <c r="P19553" s="3337"/>
    </row>
    <row r="19554" spans="7:16" s="1634" customFormat="1">
      <c r="G19554" s="3336"/>
      <c r="P19554" s="3337"/>
    </row>
    <row r="19555" spans="7:16" s="1634" customFormat="1">
      <c r="G19555" s="3336"/>
      <c r="P19555" s="3337"/>
    </row>
    <row r="19556" spans="7:16" s="1634" customFormat="1">
      <c r="G19556" s="3336"/>
      <c r="P19556" s="3337"/>
    </row>
    <row r="19557" spans="7:16" s="1634" customFormat="1">
      <c r="G19557" s="3336"/>
      <c r="P19557" s="3337"/>
    </row>
    <row r="19558" spans="7:16" s="1634" customFormat="1">
      <c r="G19558" s="3336"/>
      <c r="P19558" s="3337"/>
    </row>
    <row r="19559" spans="7:16" s="1634" customFormat="1">
      <c r="G19559" s="3336"/>
      <c r="P19559" s="3337"/>
    </row>
    <row r="19560" spans="7:16" s="1634" customFormat="1">
      <c r="G19560" s="3336"/>
      <c r="P19560" s="3337"/>
    </row>
    <row r="19561" spans="7:16" s="1634" customFormat="1">
      <c r="G19561" s="3336"/>
      <c r="P19561" s="3337"/>
    </row>
    <row r="19562" spans="7:16" s="1634" customFormat="1">
      <c r="G19562" s="3336"/>
      <c r="P19562" s="3337"/>
    </row>
    <row r="19563" spans="7:16" s="1634" customFormat="1">
      <c r="G19563" s="3336"/>
      <c r="P19563" s="3337"/>
    </row>
    <row r="19564" spans="7:16" s="1634" customFormat="1">
      <c r="G19564" s="3336"/>
      <c r="P19564" s="3337"/>
    </row>
    <row r="19565" spans="7:16" s="1634" customFormat="1">
      <c r="G19565" s="3336"/>
      <c r="P19565" s="3337"/>
    </row>
    <row r="19566" spans="7:16" s="1634" customFormat="1">
      <c r="G19566" s="3336"/>
      <c r="P19566" s="3337"/>
    </row>
    <row r="19567" spans="7:16" s="1634" customFormat="1">
      <c r="G19567" s="3336"/>
      <c r="P19567" s="3337"/>
    </row>
    <row r="19568" spans="7:16" s="1634" customFormat="1">
      <c r="G19568" s="3336"/>
      <c r="P19568" s="3337"/>
    </row>
    <row r="19569" spans="7:16" s="1634" customFormat="1">
      <c r="G19569" s="3336"/>
      <c r="P19569" s="3337"/>
    </row>
    <row r="19570" spans="7:16" s="1634" customFormat="1">
      <c r="G19570" s="3336"/>
      <c r="P19570" s="3337"/>
    </row>
    <row r="19571" spans="7:16" s="1634" customFormat="1">
      <c r="G19571" s="3336"/>
      <c r="P19571" s="3337"/>
    </row>
    <row r="19572" spans="7:16" s="1634" customFormat="1">
      <c r="G19572" s="3336"/>
      <c r="P19572" s="3337"/>
    </row>
    <row r="19573" spans="7:16" s="1634" customFormat="1">
      <c r="G19573" s="3336"/>
      <c r="P19573" s="3337"/>
    </row>
    <row r="19574" spans="7:16" s="1634" customFormat="1">
      <c r="G19574" s="3336"/>
      <c r="P19574" s="3337"/>
    </row>
    <row r="19575" spans="7:16" s="1634" customFormat="1">
      <c r="G19575" s="3336"/>
      <c r="P19575" s="3337"/>
    </row>
    <row r="19576" spans="7:16" s="1634" customFormat="1">
      <c r="G19576" s="3336"/>
      <c r="P19576" s="3337"/>
    </row>
    <row r="19577" spans="7:16" s="1634" customFormat="1">
      <c r="G19577" s="3336"/>
      <c r="P19577" s="3337"/>
    </row>
    <row r="19578" spans="7:16" s="1634" customFormat="1">
      <c r="G19578" s="3336"/>
      <c r="P19578" s="3337"/>
    </row>
    <row r="19579" spans="7:16" s="1634" customFormat="1">
      <c r="G19579" s="3336"/>
      <c r="P19579" s="3337"/>
    </row>
    <row r="19580" spans="7:16" s="1634" customFormat="1">
      <c r="G19580" s="3336"/>
      <c r="P19580" s="3337"/>
    </row>
    <row r="19581" spans="7:16" s="1634" customFormat="1">
      <c r="G19581" s="3336"/>
      <c r="P19581" s="3337"/>
    </row>
    <row r="19582" spans="7:16" s="1634" customFormat="1">
      <c r="G19582" s="3336"/>
      <c r="P19582" s="3337"/>
    </row>
    <row r="19583" spans="7:16" s="1634" customFormat="1">
      <c r="G19583" s="3336"/>
      <c r="P19583" s="3337"/>
    </row>
    <row r="19584" spans="7:16" s="1634" customFormat="1">
      <c r="G19584" s="3336"/>
      <c r="P19584" s="3337"/>
    </row>
    <row r="19585" spans="7:16" s="1634" customFormat="1">
      <c r="G19585" s="3336"/>
      <c r="P19585" s="3337"/>
    </row>
    <row r="19586" spans="7:16" s="1634" customFormat="1">
      <c r="G19586" s="3336"/>
      <c r="P19586" s="3337"/>
    </row>
    <row r="19587" spans="7:16" s="1634" customFormat="1">
      <c r="G19587" s="3336"/>
      <c r="P19587" s="3337"/>
    </row>
    <row r="19588" spans="7:16" s="1634" customFormat="1">
      <c r="G19588" s="3336"/>
      <c r="P19588" s="3337"/>
    </row>
    <row r="19589" spans="7:16" s="1634" customFormat="1">
      <c r="G19589" s="3336"/>
      <c r="P19589" s="3337"/>
    </row>
    <row r="19590" spans="7:16" s="1634" customFormat="1">
      <c r="G19590" s="3336"/>
      <c r="P19590" s="3337"/>
    </row>
    <row r="19591" spans="7:16" s="1634" customFormat="1">
      <c r="G19591" s="3336"/>
      <c r="P19591" s="3337"/>
    </row>
    <row r="19592" spans="7:16" s="1634" customFormat="1">
      <c r="G19592" s="3336"/>
      <c r="P19592" s="3337"/>
    </row>
    <row r="19593" spans="7:16" s="1634" customFormat="1">
      <c r="G19593" s="3336"/>
      <c r="P19593" s="3337"/>
    </row>
    <row r="19594" spans="7:16" s="1634" customFormat="1">
      <c r="G19594" s="3336"/>
      <c r="P19594" s="3337"/>
    </row>
    <row r="19595" spans="7:16" s="1634" customFormat="1">
      <c r="G19595" s="3336"/>
      <c r="P19595" s="3337"/>
    </row>
    <row r="19596" spans="7:16" s="1634" customFormat="1">
      <c r="G19596" s="3336"/>
      <c r="P19596" s="3337"/>
    </row>
    <row r="19597" spans="7:16" s="1634" customFormat="1">
      <c r="G19597" s="3336"/>
      <c r="P19597" s="3337"/>
    </row>
    <row r="19598" spans="7:16" s="1634" customFormat="1">
      <c r="G19598" s="3336"/>
      <c r="P19598" s="3337"/>
    </row>
    <row r="19599" spans="7:16" s="1634" customFormat="1">
      <c r="G19599" s="3336"/>
      <c r="P19599" s="3337"/>
    </row>
    <row r="19600" spans="7:16" s="1634" customFormat="1">
      <c r="G19600" s="3336"/>
      <c r="P19600" s="3337"/>
    </row>
    <row r="19601" spans="7:16" s="1634" customFormat="1">
      <c r="G19601" s="3336"/>
      <c r="P19601" s="3337"/>
    </row>
    <row r="19602" spans="7:16" s="1634" customFormat="1">
      <c r="G19602" s="3336"/>
      <c r="P19602" s="3337"/>
    </row>
    <row r="19603" spans="7:16" s="1634" customFormat="1">
      <c r="G19603" s="3336"/>
      <c r="P19603" s="3337"/>
    </row>
    <row r="19604" spans="7:16" s="1634" customFormat="1">
      <c r="G19604" s="3336"/>
      <c r="P19604" s="3337"/>
    </row>
    <row r="19605" spans="7:16" s="1634" customFormat="1">
      <c r="G19605" s="3336"/>
      <c r="P19605" s="3337"/>
    </row>
    <row r="19606" spans="7:16" s="1634" customFormat="1">
      <c r="G19606" s="3336"/>
      <c r="P19606" s="3337"/>
    </row>
    <row r="19607" spans="7:16" s="1634" customFormat="1">
      <c r="G19607" s="3336"/>
      <c r="P19607" s="3337"/>
    </row>
    <row r="19608" spans="7:16" s="1634" customFormat="1">
      <c r="G19608" s="3336"/>
      <c r="P19608" s="3337"/>
    </row>
    <row r="19609" spans="7:16" s="1634" customFormat="1">
      <c r="G19609" s="3336"/>
      <c r="P19609" s="3337"/>
    </row>
    <row r="19610" spans="7:16" s="1634" customFormat="1">
      <c r="G19610" s="3336"/>
      <c r="P19610" s="3337"/>
    </row>
    <row r="19611" spans="7:16" s="1634" customFormat="1">
      <c r="G19611" s="3336"/>
      <c r="P19611" s="3337"/>
    </row>
    <row r="19612" spans="7:16" s="1634" customFormat="1">
      <c r="G19612" s="3336"/>
      <c r="P19612" s="3337"/>
    </row>
    <row r="19613" spans="7:16" s="1634" customFormat="1">
      <c r="G19613" s="3336"/>
      <c r="P19613" s="3337"/>
    </row>
    <row r="19614" spans="7:16" s="1634" customFormat="1">
      <c r="G19614" s="3336"/>
      <c r="P19614" s="3337"/>
    </row>
    <row r="19615" spans="7:16" s="1634" customFormat="1">
      <c r="G19615" s="3336"/>
      <c r="P19615" s="3337"/>
    </row>
    <row r="19616" spans="7:16" s="1634" customFormat="1">
      <c r="G19616" s="3336"/>
      <c r="P19616" s="3337"/>
    </row>
    <row r="19617" spans="7:16" s="1634" customFormat="1">
      <c r="G19617" s="3336"/>
      <c r="P19617" s="3337"/>
    </row>
    <row r="19618" spans="7:16" s="1634" customFormat="1">
      <c r="G19618" s="3336"/>
      <c r="P19618" s="3337"/>
    </row>
    <row r="19619" spans="7:16" s="1634" customFormat="1">
      <c r="G19619" s="3336"/>
      <c r="P19619" s="3337"/>
    </row>
    <row r="19620" spans="7:16" s="1634" customFormat="1">
      <c r="G19620" s="3336"/>
      <c r="P19620" s="3337"/>
    </row>
    <row r="19621" spans="7:16" s="1634" customFormat="1">
      <c r="G19621" s="3336"/>
      <c r="P19621" s="3337"/>
    </row>
    <row r="19622" spans="7:16" s="1634" customFormat="1">
      <c r="G19622" s="3336"/>
      <c r="P19622" s="3337"/>
    </row>
    <row r="19623" spans="7:16" s="1634" customFormat="1">
      <c r="G19623" s="3336"/>
      <c r="P19623" s="3337"/>
    </row>
    <row r="19624" spans="7:16" s="1634" customFormat="1">
      <c r="G19624" s="3336"/>
      <c r="P19624" s="3337"/>
    </row>
    <row r="19625" spans="7:16" s="1634" customFormat="1">
      <c r="G19625" s="3336"/>
      <c r="P19625" s="3337"/>
    </row>
    <row r="19626" spans="7:16" s="1634" customFormat="1">
      <c r="G19626" s="3336"/>
      <c r="P19626" s="3337"/>
    </row>
    <row r="19627" spans="7:16" s="1634" customFormat="1">
      <c r="G19627" s="3336"/>
      <c r="P19627" s="3337"/>
    </row>
    <row r="19628" spans="7:16" s="1634" customFormat="1">
      <c r="G19628" s="3336"/>
      <c r="P19628" s="3337"/>
    </row>
    <row r="19629" spans="7:16" s="1634" customFormat="1">
      <c r="G19629" s="3336"/>
      <c r="P19629" s="3337"/>
    </row>
    <row r="19630" spans="7:16" s="1634" customFormat="1">
      <c r="G19630" s="3336"/>
      <c r="P19630" s="3337"/>
    </row>
    <row r="19631" spans="7:16" s="1634" customFormat="1">
      <c r="G19631" s="3336"/>
      <c r="P19631" s="3337"/>
    </row>
    <row r="19632" spans="7:16" s="1634" customFormat="1">
      <c r="G19632" s="3336"/>
      <c r="P19632" s="3337"/>
    </row>
    <row r="19633" spans="7:16" s="1634" customFormat="1">
      <c r="G19633" s="3336"/>
      <c r="P19633" s="3337"/>
    </row>
    <row r="19634" spans="7:16" s="1634" customFormat="1">
      <c r="G19634" s="3336"/>
      <c r="P19634" s="3337"/>
    </row>
    <row r="19635" spans="7:16" s="1634" customFormat="1">
      <c r="G19635" s="3336"/>
      <c r="P19635" s="3337"/>
    </row>
    <row r="19636" spans="7:16" s="1634" customFormat="1">
      <c r="G19636" s="3336"/>
      <c r="P19636" s="3337"/>
    </row>
    <row r="19637" spans="7:16" s="1634" customFormat="1">
      <c r="G19637" s="3336"/>
      <c r="P19637" s="3337"/>
    </row>
    <row r="19638" spans="7:16" s="1634" customFormat="1">
      <c r="G19638" s="3336"/>
      <c r="P19638" s="3337"/>
    </row>
    <row r="19639" spans="7:16" s="1634" customFormat="1">
      <c r="G19639" s="3336"/>
      <c r="P19639" s="3337"/>
    </row>
    <row r="19640" spans="7:16" s="1634" customFormat="1">
      <c r="G19640" s="3336"/>
      <c r="P19640" s="3337"/>
    </row>
    <row r="19641" spans="7:16" s="1634" customFormat="1">
      <c r="G19641" s="3336"/>
      <c r="P19641" s="3337"/>
    </row>
    <row r="19642" spans="7:16" s="1634" customFormat="1">
      <c r="G19642" s="3336"/>
      <c r="P19642" s="3337"/>
    </row>
    <row r="19643" spans="7:16" s="1634" customFormat="1">
      <c r="G19643" s="3336"/>
      <c r="P19643" s="3337"/>
    </row>
    <row r="19644" spans="7:16" s="1634" customFormat="1">
      <c r="G19644" s="3336"/>
      <c r="P19644" s="3337"/>
    </row>
    <row r="19645" spans="7:16" s="1634" customFormat="1">
      <c r="G19645" s="3336"/>
      <c r="P19645" s="3337"/>
    </row>
    <row r="19646" spans="7:16" s="1634" customFormat="1">
      <c r="G19646" s="3336"/>
      <c r="P19646" s="3337"/>
    </row>
    <row r="19647" spans="7:16" s="1634" customFormat="1">
      <c r="G19647" s="3336"/>
      <c r="P19647" s="3337"/>
    </row>
    <row r="19648" spans="7:16" s="1634" customFormat="1">
      <c r="G19648" s="3336"/>
      <c r="P19648" s="3337"/>
    </row>
    <row r="19649" spans="7:16" s="1634" customFormat="1">
      <c r="G19649" s="3336"/>
      <c r="P19649" s="3337"/>
    </row>
    <row r="19650" spans="7:16" s="1634" customFormat="1">
      <c r="G19650" s="3336"/>
      <c r="P19650" s="3337"/>
    </row>
    <row r="19651" spans="7:16" s="1634" customFormat="1">
      <c r="G19651" s="3336"/>
      <c r="P19651" s="3337"/>
    </row>
    <row r="19652" spans="7:16" s="1634" customFormat="1">
      <c r="G19652" s="3336"/>
      <c r="P19652" s="3337"/>
    </row>
    <row r="19653" spans="7:16" s="1634" customFormat="1">
      <c r="G19653" s="3336"/>
      <c r="P19653" s="3337"/>
    </row>
    <row r="19654" spans="7:16" s="1634" customFormat="1">
      <c r="G19654" s="3336"/>
      <c r="P19654" s="3337"/>
    </row>
    <row r="19655" spans="7:16" s="1634" customFormat="1">
      <c r="G19655" s="3336"/>
      <c r="P19655" s="3337"/>
    </row>
    <row r="19656" spans="7:16" s="1634" customFormat="1">
      <c r="G19656" s="3336"/>
      <c r="P19656" s="3337"/>
    </row>
    <row r="19657" spans="7:16" s="1634" customFormat="1">
      <c r="G19657" s="3336"/>
      <c r="P19657" s="3337"/>
    </row>
    <row r="19658" spans="7:16" s="1634" customFormat="1">
      <c r="G19658" s="3336"/>
      <c r="P19658" s="3337"/>
    </row>
    <row r="19659" spans="7:16" s="1634" customFormat="1">
      <c r="G19659" s="3336"/>
      <c r="P19659" s="3337"/>
    </row>
    <row r="19660" spans="7:16" s="1634" customFormat="1">
      <c r="G19660" s="3336"/>
      <c r="P19660" s="3337"/>
    </row>
    <row r="19661" spans="7:16" s="1634" customFormat="1">
      <c r="G19661" s="3336"/>
      <c r="P19661" s="3337"/>
    </row>
    <row r="19662" spans="7:16" s="1634" customFormat="1">
      <c r="G19662" s="3336"/>
      <c r="P19662" s="3337"/>
    </row>
    <row r="19663" spans="7:16" s="1634" customFormat="1">
      <c r="G19663" s="3336"/>
      <c r="P19663" s="3337"/>
    </row>
    <row r="19664" spans="7:16" s="1634" customFormat="1">
      <c r="G19664" s="3336"/>
      <c r="P19664" s="3337"/>
    </row>
    <row r="19665" spans="7:16" s="1634" customFormat="1">
      <c r="G19665" s="3336"/>
      <c r="P19665" s="3337"/>
    </row>
    <row r="19666" spans="7:16" s="1634" customFormat="1">
      <c r="G19666" s="3336"/>
      <c r="P19666" s="3337"/>
    </row>
    <row r="19667" spans="7:16" s="1634" customFormat="1">
      <c r="G19667" s="3336"/>
      <c r="P19667" s="3337"/>
    </row>
    <row r="19668" spans="7:16" s="1634" customFormat="1">
      <c r="G19668" s="3336"/>
      <c r="P19668" s="3337"/>
    </row>
    <row r="19669" spans="7:16" s="1634" customFormat="1">
      <c r="G19669" s="3336"/>
      <c r="P19669" s="3337"/>
    </row>
    <row r="19670" spans="7:16" s="1634" customFormat="1">
      <c r="G19670" s="3336"/>
      <c r="P19670" s="3337"/>
    </row>
    <row r="19671" spans="7:16" s="1634" customFormat="1">
      <c r="G19671" s="3336"/>
      <c r="P19671" s="3337"/>
    </row>
    <row r="19672" spans="7:16" s="1634" customFormat="1">
      <c r="G19672" s="3336"/>
      <c r="P19672" s="3337"/>
    </row>
    <row r="19673" spans="7:16" s="1634" customFormat="1">
      <c r="G19673" s="3336"/>
      <c r="P19673" s="3337"/>
    </row>
    <row r="19674" spans="7:16" s="1634" customFormat="1">
      <c r="G19674" s="3336"/>
      <c r="P19674" s="3337"/>
    </row>
    <row r="19675" spans="7:16" s="1634" customFormat="1">
      <c r="G19675" s="3336"/>
      <c r="P19675" s="3337"/>
    </row>
    <row r="19676" spans="7:16" s="1634" customFormat="1">
      <c r="G19676" s="3336"/>
      <c r="P19676" s="3337"/>
    </row>
    <row r="19677" spans="7:16" s="1634" customFormat="1">
      <c r="G19677" s="3336"/>
      <c r="P19677" s="3337"/>
    </row>
    <row r="19678" spans="7:16" s="1634" customFormat="1">
      <c r="G19678" s="3336"/>
      <c r="P19678" s="3337"/>
    </row>
    <row r="19679" spans="7:16" s="1634" customFormat="1">
      <c r="G19679" s="3336"/>
      <c r="P19679" s="3337"/>
    </row>
    <row r="19680" spans="7:16" s="1634" customFormat="1">
      <c r="G19680" s="3336"/>
      <c r="P19680" s="3337"/>
    </row>
    <row r="19681" spans="7:16" s="1634" customFormat="1">
      <c r="G19681" s="3336"/>
      <c r="P19681" s="3337"/>
    </row>
    <row r="19682" spans="7:16" s="1634" customFormat="1">
      <c r="G19682" s="3336"/>
      <c r="P19682" s="3337"/>
    </row>
    <row r="19683" spans="7:16" s="1634" customFormat="1">
      <c r="G19683" s="3336"/>
      <c r="P19683" s="3337"/>
    </row>
    <row r="19684" spans="7:16" s="1634" customFormat="1">
      <c r="G19684" s="3336"/>
      <c r="P19684" s="3337"/>
    </row>
    <row r="19685" spans="7:16" s="1634" customFormat="1">
      <c r="G19685" s="3336"/>
      <c r="P19685" s="3337"/>
    </row>
    <row r="19686" spans="7:16" s="1634" customFormat="1">
      <c r="G19686" s="3336"/>
      <c r="P19686" s="3337"/>
    </row>
    <row r="19687" spans="7:16" s="1634" customFormat="1">
      <c r="G19687" s="3336"/>
      <c r="P19687" s="3337"/>
    </row>
    <row r="19688" spans="7:16" s="1634" customFormat="1">
      <c r="G19688" s="3336"/>
      <c r="P19688" s="3337"/>
    </row>
    <row r="19689" spans="7:16" s="1634" customFormat="1">
      <c r="G19689" s="3336"/>
      <c r="P19689" s="3337"/>
    </row>
    <row r="19690" spans="7:16" s="1634" customFormat="1">
      <c r="G19690" s="3336"/>
      <c r="P19690" s="3337"/>
    </row>
    <row r="19691" spans="7:16" s="1634" customFormat="1">
      <c r="G19691" s="3336"/>
      <c r="P19691" s="3337"/>
    </row>
    <row r="19692" spans="7:16" s="1634" customFormat="1">
      <c r="G19692" s="3336"/>
      <c r="P19692" s="3337"/>
    </row>
    <row r="19693" spans="7:16" s="1634" customFormat="1">
      <c r="G19693" s="3336"/>
      <c r="P19693" s="3337"/>
    </row>
    <row r="19694" spans="7:16" s="1634" customFormat="1">
      <c r="G19694" s="3336"/>
      <c r="P19694" s="3337"/>
    </row>
    <row r="19695" spans="7:16" s="1634" customFormat="1">
      <c r="G19695" s="3336"/>
      <c r="P19695" s="3337"/>
    </row>
    <row r="19696" spans="7:16" s="1634" customFormat="1">
      <c r="G19696" s="3336"/>
      <c r="P19696" s="3337"/>
    </row>
    <row r="19697" spans="7:16" s="1634" customFormat="1">
      <c r="G19697" s="3336"/>
      <c r="P19697" s="3337"/>
    </row>
    <row r="19698" spans="7:16" s="1634" customFormat="1">
      <c r="G19698" s="3336"/>
      <c r="P19698" s="3337"/>
    </row>
    <row r="19699" spans="7:16" s="1634" customFormat="1">
      <c r="G19699" s="3336"/>
      <c r="P19699" s="3337"/>
    </row>
    <row r="19700" spans="7:16" s="1634" customFormat="1">
      <c r="G19700" s="3336"/>
      <c r="P19700" s="3337"/>
    </row>
    <row r="19701" spans="7:16" s="1634" customFormat="1">
      <c r="G19701" s="3336"/>
      <c r="P19701" s="3337"/>
    </row>
    <row r="19702" spans="7:16" s="1634" customFormat="1">
      <c r="G19702" s="3336"/>
      <c r="P19702" s="3337"/>
    </row>
    <row r="19703" spans="7:16" s="1634" customFormat="1">
      <c r="G19703" s="3336"/>
      <c r="P19703" s="3337"/>
    </row>
    <row r="19704" spans="7:16" s="1634" customFormat="1">
      <c r="G19704" s="3336"/>
      <c r="P19704" s="3337"/>
    </row>
    <row r="19705" spans="7:16" s="1634" customFormat="1">
      <c r="G19705" s="3336"/>
      <c r="P19705" s="3337"/>
    </row>
    <row r="19706" spans="7:16" s="1634" customFormat="1">
      <c r="G19706" s="3336"/>
      <c r="P19706" s="3337"/>
    </row>
    <row r="19707" spans="7:16" s="1634" customFormat="1">
      <c r="G19707" s="3336"/>
      <c r="P19707" s="3337"/>
    </row>
    <row r="19708" spans="7:16" s="1634" customFormat="1">
      <c r="G19708" s="3336"/>
      <c r="P19708" s="3337"/>
    </row>
    <row r="19709" spans="7:16" s="1634" customFormat="1">
      <c r="G19709" s="3336"/>
      <c r="P19709" s="3337"/>
    </row>
    <row r="19710" spans="7:16" s="1634" customFormat="1">
      <c r="G19710" s="3336"/>
      <c r="P19710" s="3337"/>
    </row>
    <row r="19711" spans="7:16" s="1634" customFormat="1">
      <c r="G19711" s="3336"/>
      <c r="P19711" s="3337"/>
    </row>
    <row r="19712" spans="7:16" s="1634" customFormat="1">
      <c r="G19712" s="3336"/>
      <c r="P19712" s="3337"/>
    </row>
    <row r="19713" spans="7:16" s="1634" customFormat="1">
      <c r="G19713" s="3336"/>
      <c r="P19713" s="3337"/>
    </row>
    <row r="19714" spans="7:16" s="1634" customFormat="1">
      <c r="G19714" s="3336"/>
      <c r="P19714" s="3337"/>
    </row>
    <row r="19715" spans="7:16" s="1634" customFormat="1">
      <c r="G19715" s="3336"/>
      <c r="P19715" s="3337"/>
    </row>
    <row r="19716" spans="7:16" s="1634" customFormat="1">
      <c r="G19716" s="3336"/>
      <c r="P19716" s="3337"/>
    </row>
    <row r="19717" spans="7:16" s="1634" customFormat="1">
      <c r="G19717" s="3336"/>
      <c r="P19717" s="3337"/>
    </row>
    <row r="19718" spans="7:16" s="1634" customFormat="1">
      <c r="G19718" s="3336"/>
      <c r="P19718" s="3337"/>
    </row>
    <row r="19719" spans="7:16" s="1634" customFormat="1">
      <c r="G19719" s="3336"/>
      <c r="P19719" s="3337"/>
    </row>
    <row r="19720" spans="7:16" s="1634" customFormat="1">
      <c r="G19720" s="3336"/>
      <c r="P19720" s="3337"/>
    </row>
    <row r="19721" spans="7:16" s="1634" customFormat="1">
      <c r="G19721" s="3336"/>
      <c r="P19721" s="3337"/>
    </row>
    <row r="19722" spans="7:16" s="1634" customFormat="1">
      <c r="G19722" s="3336"/>
      <c r="P19722" s="3337"/>
    </row>
    <row r="19723" spans="7:16" s="1634" customFormat="1">
      <c r="G19723" s="3336"/>
      <c r="P19723" s="3337"/>
    </row>
    <row r="19724" spans="7:16" s="1634" customFormat="1">
      <c r="G19724" s="3336"/>
      <c r="P19724" s="3337"/>
    </row>
    <row r="19725" spans="7:16" s="1634" customFormat="1">
      <c r="G19725" s="3336"/>
      <c r="P19725" s="3337"/>
    </row>
    <row r="19726" spans="7:16" s="1634" customFormat="1">
      <c r="G19726" s="3336"/>
      <c r="P19726" s="3337"/>
    </row>
    <row r="19727" spans="7:16" s="1634" customFormat="1">
      <c r="G19727" s="3336"/>
      <c r="P19727" s="3337"/>
    </row>
    <row r="19728" spans="7:16" s="1634" customFormat="1">
      <c r="G19728" s="3336"/>
      <c r="P19728" s="3337"/>
    </row>
    <row r="19729" spans="7:16" s="1634" customFormat="1">
      <c r="G19729" s="3336"/>
      <c r="P19729" s="3337"/>
    </row>
    <row r="19730" spans="7:16" s="1634" customFormat="1">
      <c r="G19730" s="3336"/>
      <c r="P19730" s="3337"/>
    </row>
    <row r="19731" spans="7:16" s="1634" customFormat="1">
      <c r="G19731" s="3336"/>
      <c r="P19731" s="3337"/>
    </row>
    <row r="19732" spans="7:16" s="1634" customFormat="1">
      <c r="G19732" s="3336"/>
      <c r="P19732" s="3337"/>
    </row>
    <row r="19733" spans="7:16" s="1634" customFormat="1">
      <c r="G19733" s="3336"/>
      <c r="P19733" s="3337"/>
    </row>
    <row r="19734" spans="7:16" s="1634" customFormat="1">
      <c r="G19734" s="3336"/>
      <c r="P19734" s="3337"/>
    </row>
    <row r="19735" spans="7:16" s="1634" customFormat="1">
      <c r="G19735" s="3336"/>
      <c r="P19735" s="3337"/>
    </row>
    <row r="19736" spans="7:16" s="1634" customFormat="1">
      <c r="G19736" s="3336"/>
      <c r="P19736" s="3337"/>
    </row>
    <row r="19737" spans="7:16" s="1634" customFormat="1">
      <c r="G19737" s="3336"/>
      <c r="P19737" s="3337"/>
    </row>
    <row r="19738" spans="7:16" s="1634" customFormat="1">
      <c r="G19738" s="3336"/>
      <c r="P19738" s="3337"/>
    </row>
    <row r="19739" spans="7:16" s="1634" customFormat="1">
      <c r="G19739" s="3336"/>
      <c r="P19739" s="3337"/>
    </row>
    <row r="19740" spans="7:16" s="1634" customFormat="1">
      <c r="G19740" s="3336"/>
      <c r="P19740" s="3337"/>
    </row>
    <row r="19741" spans="7:16" s="1634" customFormat="1">
      <c r="G19741" s="3336"/>
      <c r="P19741" s="3337"/>
    </row>
    <row r="19742" spans="7:16" s="1634" customFormat="1">
      <c r="G19742" s="3336"/>
      <c r="P19742" s="3337"/>
    </row>
    <row r="19743" spans="7:16" s="1634" customFormat="1">
      <c r="G19743" s="3336"/>
      <c r="P19743" s="3337"/>
    </row>
    <row r="19744" spans="7:16" s="1634" customFormat="1">
      <c r="G19744" s="3336"/>
      <c r="P19744" s="3337"/>
    </row>
    <row r="19745" spans="7:16" s="1634" customFormat="1">
      <c r="G19745" s="3336"/>
      <c r="P19745" s="3337"/>
    </row>
    <row r="19746" spans="7:16" s="1634" customFormat="1">
      <c r="G19746" s="3336"/>
      <c r="P19746" s="3337"/>
    </row>
    <row r="19747" spans="7:16" s="1634" customFormat="1">
      <c r="G19747" s="3336"/>
      <c r="P19747" s="3337"/>
    </row>
    <row r="19748" spans="7:16" s="1634" customFormat="1">
      <c r="G19748" s="3336"/>
      <c r="P19748" s="3337"/>
    </row>
    <row r="19749" spans="7:16" s="1634" customFormat="1">
      <c r="G19749" s="3336"/>
      <c r="P19749" s="3337"/>
    </row>
    <row r="19750" spans="7:16" s="1634" customFormat="1">
      <c r="G19750" s="3336"/>
      <c r="P19750" s="3337"/>
    </row>
    <row r="19751" spans="7:16" s="1634" customFormat="1">
      <c r="G19751" s="3336"/>
      <c r="P19751" s="3337"/>
    </row>
    <row r="19752" spans="7:16" s="1634" customFormat="1">
      <c r="G19752" s="3336"/>
      <c r="P19752" s="3337"/>
    </row>
    <row r="19753" spans="7:16" s="1634" customFormat="1">
      <c r="G19753" s="3336"/>
      <c r="P19753" s="3337"/>
    </row>
    <row r="19754" spans="7:16" s="1634" customFormat="1">
      <c r="G19754" s="3336"/>
      <c r="P19754" s="3337"/>
    </row>
    <row r="19755" spans="7:16" s="1634" customFormat="1">
      <c r="G19755" s="3336"/>
      <c r="P19755" s="3337"/>
    </row>
    <row r="19756" spans="7:16" s="1634" customFormat="1">
      <c r="G19756" s="3336"/>
      <c r="P19756" s="3337"/>
    </row>
    <row r="19757" spans="7:16" s="1634" customFormat="1">
      <c r="G19757" s="3336"/>
      <c r="P19757" s="3337"/>
    </row>
    <row r="19758" spans="7:16" s="1634" customFormat="1">
      <c r="G19758" s="3336"/>
      <c r="P19758" s="3337"/>
    </row>
    <row r="19759" spans="7:16" s="1634" customFormat="1">
      <c r="G19759" s="3336"/>
      <c r="P19759" s="3337"/>
    </row>
    <row r="19760" spans="7:16" s="1634" customFormat="1">
      <c r="G19760" s="3336"/>
      <c r="P19760" s="3337"/>
    </row>
    <row r="19761" spans="7:16" s="1634" customFormat="1">
      <c r="G19761" s="3336"/>
      <c r="P19761" s="3337"/>
    </row>
    <row r="19762" spans="7:16" s="1634" customFormat="1">
      <c r="G19762" s="3336"/>
      <c r="P19762" s="3337"/>
    </row>
    <row r="19763" spans="7:16" s="1634" customFormat="1">
      <c r="G19763" s="3336"/>
      <c r="P19763" s="3337"/>
    </row>
    <row r="19764" spans="7:16" s="1634" customFormat="1">
      <c r="G19764" s="3336"/>
      <c r="P19764" s="3337"/>
    </row>
    <row r="19765" spans="7:16" s="1634" customFormat="1">
      <c r="G19765" s="3336"/>
      <c r="P19765" s="3337"/>
    </row>
    <row r="19766" spans="7:16" s="1634" customFormat="1">
      <c r="G19766" s="3336"/>
      <c r="P19766" s="3337"/>
    </row>
    <row r="19767" spans="7:16" s="1634" customFormat="1">
      <c r="G19767" s="3336"/>
      <c r="P19767" s="3337"/>
    </row>
    <row r="19768" spans="7:16" s="1634" customFormat="1">
      <c r="G19768" s="3336"/>
      <c r="P19768" s="3337"/>
    </row>
    <row r="19769" spans="7:16" s="1634" customFormat="1">
      <c r="G19769" s="3336"/>
      <c r="P19769" s="3337"/>
    </row>
    <row r="19770" spans="7:16" s="1634" customFormat="1">
      <c r="G19770" s="3336"/>
      <c r="P19770" s="3337"/>
    </row>
    <row r="19771" spans="7:16" s="1634" customFormat="1">
      <c r="G19771" s="3336"/>
      <c r="P19771" s="3337"/>
    </row>
    <row r="19772" spans="7:16" s="1634" customFormat="1">
      <c r="G19772" s="3336"/>
      <c r="P19772" s="3337"/>
    </row>
    <row r="19773" spans="7:16" s="1634" customFormat="1">
      <c r="G19773" s="3336"/>
      <c r="P19773" s="3337"/>
    </row>
    <row r="19774" spans="7:16" s="1634" customFormat="1">
      <c r="G19774" s="3336"/>
      <c r="P19774" s="3337"/>
    </row>
    <row r="19775" spans="7:16" s="1634" customFormat="1">
      <c r="G19775" s="3336"/>
      <c r="P19775" s="3337"/>
    </row>
    <row r="19776" spans="7:16" s="1634" customFormat="1">
      <c r="G19776" s="3336"/>
      <c r="P19776" s="3337"/>
    </row>
    <row r="19777" spans="7:16" s="1634" customFormat="1">
      <c r="G19777" s="3336"/>
      <c r="P19777" s="3337"/>
    </row>
    <row r="19778" spans="7:16" s="1634" customFormat="1">
      <c r="G19778" s="3336"/>
      <c r="P19778" s="3337"/>
    </row>
    <row r="19779" spans="7:16" s="1634" customFormat="1">
      <c r="G19779" s="3336"/>
      <c r="P19779" s="3337"/>
    </row>
    <row r="19780" spans="7:16" s="1634" customFormat="1">
      <c r="G19780" s="3336"/>
      <c r="P19780" s="3337"/>
    </row>
    <row r="19781" spans="7:16" s="1634" customFormat="1">
      <c r="G19781" s="3336"/>
      <c r="P19781" s="3337"/>
    </row>
    <row r="19782" spans="7:16" s="1634" customFormat="1">
      <c r="G19782" s="3336"/>
      <c r="P19782" s="3337"/>
    </row>
    <row r="19783" spans="7:16" s="1634" customFormat="1">
      <c r="G19783" s="3336"/>
      <c r="P19783" s="3337"/>
    </row>
    <row r="19784" spans="7:16" s="1634" customFormat="1">
      <c r="G19784" s="3336"/>
      <c r="P19784" s="3337"/>
    </row>
    <row r="19785" spans="7:16" s="1634" customFormat="1">
      <c r="G19785" s="3336"/>
      <c r="P19785" s="3337"/>
    </row>
    <row r="19786" spans="7:16" s="1634" customFormat="1">
      <c r="G19786" s="3336"/>
      <c r="P19786" s="3337"/>
    </row>
    <row r="19787" spans="7:16" s="1634" customFormat="1">
      <c r="G19787" s="3336"/>
      <c r="P19787" s="3337"/>
    </row>
    <row r="19788" spans="7:16" s="1634" customFormat="1">
      <c r="G19788" s="3336"/>
      <c r="P19788" s="3337"/>
    </row>
    <row r="19789" spans="7:16" s="1634" customFormat="1">
      <c r="G19789" s="3336"/>
      <c r="P19789" s="3337"/>
    </row>
    <row r="19790" spans="7:16" s="1634" customFormat="1">
      <c r="G19790" s="3336"/>
      <c r="P19790" s="3337"/>
    </row>
    <row r="19791" spans="7:16" s="1634" customFormat="1">
      <c r="G19791" s="3336"/>
      <c r="P19791" s="3337"/>
    </row>
    <row r="19792" spans="7:16" s="1634" customFormat="1">
      <c r="G19792" s="3336"/>
      <c r="P19792" s="3337"/>
    </row>
    <row r="19793" spans="7:16" s="1634" customFormat="1">
      <c r="G19793" s="3336"/>
      <c r="P19793" s="3337"/>
    </row>
    <row r="19794" spans="7:16" s="1634" customFormat="1">
      <c r="G19794" s="3336"/>
      <c r="P19794" s="3337"/>
    </row>
    <row r="19795" spans="7:16" s="1634" customFormat="1">
      <c r="G19795" s="3336"/>
      <c r="P19795" s="3337"/>
    </row>
    <row r="19796" spans="7:16" s="1634" customFormat="1">
      <c r="G19796" s="3336"/>
      <c r="P19796" s="3337"/>
    </row>
    <row r="19797" spans="7:16" s="1634" customFormat="1">
      <c r="G19797" s="3336"/>
      <c r="P19797" s="3337"/>
    </row>
    <row r="19798" spans="7:16" s="1634" customFormat="1">
      <c r="G19798" s="3336"/>
      <c r="P19798" s="3337"/>
    </row>
    <row r="19799" spans="7:16" s="1634" customFormat="1">
      <c r="G19799" s="3336"/>
      <c r="P19799" s="3337"/>
    </row>
    <row r="19800" spans="7:16" s="1634" customFormat="1">
      <c r="G19800" s="3336"/>
      <c r="P19800" s="3337"/>
    </row>
    <row r="19801" spans="7:16" s="1634" customFormat="1">
      <c r="G19801" s="3336"/>
      <c r="P19801" s="3337"/>
    </row>
    <row r="19802" spans="7:16" s="1634" customFormat="1">
      <c r="G19802" s="3336"/>
      <c r="P19802" s="3337"/>
    </row>
    <row r="19803" spans="7:16" s="1634" customFormat="1">
      <c r="G19803" s="3336"/>
      <c r="P19803" s="3337"/>
    </row>
    <row r="19804" spans="7:16" s="1634" customFormat="1">
      <c r="G19804" s="3336"/>
      <c r="P19804" s="3337"/>
    </row>
    <row r="19805" spans="7:16" s="1634" customFormat="1">
      <c r="G19805" s="3336"/>
      <c r="P19805" s="3337"/>
    </row>
    <row r="19806" spans="7:16" s="1634" customFormat="1">
      <c r="G19806" s="3336"/>
      <c r="P19806" s="3337"/>
    </row>
    <row r="19807" spans="7:16" s="1634" customFormat="1">
      <c r="G19807" s="3336"/>
      <c r="P19807" s="3337"/>
    </row>
    <row r="19808" spans="7:16" s="1634" customFormat="1">
      <c r="G19808" s="3336"/>
      <c r="P19808" s="3337"/>
    </row>
    <row r="19809" spans="7:16" s="1634" customFormat="1">
      <c r="G19809" s="3336"/>
      <c r="P19809" s="3337"/>
    </row>
    <row r="19810" spans="7:16" s="1634" customFormat="1">
      <c r="G19810" s="3336"/>
      <c r="P19810" s="3337"/>
    </row>
    <row r="19811" spans="7:16" s="1634" customFormat="1">
      <c r="G19811" s="3336"/>
      <c r="P19811" s="3337"/>
    </row>
    <row r="19812" spans="7:16" s="1634" customFormat="1">
      <c r="G19812" s="3336"/>
      <c r="P19812" s="3337"/>
    </row>
    <row r="19813" spans="7:16" s="1634" customFormat="1">
      <c r="G19813" s="3336"/>
      <c r="P19813" s="3337"/>
    </row>
    <row r="19814" spans="7:16" s="1634" customFormat="1">
      <c r="G19814" s="3336"/>
      <c r="P19814" s="3337"/>
    </row>
    <row r="19815" spans="7:16" s="1634" customFormat="1">
      <c r="G19815" s="3336"/>
      <c r="P19815" s="3337"/>
    </row>
    <row r="19816" spans="7:16" s="1634" customFormat="1">
      <c r="G19816" s="3336"/>
      <c r="P19816" s="3337"/>
    </row>
    <row r="19817" spans="7:16" s="1634" customFormat="1">
      <c r="G19817" s="3336"/>
      <c r="P19817" s="3337"/>
    </row>
    <row r="19818" spans="7:16" s="1634" customFormat="1">
      <c r="G19818" s="3336"/>
      <c r="P19818" s="3337"/>
    </row>
    <row r="19819" spans="7:16" s="1634" customFormat="1">
      <c r="G19819" s="3336"/>
      <c r="P19819" s="3337"/>
    </row>
    <row r="19820" spans="7:16" s="1634" customFormat="1">
      <c r="G19820" s="3336"/>
      <c r="P19820" s="3337"/>
    </row>
    <row r="19821" spans="7:16" s="1634" customFormat="1">
      <c r="G19821" s="3336"/>
      <c r="P19821" s="3337"/>
    </row>
    <row r="19822" spans="7:16" s="1634" customFormat="1">
      <c r="G19822" s="3336"/>
      <c r="P19822" s="3337"/>
    </row>
    <row r="19823" spans="7:16" s="1634" customFormat="1">
      <c r="G19823" s="3336"/>
      <c r="P19823" s="3337"/>
    </row>
    <row r="19824" spans="7:16" s="1634" customFormat="1">
      <c r="G19824" s="3336"/>
      <c r="P19824" s="3337"/>
    </row>
    <row r="19825" spans="7:16" s="1634" customFormat="1">
      <c r="G19825" s="3336"/>
      <c r="P19825" s="3337"/>
    </row>
    <row r="19826" spans="7:16" s="1634" customFormat="1">
      <c r="G19826" s="3336"/>
      <c r="P19826" s="3337"/>
    </row>
    <row r="19827" spans="7:16" s="1634" customFormat="1">
      <c r="G19827" s="3336"/>
      <c r="P19827" s="3337"/>
    </row>
    <row r="19828" spans="7:16" s="1634" customFormat="1">
      <c r="G19828" s="3336"/>
      <c r="P19828" s="3337"/>
    </row>
    <row r="19829" spans="7:16" s="1634" customFormat="1">
      <c r="G19829" s="3336"/>
      <c r="P19829" s="3337"/>
    </row>
    <row r="19830" spans="7:16" s="1634" customFormat="1">
      <c r="G19830" s="3336"/>
      <c r="P19830" s="3337"/>
    </row>
    <row r="19831" spans="7:16" s="1634" customFormat="1">
      <c r="G19831" s="3336"/>
      <c r="P19831" s="3337"/>
    </row>
    <row r="19832" spans="7:16" s="1634" customFormat="1">
      <c r="G19832" s="3336"/>
      <c r="P19832" s="3337"/>
    </row>
    <row r="19833" spans="7:16" s="1634" customFormat="1">
      <c r="G19833" s="3336"/>
      <c r="P19833" s="3337"/>
    </row>
    <row r="19834" spans="7:16" s="1634" customFormat="1">
      <c r="G19834" s="3336"/>
      <c r="P19834" s="3337"/>
    </row>
    <row r="19835" spans="7:16" s="1634" customFormat="1">
      <c r="G19835" s="3336"/>
      <c r="P19835" s="3337"/>
    </row>
    <row r="19836" spans="7:16" s="1634" customFormat="1">
      <c r="G19836" s="3336"/>
      <c r="P19836" s="3337"/>
    </row>
    <row r="19837" spans="7:16" s="1634" customFormat="1">
      <c r="G19837" s="3336"/>
      <c r="P19837" s="3337"/>
    </row>
    <row r="19838" spans="7:16" s="1634" customFormat="1">
      <c r="G19838" s="3336"/>
      <c r="P19838" s="3337"/>
    </row>
    <row r="19839" spans="7:16" s="1634" customFormat="1">
      <c r="G19839" s="3336"/>
      <c r="P19839" s="3337"/>
    </row>
    <row r="19840" spans="7:16" s="1634" customFormat="1">
      <c r="G19840" s="3336"/>
      <c r="P19840" s="3337"/>
    </row>
    <row r="19841" spans="7:16" s="1634" customFormat="1">
      <c r="G19841" s="3336"/>
      <c r="P19841" s="3337"/>
    </row>
    <row r="19842" spans="7:16" s="1634" customFormat="1">
      <c r="G19842" s="3336"/>
      <c r="P19842" s="3337"/>
    </row>
    <row r="19843" spans="7:16" s="1634" customFormat="1">
      <c r="G19843" s="3336"/>
      <c r="P19843" s="3337"/>
    </row>
    <row r="19844" spans="7:16" s="1634" customFormat="1">
      <c r="G19844" s="3336"/>
      <c r="P19844" s="3337"/>
    </row>
    <row r="19845" spans="7:16" s="1634" customFormat="1">
      <c r="G19845" s="3336"/>
      <c r="P19845" s="3337"/>
    </row>
    <row r="19846" spans="7:16" s="1634" customFormat="1">
      <c r="G19846" s="3336"/>
      <c r="P19846" s="3337"/>
    </row>
    <row r="19847" spans="7:16" s="1634" customFormat="1">
      <c r="G19847" s="3336"/>
      <c r="P19847" s="3337"/>
    </row>
    <row r="19848" spans="7:16" s="1634" customFormat="1">
      <c r="G19848" s="3336"/>
      <c r="P19848" s="3337"/>
    </row>
    <row r="19849" spans="7:16" s="1634" customFormat="1">
      <c r="G19849" s="3336"/>
      <c r="P19849" s="3337"/>
    </row>
    <row r="19850" spans="7:16" s="1634" customFormat="1">
      <c r="G19850" s="3336"/>
      <c r="P19850" s="3337"/>
    </row>
    <row r="19851" spans="7:16" s="1634" customFormat="1">
      <c r="G19851" s="3336"/>
      <c r="P19851" s="3337"/>
    </row>
    <row r="19852" spans="7:16" s="1634" customFormat="1">
      <c r="G19852" s="3336"/>
      <c r="P19852" s="3337"/>
    </row>
    <row r="19853" spans="7:16" s="1634" customFormat="1">
      <c r="G19853" s="3336"/>
      <c r="P19853" s="3337"/>
    </row>
    <row r="19854" spans="7:16" s="1634" customFormat="1">
      <c r="G19854" s="3336"/>
      <c r="P19854" s="3337"/>
    </row>
    <row r="19855" spans="7:16" s="1634" customFormat="1">
      <c r="G19855" s="3336"/>
      <c r="P19855" s="3337"/>
    </row>
    <row r="19856" spans="7:16" s="1634" customFormat="1">
      <c r="G19856" s="3336"/>
      <c r="P19856" s="3337"/>
    </row>
    <row r="19857" spans="7:16" s="1634" customFormat="1">
      <c r="G19857" s="3336"/>
      <c r="P19857" s="3337"/>
    </row>
    <row r="19858" spans="7:16" s="1634" customFormat="1">
      <c r="G19858" s="3336"/>
      <c r="P19858" s="3337"/>
    </row>
    <row r="19859" spans="7:16" s="1634" customFormat="1">
      <c r="G19859" s="3336"/>
      <c r="P19859" s="3337"/>
    </row>
    <row r="19860" spans="7:16" s="1634" customFormat="1">
      <c r="G19860" s="3336"/>
      <c r="P19860" s="3337"/>
    </row>
    <row r="19861" spans="7:16" s="1634" customFormat="1">
      <c r="G19861" s="3336"/>
      <c r="P19861" s="3337"/>
    </row>
    <row r="19862" spans="7:16" s="1634" customFormat="1">
      <c r="G19862" s="3336"/>
      <c r="P19862" s="3337"/>
    </row>
    <row r="19863" spans="7:16" s="1634" customFormat="1">
      <c r="G19863" s="3336"/>
      <c r="P19863" s="3337"/>
    </row>
    <row r="19864" spans="7:16" s="1634" customFormat="1">
      <c r="G19864" s="3336"/>
      <c r="P19864" s="3337"/>
    </row>
    <row r="19865" spans="7:16" s="1634" customFormat="1">
      <c r="G19865" s="3336"/>
      <c r="P19865" s="3337"/>
    </row>
    <row r="19866" spans="7:16" s="1634" customFormat="1">
      <c r="G19866" s="3336"/>
      <c r="P19866" s="3337"/>
    </row>
    <row r="19867" spans="7:16" s="1634" customFormat="1">
      <c r="G19867" s="3336"/>
      <c r="P19867" s="3337"/>
    </row>
    <row r="19868" spans="7:16" s="1634" customFormat="1">
      <c r="G19868" s="3336"/>
      <c r="P19868" s="3337"/>
    </row>
    <row r="19869" spans="7:16" s="1634" customFormat="1">
      <c r="G19869" s="3336"/>
      <c r="P19869" s="3337"/>
    </row>
    <row r="19870" spans="7:16" s="1634" customFormat="1">
      <c r="G19870" s="3336"/>
      <c r="P19870" s="3337"/>
    </row>
    <row r="19871" spans="7:16" s="1634" customFormat="1">
      <c r="G19871" s="3336"/>
      <c r="P19871" s="3337"/>
    </row>
    <row r="19872" spans="7:16" s="1634" customFormat="1">
      <c r="G19872" s="3336"/>
      <c r="P19872" s="3337"/>
    </row>
    <row r="19873" spans="7:16" s="1634" customFormat="1">
      <c r="G19873" s="3336"/>
      <c r="P19873" s="3337"/>
    </row>
    <row r="19874" spans="7:16" s="1634" customFormat="1">
      <c r="G19874" s="3336"/>
      <c r="P19874" s="3337"/>
    </row>
    <row r="19875" spans="7:16" s="1634" customFormat="1">
      <c r="G19875" s="3336"/>
      <c r="P19875" s="3337"/>
    </row>
    <row r="19876" spans="7:16" s="1634" customFormat="1">
      <c r="G19876" s="3336"/>
      <c r="P19876" s="3337"/>
    </row>
    <row r="19877" spans="7:16" s="1634" customFormat="1">
      <c r="G19877" s="3336"/>
      <c r="P19877" s="3337"/>
    </row>
    <row r="19878" spans="7:16" s="1634" customFormat="1">
      <c r="G19878" s="3336"/>
      <c r="P19878" s="3337"/>
    </row>
    <row r="19879" spans="7:16" s="1634" customFormat="1">
      <c r="G19879" s="3336"/>
      <c r="P19879" s="3337"/>
    </row>
    <row r="19880" spans="7:16" s="1634" customFormat="1">
      <c r="G19880" s="3336"/>
      <c r="P19880" s="3337"/>
    </row>
    <row r="19881" spans="7:16" s="1634" customFormat="1">
      <c r="G19881" s="3336"/>
      <c r="P19881" s="3337"/>
    </row>
    <row r="19882" spans="7:16" s="1634" customFormat="1">
      <c r="G19882" s="3336"/>
      <c r="P19882" s="3337"/>
    </row>
    <row r="19883" spans="7:16" s="1634" customFormat="1">
      <c r="G19883" s="3336"/>
      <c r="P19883" s="3337"/>
    </row>
    <row r="19884" spans="7:16" s="1634" customFormat="1">
      <c r="G19884" s="3336"/>
      <c r="P19884" s="3337"/>
    </row>
    <row r="19885" spans="7:16" s="1634" customFormat="1">
      <c r="G19885" s="3336"/>
      <c r="P19885" s="3337"/>
    </row>
    <row r="19886" spans="7:16" s="1634" customFormat="1">
      <c r="G19886" s="3336"/>
      <c r="P19886" s="3337"/>
    </row>
    <row r="19887" spans="7:16" s="1634" customFormat="1">
      <c r="G19887" s="3336"/>
      <c r="P19887" s="3337"/>
    </row>
    <row r="19888" spans="7:16" s="1634" customFormat="1">
      <c r="G19888" s="3336"/>
      <c r="P19888" s="3337"/>
    </row>
    <row r="19889" spans="7:16" s="1634" customFormat="1">
      <c r="G19889" s="3336"/>
      <c r="P19889" s="3337"/>
    </row>
    <row r="19890" spans="7:16" s="1634" customFormat="1">
      <c r="G19890" s="3336"/>
      <c r="P19890" s="3337"/>
    </row>
    <row r="19891" spans="7:16" s="1634" customFormat="1">
      <c r="G19891" s="3336"/>
      <c r="P19891" s="3337"/>
    </row>
    <row r="19892" spans="7:16" s="1634" customFormat="1">
      <c r="G19892" s="3336"/>
      <c r="P19892" s="3337"/>
    </row>
    <row r="19893" spans="7:16" s="1634" customFormat="1">
      <c r="G19893" s="3336"/>
      <c r="P19893" s="3337"/>
    </row>
    <row r="19894" spans="7:16" s="1634" customFormat="1">
      <c r="G19894" s="3336"/>
      <c r="P19894" s="3337"/>
    </row>
    <row r="19895" spans="7:16" s="1634" customFormat="1">
      <c r="G19895" s="3336"/>
      <c r="P19895" s="3337"/>
    </row>
    <row r="19896" spans="7:16" s="1634" customFormat="1">
      <c r="G19896" s="3336"/>
      <c r="P19896" s="3337"/>
    </row>
    <row r="19897" spans="7:16" s="1634" customFormat="1">
      <c r="G19897" s="3336"/>
      <c r="P19897" s="3337"/>
    </row>
    <row r="19898" spans="7:16" s="1634" customFormat="1">
      <c r="G19898" s="3336"/>
      <c r="P19898" s="3337"/>
    </row>
    <row r="19899" spans="7:16" s="1634" customFormat="1">
      <c r="G19899" s="3336"/>
      <c r="P19899" s="3337"/>
    </row>
    <row r="19900" spans="7:16" s="1634" customFormat="1">
      <c r="G19900" s="3336"/>
      <c r="P19900" s="3337"/>
    </row>
    <row r="19901" spans="7:16" s="1634" customFormat="1">
      <c r="G19901" s="3336"/>
      <c r="P19901" s="3337"/>
    </row>
    <row r="19902" spans="7:16" s="1634" customFormat="1">
      <c r="G19902" s="3336"/>
      <c r="P19902" s="3337"/>
    </row>
    <row r="19903" spans="7:16" s="1634" customFormat="1">
      <c r="G19903" s="3336"/>
      <c r="P19903" s="3337"/>
    </row>
    <row r="19904" spans="7:16" s="1634" customFormat="1">
      <c r="G19904" s="3336"/>
      <c r="P19904" s="3337"/>
    </row>
    <row r="19905" spans="7:16" s="1634" customFormat="1">
      <c r="G19905" s="3336"/>
      <c r="P19905" s="3337"/>
    </row>
    <row r="19906" spans="7:16" s="1634" customFormat="1">
      <c r="G19906" s="3336"/>
      <c r="P19906" s="3337"/>
    </row>
    <row r="19907" spans="7:16" s="1634" customFormat="1">
      <c r="G19907" s="3336"/>
      <c r="P19907" s="3337"/>
    </row>
    <row r="19908" spans="7:16" s="1634" customFormat="1">
      <c r="G19908" s="3336"/>
      <c r="P19908" s="3337"/>
    </row>
    <row r="19909" spans="7:16" s="1634" customFormat="1">
      <c r="G19909" s="3336"/>
      <c r="P19909" s="3337"/>
    </row>
    <row r="19910" spans="7:16" s="1634" customFormat="1">
      <c r="G19910" s="3336"/>
      <c r="P19910" s="3337"/>
    </row>
    <row r="19911" spans="7:16" s="1634" customFormat="1">
      <c r="G19911" s="3336"/>
      <c r="P19911" s="3337"/>
    </row>
    <row r="19912" spans="7:16" s="1634" customFormat="1">
      <c r="G19912" s="3336"/>
      <c r="P19912" s="3337"/>
    </row>
    <row r="19913" spans="7:16" s="1634" customFormat="1">
      <c r="G19913" s="3336"/>
      <c r="P19913" s="3337"/>
    </row>
    <row r="19914" spans="7:16" s="1634" customFormat="1">
      <c r="G19914" s="3336"/>
      <c r="P19914" s="3337"/>
    </row>
    <row r="19915" spans="7:16" s="1634" customFormat="1">
      <c r="G19915" s="3336"/>
      <c r="P19915" s="3337"/>
    </row>
    <row r="19916" spans="7:16" s="1634" customFormat="1">
      <c r="G19916" s="3336"/>
      <c r="P19916" s="3337"/>
    </row>
    <row r="19917" spans="7:16" s="1634" customFormat="1">
      <c r="G19917" s="3336"/>
      <c r="P19917" s="3337"/>
    </row>
    <row r="19918" spans="7:16" s="1634" customFormat="1">
      <c r="G19918" s="3336"/>
      <c r="P19918" s="3337"/>
    </row>
    <row r="19919" spans="7:16" s="1634" customFormat="1">
      <c r="G19919" s="3336"/>
      <c r="P19919" s="3337"/>
    </row>
    <row r="19920" spans="7:16" s="1634" customFormat="1">
      <c r="G19920" s="3336"/>
      <c r="P19920" s="3337"/>
    </row>
    <row r="19921" spans="7:16" s="1634" customFormat="1">
      <c r="G19921" s="3336"/>
      <c r="P19921" s="3337"/>
    </row>
    <row r="19922" spans="7:16" s="1634" customFormat="1">
      <c r="G19922" s="3336"/>
      <c r="P19922" s="3337"/>
    </row>
    <row r="19923" spans="7:16" s="1634" customFormat="1">
      <c r="G19923" s="3336"/>
      <c r="P19923" s="3337"/>
    </row>
    <row r="19924" spans="7:16" s="1634" customFormat="1">
      <c r="G19924" s="3336"/>
      <c r="P19924" s="3337"/>
    </row>
    <row r="19925" spans="7:16" s="1634" customFormat="1">
      <c r="G19925" s="3336"/>
      <c r="P19925" s="3337"/>
    </row>
    <row r="19926" spans="7:16" s="1634" customFormat="1">
      <c r="G19926" s="3336"/>
      <c r="P19926" s="3337"/>
    </row>
    <row r="19927" spans="7:16" s="1634" customFormat="1">
      <c r="G19927" s="3336"/>
      <c r="P19927" s="3337"/>
    </row>
    <row r="19928" spans="7:16" s="1634" customFormat="1">
      <c r="G19928" s="3336"/>
      <c r="P19928" s="3337"/>
    </row>
    <row r="19929" spans="7:16" s="1634" customFormat="1">
      <c r="G19929" s="3336"/>
      <c r="P19929" s="3337"/>
    </row>
    <row r="19930" spans="7:16" s="1634" customFormat="1">
      <c r="G19930" s="3336"/>
      <c r="P19930" s="3337"/>
    </row>
    <row r="19931" spans="7:16" s="1634" customFormat="1">
      <c r="G19931" s="3336"/>
      <c r="P19931" s="3337"/>
    </row>
    <row r="19932" spans="7:16" s="1634" customFormat="1">
      <c r="G19932" s="3336"/>
      <c r="P19932" s="3337"/>
    </row>
    <row r="19933" spans="7:16" s="1634" customFormat="1">
      <c r="G19933" s="3336"/>
      <c r="P19933" s="3337"/>
    </row>
    <row r="19934" spans="7:16" s="1634" customFormat="1">
      <c r="G19934" s="3336"/>
      <c r="P19934" s="3337"/>
    </row>
    <row r="19935" spans="7:16" s="1634" customFormat="1">
      <c r="G19935" s="3336"/>
      <c r="P19935" s="3337"/>
    </row>
    <row r="19936" spans="7:16" s="1634" customFormat="1">
      <c r="G19936" s="3336"/>
      <c r="P19936" s="3337"/>
    </row>
    <row r="19937" spans="7:16" s="1634" customFormat="1">
      <c r="G19937" s="3336"/>
      <c r="P19937" s="3337"/>
    </row>
    <row r="19938" spans="7:16" s="1634" customFormat="1">
      <c r="G19938" s="3336"/>
      <c r="P19938" s="3337"/>
    </row>
    <row r="19939" spans="7:16" s="1634" customFormat="1">
      <c r="G19939" s="3336"/>
      <c r="P19939" s="3337"/>
    </row>
    <row r="19940" spans="7:16" s="1634" customFormat="1">
      <c r="G19940" s="3336"/>
      <c r="P19940" s="3337"/>
    </row>
    <row r="19941" spans="7:16" s="1634" customFormat="1">
      <c r="G19941" s="3336"/>
      <c r="P19941" s="3337"/>
    </row>
    <row r="19942" spans="7:16" s="1634" customFormat="1">
      <c r="G19942" s="3336"/>
      <c r="P19942" s="3337"/>
    </row>
    <row r="19943" spans="7:16" s="1634" customFormat="1">
      <c r="G19943" s="3336"/>
      <c r="P19943" s="3337"/>
    </row>
    <row r="19944" spans="7:16" s="1634" customFormat="1">
      <c r="G19944" s="3336"/>
      <c r="P19944" s="3337"/>
    </row>
    <row r="19945" spans="7:16" s="1634" customFormat="1">
      <c r="G19945" s="3336"/>
      <c r="P19945" s="3337"/>
    </row>
    <row r="19946" spans="7:16" s="1634" customFormat="1">
      <c r="G19946" s="3336"/>
      <c r="P19946" s="3337"/>
    </row>
    <row r="19947" spans="7:16" s="1634" customFormat="1">
      <c r="G19947" s="3336"/>
      <c r="P19947" s="3337"/>
    </row>
    <row r="19948" spans="7:16" s="1634" customFormat="1">
      <c r="G19948" s="3336"/>
      <c r="P19948" s="3337"/>
    </row>
    <row r="19949" spans="7:16" s="1634" customFormat="1">
      <c r="G19949" s="3336"/>
      <c r="P19949" s="3337"/>
    </row>
    <row r="19950" spans="7:16" s="1634" customFormat="1">
      <c r="G19950" s="3336"/>
      <c r="P19950" s="3337"/>
    </row>
    <row r="19951" spans="7:16" s="1634" customFormat="1">
      <c r="G19951" s="3336"/>
      <c r="P19951" s="3337"/>
    </row>
    <row r="19952" spans="7:16" s="1634" customFormat="1">
      <c r="G19952" s="3336"/>
      <c r="P19952" s="3337"/>
    </row>
    <row r="19953" spans="7:16" s="1634" customFormat="1">
      <c r="G19953" s="3336"/>
      <c r="P19953" s="3337"/>
    </row>
    <row r="19954" spans="7:16" s="1634" customFormat="1">
      <c r="G19954" s="3336"/>
      <c r="P19954" s="3337"/>
    </row>
    <row r="19955" spans="7:16" s="1634" customFormat="1">
      <c r="G19955" s="3336"/>
      <c r="P19955" s="3337"/>
    </row>
    <row r="19956" spans="7:16" s="1634" customFormat="1">
      <c r="G19956" s="3336"/>
      <c r="P19956" s="3337"/>
    </row>
    <row r="19957" spans="7:16" s="1634" customFormat="1">
      <c r="G19957" s="3336"/>
      <c r="P19957" s="3337"/>
    </row>
    <row r="19958" spans="7:16" s="1634" customFormat="1">
      <c r="G19958" s="3336"/>
      <c r="P19958" s="3337"/>
    </row>
    <row r="19959" spans="7:16" s="1634" customFormat="1">
      <c r="G19959" s="3336"/>
      <c r="P19959" s="3337"/>
    </row>
    <row r="19960" spans="7:16" s="1634" customFormat="1">
      <c r="G19960" s="3336"/>
      <c r="P19960" s="3337"/>
    </row>
    <row r="19961" spans="7:16" s="1634" customFormat="1">
      <c r="G19961" s="3336"/>
      <c r="P19961" s="3337"/>
    </row>
    <row r="19962" spans="7:16" s="1634" customFormat="1">
      <c r="G19962" s="3336"/>
      <c r="P19962" s="3337"/>
    </row>
    <row r="19963" spans="7:16" s="1634" customFormat="1">
      <c r="G19963" s="3336"/>
      <c r="P19963" s="3337"/>
    </row>
    <row r="19964" spans="7:16" s="1634" customFormat="1">
      <c r="G19964" s="3336"/>
      <c r="P19964" s="3337"/>
    </row>
    <row r="19965" spans="7:16" s="1634" customFormat="1">
      <c r="G19965" s="3336"/>
      <c r="P19965" s="3337"/>
    </row>
    <row r="19966" spans="7:16" s="1634" customFormat="1">
      <c r="G19966" s="3336"/>
      <c r="P19966" s="3337"/>
    </row>
    <row r="19967" spans="7:16" s="1634" customFormat="1">
      <c r="G19967" s="3336"/>
      <c r="P19967" s="3337"/>
    </row>
    <row r="19968" spans="7:16" s="1634" customFormat="1">
      <c r="G19968" s="3336"/>
      <c r="P19968" s="3337"/>
    </row>
    <row r="19969" spans="7:16" s="1634" customFormat="1">
      <c r="G19969" s="3336"/>
      <c r="P19969" s="3337"/>
    </row>
    <row r="19970" spans="7:16" s="1634" customFormat="1">
      <c r="G19970" s="3336"/>
      <c r="P19970" s="3337"/>
    </row>
    <row r="19971" spans="7:16" s="1634" customFormat="1">
      <c r="G19971" s="3336"/>
      <c r="P19971" s="3337"/>
    </row>
    <row r="19972" spans="7:16" s="1634" customFormat="1">
      <c r="G19972" s="3336"/>
      <c r="P19972" s="3337"/>
    </row>
    <row r="19973" spans="7:16" s="1634" customFormat="1">
      <c r="G19973" s="3336"/>
      <c r="P19973" s="3337"/>
    </row>
    <row r="19974" spans="7:16" s="1634" customFormat="1">
      <c r="G19974" s="3336"/>
      <c r="P19974" s="3337"/>
    </row>
    <row r="19975" spans="7:16" s="1634" customFormat="1">
      <c r="G19975" s="3336"/>
      <c r="P19975" s="3337"/>
    </row>
    <row r="19976" spans="7:16" s="1634" customFormat="1">
      <c r="G19976" s="3336"/>
      <c r="P19976" s="3337"/>
    </row>
    <row r="19977" spans="7:16" s="1634" customFormat="1">
      <c r="G19977" s="3336"/>
      <c r="P19977" s="3337"/>
    </row>
    <row r="19978" spans="7:16" s="1634" customFormat="1">
      <c r="G19978" s="3336"/>
      <c r="P19978" s="3337"/>
    </row>
    <row r="19979" spans="7:16" s="1634" customFormat="1">
      <c r="G19979" s="3336"/>
      <c r="P19979" s="3337"/>
    </row>
    <row r="19980" spans="7:16" s="1634" customFormat="1">
      <c r="G19980" s="3336"/>
      <c r="P19980" s="3337"/>
    </row>
    <row r="19981" spans="7:16" s="1634" customFormat="1">
      <c r="G19981" s="3336"/>
      <c r="P19981" s="3337"/>
    </row>
    <row r="19982" spans="7:16" s="1634" customFormat="1">
      <c r="G19982" s="3336"/>
      <c r="P19982" s="3337"/>
    </row>
    <row r="19983" spans="7:16" s="1634" customFormat="1">
      <c r="G19983" s="3336"/>
      <c r="P19983" s="3337"/>
    </row>
    <row r="19984" spans="7:16" s="1634" customFormat="1">
      <c r="G19984" s="3336"/>
      <c r="P19984" s="3337"/>
    </row>
    <row r="19985" spans="7:16" s="1634" customFormat="1">
      <c r="G19985" s="3336"/>
      <c r="P19985" s="3337"/>
    </row>
    <row r="19986" spans="7:16" s="1634" customFormat="1">
      <c r="G19986" s="3336"/>
      <c r="P19986" s="3337"/>
    </row>
    <row r="19987" spans="7:16" s="1634" customFormat="1">
      <c r="G19987" s="3336"/>
      <c r="P19987" s="3337"/>
    </row>
    <row r="19988" spans="7:16" s="1634" customFormat="1">
      <c r="G19988" s="3336"/>
      <c r="P19988" s="3337"/>
    </row>
    <row r="19989" spans="7:16" s="1634" customFormat="1">
      <c r="G19989" s="3336"/>
      <c r="P19989" s="3337"/>
    </row>
    <row r="19990" spans="7:16" s="1634" customFormat="1">
      <c r="G19990" s="3336"/>
      <c r="P19990" s="3337"/>
    </row>
    <row r="19991" spans="7:16" s="1634" customFormat="1">
      <c r="G19991" s="3336"/>
      <c r="P19991" s="3337"/>
    </row>
    <row r="19992" spans="7:16" s="1634" customFormat="1">
      <c r="G19992" s="3336"/>
      <c r="P19992" s="3337"/>
    </row>
    <row r="19993" spans="7:16" s="1634" customFormat="1">
      <c r="G19993" s="3336"/>
      <c r="P19993" s="3337"/>
    </row>
    <row r="19994" spans="7:16" s="1634" customFormat="1">
      <c r="G19994" s="3336"/>
      <c r="P19994" s="3337"/>
    </row>
    <row r="19995" spans="7:16" s="1634" customFormat="1">
      <c r="G19995" s="3336"/>
      <c r="P19995" s="3337"/>
    </row>
    <row r="19996" spans="7:16" s="1634" customFormat="1">
      <c r="G19996" s="3336"/>
      <c r="P19996" s="3337"/>
    </row>
    <row r="19997" spans="7:16" s="1634" customFormat="1">
      <c r="G19997" s="3336"/>
      <c r="P19997" s="3337"/>
    </row>
    <row r="19998" spans="7:16" s="1634" customFormat="1">
      <c r="G19998" s="3336"/>
      <c r="P19998" s="3337"/>
    </row>
    <row r="19999" spans="7:16" s="1634" customFormat="1">
      <c r="G19999" s="3336"/>
      <c r="P19999" s="3337"/>
    </row>
    <row r="20000" spans="7:16" s="1634" customFormat="1">
      <c r="G20000" s="3336"/>
      <c r="P20000" s="3337"/>
    </row>
    <row r="20001" spans="7:16" s="1634" customFormat="1">
      <c r="G20001" s="3336"/>
      <c r="P20001" s="3337"/>
    </row>
    <row r="20002" spans="7:16" s="1634" customFormat="1">
      <c r="G20002" s="3336"/>
      <c r="P20002" s="3337"/>
    </row>
    <row r="20003" spans="7:16" s="1634" customFormat="1">
      <c r="G20003" s="3336"/>
      <c r="P20003" s="3337"/>
    </row>
    <row r="20004" spans="7:16" s="1634" customFormat="1">
      <c r="G20004" s="3336"/>
      <c r="P20004" s="3337"/>
    </row>
    <row r="20005" spans="7:16" s="1634" customFormat="1">
      <c r="G20005" s="3336"/>
      <c r="P20005" s="3337"/>
    </row>
    <row r="20006" spans="7:16" s="1634" customFormat="1">
      <c r="G20006" s="3336"/>
      <c r="P20006" s="3337"/>
    </row>
    <row r="20007" spans="7:16" s="1634" customFormat="1">
      <c r="G20007" s="3336"/>
      <c r="P20007" s="3337"/>
    </row>
    <row r="20008" spans="7:16" s="1634" customFormat="1">
      <c r="G20008" s="3336"/>
      <c r="P20008" s="3337"/>
    </row>
    <row r="20009" spans="7:16" s="1634" customFormat="1">
      <c r="G20009" s="3336"/>
      <c r="P20009" s="3337"/>
    </row>
    <row r="20010" spans="7:16" s="1634" customFormat="1">
      <c r="G20010" s="3336"/>
      <c r="P20010" s="3337"/>
    </row>
    <row r="20011" spans="7:16" s="1634" customFormat="1">
      <c r="G20011" s="3336"/>
      <c r="P20011" s="3337"/>
    </row>
    <row r="20012" spans="7:16" s="1634" customFormat="1">
      <c r="G20012" s="3336"/>
      <c r="P20012" s="3337"/>
    </row>
    <row r="20013" spans="7:16" s="1634" customFormat="1">
      <c r="G20013" s="3336"/>
      <c r="P20013" s="3337"/>
    </row>
    <row r="20014" spans="7:16" s="1634" customFormat="1">
      <c r="G20014" s="3336"/>
      <c r="P20014" s="3337"/>
    </row>
    <row r="20015" spans="7:16" s="1634" customFormat="1">
      <c r="G20015" s="3336"/>
      <c r="P20015" s="3337"/>
    </row>
    <row r="20016" spans="7:16" s="1634" customFormat="1">
      <c r="G20016" s="3336"/>
      <c r="P20016" s="3337"/>
    </row>
    <row r="20017" spans="7:16" s="1634" customFormat="1">
      <c r="G20017" s="3336"/>
      <c r="P20017" s="3337"/>
    </row>
    <row r="20018" spans="7:16" s="1634" customFormat="1">
      <c r="G20018" s="3336"/>
      <c r="P20018" s="3337"/>
    </row>
    <row r="20019" spans="7:16" s="1634" customFormat="1">
      <c r="G20019" s="3336"/>
      <c r="P20019" s="3337"/>
    </row>
    <row r="20020" spans="7:16" s="1634" customFormat="1">
      <c r="G20020" s="3336"/>
      <c r="P20020" s="3337"/>
    </row>
    <row r="20021" spans="7:16" s="1634" customFormat="1">
      <c r="G20021" s="3336"/>
      <c r="P20021" s="3337"/>
    </row>
    <row r="20022" spans="7:16" s="1634" customFormat="1">
      <c r="G20022" s="3336"/>
      <c r="P20022" s="3337"/>
    </row>
    <row r="20023" spans="7:16" s="1634" customFormat="1">
      <c r="G20023" s="3336"/>
      <c r="P20023" s="3337"/>
    </row>
    <row r="20024" spans="7:16" s="1634" customFormat="1">
      <c r="G20024" s="3336"/>
      <c r="P20024" s="3337"/>
    </row>
    <row r="20025" spans="7:16" s="1634" customFormat="1">
      <c r="G20025" s="3336"/>
      <c r="P20025" s="3337"/>
    </row>
    <row r="20026" spans="7:16" s="1634" customFormat="1">
      <c r="G20026" s="3336"/>
      <c r="P20026" s="3337"/>
    </row>
    <row r="20027" spans="7:16" s="1634" customFormat="1">
      <c r="G20027" s="3336"/>
      <c r="P20027" s="3337"/>
    </row>
    <row r="20028" spans="7:16" s="1634" customFormat="1">
      <c r="G20028" s="3336"/>
      <c r="P20028" s="3337"/>
    </row>
    <row r="20029" spans="7:16" s="1634" customFormat="1">
      <c r="G20029" s="3336"/>
      <c r="P20029" s="3337"/>
    </row>
    <row r="20030" spans="7:16" s="1634" customFormat="1">
      <c r="G20030" s="3336"/>
      <c r="P20030" s="3337"/>
    </row>
    <row r="20031" spans="7:16" s="1634" customFormat="1">
      <c r="G20031" s="3336"/>
      <c r="P20031" s="3337"/>
    </row>
    <row r="20032" spans="7:16" s="1634" customFormat="1">
      <c r="G20032" s="3336"/>
      <c r="P20032" s="3337"/>
    </row>
    <row r="20033" spans="7:16" s="1634" customFormat="1">
      <c r="G20033" s="3336"/>
      <c r="P20033" s="3337"/>
    </row>
    <row r="20034" spans="7:16" s="1634" customFormat="1">
      <c r="G20034" s="3336"/>
      <c r="P20034" s="3337"/>
    </row>
    <row r="20035" spans="7:16" s="1634" customFormat="1">
      <c r="G20035" s="3336"/>
      <c r="P20035" s="3337"/>
    </row>
    <row r="20036" spans="7:16" s="1634" customFormat="1">
      <c r="G20036" s="3336"/>
      <c r="P20036" s="3337"/>
    </row>
    <row r="20037" spans="7:16" s="1634" customFormat="1">
      <c r="G20037" s="3336"/>
      <c r="P20037" s="3337"/>
    </row>
    <row r="20038" spans="7:16" s="1634" customFormat="1">
      <c r="G20038" s="3336"/>
      <c r="P20038" s="3337"/>
    </row>
    <row r="20039" spans="7:16" s="1634" customFormat="1">
      <c r="G20039" s="3336"/>
      <c r="P20039" s="3337"/>
    </row>
    <row r="20040" spans="7:16" s="1634" customFormat="1">
      <c r="G20040" s="3336"/>
      <c r="P20040" s="3337"/>
    </row>
    <row r="20041" spans="7:16" s="1634" customFormat="1">
      <c r="G20041" s="3336"/>
      <c r="P20041" s="3337"/>
    </row>
    <row r="20042" spans="7:16" s="1634" customFormat="1">
      <c r="G20042" s="3336"/>
      <c r="P20042" s="3337"/>
    </row>
    <row r="20043" spans="7:16" s="1634" customFormat="1">
      <c r="G20043" s="3336"/>
      <c r="P20043" s="3337"/>
    </row>
    <row r="20044" spans="7:16" s="1634" customFormat="1">
      <c r="G20044" s="3336"/>
      <c r="P20044" s="3337"/>
    </row>
    <row r="20045" spans="7:16" s="1634" customFormat="1">
      <c r="G20045" s="3336"/>
      <c r="P20045" s="3337"/>
    </row>
    <row r="20046" spans="7:16" s="1634" customFormat="1">
      <c r="G20046" s="3336"/>
      <c r="P20046" s="3337"/>
    </row>
    <row r="20047" spans="7:16" s="1634" customFormat="1">
      <c r="G20047" s="3336"/>
      <c r="P20047" s="3337"/>
    </row>
    <row r="20048" spans="7:16" s="1634" customFormat="1">
      <c r="G20048" s="3336"/>
      <c r="P20048" s="3337"/>
    </row>
    <row r="20049" spans="7:16" s="1634" customFormat="1">
      <c r="G20049" s="3336"/>
      <c r="P20049" s="3337"/>
    </row>
    <row r="20050" spans="7:16" s="1634" customFormat="1">
      <c r="G20050" s="3336"/>
      <c r="P20050" s="3337"/>
    </row>
    <row r="20051" spans="7:16" s="1634" customFormat="1">
      <c r="G20051" s="3336"/>
      <c r="P20051" s="3337"/>
    </row>
    <row r="20052" spans="7:16" s="1634" customFormat="1">
      <c r="G20052" s="3336"/>
      <c r="P20052" s="3337"/>
    </row>
    <row r="20053" spans="7:16" s="1634" customFormat="1">
      <c r="G20053" s="3336"/>
      <c r="P20053" s="3337"/>
    </row>
    <row r="20054" spans="7:16" s="1634" customFormat="1">
      <c r="G20054" s="3336"/>
      <c r="P20054" s="3337"/>
    </row>
    <row r="20055" spans="7:16" s="1634" customFormat="1">
      <c r="G20055" s="3336"/>
      <c r="P20055" s="3337"/>
    </row>
    <row r="20056" spans="7:16" s="1634" customFormat="1">
      <c r="G20056" s="3336"/>
      <c r="P20056" s="3337"/>
    </row>
    <row r="20057" spans="7:16" s="1634" customFormat="1">
      <c r="G20057" s="3336"/>
      <c r="P20057" s="3337"/>
    </row>
    <row r="20058" spans="7:16" s="1634" customFormat="1">
      <c r="G20058" s="3336"/>
      <c r="P20058" s="3337"/>
    </row>
    <row r="20059" spans="7:16" s="1634" customFormat="1">
      <c r="G20059" s="3336"/>
      <c r="P20059" s="3337"/>
    </row>
    <row r="20060" spans="7:16" s="1634" customFormat="1">
      <c r="G20060" s="3336"/>
      <c r="P20060" s="3337"/>
    </row>
    <row r="20061" spans="7:16" s="1634" customFormat="1">
      <c r="G20061" s="3336"/>
      <c r="P20061" s="3337"/>
    </row>
    <row r="20062" spans="7:16" s="1634" customFormat="1">
      <c r="G20062" s="3336"/>
      <c r="P20062" s="3337"/>
    </row>
    <row r="20063" spans="7:16" s="1634" customFormat="1">
      <c r="G20063" s="3336"/>
      <c r="P20063" s="3337"/>
    </row>
    <row r="20064" spans="7:16" s="1634" customFormat="1">
      <c r="G20064" s="3336"/>
      <c r="P20064" s="3337"/>
    </row>
    <row r="20065" spans="7:16" s="1634" customFormat="1">
      <c r="G20065" s="3336"/>
      <c r="P20065" s="3337"/>
    </row>
    <row r="20066" spans="7:16" s="1634" customFormat="1">
      <c r="G20066" s="3336"/>
      <c r="P20066" s="3337"/>
    </row>
    <row r="20067" spans="7:16" s="1634" customFormat="1">
      <c r="G20067" s="3336"/>
      <c r="P20067" s="3337"/>
    </row>
    <row r="20068" spans="7:16" s="1634" customFormat="1">
      <c r="G20068" s="3336"/>
      <c r="P20068" s="3337"/>
    </row>
    <row r="20069" spans="7:16" s="1634" customFormat="1">
      <c r="G20069" s="3336"/>
      <c r="P20069" s="3337"/>
    </row>
    <row r="20070" spans="7:16" s="1634" customFormat="1">
      <c r="G20070" s="3336"/>
      <c r="P20070" s="3337"/>
    </row>
    <row r="20071" spans="7:16" s="1634" customFormat="1">
      <c r="G20071" s="3336"/>
      <c r="P20071" s="3337"/>
    </row>
    <row r="20072" spans="7:16" s="1634" customFormat="1">
      <c r="G20072" s="3336"/>
      <c r="P20072" s="3337"/>
    </row>
    <row r="20073" spans="7:16" s="1634" customFormat="1">
      <c r="G20073" s="3336"/>
      <c r="P20073" s="3337"/>
    </row>
    <row r="20074" spans="7:16" s="1634" customFormat="1">
      <c r="G20074" s="3336"/>
      <c r="P20074" s="3337"/>
    </row>
    <row r="20075" spans="7:16" s="1634" customFormat="1">
      <c r="G20075" s="3336"/>
      <c r="P20075" s="3337"/>
    </row>
    <row r="20076" spans="7:16" s="1634" customFormat="1">
      <c r="G20076" s="3336"/>
      <c r="P20076" s="3337"/>
    </row>
    <row r="20077" spans="7:16" s="1634" customFormat="1">
      <c r="G20077" s="3336"/>
      <c r="P20077" s="3337"/>
    </row>
    <row r="20078" spans="7:16" s="1634" customFormat="1">
      <c r="G20078" s="3336"/>
      <c r="P20078" s="3337"/>
    </row>
    <row r="20079" spans="7:16" s="1634" customFormat="1">
      <c r="G20079" s="3336"/>
      <c r="P20079" s="3337"/>
    </row>
    <row r="20080" spans="7:16" s="1634" customFormat="1">
      <c r="G20080" s="3336"/>
      <c r="P20080" s="3337"/>
    </row>
    <row r="20081" spans="7:16" s="1634" customFormat="1">
      <c r="G20081" s="3336"/>
      <c r="P20081" s="3337"/>
    </row>
    <row r="20082" spans="7:16" s="1634" customFormat="1">
      <c r="G20082" s="3336"/>
      <c r="P20082" s="3337"/>
    </row>
    <row r="20083" spans="7:16" s="1634" customFormat="1">
      <c r="G20083" s="3336"/>
      <c r="P20083" s="3337"/>
    </row>
    <row r="20084" spans="7:16" s="1634" customFormat="1">
      <c r="G20084" s="3336"/>
      <c r="P20084" s="3337"/>
    </row>
    <row r="20085" spans="7:16" s="1634" customFormat="1">
      <c r="G20085" s="3336"/>
      <c r="P20085" s="3337"/>
    </row>
    <row r="20086" spans="7:16" s="1634" customFormat="1">
      <c r="G20086" s="3336"/>
      <c r="P20086" s="3337"/>
    </row>
    <row r="20087" spans="7:16" s="1634" customFormat="1">
      <c r="G20087" s="3336"/>
      <c r="P20087" s="3337"/>
    </row>
    <row r="20088" spans="7:16" s="1634" customFormat="1">
      <c r="G20088" s="3336"/>
      <c r="P20088" s="3337"/>
    </row>
    <row r="20089" spans="7:16" s="1634" customFormat="1">
      <c r="G20089" s="3336"/>
      <c r="P20089" s="3337"/>
    </row>
    <row r="20090" spans="7:16" s="1634" customFormat="1">
      <c r="G20090" s="3336"/>
      <c r="P20090" s="3337"/>
    </row>
    <row r="20091" spans="7:16" s="1634" customFormat="1">
      <c r="G20091" s="3336"/>
      <c r="P20091" s="3337"/>
    </row>
    <row r="20092" spans="7:16" s="1634" customFormat="1">
      <c r="G20092" s="3336"/>
      <c r="P20092" s="3337"/>
    </row>
    <row r="20093" spans="7:16" s="1634" customFormat="1">
      <c r="G20093" s="3336"/>
      <c r="P20093" s="3337"/>
    </row>
    <row r="20094" spans="7:16" s="1634" customFormat="1">
      <c r="G20094" s="3336"/>
      <c r="P20094" s="3337"/>
    </row>
    <row r="20095" spans="7:16" s="1634" customFormat="1">
      <c r="G20095" s="3336"/>
      <c r="P20095" s="3337"/>
    </row>
    <row r="20096" spans="7:16" s="1634" customFormat="1">
      <c r="G20096" s="3336"/>
      <c r="P20096" s="3337"/>
    </row>
    <row r="20097" spans="7:16" s="1634" customFormat="1">
      <c r="G20097" s="3336"/>
      <c r="P20097" s="3337"/>
    </row>
    <row r="20098" spans="7:16" s="1634" customFormat="1">
      <c r="G20098" s="3336"/>
      <c r="P20098" s="3337"/>
    </row>
    <row r="20099" spans="7:16" s="1634" customFormat="1">
      <c r="G20099" s="3336"/>
      <c r="P20099" s="3337"/>
    </row>
    <row r="20100" spans="7:16" s="1634" customFormat="1">
      <c r="G20100" s="3336"/>
      <c r="P20100" s="3337"/>
    </row>
    <row r="20101" spans="7:16" s="1634" customFormat="1">
      <c r="G20101" s="3336"/>
      <c r="P20101" s="3337"/>
    </row>
    <row r="20102" spans="7:16" s="1634" customFormat="1">
      <c r="G20102" s="3336"/>
      <c r="P20102" s="3337"/>
    </row>
    <row r="20103" spans="7:16" s="1634" customFormat="1">
      <c r="G20103" s="3336"/>
      <c r="P20103" s="3337"/>
    </row>
    <row r="20104" spans="7:16" s="1634" customFormat="1">
      <c r="G20104" s="3336"/>
      <c r="P20104" s="3337"/>
    </row>
    <row r="20105" spans="7:16" s="1634" customFormat="1">
      <c r="G20105" s="3336"/>
      <c r="P20105" s="3337"/>
    </row>
    <row r="20106" spans="7:16" s="1634" customFormat="1">
      <c r="G20106" s="3336"/>
      <c r="P20106" s="3337"/>
    </row>
    <row r="20107" spans="7:16" s="1634" customFormat="1">
      <c r="G20107" s="3336"/>
      <c r="P20107" s="3337"/>
    </row>
    <row r="20108" spans="7:16" s="1634" customFormat="1">
      <c r="G20108" s="3336"/>
      <c r="P20108" s="3337"/>
    </row>
    <row r="20109" spans="7:16" s="1634" customFormat="1">
      <c r="G20109" s="3336"/>
      <c r="P20109" s="3337"/>
    </row>
    <row r="20110" spans="7:16" s="1634" customFormat="1">
      <c r="G20110" s="3336"/>
      <c r="P20110" s="3337"/>
    </row>
    <row r="20111" spans="7:16" s="1634" customFormat="1">
      <c r="G20111" s="3336"/>
      <c r="P20111" s="3337"/>
    </row>
    <row r="20112" spans="7:16" s="1634" customFormat="1">
      <c r="G20112" s="3336"/>
      <c r="P20112" s="3337"/>
    </row>
    <row r="20113" spans="7:16" s="1634" customFormat="1">
      <c r="G20113" s="3336"/>
      <c r="P20113" s="3337"/>
    </row>
    <row r="20114" spans="7:16" s="1634" customFormat="1">
      <c r="G20114" s="3336"/>
      <c r="P20114" s="3337"/>
    </row>
    <row r="20115" spans="7:16" s="1634" customFormat="1">
      <c r="G20115" s="3336"/>
      <c r="P20115" s="3337"/>
    </row>
    <row r="20116" spans="7:16" s="1634" customFormat="1">
      <c r="G20116" s="3336"/>
      <c r="P20116" s="3337"/>
    </row>
    <row r="20117" spans="7:16" s="1634" customFormat="1">
      <c r="G20117" s="3336"/>
      <c r="P20117" s="3337"/>
    </row>
    <row r="20118" spans="7:16" s="1634" customFormat="1">
      <c r="G20118" s="3336"/>
      <c r="P20118" s="3337"/>
    </row>
    <row r="20119" spans="7:16" s="1634" customFormat="1">
      <c r="G20119" s="3336"/>
      <c r="P20119" s="3337"/>
    </row>
    <row r="20120" spans="7:16" s="1634" customFormat="1">
      <c r="G20120" s="3336"/>
      <c r="P20120" s="3337"/>
    </row>
    <row r="20121" spans="7:16" s="1634" customFormat="1">
      <c r="G20121" s="3336"/>
      <c r="P20121" s="3337"/>
    </row>
    <row r="20122" spans="7:16" s="1634" customFormat="1">
      <c r="G20122" s="3336"/>
      <c r="P20122" s="3337"/>
    </row>
    <row r="20123" spans="7:16" s="1634" customFormat="1">
      <c r="G20123" s="3336"/>
      <c r="P20123" s="3337"/>
    </row>
    <row r="20124" spans="7:16" s="1634" customFormat="1">
      <c r="G20124" s="3336"/>
      <c r="P20124" s="3337"/>
    </row>
    <row r="20125" spans="7:16" s="1634" customFormat="1">
      <c r="G20125" s="3336"/>
      <c r="P20125" s="3337"/>
    </row>
    <row r="20126" spans="7:16" s="1634" customFormat="1">
      <c r="G20126" s="3336"/>
      <c r="P20126" s="3337"/>
    </row>
    <row r="20127" spans="7:16" s="1634" customFormat="1">
      <c r="G20127" s="3336"/>
      <c r="P20127" s="3337"/>
    </row>
    <row r="20128" spans="7:16" s="1634" customFormat="1">
      <c r="G20128" s="3336"/>
      <c r="P20128" s="3337"/>
    </row>
    <row r="20129" spans="7:16" s="1634" customFormat="1">
      <c r="G20129" s="3336"/>
      <c r="P20129" s="3337"/>
    </row>
    <row r="20130" spans="7:16" s="1634" customFormat="1">
      <c r="G20130" s="3336"/>
      <c r="P20130" s="3337"/>
    </row>
    <row r="20131" spans="7:16" s="1634" customFormat="1">
      <c r="G20131" s="3336"/>
      <c r="P20131" s="3337"/>
    </row>
    <row r="20132" spans="7:16" s="1634" customFormat="1">
      <c r="G20132" s="3336"/>
      <c r="P20132" s="3337"/>
    </row>
    <row r="20133" spans="7:16" s="1634" customFormat="1">
      <c r="G20133" s="3336"/>
      <c r="P20133" s="3337"/>
    </row>
    <row r="20134" spans="7:16" s="1634" customFormat="1">
      <c r="G20134" s="3336"/>
      <c r="P20134" s="3337"/>
    </row>
    <row r="20135" spans="7:16" s="1634" customFormat="1">
      <c r="G20135" s="3336"/>
      <c r="P20135" s="3337"/>
    </row>
    <row r="20136" spans="7:16" s="1634" customFormat="1">
      <c r="G20136" s="3336"/>
      <c r="P20136" s="3337"/>
    </row>
    <row r="20137" spans="7:16" s="1634" customFormat="1">
      <c r="G20137" s="3336"/>
      <c r="P20137" s="3337"/>
    </row>
    <row r="20138" spans="7:16" s="1634" customFormat="1">
      <c r="G20138" s="3336"/>
      <c r="P20138" s="3337"/>
    </row>
    <row r="20139" spans="7:16" s="1634" customFormat="1">
      <c r="G20139" s="3336"/>
      <c r="P20139" s="3337"/>
    </row>
    <row r="20140" spans="7:16" s="1634" customFormat="1">
      <c r="G20140" s="3336"/>
      <c r="P20140" s="3337"/>
    </row>
    <row r="20141" spans="7:16" s="1634" customFormat="1">
      <c r="G20141" s="3336"/>
      <c r="P20141" s="3337"/>
    </row>
    <row r="20142" spans="7:16" s="1634" customFormat="1">
      <c r="G20142" s="3336"/>
      <c r="P20142" s="3337"/>
    </row>
    <row r="20143" spans="7:16" s="1634" customFormat="1">
      <c r="G20143" s="3336"/>
      <c r="P20143" s="3337"/>
    </row>
    <row r="20144" spans="7:16" s="1634" customFormat="1">
      <c r="G20144" s="3336"/>
      <c r="P20144" s="3337"/>
    </row>
    <row r="20145" spans="7:16" s="1634" customFormat="1">
      <c r="G20145" s="3336"/>
      <c r="P20145" s="3337"/>
    </row>
    <row r="20146" spans="7:16" s="1634" customFormat="1">
      <c r="G20146" s="3336"/>
      <c r="P20146" s="3337"/>
    </row>
    <row r="20147" spans="7:16" s="1634" customFormat="1">
      <c r="G20147" s="3336"/>
      <c r="P20147" s="3337"/>
    </row>
    <row r="20148" spans="7:16" s="1634" customFormat="1">
      <c r="G20148" s="3336"/>
      <c r="P20148" s="3337"/>
    </row>
    <row r="20149" spans="7:16" s="1634" customFormat="1">
      <c r="G20149" s="3336"/>
      <c r="P20149" s="3337"/>
    </row>
    <row r="20150" spans="7:16" s="1634" customFormat="1">
      <c r="G20150" s="3336"/>
      <c r="P20150" s="3337"/>
    </row>
    <row r="20151" spans="7:16" s="1634" customFormat="1">
      <c r="G20151" s="3336"/>
      <c r="P20151" s="3337"/>
    </row>
    <row r="20152" spans="7:16" s="1634" customFormat="1">
      <c r="G20152" s="3336"/>
      <c r="P20152" s="3337"/>
    </row>
    <row r="20153" spans="7:16" s="1634" customFormat="1">
      <c r="G20153" s="3336"/>
      <c r="P20153" s="3337"/>
    </row>
    <row r="20154" spans="7:16" s="1634" customFormat="1">
      <c r="G20154" s="3336"/>
      <c r="P20154" s="3337"/>
    </row>
    <row r="20155" spans="7:16" s="1634" customFormat="1">
      <c r="G20155" s="3336"/>
      <c r="P20155" s="3337"/>
    </row>
    <row r="20156" spans="7:16" s="1634" customFormat="1">
      <c r="G20156" s="3336"/>
      <c r="P20156" s="3337"/>
    </row>
    <row r="20157" spans="7:16" s="1634" customFormat="1">
      <c r="G20157" s="3336"/>
      <c r="P20157" s="3337"/>
    </row>
    <row r="20158" spans="7:16" s="1634" customFormat="1">
      <c r="G20158" s="3336"/>
      <c r="P20158" s="3337"/>
    </row>
    <row r="20159" spans="7:16" s="1634" customFormat="1">
      <c r="G20159" s="3336"/>
      <c r="P20159" s="3337"/>
    </row>
    <row r="20160" spans="7:16" s="1634" customFormat="1">
      <c r="G20160" s="3336"/>
      <c r="P20160" s="3337"/>
    </row>
    <row r="20161" spans="7:16" s="1634" customFormat="1">
      <c r="G20161" s="3336"/>
      <c r="P20161" s="3337"/>
    </row>
    <row r="20162" spans="7:16" s="1634" customFormat="1">
      <c r="G20162" s="3336"/>
      <c r="P20162" s="3337"/>
    </row>
    <row r="20163" spans="7:16" s="1634" customFormat="1">
      <c r="G20163" s="3336"/>
      <c r="P20163" s="3337"/>
    </row>
    <row r="20164" spans="7:16" s="1634" customFormat="1">
      <c r="G20164" s="3336"/>
      <c r="P20164" s="3337"/>
    </row>
    <row r="20165" spans="7:16" s="1634" customFormat="1">
      <c r="G20165" s="3336"/>
      <c r="P20165" s="3337"/>
    </row>
    <row r="20166" spans="7:16" s="1634" customFormat="1">
      <c r="G20166" s="3336"/>
      <c r="P20166" s="3337"/>
    </row>
    <row r="20167" spans="7:16" s="1634" customFormat="1">
      <c r="G20167" s="3336"/>
      <c r="P20167" s="3337"/>
    </row>
    <row r="20168" spans="7:16" s="1634" customFormat="1">
      <c r="G20168" s="3336"/>
      <c r="P20168" s="3337"/>
    </row>
    <row r="20169" spans="7:16" s="1634" customFormat="1">
      <c r="G20169" s="3336"/>
      <c r="P20169" s="3337"/>
    </row>
    <row r="20170" spans="7:16" s="1634" customFormat="1">
      <c r="G20170" s="3336"/>
      <c r="P20170" s="3337"/>
    </row>
    <row r="20171" spans="7:16" s="1634" customFormat="1">
      <c r="G20171" s="3336"/>
      <c r="P20171" s="3337"/>
    </row>
    <row r="20172" spans="7:16" s="1634" customFormat="1">
      <c r="G20172" s="3336"/>
      <c r="P20172" s="3337"/>
    </row>
    <row r="20173" spans="7:16" s="1634" customFormat="1">
      <c r="G20173" s="3336"/>
      <c r="P20173" s="3337"/>
    </row>
    <row r="20174" spans="7:16" s="1634" customFormat="1">
      <c r="G20174" s="3336"/>
      <c r="P20174" s="3337"/>
    </row>
    <row r="20175" spans="7:16" s="1634" customFormat="1">
      <c r="G20175" s="3336"/>
      <c r="P20175" s="3337"/>
    </row>
    <row r="20176" spans="7:16" s="1634" customFormat="1">
      <c r="G20176" s="3336"/>
      <c r="P20176" s="3337"/>
    </row>
    <row r="20177" spans="7:16" s="1634" customFormat="1">
      <c r="G20177" s="3336"/>
      <c r="P20177" s="3337"/>
    </row>
    <row r="20178" spans="7:16" s="1634" customFormat="1">
      <c r="G20178" s="3336"/>
      <c r="P20178" s="3337"/>
    </row>
    <row r="20179" spans="7:16" s="1634" customFormat="1">
      <c r="G20179" s="3336"/>
      <c r="P20179" s="3337"/>
    </row>
    <row r="20180" spans="7:16" s="1634" customFormat="1">
      <c r="G20180" s="3336"/>
      <c r="P20180" s="3337"/>
    </row>
    <row r="20181" spans="7:16" s="1634" customFormat="1">
      <c r="G20181" s="3336"/>
      <c r="P20181" s="3337"/>
    </row>
    <row r="20182" spans="7:16" s="1634" customFormat="1">
      <c r="G20182" s="3336"/>
      <c r="P20182" s="3337"/>
    </row>
    <row r="20183" spans="7:16" s="1634" customFormat="1">
      <c r="G20183" s="3336"/>
      <c r="P20183" s="3337"/>
    </row>
    <row r="20184" spans="7:16" s="1634" customFormat="1">
      <c r="G20184" s="3336"/>
      <c r="P20184" s="3337"/>
    </row>
    <row r="20185" spans="7:16" s="1634" customFormat="1">
      <c r="G20185" s="3336"/>
      <c r="P20185" s="3337"/>
    </row>
    <row r="20186" spans="7:16" s="1634" customFormat="1">
      <c r="G20186" s="3336"/>
      <c r="P20186" s="3337"/>
    </row>
    <row r="20187" spans="7:16" s="1634" customFormat="1">
      <c r="G20187" s="3336"/>
      <c r="P20187" s="3337"/>
    </row>
    <row r="20188" spans="7:16" s="1634" customFormat="1">
      <c r="G20188" s="3336"/>
      <c r="P20188" s="3337"/>
    </row>
    <row r="20189" spans="7:16" s="1634" customFormat="1">
      <c r="G20189" s="3336"/>
      <c r="P20189" s="3337"/>
    </row>
    <row r="20190" spans="7:16" s="1634" customFormat="1">
      <c r="G20190" s="3336"/>
      <c r="P20190" s="3337"/>
    </row>
    <row r="20191" spans="7:16" s="1634" customFormat="1">
      <c r="G20191" s="3336"/>
      <c r="P20191" s="3337"/>
    </row>
    <row r="20192" spans="7:16" s="1634" customFormat="1">
      <c r="G20192" s="3336"/>
      <c r="P20192" s="3337"/>
    </row>
    <row r="20193" spans="7:16" s="1634" customFormat="1">
      <c r="G20193" s="3336"/>
      <c r="P20193" s="3337"/>
    </row>
    <row r="20194" spans="7:16" s="1634" customFormat="1">
      <c r="G20194" s="3336"/>
      <c r="P20194" s="3337"/>
    </row>
    <row r="20195" spans="7:16" s="1634" customFormat="1">
      <c r="G20195" s="3336"/>
      <c r="P20195" s="3337"/>
    </row>
    <row r="20196" spans="7:16" s="1634" customFormat="1">
      <c r="G20196" s="3336"/>
      <c r="P20196" s="3337"/>
    </row>
    <row r="20197" spans="7:16" s="1634" customFormat="1">
      <c r="G20197" s="3336"/>
      <c r="P20197" s="3337"/>
    </row>
    <row r="20198" spans="7:16" s="1634" customFormat="1">
      <c r="G20198" s="3336"/>
      <c r="P20198" s="3337"/>
    </row>
    <row r="20199" spans="7:16" s="1634" customFormat="1">
      <c r="G20199" s="3336"/>
      <c r="P20199" s="3337"/>
    </row>
    <row r="20200" spans="7:16" s="1634" customFormat="1">
      <c r="G20200" s="3336"/>
      <c r="P20200" s="3337"/>
    </row>
    <row r="20201" spans="7:16" s="1634" customFormat="1">
      <c r="G20201" s="3336"/>
      <c r="P20201" s="3337"/>
    </row>
    <row r="20202" spans="7:16" s="1634" customFormat="1">
      <c r="G20202" s="3336"/>
      <c r="P20202" s="3337"/>
    </row>
    <row r="20203" spans="7:16" s="1634" customFormat="1">
      <c r="G20203" s="3336"/>
      <c r="P20203" s="3337"/>
    </row>
    <row r="20204" spans="7:16" s="1634" customFormat="1">
      <c r="G20204" s="3336"/>
      <c r="P20204" s="3337"/>
    </row>
    <row r="20205" spans="7:16" s="1634" customFormat="1">
      <c r="G20205" s="3336"/>
      <c r="P20205" s="3337"/>
    </row>
    <row r="20206" spans="7:16" s="1634" customFormat="1">
      <c r="G20206" s="3336"/>
      <c r="P20206" s="3337"/>
    </row>
    <row r="20207" spans="7:16" s="1634" customFormat="1">
      <c r="G20207" s="3336"/>
      <c r="P20207" s="3337"/>
    </row>
    <row r="20208" spans="7:16" s="1634" customFormat="1">
      <c r="G20208" s="3336"/>
      <c r="P20208" s="3337"/>
    </row>
    <row r="20209" spans="7:16" s="1634" customFormat="1">
      <c r="G20209" s="3336"/>
      <c r="P20209" s="3337"/>
    </row>
    <row r="20210" spans="7:16" s="1634" customFormat="1">
      <c r="G20210" s="3336"/>
      <c r="P20210" s="3337"/>
    </row>
    <row r="20211" spans="7:16" s="1634" customFormat="1">
      <c r="G20211" s="3336"/>
      <c r="P20211" s="3337"/>
    </row>
    <row r="20212" spans="7:16" s="1634" customFormat="1">
      <c r="G20212" s="3336"/>
      <c r="P20212" s="3337"/>
    </row>
    <row r="20213" spans="7:16" s="1634" customFormat="1">
      <c r="G20213" s="3336"/>
      <c r="P20213" s="3337"/>
    </row>
    <row r="20214" spans="7:16" s="1634" customFormat="1">
      <c r="G20214" s="3336"/>
      <c r="P20214" s="3337"/>
    </row>
    <row r="20215" spans="7:16" s="1634" customFormat="1">
      <c r="G20215" s="3336"/>
      <c r="P20215" s="3337"/>
    </row>
    <row r="20216" spans="7:16" s="1634" customFormat="1">
      <c r="G20216" s="3336"/>
      <c r="P20216" s="3337"/>
    </row>
    <row r="20217" spans="7:16" s="1634" customFormat="1">
      <c r="G20217" s="3336"/>
      <c r="P20217" s="3337"/>
    </row>
    <row r="20218" spans="7:16" s="1634" customFormat="1">
      <c r="G20218" s="3336"/>
      <c r="P20218" s="3337"/>
    </row>
    <row r="20219" spans="7:16" s="1634" customFormat="1">
      <c r="G20219" s="3336"/>
      <c r="P20219" s="3337"/>
    </row>
    <row r="20220" spans="7:16" s="1634" customFormat="1">
      <c r="G20220" s="3336"/>
      <c r="P20220" s="3337"/>
    </row>
    <row r="20221" spans="7:16" s="1634" customFormat="1">
      <c r="G20221" s="3336"/>
      <c r="P20221" s="3337"/>
    </row>
    <row r="20222" spans="7:16" s="1634" customFormat="1">
      <c r="G20222" s="3336"/>
      <c r="P20222" s="3337"/>
    </row>
    <row r="20223" spans="7:16" s="1634" customFormat="1">
      <c r="G20223" s="3336"/>
      <c r="P20223" s="3337"/>
    </row>
    <row r="20224" spans="7:16" s="1634" customFormat="1">
      <c r="G20224" s="3336"/>
      <c r="P20224" s="3337"/>
    </row>
    <row r="20225" spans="7:16" s="1634" customFormat="1">
      <c r="G20225" s="3336"/>
      <c r="P20225" s="3337"/>
    </row>
    <row r="20226" spans="7:16" s="1634" customFormat="1">
      <c r="G20226" s="3336"/>
      <c r="P20226" s="3337"/>
    </row>
    <row r="20227" spans="7:16" s="1634" customFormat="1">
      <c r="G20227" s="3336"/>
      <c r="P20227" s="3337"/>
    </row>
    <row r="20228" spans="7:16" s="1634" customFormat="1">
      <c r="G20228" s="3336"/>
      <c r="P20228" s="3337"/>
    </row>
    <row r="20229" spans="7:16" s="1634" customFormat="1">
      <c r="G20229" s="3336"/>
      <c r="P20229" s="3337"/>
    </row>
    <row r="20230" spans="7:16" s="1634" customFormat="1">
      <c r="G20230" s="3336"/>
      <c r="P20230" s="3337"/>
    </row>
    <row r="20231" spans="7:16" s="1634" customFormat="1">
      <c r="G20231" s="3336"/>
      <c r="P20231" s="3337"/>
    </row>
    <row r="20232" spans="7:16" s="1634" customFormat="1">
      <c r="G20232" s="3336"/>
      <c r="P20232" s="3337"/>
    </row>
    <row r="20233" spans="7:16" s="1634" customFormat="1">
      <c r="G20233" s="3336"/>
      <c r="P20233" s="3337"/>
    </row>
    <row r="20234" spans="7:16" s="1634" customFormat="1">
      <c r="G20234" s="3336"/>
      <c r="P20234" s="3337"/>
    </row>
    <row r="20235" spans="7:16" s="1634" customFormat="1">
      <c r="G20235" s="3336"/>
      <c r="P20235" s="3337"/>
    </row>
    <row r="20236" spans="7:16" s="1634" customFormat="1">
      <c r="G20236" s="3336"/>
      <c r="P20236" s="3337"/>
    </row>
    <row r="20237" spans="7:16" s="1634" customFormat="1">
      <c r="G20237" s="3336"/>
      <c r="P20237" s="3337"/>
    </row>
    <row r="20238" spans="7:16" s="1634" customFormat="1">
      <c r="G20238" s="3336"/>
      <c r="P20238" s="3337"/>
    </row>
    <row r="20239" spans="7:16" s="1634" customFormat="1">
      <c r="G20239" s="3336"/>
      <c r="P20239" s="3337"/>
    </row>
    <row r="20240" spans="7:16" s="1634" customFormat="1">
      <c r="G20240" s="3336"/>
      <c r="P20240" s="3337"/>
    </row>
    <row r="20241" spans="7:16" s="1634" customFormat="1">
      <c r="G20241" s="3336"/>
      <c r="P20241" s="3337"/>
    </row>
    <row r="20242" spans="7:16" s="1634" customFormat="1">
      <c r="G20242" s="3336"/>
      <c r="P20242" s="3337"/>
    </row>
    <row r="20243" spans="7:16" s="1634" customFormat="1">
      <c r="G20243" s="3336"/>
      <c r="P20243" s="3337"/>
    </row>
    <row r="20244" spans="7:16" s="1634" customFormat="1">
      <c r="G20244" s="3336"/>
      <c r="P20244" s="3337"/>
    </row>
    <row r="20245" spans="7:16" s="1634" customFormat="1">
      <c r="G20245" s="3336"/>
      <c r="P20245" s="3337"/>
    </row>
    <row r="20246" spans="7:16" s="1634" customFormat="1">
      <c r="G20246" s="3336"/>
      <c r="P20246" s="3337"/>
    </row>
    <row r="20247" spans="7:16" s="1634" customFormat="1">
      <c r="G20247" s="3336"/>
      <c r="P20247" s="3337"/>
    </row>
    <row r="20248" spans="7:16" s="1634" customFormat="1">
      <c r="G20248" s="3336"/>
      <c r="P20248" s="3337"/>
    </row>
    <row r="20249" spans="7:16" s="1634" customFormat="1">
      <c r="G20249" s="3336"/>
      <c r="P20249" s="3337"/>
    </row>
    <row r="20250" spans="7:16" s="1634" customFormat="1">
      <c r="G20250" s="3336"/>
      <c r="P20250" s="3337"/>
    </row>
    <row r="20251" spans="7:16" s="1634" customFormat="1">
      <c r="G20251" s="3336"/>
      <c r="P20251" s="3337"/>
    </row>
    <row r="20252" spans="7:16" s="1634" customFormat="1">
      <c r="G20252" s="3336"/>
      <c r="P20252" s="3337"/>
    </row>
    <row r="20253" spans="7:16" s="1634" customFormat="1">
      <c r="G20253" s="3336"/>
      <c r="P20253" s="3337"/>
    </row>
    <row r="20254" spans="7:16" s="1634" customFormat="1">
      <c r="G20254" s="3336"/>
      <c r="P20254" s="3337"/>
    </row>
    <row r="20255" spans="7:16" s="1634" customFormat="1">
      <c r="G20255" s="3336"/>
      <c r="P20255" s="3337"/>
    </row>
    <row r="20256" spans="7:16" s="1634" customFormat="1">
      <c r="G20256" s="3336"/>
      <c r="P20256" s="3337"/>
    </row>
    <row r="20257" spans="7:16" s="1634" customFormat="1">
      <c r="G20257" s="3336"/>
      <c r="P20257" s="3337"/>
    </row>
    <row r="20258" spans="7:16" s="1634" customFormat="1">
      <c r="G20258" s="3336"/>
      <c r="P20258" s="3337"/>
    </row>
    <row r="20259" spans="7:16" s="1634" customFormat="1">
      <c r="G20259" s="3336"/>
      <c r="P20259" s="3337"/>
    </row>
    <row r="20260" spans="7:16" s="1634" customFormat="1">
      <c r="G20260" s="3336"/>
      <c r="P20260" s="3337"/>
    </row>
    <row r="20261" spans="7:16" s="1634" customFormat="1">
      <c r="G20261" s="3336"/>
      <c r="P20261" s="3337"/>
    </row>
    <row r="20262" spans="7:16" s="1634" customFormat="1">
      <c r="G20262" s="3336"/>
      <c r="P20262" s="3337"/>
    </row>
    <row r="20263" spans="7:16" s="1634" customFormat="1">
      <c r="G20263" s="3336"/>
      <c r="P20263" s="3337"/>
    </row>
    <row r="20264" spans="7:16" s="1634" customFormat="1">
      <c r="G20264" s="3336"/>
      <c r="P20264" s="3337"/>
    </row>
    <row r="20265" spans="7:16" s="1634" customFormat="1">
      <c r="G20265" s="3336"/>
      <c r="P20265" s="3337"/>
    </row>
    <row r="20266" spans="7:16" s="1634" customFormat="1">
      <c r="G20266" s="3336"/>
      <c r="P20266" s="3337"/>
    </row>
    <row r="20267" spans="7:16" s="1634" customFormat="1">
      <c r="G20267" s="3336"/>
      <c r="P20267" s="3337"/>
    </row>
    <row r="20268" spans="7:16" s="1634" customFormat="1">
      <c r="G20268" s="3336"/>
      <c r="P20268" s="3337"/>
    </row>
    <row r="20269" spans="7:16" s="1634" customFormat="1">
      <c r="G20269" s="3336"/>
      <c r="P20269" s="3337"/>
    </row>
    <row r="20270" spans="7:16" s="1634" customFormat="1">
      <c r="G20270" s="3336"/>
      <c r="P20270" s="3337"/>
    </row>
    <row r="20271" spans="7:16" s="1634" customFormat="1">
      <c r="G20271" s="3336"/>
      <c r="P20271" s="3337"/>
    </row>
    <row r="20272" spans="7:16" s="1634" customFormat="1">
      <c r="G20272" s="3336"/>
      <c r="P20272" s="3337"/>
    </row>
    <row r="20273" spans="7:16" s="1634" customFormat="1">
      <c r="G20273" s="3336"/>
      <c r="P20273" s="3337"/>
    </row>
    <row r="20274" spans="7:16" s="1634" customFormat="1">
      <c r="G20274" s="3336"/>
      <c r="P20274" s="3337"/>
    </row>
    <row r="20275" spans="7:16" s="1634" customFormat="1">
      <c r="G20275" s="3336"/>
      <c r="P20275" s="3337"/>
    </row>
    <row r="20276" spans="7:16" s="1634" customFormat="1">
      <c r="G20276" s="3336"/>
      <c r="P20276" s="3337"/>
    </row>
    <row r="20277" spans="7:16" s="1634" customFormat="1">
      <c r="G20277" s="3336"/>
      <c r="P20277" s="3337"/>
    </row>
    <row r="20278" spans="7:16" s="1634" customFormat="1">
      <c r="G20278" s="3336"/>
      <c r="P20278" s="3337"/>
    </row>
    <row r="20279" spans="7:16" s="1634" customFormat="1">
      <c r="G20279" s="3336"/>
      <c r="P20279" s="3337"/>
    </row>
    <row r="20280" spans="7:16" s="1634" customFormat="1">
      <c r="G20280" s="3336"/>
      <c r="P20280" s="3337"/>
    </row>
    <row r="20281" spans="7:16" s="1634" customFormat="1">
      <c r="G20281" s="3336"/>
      <c r="P20281" s="3337"/>
    </row>
    <row r="20282" spans="7:16" s="1634" customFormat="1">
      <c r="G20282" s="3336"/>
      <c r="P20282" s="3337"/>
    </row>
    <row r="20283" spans="7:16" s="1634" customFormat="1">
      <c r="G20283" s="3336"/>
      <c r="P20283" s="3337"/>
    </row>
    <row r="20284" spans="7:16" s="1634" customFormat="1">
      <c r="G20284" s="3336"/>
      <c r="P20284" s="3337"/>
    </row>
    <row r="20285" spans="7:16" s="1634" customFormat="1">
      <c r="G20285" s="3336"/>
      <c r="P20285" s="3337"/>
    </row>
    <row r="20286" spans="7:16" s="1634" customFormat="1">
      <c r="G20286" s="3336"/>
      <c r="P20286" s="3337"/>
    </row>
    <row r="20287" spans="7:16" s="1634" customFormat="1">
      <c r="G20287" s="3336"/>
      <c r="P20287" s="3337"/>
    </row>
    <row r="20288" spans="7:16" s="1634" customFormat="1">
      <c r="G20288" s="3336"/>
      <c r="P20288" s="3337"/>
    </row>
    <row r="20289" spans="7:16" s="1634" customFormat="1">
      <c r="G20289" s="3336"/>
      <c r="P20289" s="3337"/>
    </row>
    <row r="20290" spans="7:16" s="1634" customFormat="1">
      <c r="G20290" s="3336"/>
      <c r="P20290" s="3337"/>
    </row>
    <row r="20291" spans="7:16" s="1634" customFormat="1">
      <c r="G20291" s="3336"/>
      <c r="P20291" s="3337"/>
    </row>
    <row r="20292" spans="7:16" s="1634" customFormat="1">
      <c r="G20292" s="3336"/>
      <c r="P20292" s="3337"/>
    </row>
    <row r="20293" spans="7:16" s="1634" customFormat="1">
      <c r="G20293" s="3336"/>
      <c r="P20293" s="3337"/>
    </row>
    <row r="20294" spans="7:16" s="1634" customFormat="1">
      <c r="G20294" s="3336"/>
      <c r="P20294" s="3337"/>
    </row>
    <row r="20295" spans="7:16" s="1634" customFormat="1">
      <c r="G20295" s="3336"/>
      <c r="P20295" s="3337"/>
    </row>
    <row r="20296" spans="7:16" s="1634" customFormat="1">
      <c r="G20296" s="3336"/>
      <c r="P20296" s="3337"/>
    </row>
    <row r="20297" spans="7:16" s="1634" customFormat="1">
      <c r="G20297" s="3336"/>
      <c r="P20297" s="3337"/>
    </row>
    <row r="20298" spans="7:16" s="1634" customFormat="1">
      <c r="G20298" s="3336"/>
      <c r="P20298" s="3337"/>
    </row>
    <row r="20299" spans="7:16" s="1634" customFormat="1">
      <c r="G20299" s="3336"/>
      <c r="P20299" s="3337"/>
    </row>
    <row r="20300" spans="7:16" s="1634" customFormat="1">
      <c r="G20300" s="3336"/>
      <c r="P20300" s="3337"/>
    </row>
    <row r="20301" spans="7:16" s="1634" customFormat="1">
      <c r="G20301" s="3336"/>
      <c r="P20301" s="3337"/>
    </row>
    <row r="20302" spans="7:16" s="1634" customFormat="1">
      <c r="G20302" s="3336"/>
      <c r="P20302" s="3337"/>
    </row>
    <row r="20303" spans="7:16" s="1634" customFormat="1">
      <c r="G20303" s="3336"/>
      <c r="P20303" s="3337"/>
    </row>
    <row r="20304" spans="7:16" s="1634" customFormat="1">
      <c r="G20304" s="3336"/>
      <c r="P20304" s="3337"/>
    </row>
    <row r="20305" spans="7:16" s="1634" customFormat="1">
      <c r="G20305" s="3336"/>
      <c r="P20305" s="3337"/>
    </row>
    <row r="20306" spans="7:16" s="1634" customFormat="1">
      <c r="G20306" s="3336"/>
      <c r="P20306" s="3337"/>
    </row>
    <row r="20307" spans="7:16" s="1634" customFormat="1">
      <c r="G20307" s="3336"/>
      <c r="P20307" s="3337"/>
    </row>
    <row r="20308" spans="7:16" s="1634" customFormat="1">
      <c r="G20308" s="3336"/>
      <c r="P20308" s="3337"/>
    </row>
    <row r="20309" spans="7:16" s="1634" customFormat="1">
      <c r="G20309" s="3336"/>
      <c r="P20309" s="3337"/>
    </row>
    <row r="20310" spans="7:16" s="1634" customFormat="1">
      <c r="G20310" s="3336"/>
      <c r="P20310" s="3337"/>
    </row>
    <row r="20311" spans="7:16" s="1634" customFormat="1">
      <c r="G20311" s="3336"/>
      <c r="P20311" s="3337"/>
    </row>
    <row r="20312" spans="7:16" s="1634" customFormat="1">
      <c r="G20312" s="3336"/>
      <c r="P20312" s="3337"/>
    </row>
    <row r="20313" spans="7:16" s="1634" customFormat="1">
      <c r="G20313" s="3336"/>
      <c r="P20313" s="3337"/>
    </row>
    <row r="20314" spans="7:16" s="1634" customFormat="1">
      <c r="G20314" s="3336"/>
      <c r="P20314" s="3337"/>
    </row>
    <row r="20315" spans="7:16" s="1634" customFormat="1">
      <c r="G20315" s="3336"/>
      <c r="P20315" s="3337"/>
    </row>
    <row r="20316" spans="7:16" s="1634" customFormat="1">
      <c r="G20316" s="3336"/>
      <c r="P20316" s="3337"/>
    </row>
    <row r="20317" spans="7:16" s="1634" customFormat="1">
      <c r="G20317" s="3336"/>
      <c r="P20317" s="3337"/>
    </row>
    <row r="20318" spans="7:16" s="1634" customFormat="1">
      <c r="G20318" s="3336"/>
      <c r="P20318" s="3337"/>
    </row>
    <row r="20319" spans="7:16" s="1634" customFormat="1">
      <c r="G20319" s="3336"/>
      <c r="P20319" s="3337"/>
    </row>
    <row r="20320" spans="7:16" s="1634" customFormat="1">
      <c r="G20320" s="3336"/>
      <c r="P20320" s="3337"/>
    </row>
    <row r="20321" spans="7:16" s="1634" customFormat="1">
      <c r="G20321" s="3336"/>
      <c r="P20321" s="3337"/>
    </row>
    <row r="20322" spans="7:16" s="1634" customFormat="1">
      <c r="G20322" s="3336"/>
      <c r="P20322" s="3337"/>
    </row>
    <row r="20323" spans="7:16" s="1634" customFormat="1">
      <c r="G20323" s="3336"/>
      <c r="P20323" s="3337"/>
    </row>
    <row r="20324" spans="7:16" s="1634" customFormat="1">
      <c r="G20324" s="3336"/>
      <c r="P20324" s="3337"/>
    </row>
    <row r="20325" spans="7:16" s="1634" customFormat="1">
      <c r="G20325" s="3336"/>
      <c r="P20325" s="3337"/>
    </row>
    <row r="20326" spans="7:16" s="1634" customFormat="1">
      <c r="G20326" s="3336"/>
      <c r="P20326" s="3337"/>
    </row>
    <row r="20327" spans="7:16" s="1634" customFormat="1">
      <c r="G20327" s="3336"/>
      <c r="P20327" s="3337"/>
    </row>
    <row r="20328" spans="7:16" s="1634" customFormat="1">
      <c r="G20328" s="3336"/>
      <c r="P20328" s="3337"/>
    </row>
    <row r="20329" spans="7:16" s="1634" customFormat="1">
      <c r="G20329" s="3336"/>
      <c r="P20329" s="3337"/>
    </row>
    <row r="20330" spans="7:16" s="1634" customFormat="1">
      <c r="G20330" s="3336"/>
      <c r="P20330" s="3337"/>
    </row>
    <row r="20331" spans="7:16" s="1634" customFormat="1">
      <c r="G20331" s="3336"/>
      <c r="P20331" s="3337"/>
    </row>
    <row r="20332" spans="7:16" s="1634" customFormat="1">
      <c r="G20332" s="3336"/>
      <c r="P20332" s="3337"/>
    </row>
    <row r="20333" spans="7:16" s="1634" customFormat="1">
      <c r="G20333" s="3336"/>
      <c r="P20333" s="3337"/>
    </row>
    <row r="20334" spans="7:16" s="1634" customFormat="1">
      <c r="G20334" s="3336"/>
      <c r="P20334" s="3337"/>
    </row>
    <row r="20335" spans="7:16" s="1634" customFormat="1">
      <c r="G20335" s="3336"/>
      <c r="P20335" s="3337"/>
    </row>
    <row r="20336" spans="7:16" s="1634" customFormat="1">
      <c r="G20336" s="3336"/>
      <c r="P20336" s="3337"/>
    </row>
    <row r="20337" spans="7:16" s="1634" customFormat="1">
      <c r="G20337" s="3336"/>
      <c r="P20337" s="3337"/>
    </row>
    <row r="20338" spans="7:16" s="1634" customFormat="1">
      <c r="G20338" s="3336"/>
      <c r="P20338" s="3337"/>
    </row>
    <row r="20339" spans="7:16" s="1634" customFormat="1">
      <c r="G20339" s="3336"/>
      <c r="P20339" s="3337"/>
    </row>
    <row r="20340" spans="7:16" s="1634" customFormat="1">
      <c r="G20340" s="3336"/>
      <c r="P20340" s="3337"/>
    </row>
    <row r="20341" spans="7:16" s="1634" customFormat="1">
      <c r="G20341" s="3336"/>
      <c r="P20341" s="3337"/>
    </row>
    <row r="20342" spans="7:16" s="1634" customFormat="1">
      <c r="G20342" s="3336"/>
      <c r="P20342" s="3337"/>
    </row>
    <row r="20343" spans="7:16" s="1634" customFormat="1">
      <c r="G20343" s="3336"/>
      <c r="P20343" s="3337"/>
    </row>
    <row r="20344" spans="7:16" s="1634" customFormat="1">
      <c r="G20344" s="3336"/>
      <c r="P20344" s="3337"/>
    </row>
    <row r="20345" spans="7:16" s="1634" customFormat="1">
      <c r="G20345" s="3336"/>
      <c r="P20345" s="3337"/>
    </row>
    <row r="20346" spans="7:16" s="1634" customFormat="1">
      <c r="G20346" s="3336"/>
      <c r="P20346" s="3337"/>
    </row>
    <row r="20347" spans="7:16" s="1634" customFormat="1">
      <c r="G20347" s="3336"/>
      <c r="P20347" s="3337"/>
    </row>
    <row r="20348" spans="7:16" s="1634" customFormat="1">
      <c r="G20348" s="3336"/>
      <c r="P20348" s="3337"/>
    </row>
    <row r="20349" spans="7:16" s="1634" customFormat="1">
      <c r="G20349" s="3336"/>
      <c r="P20349" s="3337"/>
    </row>
    <row r="20350" spans="7:16" s="1634" customFormat="1">
      <c r="G20350" s="3336"/>
      <c r="P20350" s="3337"/>
    </row>
    <row r="20351" spans="7:16" s="1634" customFormat="1">
      <c r="G20351" s="3336"/>
      <c r="P20351" s="3337"/>
    </row>
    <row r="20352" spans="7:16" s="1634" customFormat="1">
      <c r="G20352" s="3336"/>
      <c r="P20352" s="3337"/>
    </row>
    <row r="20353" spans="7:16" s="1634" customFormat="1">
      <c r="G20353" s="3336"/>
      <c r="P20353" s="3337"/>
    </row>
    <row r="20354" spans="7:16" s="1634" customFormat="1">
      <c r="G20354" s="3336"/>
      <c r="P20354" s="3337"/>
    </row>
    <row r="20355" spans="7:16" s="1634" customFormat="1">
      <c r="G20355" s="3336"/>
      <c r="P20355" s="3337"/>
    </row>
    <row r="20356" spans="7:16" s="1634" customFormat="1">
      <c r="G20356" s="3336"/>
      <c r="P20356" s="3337"/>
    </row>
    <row r="20357" spans="7:16" s="1634" customFormat="1">
      <c r="G20357" s="3336"/>
      <c r="P20357" s="3337"/>
    </row>
    <row r="20358" spans="7:16" s="1634" customFormat="1">
      <c r="G20358" s="3336"/>
      <c r="P20358" s="3337"/>
    </row>
    <row r="20359" spans="7:16" s="1634" customFormat="1">
      <c r="G20359" s="3336"/>
      <c r="P20359" s="3337"/>
    </row>
    <row r="20360" spans="7:16" s="1634" customFormat="1">
      <c r="G20360" s="3336"/>
      <c r="P20360" s="3337"/>
    </row>
    <row r="20361" spans="7:16" s="1634" customFormat="1">
      <c r="G20361" s="3336"/>
      <c r="P20361" s="3337"/>
    </row>
    <row r="20362" spans="7:16" s="1634" customFormat="1">
      <c r="G20362" s="3336"/>
      <c r="P20362" s="3337"/>
    </row>
    <row r="20363" spans="7:16" s="1634" customFormat="1">
      <c r="G20363" s="3336"/>
      <c r="P20363" s="3337"/>
    </row>
    <row r="20364" spans="7:16" s="1634" customFormat="1">
      <c r="G20364" s="3336"/>
      <c r="P20364" s="3337"/>
    </row>
    <row r="20365" spans="7:16" s="1634" customFormat="1">
      <c r="G20365" s="3336"/>
      <c r="P20365" s="3337"/>
    </row>
    <row r="20366" spans="7:16" s="1634" customFormat="1">
      <c r="G20366" s="3336"/>
      <c r="P20366" s="3337"/>
    </row>
    <row r="20367" spans="7:16" s="1634" customFormat="1">
      <c r="G20367" s="3336"/>
      <c r="P20367" s="3337"/>
    </row>
    <row r="20368" spans="7:16" s="1634" customFormat="1">
      <c r="G20368" s="3336"/>
      <c r="P20368" s="3337"/>
    </row>
    <row r="20369" spans="7:16" s="1634" customFormat="1">
      <c r="G20369" s="3336"/>
      <c r="P20369" s="3337"/>
    </row>
    <row r="20370" spans="7:16" s="1634" customFormat="1">
      <c r="G20370" s="3336"/>
      <c r="P20370" s="3337"/>
    </row>
    <row r="20371" spans="7:16" s="1634" customFormat="1">
      <c r="G20371" s="3336"/>
      <c r="P20371" s="3337"/>
    </row>
    <row r="20372" spans="7:16" s="1634" customFormat="1">
      <c r="G20372" s="3336"/>
      <c r="P20372" s="3337"/>
    </row>
    <row r="20373" spans="7:16" s="1634" customFormat="1">
      <c r="G20373" s="3336"/>
      <c r="P20373" s="3337"/>
    </row>
    <row r="20374" spans="7:16" s="1634" customFormat="1">
      <c r="G20374" s="3336"/>
      <c r="P20374" s="3337"/>
    </row>
    <row r="20375" spans="7:16" s="1634" customFormat="1">
      <c r="G20375" s="3336"/>
      <c r="P20375" s="3337"/>
    </row>
    <row r="20376" spans="7:16" s="1634" customFormat="1">
      <c r="G20376" s="3336"/>
      <c r="P20376" s="3337"/>
    </row>
    <row r="20377" spans="7:16" s="1634" customFormat="1">
      <c r="G20377" s="3336"/>
      <c r="P20377" s="3337"/>
    </row>
    <row r="20378" spans="7:16" s="1634" customFormat="1">
      <c r="G20378" s="3336"/>
      <c r="P20378" s="3337"/>
    </row>
    <row r="20379" spans="7:16" s="1634" customFormat="1">
      <c r="G20379" s="3336"/>
      <c r="P20379" s="3337"/>
    </row>
    <row r="20380" spans="7:16" s="1634" customFormat="1">
      <c r="G20380" s="3336"/>
      <c r="P20380" s="3337"/>
    </row>
    <row r="20381" spans="7:16" s="1634" customFormat="1">
      <c r="G20381" s="3336"/>
      <c r="P20381" s="3337"/>
    </row>
    <row r="20382" spans="7:16" s="1634" customFormat="1">
      <c r="G20382" s="3336"/>
      <c r="P20382" s="3337"/>
    </row>
    <row r="20383" spans="7:16" s="1634" customFormat="1">
      <c r="G20383" s="3336"/>
      <c r="P20383" s="3337"/>
    </row>
    <row r="20384" spans="7:16" s="1634" customFormat="1">
      <c r="G20384" s="3336"/>
      <c r="P20384" s="3337"/>
    </row>
    <row r="20385" spans="7:16" s="1634" customFormat="1">
      <c r="G20385" s="3336"/>
      <c r="P20385" s="3337"/>
    </row>
    <row r="20386" spans="7:16" s="1634" customFormat="1">
      <c r="G20386" s="3336"/>
      <c r="P20386" s="3337"/>
    </row>
    <row r="20387" spans="7:16" s="1634" customFormat="1">
      <c r="G20387" s="3336"/>
      <c r="P20387" s="3337"/>
    </row>
    <row r="20388" spans="7:16" s="1634" customFormat="1">
      <c r="G20388" s="3336"/>
      <c r="P20388" s="3337"/>
    </row>
    <row r="20389" spans="7:16" s="1634" customFormat="1">
      <c r="G20389" s="3336"/>
      <c r="P20389" s="3337"/>
    </row>
    <row r="20390" spans="7:16" s="1634" customFormat="1">
      <c r="G20390" s="3336"/>
      <c r="P20390" s="3337"/>
    </row>
    <row r="20391" spans="7:16" s="1634" customFormat="1">
      <c r="G20391" s="3336"/>
      <c r="P20391" s="3337"/>
    </row>
    <row r="20392" spans="7:16" s="1634" customFormat="1">
      <c r="G20392" s="3336"/>
      <c r="P20392" s="3337"/>
    </row>
    <row r="20393" spans="7:16" s="1634" customFormat="1">
      <c r="G20393" s="3336"/>
      <c r="P20393" s="3337"/>
    </row>
    <row r="20394" spans="7:16" s="1634" customFormat="1">
      <c r="G20394" s="3336"/>
      <c r="P20394" s="3337"/>
    </row>
    <row r="20395" spans="7:16" s="1634" customFormat="1">
      <c r="G20395" s="3336"/>
      <c r="P20395" s="3337"/>
    </row>
    <row r="20396" spans="7:16" s="1634" customFormat="1">
      <c r="G20396" s="3336"/>
      <c r="P20396" s="3337"/>
    </row>
    <row r="20397" spans="7:16" s="1634" customFormat="1">
      <c r="G20397" s="3336"/>
      <c r="P20397" s="3337"/>
    </row>
    <row r="20398" spans="7:16" s="1634" customFormat="1">
      <c r="G20398" s="3336"/>
      <c r="P20398" s="3337"/>
    </row>
    <row r="20399" spans="7:16" s="1634" customFormat="1">
      <c r="G20399" s="3336"/>
      <c r="P20399" s="3337"/>
    </row>
    <row r="20400" spans="7:16" s="1634" customFormat="1">
      <c r="G20400" s="3336"/>
      <c r="P20400" s="3337"/>
    </row>
    <row r="20401" spans="7:16" s="1634" customFormat="1">
      <c r="G20401" s="3336"/>
      <c r="P20401" s="3337"/>
    </row>
    <row r="20402" spans="7:16" s="1634" customFormat="1">
      <c r="G20402" s="3336"/>
      <c r="P20402" s="3337"/>
    </row>
    <row r="20403" spans="7:16" s="1634" customFormat="1">
      <c r="G20403" s="3336"/>
      <c r="P20403" s="3337"/>
    </row>
    <row r="20404" spans="7:16" s="1634" customFormat="1">
      <c r="G20404" s="3336"/>
      <c r="P20404" s="3337"/>
    </row>
    <row r="20405" spans="7:16" s="1634" customFormat="1">
      <c r="G20405" s="3336"/>
      <c r="P20405" s="3337"/>
    </row>
    <row r="20406" spans="7:16" s="1634" customFormat="1">
      <c r="G20406" s="3336"/>
      <c r="P20406" s="3337"/>
    </row>
    <row r="20407" spans="7:16" s="1634" customFormat="1">
      <c r="G20407" s="3336"/>
      <c r="P20407" s="3337"/>
    </row>
    <row r="20408" spans="7:16" s="1634" customFormat="1">
      <c r="G20408" s="3336"/>
      <c r="P20408" s="3337"/>
    </row>
    <row r="20409" spans="7:16" s="1634" customFormat="1">
      <c r="G20409" s="3336"/>
      <c r="P20409" s="3337"/>
    </row>
    <row r="20410" spans="7:16" s="1634" customFormat="1">
      <c r="G20410" s="3336"/>
      <c r="P20410" s="3337"/>
    </row>
    <row r="20411" spans="7:16" s="1634" customFormat="1">
      <c r="G20411" s="3336"/>
      <c r="P20411" s="3337"/>
    </row>
    <row r="20412" spans="7:16" s="1634" customFormat="1">
      <c r="G20412" s="3336"/>
      <c r="P20412" s="3337"/>
    </row>
    <row r="20413" spans="7:16" s="1634" customFormat="1">
      <c r="G20413" s="3336"/>
      <c r="P20413" s="3337"/>
    </row>
    <row r="20414" spans="7:16" s="1634" customFormat="1">
      <c r="G20414" s="3336"/>
      <c r="P20414" s="3337"/>
    </row>
    <row r="20415" spans="7:16" s="1634" customFormat="1">
      <c r="G20415" s="3336"/>
      <c r="P20415" s="3337"/>
    </row>
    <row r="20416" spans="7:16" s="1634" customFormat="1">
      <c r="G20416" s="3336"/>
      <c r="P20416" s="3337"/>
    </row>
    <row r="20417" spans="7:16" s="1634" customFormat="1">
      <c r="G20417" s="3336"/>
      <c r="P20417" s="3337"/>
    </row>
    <row r="20418" spans="7:16" s="1634" customFormat="1">
      <c r="G20418" s="3336"/>
      <c r="P20418" s="3337"/>
    </row>
    <row r="20419" spans="7:16" s="1634" customFormat="1">
      <c r="G20419" s="3336"/>
      <c r="P20419" s="3337"/>
    </row>
    <row r="20420" spans="7:16" s="1634" customFormat="1">
      <c r="G20420" s="3336"/>
      <c r="P20420" s="3337"/>
    </row>
    <row r="20421" spans="7:16" s="1634" customFormat="1">
      <c r="G20421" s="3336"/>
      <c r="P20421" s="3337"/>
    </row>
    <row r="20422" spans="7:16" s="1634" customFormat="1">
      <c r="G20422" s="3336"/>
      <c r="P20422" s="3337"/>
    </row>
    <row r="20423" spans="7:16" s="1634" customFormat="1">
      <c r="G20423" s="3336"/>
      <c r="P20423" s="3337"/>
    </row>
    <row r="20424" spans="7:16" s="1634" customFormat="1">
      <c r="G20424" s="3336"/>
      <c r="P20424" s="3337"/>
    </row>
    <row r="20425" spans="7:16" s="1634" customFormat="1">
      <c r="G20425" s="3336"/>
      <c r="P20425" s="3337"/>
    </row>
    <row r="20426" spans="7:16" s="1634" customFormat="1">
      <c r="G20426" s="3336"/>
      <c r="P20426" s="3337"/>
    </row>
    <row r="20427" spans="7:16" s="1634" customFormat="1">
      <c r="G20427" s="3336"/>
      <c r="P20427" s="3337"/>
    </row>
    <row r="20428" spans="7:16" s="1634" customFormat="1">
      <c r="G20428" s="3336"/>
      <c r="P20428" s="3337"/>
    </row>
    <row r="20429" spans="7:16" s="1634" customFormat="1">
      <c r="G20429" s="3336"/>
      <c r="P20429" s="3337"/>
    </row>
    <row r="20430" spans="7:16" s="1634" customFormat="1">
      <c r="G20430" s="3336"/>
      <c r="P20430" s="3337"/>
    </row>
    <row r="20431" spans="7:16" s="1634" customFormat="1">
      <c r="G20431" s="3336"/>
      <c r="P20431" s="3337"/>
    </row>
    <row r="20432" spans="7:16" s="1634" customFormat="1">
      <c r="G20432" s="3336"/>
      <c r="P20432" s="3337"/>
    </row>
    <row r="20433" spans="7:16" s="1634" customFormat="1">
      <c r="G20433" s="3336"/>
      <c r="P20433" s="3337"/>
    </row>
    <row r="20434" spans="7:16" s="1634" customFormat="1">
      <c r="G20434" s="3336"/>
      <c r="P20434" s="3337"/>
    </row>
    <row r="20435" spans="7:16" s="1634" customFormat="1">
      <c r="G20435" s="3336"/>
      <c r="P20435" s="3337"/>
    </row>
    <row r="20436" spans="7:16" s="1634" customFormat="1">
      <c r="G20436" s="3336"/>
      <c r="P20436" s="3337"/>
    </row>
    <row r="20437" spans="7:16" s="1634" customFormat="1">
      <c r="G20437" s="3336"/>
      <c r="P20437" s="3337"/>
    </row>
    <row r="20438" spans="7:16" s="1634" customFormat="1">
      <c r="G20438" s="3336"/>
      <c r="P20438" s="3337"/>
    </row>
    <row r="20439" spans="7:16" s="1634" customFormat="1">
      <c r="G20439" s="3336"/>
      <c r="P20439" s="3337"/>
    </row>
    <row r="20440" spans="7:16" s="1634" customFormat="1">
      <c r="G20440" s="3336"/>
      <c r="P20440" s="3337"/>
    </row>
    <row r="20441" spans="7:16" s="1634" customFormat="1">
      <c r="G20441" s="3336"/>
      <c r="P20441" s="3337"/>
    </row>
    <row r="20442" spans="7:16" s="1634" customFormat="1">
      <c r="G20442" s="3336"/>
      <c r="P20442" s="3337"/>
    </row>
    <row r="20443" spans="7:16" s="1634" customFormat="1">
      <c r="G20443" s="3336"/>
      <c r="P20443" s="3337"/>
    </row>
    <row r="20444" spans="7:16" s="1634" customFormat="1">
      <c r="G20444" s="3336"/>
      <c r="P20444" s="3337"/>
    </row>
    <row r="20445" spans="7:16" s="1634" customFormat="1">
      <c r="G20445" s="3336"/>
      <c r="P20445" s="3337"/>
    </row>
    <row r="20446" spans="7:16" s="1634" customFormat="1">
      <c r="G20446" s="3336"/>
      <c r="P20446" s="3337"/>
    </row>
    <row r="20447" spans="7:16" s="1634" customFormat="1">
      <c r="G20447" s="3336"/>
      <c r="P20447" s="3337"/>
    </row>
    <row r="20448" spans="7:16" s="1634" customFormat="1">
      <c r="G20448" s="3336"/>
      <c r="P20448" s="3337"/>
    </row>
    <row r="20449" spans="7:16" s="1634" customFormat="1">
      <c r="G20449" s="3336"/>
      <c r="P20449" s="3337"/>
    </row>
    <row r="20450" spans="7:16" s="1634" customFormat="1">
      <c r="G20450" s="3336"/>
      <c r="P20450" s="3337"/>
    </row>
    <row r="20451" spans="7:16" s="1634" customFormat="1">
      <c r="G20451" s="3336"/>
      <c r="P20451" s="3337"/>
    </row>
    <row r="20452" spans="7:16" s="1634" customFormat="1">
      <c r="G20452" s="3336"/>
      <c r="P20452" s="3337"/>
    </row>
    <row r="20453" spans="7:16" s="1634" customFormat="1">
      <c r="G20453" s="3336"/>
      <c r="P20453" s="3337"/>
    </row>
    <row r="20454" spans="7:16" s="1634" customFormat="1">
      <c r="G20454" s="3336"/>
      <c r="P20454" s="3337"/>
    </row>
    <row r="20455" spans="7:16" s="1634" customFormat="1">
      <c r="G20455" s="3336"/>
      <c r="P20455" s="3337"/>
    </row>
    <row r="20456" spans="7:16" s="1634" customFormat="1">
      <c r="G20456" s="3336"/>
      <c r="P20456" s="3337"/>
    </row>
    <row r="20457" spans="7:16" s="1634" customFormat="1">
      <c r="G20457" s="3336"/>
      <c r="P20457" s="3337"/>
    </row>
    <row r="20458" spans="7:16" s="1634" customFormat="1">
      <c r="G20458" s="3336"/>
      <c r="P20458" s="3337"/>
    </row>
    <row r="20459" spans="7:16" s="1634" customFormat="1">
      <c r="G20459" s="3336"/>
      <c r="P20459" s="3337"/>
    </row>
    <row r="20460" spans="7:16" s="1634" customFormat="1">
      <c r="G20460" s="3336"/>
      <c r="P20460" s="3337"/>
    </row>
    <row r="20461" spans="7:16" s="1634" customFormat="1">
      <c r="G20461" s="3336"/>
      <c r="P20461" s="3337"/>
    </row>
    <row r="20462" spans="7:16" s="1634" customFormat="1">
      <c r="G20462" s="3336"/>
      <c r="P20462" s="3337"/>
    </row>
    <row r="20463" spans="7:16" s="1634" customFormat="1">
      <c r="G20463" s="3336"/>
      <c r="P20463" s="3337"/>
    </row>
    <row r="20464" spans="7:16" s="1634" customFormat="1">
      <c r="G20464" s="3336"/>
      <c r="P20464" s="3337"/>
    </row>
    <row r="20465" spans="7:16" s="1634" customFormat="1">
      <c r="G20465" s="3336"/>
      <c r="P20465" s="3337"/>
    </row>
    <row r="20466" spans="7:16" s="1634" customFormat="1">
      <c r="G20466" s="3336"/>
      <c r="P20466" s="3337"/>
    </row>
    <row r="20467" spans="7:16" s="1634" customFormat="1">
      <c r="G20467" s="3336"/>
      <c r="P20467" s="3337"/>
    </row>
    <row r="20468" spans="7:16" s="1634" customFormat="1">
      <c r="G20468" s="3336"/>
      <c r="P20468" s="3337"/>
    </row>
    <row r="20469" spans="7:16" s="1634" customFormat="1">
      <c r="G20469" s="3336"/>
      <c r="P20469" s="3337"/>
    </row>
    <row r="20470" spans="7:16" s="1634" customFormat="1">
      <c r="G20470" s="3336"/>
      <c r="P20470" s="3337"/>
    </row>
    <row r="20471" spans="7:16" s="1634" customFormat="1">
      <c r="G20471" s="3336"/>
      <c r="P20471" s="3337"/>
    </row>
    <row r="20472" spans="7:16" s="1634" customFormat="1">
      <c r="G20472" s="3336"/>
      <c r="P20472" s="3337"/>
    </row>
    <row r="20473" spans="7:16" s="1634" customFormat="1">
      <c r="G20473" s="3336"/>
      <c r="P20473" s="3337"/>
    </row>
    <row r="20474" spans="7:16" s="1634" customFormat="1">
      <c r="G20474" s="3336"/>
      <c r="P20474" s="3337"/>
    </row>
    <row r="20475" spans="7:16" s="1634" customFormat="1">
      <c r="G20475" s="3336"/>
      <c r="P20475" s="3337"/>
    </row>
    <row r="20476" spans="7:16" s="1634" customFormat="1">
      <c r="G20476" s="3336"/>
      <c r="P20476" s="3337"/>
    </row>
    <row r="20477" spans="7:16" s="1634" customFormat="1">
      <c r="G20477" s="3336"/>
      <c r="P20477" s="3337"/>
    </row>
    <row r="20478" spans="7:16" s="1634" customFormat="1">
      <c r="G20478" s="3336"/>
      <c r="P20478" s="3337"/>
    </row>
    <row r="20479" spans="7:16" s="1634" customFormat="1">
      <c r="G20479" s="3336"/>
      <c r="P20479" s="3337"/>
    </row>
    <row r="20480" spans="7:16" s="1634" customFormat="1">
      <c r="G20480" s="3336"/>
      <c r="P20480" s="3337"/>
    </row>
    <row r="20481" spans="7:16" s="1634" customFormat="1">
      <c r="G20481" s="3336"/>
      <c r="P20481" s="3337"/>
    </row>
    <row r="20482" spans="7:16" s="1634" customFormat="1">
      <c r="G20482" s="3336"/>
      <c r="P20482" s="3337"/>
    </row>
    <row r="20483" spans="7:16" s="1634" customFormat="1">
      <c r="G20483" s="3336"/>
      <c r="P20483" s="3337"/>
    </row>
    <row r="20484" spans="7:16" s="1634" customFormat="1">
      <c r="G20484" s="3336"/>
      <c r="P20484" s="3337"/>
    </row>
    <row r="20485" spans="7:16" s="1634" customFormat="1">
      <c r="G20485" s="3336"/>
      <c r="P20485" s="3337"/>
    </row>
    <row r="20486" spans="7:16" s="1634" customFormat="1">
      <c r="G20486" s="3336"/>
      <c r="P20486" s="3337"/>
    </row>
    <row r="20487" spans="7:16" s="1634" customFormat="1">
      <c r="G20487" s="3336"/>
      <c r="P20487" s="3337"/>
    </row>
    <row r="20488" spans="7:16" s="1634" customFormat="1">
      <c r="G20488" s="3336"/>
      <c r="P20488" s="3337"/>
    </row>
    <row r="20489" spans="7:16" s="1634" customFormat="1">
      <c r="G20489" s="3336"/>
      <c r="P20489" s="3337"/>
    </row>
    <row r="20490" spans="7:16" s="1634" customFormat="1">
      <c r="G20490" s="3336"/>
      <c r="P20490" s="3337"/>
    </row>
    <row r="20491" spans="7:16" s="1634" customFormat="1">
      <c r="G20491" s="3336"/>
      <c r="P20491" s="3337"/>
    </row>
    <row r="20492" spans="7:16" s="1634" customFormat="1">
      <c r="G20492" s="3336"/>
      <c r="P20492" s="3337"/>
    </row>
    <row r="20493" spans="7:16" s="1634" customFormat="1">
      <c r="G20493" s="3336"/>
      <c r="P20493" s="3337"/>
    </row>
    <row r="20494" spans="7:16" s="1634" customFormat="1">
      <c r="G20494" s="3336"/>
      <c r="P20494" s="3337"/>
    </row>
    <row r="20495" spans="7:16" s="1634" customFormat="1">
      <c r="G20495" s="3336"/>
      <c r="P20495" s="3337"/>
    </row>
    <row r="20496" spans="7:16" s="1634" customFormat="1">
      <c r="G20496" s="3336"/>
      <c r="P20496" s="3337"/>
    </row>
    <row r="20497" spans="7:16" s="1634" customFormat="1">
      <c r="G20497" s="3336"/>
      <c r="P20497" s="3337"/>
    </row>
    <row r="20498" spans="7:16" s="1634" customFormat="1">
      <c r="G20498" s="3336"/>
      <c r="P20498" s="3337"/>
    </row>
    <row r="20499" spans="7:16" s="1634" customFormat="1">
      <c r="G20499" s="3336"/>
      <c r="P20499" s="3337"/>
    </row>
    <row r="20500" spans="7:16" s="1634" customFormat="1">
      <c r="G20500" s="3336"/>
      <c r="P20500" s="3337"/>
    </row>
    <row r="20501" spans="7:16" s="1634" customFormat="1">
      <c r="G20501" s="3336"/>
      <c r="P20501" s="3337"/>
    </row>
    <row r="20502" spans="7:16" s="1634" customFormat="1">
      <c r="G20502" s="3336"/>
      <c r="P20502" s="3337"/>
    </row>
    <row r="20503" spans="7:16" s="1634" customFormat="1">
      <c r="G20503" s="3336"/>
      <c r="P20503" s="3337"/>
    </row>
    <row r="20504" spans="7:16" s="1634" customFormat="1">
      <c r="G20504" s="3336"/>
      <c r="P20504" s="3337"/>
    </row>
    <row r="20505" spans="7:16" s="1634" customFormat="1">
      <c r="G20505" s="3336"/>
      <c r="P20505" s="3337"/>
    </row>
    <row r="20506" spans="7:16" s="1634" customFormat="1">
      <c r="G20506" s="3336"/>
      <c r="P20506" s="3337"/>
    </row>
    <row r="20507" spans="7:16" s="1634" customFormat="1">
      <c r="G20507" s="3336"/>
      <c r="P20507" s="3337"/>
    </row>
    <row r="20508" spans="7:16" s="1634" customFormat="1">
      <c r="G20508" s="3336"/>
      <c r="P20508" s="3337"/>
    </row>
    <row r="20509" spans="7:16" s="1634" customFormat="1">
      <c r="G20509" s="3336"/>
      <c r="P20509" s="3337"/>
    </row>
    <row r="20510" spans="7:16" s="1634" customFormat="1">
      <c r="G20510" s="3336"/>
      <c r="P20510" s="3337"/>
    </row>
    <row r="20511" spans="7:16" s="1634" customFormat="1">
      <c r="G20511" s="3336"/>
      <c r="P20511" s="3337"/>
    </row>
    <row r="20512" spans="7:16" s="1634" customFormat="1">
      <c r="G20512" s="3336"/>
      <c r="P20512" s="3337"/>
    </row>
    <row r="20513" spans="7:16" s="1634" customFormat="1">
      <c r="G20513" s="3336"/>
      <c r="P20513" s="3337"/>
    </row>
    <row r="20514" spans="7:16" s="1634" customFormat="1">
      <c r="G20514" s="3336"/>
      <c r="P20514" s="3337"/>
    </row>
    <row r="20515" spans="7:16" s="1634" customFormat="1">
      <c r="G20515" s="3336"/>
      <c r="P20515" s="3337"/>
    </row>
    <row r="20516" spans="7:16" s="1634" customFormat="1">
      <c r="G20516" s="3336"/>
      <c r="P20516" s="3337"/>
    </row>
    <row r="20517" spans="7:16" s="1634" customFormat="1">
      <c r="G20517" s="3336"/>
      <c r="P20517" s="3337"/>
    </row>
    <row r="20518" spans="7:16" s="1634" customFormat="1">
      <c r="G20518" s="3336"/>
      <c r="P20518" s="3337"/>
    </row>
    <row r="20519" spans="7:16" s="1634" customFormat="1">
      <c r="G20519" s="3336"/>
      <c r="P20519" s="3337"/>
    </row>
    <row r="20520" spans="7:16" s="1634" customFormat="1">
      <c r="G20520" s="3336"/>
      <c r="P20520" s="3337"/>
    </row>
    <row r="20521" spans="7:16" s="1634" customFormat="1">
      <c r="G20521" s="3336"/>
      <c r="P20521" s="3337"/>
    </row>
    <row r="20522" spans="7:16" s="1634" customFormat="1">
      <c r="G20522" s="3336"/>
      <c r="P20522" s="3337"/>
    </row>
    <row r="20523" spans="7:16" s="1634" customFormat="1">
      <c r="G20523" s="3336"/>
      <c r="P20523" s="3337"/>
    </row>
    <row r="20524" spans="7:16" s="1634" customFormat="1">
      <c r="G20524" s="3336"/>
      <c r="P20524" s="3337"/>
    </row>
    <row r="20525" spans="7:16" s="1634" customFormat="1">
      <c r="G20525" s="3336"/>
      <c r="P20525" s="3337"/>
    </row>
    <row r="20526" spans="7:16" s="1634" customFormat="1">
      <c r="G20526" s="3336"/>
      <c r="P20526" s="3337"/>
    </row>
    <row r="20527" spans="7:16" s="1634" customFormat="1">
      <c r="G20527" s="3336"/>
      <c r="P20527" s="3337"/>
    </row>
    <row r="20528" spans="7:16" s="1634" customFormat="1">
      <c r="G20528" s="3336"/>
      <c r="P20528" s="3337"/>
    </row>
    <row r="20529" spans="7:16" s="1634" customFormat="1">
      <c r="G20529" s="3336"/>
      <c r="P20529" s="3337"/>
    </row>
    <row r="20530" spans="7:16" s="1634" customFormat="1">
      <c r="G20530" s="3336"/>
      <c r="P20530" s="3337"/>
    </row>
    <row r="20531" spans="7:16" s="1634" customFormat="1">
      <c r="G20531" s="3336"/>
      <c r="P20531" s="3337"/>
    </row>
    <row r="20532" spans="7:16" s="1634" customFormat="1">
      <c r="G20532" s="3336"/>
      <c r="P20532" s="3337"/>
    </row>
    <row r="20533" spans="7:16" s="1634" customFormat="1">
      <c r="G20533" s="3336"/>
      <c r="P20533" s="3337"/>
    </row>
    <row r="20534" spans="7:16" s="1634" customFormat="1">
      <c r="G20534" s="3336"/>
      <c r="P20534" s="3337"/>
    </row>
    <row r="20535" spans="7:16" s="1634" customFormat="1">
      <c r="G20535" s="3336"/>
      <c r="P20535" s="3337"/>
    </row>
    <row r="20536" spans="7:16" s="1634" customFormat="1">
      <c r="G20536" s="3336"/>
      <c r="P20536" s="3337"/>
    </row>
    <row r="20537" spans="7:16" s="1634" customFormat="1">
      <c r="G20537" s="3336"/>
      <c r="P20537" s="3337"/>
    </row>
    <row r="20538" spans="7:16" s="1634" customFormat="1">
      <c r="G20538" s="3336"/>
      <c r="P20538" s="3337"/>
    </row>
    <row r="20539" spans="7:16" s="1634" customFormat="1">
      <c r="G20539" s="3336"/>
      <c r="P20539" s="3337"/>
    </row>
    <row r="20540" spans="7:16" s="1634" customFormat="1">
      <c r="G20540" s="3336"/>
      <c r="P20540" s="3337"/>
    </row>
    <row r="20541" spans="7:16" s="1634" customFormat="1">
      <c r="G20541" s="3336"/>
      <c r="P20541" s="3337"/>
    </row>
    <row r="20542" spans="7:16" s="1634" customFormat="1">
      <c r="G20542" s="3336"/>
      <c r="P20542" s="3337"/>
    </row>
    <row r="20543" spans="7:16" s="1634" customFormat="1">
      <c r="G20543" s="3336"/>
      <c r="P20543" s="3337"/>
    </row>
    <row r="20544" spans="7:16" s="1634" customFormat="1">
      <c r="G20544" s="3336"/>
      <c r="P20544" s="3337"/>
    </row>
    <row r="20545" spans="7:16" s="1634" customFormat="1">
      <c r="G20545" s="3336"/>
      <c r="P20545" s="3337"/>
    </row>
    <row r="20546" spans="7:16" s="1634" customFormat="1">
      <c r="G20546" s="3336"/>
      <c r="P20546" s="3337"/>
    </row>
    <row r="20547" spans="7:16" s="1634" customFormat="1">
      <c r="G20547" s="3336"/>
      <c r="P20547" s="3337"/>
    </row>
    <row r="20548" spans="7:16" s="1634" customFormat="1">
      <c r="G20548" s="3336"/>
      <c r="P20548" s="3337"/>
    </row>
    <row r="20549" spans="7:16" s="1634" customFormat="1">
      <c r="G20549" s="3336"/>
      <c r="P20549" s="3337"/>
    </row>
    <row r="20550" spans="7:16" s="1634" customFormat="1">
      <c r="G20550" s="3336"/>
      <c r="P20550" s="3337"/>
    </row>
    <row r="20551" spans="7:16" s="1634" customFormat="1">
      <c r="G20551" s="3336"/>
      <c r="P20551" s="3337"/>
    </row>
    <row r="20552" spans="7:16" s="1634" customFormat="1">
      <c r="G20552" s="3336"/>
      <c r="P20552" s="3337"/>
    </row>
    <row r="20553" spans="7:16" s="1634" customFormat="1">
      <c r="G20553" s="3336"/>
      <c r="P20553" s="3337"/>
    </row>
    <row r="20554" spans="7:16" s="1634" customFormat="1">
      <c r="G20554" s="3336"/>
      <c r="P20554" s="3337"/>
    </row>
    <row r="20555" spans="7:16" s="1634" customFormat="1">
      <c r="G20555" s="3336"/>
      <c r="P20555" s="3337"/>
    </row>
    <row r="20556" spans="7:16" s="1634" customFormat="1">
      <c r="G20556" s="3336"/>
      <c r="P20556" s="3337"/>
    </row>
    <row r="20557" spans="7:16" s="1634" customFormat="1">
      <c r="G20557" s="3336"/>
      <c r="P20557" s="3337"/>
    </row>
    <row r="20558" spans="7:16" s="1634" customFormat="1">
      <c r="G20558" s="3336"/>
      <c r="P20558" s="3337"/>
    </row>
    <row r="20559" spans="7:16" s="1634" customFormat="1">
      <c r="G20559" s="3336"/>
      <c r="P20559" s="3337"/>
    </row>
    <row r="20560" spans="7:16" s="1634" customFormat="1">
      <c r="G20560" s="3336"/>
      <c r="P20560" s="3337"/>
    </row>
    <row r="20561" spans="7:16" s="1634" customFormat="1">
      <c r="G20561" s="3336"/>
      <c r="P20561" s="3337"/>
    </row>
    <row r="20562" spans="7:16" s="1634" customFormat="1">
      <c r="G20562" s="3336"/>
      <c r="P20562" s="3337"/>
    </row>
    <row r="20563" spans="7:16" s="1634" customFormat="1">
      <c r="G20563" s="3336"/>
      <c r="P20563" s="3337"/>
    </row>
    <row r="20564" spans="7:16" s="1634" customFormat="1">
      <c r="G20564" s="3336"/>
      <c r="P20564" s="3337"/>
    </row>
    <row r="20565" spans="7:16" s="1634" customFormat="1">
      <c r="G20565" s="3336"/>
      <c r="P20565" s="3337"/>
    </row>
    <row r="20566" spans="7:16" s="1634" customFormat="1">
      <c r="G20566" s="3336"/>
      <c r="P20566" s="3337"/>
    </row>
    <row r="20567" spans="7:16" s="1634" customFormat="1">
      <c r="G20567" s="3336"/>
      <c r="P20567" s="3337"/>
    </row>
    <row r="20568" spans="7:16" s="1634" customFormat="1">
      <c r="G20568" s="3336"/>
      <c r="P20568" s="3337"/>
    </row>
    <row r="20569" spans="7:16" s="1634" customFormat="1">
      <c r="G20569" s="3336"/>
      <c r="P20569" s="3337"/>
    </row>
    <row r="20570" spans="7:16" s="1634" customFormat="1">
      <c r="G20570" s="3336"/>
      <c r="P20570" s="3337"/>
    </row>
    <row r="20571" spans="7:16" s="1634" customFormat="1">
      <c r="G20571" s="3336"/>
      <c r="P20571" s="3337"/>
    </row>
    <row r="20572" spans="7:16" s="1634" customFormat="1">
      <c r="G20572" s="3336"/>
      <c r="P20572" s="3337"/>
    </row>
    <row r="20573" spans="7:16" s="1634" customFormat="1">
      <c r="G20573" s="3336"/>
      <c r="P20573" s="3337"/>
    </row>
    <row r="20574" spans="7:16" s="1634" customFormat="1">
      <c r="G20574" s="3336"/>
      <c r="P20574" s="3337"/>
    </row>
    <row r="20575" spans="7:16" s="1634" customFormat="1">
      <c r="G20575" s="3336"/>
      <c r="P20575" s="3337"/>
    </row>
    <row r="20576" spans="7:16" s="1634" customFormat="1">
      <c r="G20576" s="3336"/>
      <c r="P20576" s="3337"/>
    </row>
    <row r="20577" spans="7:16" s="1634" customFormat="1">
      <c r="G20577" s="3336"/>
      <c r="P20577" s="3337"/>
    </row>
    <row r="20578" spans="7:16" s="1634" customFormat="1">
      <c r="G20578" s="3336"/>
      <c r="P20578" s="3337"/>
    </row>
    <row r="20579" spans="7:16" s="1634" customFormat="1">
      <c r="G20579" s="3336"/>
      <c r="P20579" s="3337"/>
    </row>
    <row r="20580" spans="7:16" s="1634" customFormat="1">
      <c r="G20580" s="3336"/>
      <c r="P20580" s="3337"/>
    </row>
    <row r="20581" spans="7:16" s="1634" customFormat="1">
      <c r="G20581" s="3336"/>
      <c r="P20581" s="3337"/>
    </row>
    <row r="20582" spans="7:16" s="1634" customFormat="1">
      <c r="G20582" s="3336"/>
      <c r="P20582" s="3337"/>
    </row>
    <row r="20583" spans="7:16" s="1634" customFormat="1">
      <c r="G20583" s="3336"/>
      <c r="P20583" s="3337"/>
    </row>
    <row r="20584" spans="7:16" s="1634" customFormat="1">
      <c r="G20584" s="3336"/>
      <c r="P20584" s="3337"/>
    </row>
    <row r="20585" spans="7:16" s="1634" customFormat="1">
      <c r="G20585" s="3336"/>
      <c r="P20585" s="3337"/>
    </row>
    <row r="20586" spans="7:16" s="1634" customFormat="1">
      <c r="G20586" s="3336"/>
      <c r="P20586" s="3337"/>
    </row>
    <row r="20587" spans="7:16" s="1634" customFormat="1">
      <c r="G20587" s="3336"/>
      <c r="P20587" s="3337"/>
    </row>
    <row r="20588" spans="7:16" s="1634" customFormat="1">
      <c r="G20588" s="3336"/>
      <c r="P20588" s="3337"/>
    </row>
    <row r="20589" spans="7:16" s="1634" customFormat="1">
      <c r="G20589" s="3336"/>
      <c r="P20589" s="3337"/>
    </row>
    <row r="20590" spans="7:16" s="1634" customFormat="1">
      <c r="G20590" s="3336"/>
      <c r="P20590" s="3337"/>
    </row>
    <row r="20591" spans="7:16" s="1634" customFormat="1">
      <c r="G20591" s="3336"/>
      <c r="P20591" s="3337"/>
    </row>
    <row r="20592" spans="7:16" s="1634" customFormat="1">
      <c r="G20592" s="3336"/>
      <c r="P20592" s="3337"/>
    </row>
    <row r="20593" spans="7:16" s="1634" customFormat="1">
      <c r="G20593" s="3336"/>
      <c r="P20593" s="3337"/>
    </row>
    <row r="20594" spans="7:16" s="1634" customFormat="1">
      <c r="G20594" s="3336"/>
      <c r="P20594" s="3337"/>
    </row>
    <row r="20595" spans="7:16" s="1634" customFormat="1">
      <c r="G20595" s="3336"/>
      <c r="P20595" s="3337"/>
    </row>
    <row r="20596" spans="7:16" s="1634" customFormat="1">
      <c r="G20596" s="3336"/>
      <c r="P20596" s="3337"/>
    </row>
    <row r="20597" spans="7:16" s="1634" customFormat="1">
      <c r="G20597" s="3336"/>
      <c r="P20597" s="3337"/>
    </row>
    <row r="20598" spans="7:16" s="1634" customFormat="1">
      <c r="G20598" s="3336"/>
      <c r="P20598" s="3337"/>
    </row>
    <row r="20599" spans="7:16" s="1634" customFormat="1">
      <c r="G20599" s="3336"/>
      <c r="P20599" s="3337"/>
    </row>
    <row r="20600" spans="7:16" s="1634" customFormat="1">
      <c r="G20600" s="3336"/>
      <c r="P20600" s="3337"/>
    </row>
    <row r="20601" spans="7:16" s="1634" customFormat="1">
      <c r="G20601" s="3336"/>
      <c r="P20601" s="3337"/>
    </row>
    <row r="20602" spans="7:16" s="1634" customFormat="1">
      <c r="G20602" s="3336"/>
      <c r="P20602" s="3337"/>
    </row>
    <row r="20603" spans="7:16" s="1634" customFormat="1">
      <c r="G20603" s="3336"/>
      <c r="P20603" s="3337"/>
    </row>
    <row r="20604" spans="7:16" s="1634" customFormat="1">
      <c r="G20604" s="3336"/>
      <c r="P20604" s="3337"/>
    </row>
    <row r="20605" spans="7:16" s="1634" customFormat="1">
      <c r="G20605" s="3336"/>
      <c r="P20605" s="3337"/>
    </row>
    <row r="20606" spans="7:16" s="1634" customFormat="1">
      <c r="G20606" s="3336"/>
      <c r="P20606" s="3337"/>
    </row>
    <row r="20607" spans="7:16" s="1634" customFormat="1">
      <c r="G20607" s="3336"/>
      <c r="P20607" s="3337"/>
    </row>
    <row r="20608" spans="7:16" s="1634" customFormat="1">
      <c r="G20608" s="3336"/>
      <c r="P20608" s="3337"/>
    </row>
    <row r="20609" spans="7:16" s="1634" customFormat="1">
      <c r="G20609" s="3336"/>
      <c r="P20609" s="3337"/>
    </row>
    <row r="20610" spans="7:16" s="1634" customFormat="1">
      <c r="G20610" s="3336"/>
      <c r="P20610" s="3337"/>
    </row>
    <row r="20611" spans="7:16" s="1634" customFormat="1">
      <c r="G20611" s="3336"/>
      <c r="P20611" s="3337"/>
    </row>
    <row r="20612" spans="7:16" s="1634" customFormat="1">
      <c r="G20612" s="3336"/>
      <c r="P20612" s="3337"/>
    </row>
    <row r="20613" spans="7:16" s="1634" customFormat="1">
      <c r="G20613" s="3336"/>
      <c r="P20613" s="3337"/>
    </row>
    <row r="20614" spans="7:16" s="1634" customFormat="1">
      <c r="G20614" s="3336"/>
      <c r="P20614" s="3337"/>
    </row>
    <row r="20615" spans="7:16" s="1634" customFormat="1">
      <c r="G20615" s="3336"/>
      <c r="P20615" s="3337"/>
    </row>
    <row r="20616" spans="7:16" s="1634" customFormat="1">
      <c r="G20616" s="3336"/>
      <c r="P20616" s="3337"/>
    </row>
    <row r="20617" spans="7:16" s="1634" customFormat="1">
      <c r="G20617" s="3336"/>
      <c r="P20617" s="3337"/>
    </row>
    <row r="20618" spans="7:16" s="1634" customFormat="1">
      <c r="G20618" s="3336"/>
      <c r="P20618" s="3337"/>
    </row>
    <row r="20619" spans="7:16" s="1634" customFormat="1">
      <c r="G20619" s="3336"/>
      <c r="P20619" s="3337"/>
    </row>
    <row r="20620" spans="7:16" s="1634" customFormat="1">
      <c r="G20620" s="3336"/>
      <c r="P20620" s="3337"/>
    </row>
    <row r="20621" spans="7:16" s="1634" customFormat="1">
      <c r="G20621" s="3336"/>
      <c r="P20621" s="3337"/>
    </row>
    <row r="20622" spans="7:16" s="1634" customFormat="1">
      <c r="G20622" s="3336"/>
      <c r="P20622" s="3337"/>
    </row>
    <row r="20623" spans="7:16" s="1634" customFormat="1">
      <c r="G20623" s="3336"/>
      <c r="P20623" s="3337"/>
    </row>
    <row r="20624" spans="7:16" s="1634" customFormat="1">
      <c r="G20624" s="3336"/>
      <c r="P20624" s="3337"/>
    </row>
    <row r="20625" spans="7:16" s="1634" customFormat="1">
      <c r="G20625" s="3336"/>
      <c r="P20625" s="3337"/>
    </row>
    <row r="20626" spans="7:16" s="1634" customFormat="1">
      <c r="G20626" s="3336"/>
      <c r="P20626" s="3337"/>
    </row>
    <row r="20627" spans="7:16" s="1634" customFormat="1">
      <c r="G20627" s="3336"/>
      <c r="P20627" s="3337"/>
    </row>
    <row r="20628" spans="7:16" s="1634" customFormat="1">
      <c r="G20628" s="3336"/>
      <c r="P20628" s="3337"/>
    </row>
    <row r="20629" spans="7:16" s="1634" customFormat="1">
      <c r="G20629" s="3336"/>
      <c r="P20629" s="3337"/>
    </row>
    <row r="20630" spans="7:16" s="1634" customFormat="1">
      <c r="G20630" s="3336"/>
      <c r="P20630" s="3337"/>
    </row>
    <row r="20631" spans="7:16" s="1634" customFormat="1">
      <c r="G20631" s="3336"/>
      <c r="P20631" s="3337"/>
    </row>
    <row r="20632" spans="7:16" s="1634" customFormat="1">
      <c r="G20632" s="3336"/>
      <c r="P20632" s="3337"/>
    </row>
    <row r="20633" spans="7:16" s="1634" customFormat="1">
      <c r="G20633" s="3336"/>
      <c r="P20633" s="3337"/>
    </row>
    <row r="20634" spans="7:16" s="1634" customFormat="1">
      <c r="G20634" s="3336"/>
      <c r="P20634" s="3337"/>
    </row>
    <row r="20635" spans="7:16" s="1634" customFormat="1">
      <c r="G20635" s="3336"/>
      <c r="P20635" s="3337"/>
    </row>
    <row r="20636" spans="7:16" s="1634" customFormat="1">
      <c r="G20636" s="3336"/>
      <c r="P20636" s="3337"/>
    </row>
    <row r="20637" spans="7:16" s="1634" customFormat="1">
      <c r="G20637" s="3336"/>
      <c r="P20637" s="3337"/>
    </row>
    <row r="20638" spans="7:16" s="1634" customFormat="1">
      <c r="G20638" s="3336"/>
      <c r="P20638" s="3337"/>
    </row>
    <row r="20639" spans="7:16" s="1634" customFormat="1">
      <c r="G20639" s="3336"/>
      <c r="P20639" s="3337"/>
    </row>
    <row r="20640" spans="7:16" s="1634" customFormat="1">
      <c r="G20640" s="3336"/>
      <c r="P20640" s="3337"/>
    </row>
    <row r="20641" spans="7:16" s="1634" customFormat="1">
      <c r="G20641" s="3336"/>
      <c r="P20641" s="3337"/>
    </row>
    <row r="20642" spans="7:16" s="1634" customFormat="1">
      <c r="G20642" s="3336"/>
      <c r="P20642" s="3337"/>
    </row>
    <row r="20643" spans="7:16" s="1634" customFormat="1">
      <c r="G20643" s="3336"/>
      <c r="P20643" s="3337"/>
    </row>
    <row r="20644" spans="7:16" s="1634" customFormat="1">
      <c r="G20644" s="3336"/>
      <c r="P20644" s="3337"/>
    </row>
    <row r="20645" spans="7:16" s="1634" customFormat="1">
      <c r="G20645" s="3336"/>
      <c r="P20645" s="3337"/>
    </row>
    <row r="20646" spans="7:16" s="1634" customFormat="1">
      <c r="G20646" s="3336"/>
      <c r="P20646" s="3337"/>
    </row>
    <row r="20647" spans="7:16" s="1634" customFormat="1">
      <c r="G20647" s="3336"/>
      <c r="P20647" s="3337"/>
    </row>
    <row r="20648" spans="7:16" s="1634" customFormat="1">
      <c r="G20648" s="3336"/>
      <c r="P20648" s="3337"/>
    </row>
    <row r="20649" spans="7:16" s="1634" customFormat="1">
      <c r="G20649" s="3336"/>
      <c r="P20649" s="3337"/>
    </row>
    <row r="20650" spans="7:16" s="1634" customFormat="1">
      <c r="G20650" s="3336"/>
      <c r="P20650" s="3337"/>
    </row>
    <row r="20651" spans="7:16" s="1634" customFormat="1">
      <c r="G20651" s="3336"/>
      <c r="P20651" s="3337"/>
    </row>
    <row r="20652" spans="7:16" s="1634" customFormat="1">
      <c r="G20652" s="3336"/>
      <c r="P20652" s="3337"/>
    </row>
    <row r="20653" spans="7:16" s="1634" customFormat="1">
      <c r="G20653" s="3336"/>
      <c r="P20653" s="3337"/>
    </row>
    <row r="20654" spans="7:16" s="1634" customFormat="1">
      <c r="G20654" s="3336"/>
      <c r="P20654" s="3337"/>
    </row>
    <row r="20655" spans="7:16" s="1634" customFormat="1">
      <c r="G20655" s="3336"/>
      <c r="P20655" s="3337"/>
    </row>
    <row r="20656" spans="7:16" s="1634" customFormat="1">
      <c r="G20656" s="3336"/>
      <c r="P20656" s="3337"/>
    </row>
    <row r="20657" spans="7:16" s="1634" customFormat="1">
      <c r="G20657" s="3336"/>
      <c r="P20657" s="3337"/>
    </row>
    <row r="20658" spans="7:16" s="1634" customFormat="1">
      <c r="G20658" s="3336"/>
      <c r="P20658" s="3337"/>
    </row>
    <row r="20659" spans="7:16" s="1634" customFormat="1">
      <c r="G20659" s="3336"/>
      <c r="P20659" s="3337"/>
    </row>
    <row r="20660" spans="7:16" s="1634" customFormat="1">
      <c r="G20660" s="3336"/>
      <c r="P20660" s="3337"/>
    </row>
    <row r="20661" spans="7:16" s="1634" customFormat="1">
      <c r="G20661" s="3336"/>
      <c r="P20661" s="3337"/>
    </row>
    <row r="20662" spans="7:16" s="1634" customFormat="1">
      <c r="G20662" s="3336"/>
      <c r="P20662" s="3337"/>
    </row>
    <row r="20663" spans="7:16" s="1634" customFormat="1">
      <c r="G20663" s="3336"/>
      <c r="P20663" s="3337"/>
    </row>
    <row r="20664" spans="7:16" s="1634" customFormat="1">
      <c r="G20664" s="3336"/>
      <c r="P20664" s="3337"/>
    </row>
    <row r="20665" spans="7:16" s="1634" customFormat="1">
      <c r="G20665" s="3336"/>
      <c r="P20665" s="3337"/>
    </row>
    <row r="20666" spans="7:16" s="1634" customFormat="1">
      <c r="G20666" s="3336"/>
      <c r="P20666" s="3337"/>
    </row>
    <row r="20667" spans="7:16" s="1634" customFormat="1">
      <c r="G20667" s="3336"/>
      <c r="P20667" s="3337"/>
    </row>
    <row r="20668" spans="7:16" s="1634" customFormat="1">
      <c r="G20668" s="3336"/>
      <c r="P20668" s="3337"/>
    </row>
    <row r="20669" spans="7:16" s="1634" customFormat="1">
      <c r="G20669" s="3336"/>
      <c r="P20669" s="3337"/>
    </row>
    <row r="20670" spans="7:16" s="1634" customFormat="1">
      <c r="G20670" s="3336"/>
      <c r="P20670" s="3337"/>
    </row>
    <row r="20671" spans="7:16" s="1634" customFormat="1">
      <c r="G20671" s="3336"/>
      <c r="P20671" s="3337"/>
    </row>
    <row r="20672" spans="7:16" s="1634" customFormat="1">
      <c r="G20672" s="3336"/>
      <c r="P20672" s="3337"/>
    </row>
    <row r="20673" spans="7:16" s="1634" customFormat="1">
      <c r="G20673" s="3336"/>
      <c r="P20673" s="3337"/>
    </row>
    <row r="20674" spans="7:16" s="1634" customFormat="1">
      <c r="G20674" s="3336"/>
      <c r="P20674" s="3337"/>
    </row>
    <row r="20675" spans="7:16" s="1634" customFormat="1">
      <c r="G20675" s="3336"/>
      <c r="P20675" s="3337"/>
    </row>
    <row r="20676" spans="7:16" s="1634" customFormat="1">
      <c r="G20676" s="3336"/>
      <c r="P20676" s="3337"/>
    </row>
    <row r="20677" spans="7:16" s="1634" customFormat="1">
      <c r="G20677" s="3336"/>
      <c r="P20677" s="3337"/>
    </row>
    <row r="20678" spans="7:16" s="1634" customFormat="1">
      <c r="G20678" s="3336"/>
      <c r="P20678" s="3337"/>
    </row>
    <row r="20679" spans="7:16" s="1634" customFormat="1">
      <c r="G20679" s="3336"/>
      <c r="P20679" s="3337"/>
    </row>
    <row r="20680" spans="7:16" s="1634" customFormat="1">
      <c r="G20680" s="3336"/>
      <c r="P20680" s="3337"/>
    </row>
    <row r="20681" spans="7:16" s="1634" customFormat="1">
      <c r="G20681" s="3336"/>
      <c r="P20681" s="3337"/>
    </row>
    <row r="20682" spans="7:16" s="1634" customFormat="1">
      <c r="G20682" s="3336"/>
      <c r="P20682" s="3337"/>
    </row>
    <row r="20683" spans="7:16" s="1634" customFormat="1">
      <c r="G20683" s="3336"/>
      <c r="P20683" s="3337"/>
    </row>
    <row r="20684" spans="7:16" s="1634" customFormat="1">
      <c r="G20684" s="3336"/>
      <c r="P20684" s="3337"/>
    </row>
    <row r="20685" spans="7:16" s="1634" customFormat="1">
      <c r="G20685" s="3336"/>
      <c r="P20685" s="3337"/>
    </row>
    <row r="20686" spans="7:16" s="1634" customFormat="1">
      <c r="G20686" s="3336"/>
      <c r="P20686" s="3337"/>
    </row>
    <row r="20687" spans="7:16" s="1634" customFormat="1">
      <c r="G20687" s="3336"/>
      <c r="P20687" s="3337"/>
    </row>
    <row r="20688" spans="7:16" s="1634" customFormat="1">
      <c r="G20688" s="3336"/>
      <c r="P20688" s="3337"/>
    </row>
    <row r="20689" spans="7:16" s="1634" customFormat="1">
      <c r="G20689" s="3336"/>
      <c r="P20689" s="3337"/>
    </row>
    <row r="20690" spans="7:16" s="1634" customFormat="1">
      <c r="G20690" s="3336"/>
      <c r="P20690" s="3337"/>
    </row>
    <row r="20691" spans="7:16" s="1634" customFormat="1">
      <c r="G20691" s="3336"/>
      <c r="P20691" s="3337"/>
    </row>
    <row r="20692" spans="7:16" s="1634" customFormat="1">
      <c r="G20692" s="3336"/>
      <c r="P20692" s="3337"/>
    </row>
    <row r="20693" spans="7:16" s="1634" customFormat="1">
      <c r="G20693" s="3336"/>
      <c r="P20693" s="3337"/>
    </row>
    <row r="20694" spans="7:16" s="1634" customFormat="1">
      <c r="G20694" s="3336"/>
      <c r="P20694" s="3337"/>
    </row>
    <row r="20695" spans="7:16" s="1634" customFormat="1">
      <c r="G20695" s="3336"/>
      <c r="P20695" s="3337"/>
    </row>
    <row r="20696" spans="7:16" s="1634" customFormat="1">
      <c r="G20696" s="3336"/>
      <c r="P20696" s="3337"/>
    </row>
    <row r="20697" spans="7:16" s="1634" customFormat="1">
      <c r="G20697" s="3336"/>
      <c r="P20697" s="3337"/>
    </row>
    <row r="20698" spans="7:16" s="1634" customFormat="1">
      <c r="G20698" s="3336"/>
      <c r="P20698" s="3337"/>
    </row>
    <row r="20699" spans="7:16" s="1634" customFormat="1">
      <c r="G20699" s="3336"/>
      <c r="P20699" s="3337"/>
    </row>
    <row r="20700" spans="7:16" s="1634" customFormat="1">
      <c r="G20700" s="3336"/>
      <c r="P20700" s="3337"/>
    </row>
    <row r="20701" spans="7:16" s="1634" customFormat="1">
      <c r="G20701" s="3336"/>
      <c r="P20701" s="3337"/>
    </row>
    <row r="20702" spans="7:16" s="1634" customFormat="1">
      <c r="G20702" s="3336"/>
      <c r="P20702" s="3337"/>
    </row>
    <row r="20703" spans="7:16" s="1634" customFormat="1">
      <c r="G20703" s="3336"/>
      <c r="P20703" s="3337"/>
    </row>
    <row r="20704" spans="7:16" s="1634" customFormat="1">
      <c r="G20704" s="3336"/>
      <c r="P20704" s="3337"/>
    </row>
    <row r="20705" spans="7:16" s="1634" customFormat="1">
      <c r="G20705" s="3336"/>
      <c r="P20705" s="3337"/>
    </row>
    <row r="20706" spans="7:16" s="1634" customFormat="1">
      <c r="G20706" s="3336"/>
      <c r="P20706" s="3337"/>
    </row>
    <row r="20707" spans="7:16" s="1634" customFormat="1">
      <c r="G20707" s="3336"/>
      <c r="P20707" s="3337"/>
    </row>
    <row r="20708" spans="7:16" s="1634" customFormat="1">
      <c r="G20708" s="3336"/>
      <c r="P20708" s="3337"/>
    </row>
    <row r="20709" spans="7:16" s="1634" customFormat="1">
      <c r="G20709" s="3336"/>
      <c r="P20709" s="3337"/>
    </row>
    <row r="20710" spans="7:16" s="1634" customFormat="1">
      <c r="G20710" s="3336"/>
      <c r="P20710" s="3337"/>
    </row>
    <row r="20711" spans="7:16" s="1634" customFormat="1">
      <c r="G20711" s="3336"/>
      <c r="P20711" s="3337"/>
    </row>
    <row r="20712" spans="7:16" s="1634" customFormat="1">
      <c r="G20712" s="3336"/>
      <c r="P20712" s="3337"/>
    </row>
    <row r="20713" spans="7:16" s="1634" customFormat="1">
      <c r="G20713" s="3336"/>
      <c r="P20713" s="3337"/>
    </row>
    <row r="20714" spans="7:16" s="1634" customFormat="1">
      <c r="G20714" s="3336"/>
      <c r="P20714" s="3337"/>
    </row>
    <row r="20715" spans="7:16" s="1634" customFormat="1">
      <c r="G20715" s="3336"/>
      <c r="P20715" s="3337"/>
    </row>
    <row r="20716" spans="7:16" s="1634" customFormat="1">
      <c r="G20716" s="3336"/>
      <c r="P20716" s="3337"/>
    </row>
    <row r="20717" spans="7:16" s="1634" customFormat="1">
      <c r="G20717" s="3336"/>
      <c r="P20717" s="3337"/>
    </row>
    <row r="20718" spans="7:16" s="1634" customFormat="1">
      <c r="G20718" s="3336"/>
      <c r="P20718" s="3337"/>
    </row>
    <row r="20719" spans="7:16" s="1634" customFormat="1">
      <c r="G20719" s="3336"/>
      <c r="P20719" s="3337"/>
    </row>
    <row r="20720" spans="7:16" s="1634" customFormat="1">
      <c r="G20720" s="3336"/>
      <c r="P20720" s="3337"/>
    </row>
    <row r="20721" spans="7:16" s="1634" customFormat="1">
      <c r="G20721" s="3336"/>
      <c r="P20721" s="3337"/>
    </row>
    <row r="20722" spans="7:16" s="1634" customFormat="1">
      <c r="G20722" s="3336"/>
      <c r="P20722" s="3337"/>
    </row>
    <row r="20723" spans="7:16" s="1634" customFormat="1">
      <c r="G20723" s="3336"/>
      <c r="P20723" s="3337"/>
    </row>
    <row r="20724" spans="7:16" s="1634" customFormat="1">
      <c r="G20724" s="3336"/>
      <c r="P20724" s="3337"/>
    </row>
    <row r="20725" spans="7:16" s="1634" customFormat="1">
      <c r="G20725" s="3336"/>
      <c r="P20725" s="3337"/>
    </row>
    <row r="20726" spans="7:16" s="1634" customFormat="1">
      <c r="G20726" s="3336"/>
      <c r="P20726" s="3337"/>
    </row>
    <row r="20727" spans="7:16" s="1634" customFormat="1">
      <c r="G20727" s="3336"/>
      <c r="P20727" s="3337"/>
    </row>
    <row r="20728" spans="7:16" s="1634" customFormat="1">
      <c r="G20728" s="3336"/>
      <c r="P20728" s="3337"/>
    </row>
    <row r="20729" spans="7:16" s="1634" customFormat="1">
      <c r="G20729" s="3336"/>
      <c r="P20729" s="3337"/>
    </row>
    <row r="20730" spans="7:16" s="1634" customFormat="1">
      <c r="G20730" s="3336"/>
      <c r="P20730" s="3337"/>
    </row>
    <row r="20731" spans="7:16" s="1634" customFormat="1">
      <c r="G20731" s="3336"/>
      <c r="P20731" s="3337"/>
    </row>
    <row r="20732" spans="7:16" s="1634" customFormat="1">
      <c r="G20732" s="3336"/>
      <c r="P20732" s="3337"/>
    </row>
    <row r="20733" spans="7:16" s="1634" customFormat="1">
      <c r="G20733" s="3336"/>
      <c r="P20733" s="3337"/>
    </row>
    <row r="20734" spans="7:16" s="1634" customFormat="1">
      <c r="G20734" s="3336"/>
      <c r="P20734" s="3337"/>
    </row>
    <row r="20735" spans="7:16" s="1634" customFormat="1">
      <c r="G20735" s="3336"/>
      <c r="P20735" s="3337"/>
    </row>
    <row r="20736" spans="7:16" s="1634" customFormat="1">
      <c r="G20736" s="3336"/>
      <c r="P20736" s="3337"/>
    </row>
    <row r="20737" spans="7:16" s="1634" customFormat="1">
      <c r="G20737" s="3336"/>
      <c r="P20737" s="3337"/>
    </row>
    <row r="20738" spans="7:16" s="1634" customFormat="1">
      <c r="G20738" s="3336"/>
      <c r="P20738" s="3337"/>
    </row>
    <row r="20739" spans="7:16" s="1634" customFormat="1">
      <c r="G20739" s="3336"/>
      <c r="P20739" s="3337"/>
    </row>
    <row r="20740" spans="7:16" s="1634" customFormat="1">
      <c r="G20740" s="3336"/>
      <c r="P20740" s="3337"/>
    </row>
    <row r="20741" spans="7:16" s="1634" customFormat="1">
      <c r="G20741" s="3336"/>
      <c r="P20741" s="3337"/>
    </row>
    <row r="20742" spans="7:16" s="1634" customFormat="1">
      <c r="G20742" s="3336"/>
      <c r="P20742" s="3337"/>
    </row>
    <row r="20743" spans="7:16" s="1634" customFormat="1">
      <c r="G20743" s="3336"/>
      <c r="P20743" s="3337"/>
    </row>
    <row r="20744" spans="7:16" s="1634" customFormat="1">
      <c r="G20744" s="3336"/>
      <c r="P20744" s="3337"/>
    </row>
    <row r="20745" spans="7:16" s="1634" customFormat="1">
      <c r="G20745" s="3336"/>
      <c r="P20745" s="3337"/>
    </row>
    <row r="20746" spans="7:16" s="1634" customFormat="1">
      <c r="G20746" s="3336"/>
      <c r="P20746" s="3337"/>
    </row>
    <row r="20747" spans="7:16" s="1634" customFormat="1">
      <c r="G20747" s="3336"/>
      <c r="P20747" s="3337"/>
    </row>
    <row r="20748" spans="7:16" s="1634" customFormat="1">
      <c r="G20748" s="3336"/>
      <c r="P20748" s="3337"/>
    </row>
    <row r="20749" spans="7:16" s="1634" customFormat="1">
      <c r="G20749" s="3336"/>
      <c r="P20749" s="3337"/>
    </row>
    <row r="20750" spans="7:16" s="1634" customFormat="1">
      <c r="G20750" s="3336"/>
      <c r="P20750" s="3337"/>
    </row>
    <row r="20751" spans="7:16" s="1634" customFormat="1">
      <c r="G20751" s="3336"/>
      <c r="P20751" s="3337"/>
    </row>
    <row r="20752" spans="7:16" s="1634" customFormat="1">
      <c r="G20752" s="3336"/>
      <c r="P20752" s="3337"/>
    </row>
    <row r="20753" spans="7:16" s="1634" customFormat="1">
      <c r="G20753" s="3336"/>
      <c r="P20753" s="3337"/>
    </row>
    <row r="20754" spans="7:16" s="1634" customFormat="1">
      <c r="G20754" s="3336"/>
      <c r="P20754" s="3337"/>
    </row>
    <row r="20755" spans="7:16" s="1634" customFormat="1">
      <c r="G20755" s="3336"/>
      <c r="P20755" s="3337"/>
    </row>
    <row r="20756" spans="7:16" s="1634" customFormat="1">
      <c r="G20756" s="3336"/>
      <c r="P20756" s="3337"/>
    </row>
    <row r="20757" spans="7:16" s="1634" customFormat="1">
      <c r="G20757" s="3336"/>
      <c r="P20757" s="3337"/>
    </row>
    <row r="20758" spans="7:16" s="1634" customFormat="1">
      <c r="G20758" s="3336"/>
      <c r="P20758" s="3337"/>
    </row>
    <row r="20759" spans="7:16" s="1634" customFormat="1">
      <c r="G20759" s="3336"/>
      <c r="P20759" s="3337"/>
    </row>
    <row r="20760" spans="7:16" s="1634" customFormat="1">
      <c r="G20760" s="3336"/>
      <c r="P20760" s="3337"/>
    </row>
    <row r="20761" spans="7:16" s="1634" customFormat="1">
      <c r="G20761" s="3336"/>
      <c r="P20761" s="3337"/>
    </row>
    <row r="20762" spans="7:16" s="1634" customFormat="1">
      <c r="G20762" s="3336"/>
      <c r="P20762" s="3337"/>
    </row>
    <row r="20763" spans="7:16" s="1634" customFormat="1">
      <c r="G20763" s="3336"/>
      <c r="P20763" s="3337"/>
    </row>
    <row r="20764" spans="7:16" s="1634" customFormat="1">
      <c r="G20764" s="3336"/>
      <c r="P20764" s="3337"/>
    </row>
    <row r="20765" spans="7:16" s="1634" customFormat="1">
      <c r="G20765" s="3336"/>
      <c r="P20765" s="3337"/>
    </row>
    <row r="20766" spans="7:16" s="1634" customFormat="1">
      <c r="G20766" s="3336"/>
      <c r="P20766" s="3337"/>
    </row>
    <row r="20767" spans="7:16" s="1634" customFormat="1">
      <c r="G20767" s="3336"/>
      <c r="P20767" s="3337"/>
    </row>
    <row r="20768" spans="7:16" s="1634" customFormat="1">
      <c r="G20768" s="3336"/>
      <c r="P20768" s="3337"/>
    </row>
    <row r="20769" spans="7:16" s="1634" customFormat="1">
      <c r="G20769" s="3336"/>
      <c r="P20769" s="3337"/>
    </row>
    <row r="20770" spans="7:16" s="1634" customFormat="1">
      <c r="G20770" s="3336"/>
      <c r="P20770" s="3337"/>
    </row>
    <row r="20771" spans="7:16" s="1634" customFormat="1">
      <c r="G20771" s="3336"/>
      <c r="P20771" s="3337"/>
    </row>
    <row r="20772" spans="7:16" s="1634" customFormat="1">
      <c r="G20772" s="3336"/>
      <c r="P20772" s="3337"/>
    </row>
    <row r="20773" spans="7:16" s="1634" customFormat="1">
      <c r="G20773" s="3336"/>
      <c r="P20773" s="3337"/>
    </row>
    <row r="20774" spans="7:16" s="1634" customFormat="1">
      <c r="G20774" s="3336"/>
      <c r="P20774" s="3337"/>
    </row>
    <row r="20775" spans="7:16" s="1634" customFormat="1">
      <c r="G20775" s="3336"/>
      <c r="P20775" s="3337"/>
    </row>
    <row r="20776" spans="7:16" s="1634" customFormat="1">
      <c r="G20776" s="3336"/>
      <c r="P20776" s="3337"/>
    </row>
    <row r="20777" spans="7:16" s="1634" customFormat="1">
      <c r="G20777" s="3336"/>
      <c r="P20777" s="3337"/>
    </row>
    <row r="20778" spans="7:16" s="1634" customFormat="1">
      <c r="G20778" s="3336"/>
      <c r="P20778" s="3337"/>
    </row>
    <row r="20779" spans="7:16" s="1634" customFormat="1">
      <c r="G20779" s="3336"/>
      <c r="P20779" s="3337"/>
    </row>
    <row r="20780" spans="7:16" s="1634" customFormat="1">
      <c r="G20780" s="3336"/>
      <c r="P20780" s="3337"/>
    </row>
    <row r="20781" spans="7:16" s="1634" customFormat="1">
      <c r="G20781" s="3336"/>
      <c r="P20781" s="3337"/>
    </row>
    <row r="20782" spans="7:16" s="1634" customFormat="1">
      <c r="G20782" s="3336"/>
      <c r="P20782" s="3337"/>
    </row>
    <row r="20783" spans="7:16" s="1634" customFormat="1">
      <c r="G20783" s="3336"/>
      <c r="P20783" s="3337"/>
    </row>
    <row r="20784" spans="7:16" s="1634" customFormat="1">
      <c r="G20784" s="3336"/>
      <c r="P20784" s="3337"/>
    </row>
    <row r="20785" spans="7:16" s="1634" customFormat="1">
      <c r="G20785" s="3336"/>
      <c r="P20785" s="3337"/>
    </row>
    <row r="20786" spans="7:16" s="1634" customFormat="1">
      <c r="G20786" s="3336"/>
      <c r="P20786" s="3337"/>
    </row>
    <row r="20787" spans="7:16" s="1634" customFormat="1">
      <c r="G20787" s="3336"/>
      <c r="P20787" s="3337"/>
    </row>
    <row r="20788" spans="7:16" s="1634" customFormat="1">
      <c r="G20788" s="3336"/>
      <c r="P20788" s="3337"/>
    </row>
    <row r="20789" spans="7:16" s="1634" customFormat="1">
      <c r="G20789" s="3336"/>
      <c r="P20789" s="3337"/>
    </row>
    <row r="20790" spans="7:16" s="1634" customFormat="1">
      <c r="G20790" s="3336"/>
      <c r="P20790" s="3337"/>
    </row>
    <row r="20791" spans="7:16" s="1634" customFormat="1">
      <c r="G20791" s="3336"/>
      <c r="P20791" s="3337"/>
    </row>
    <row r="20792" spans="7:16" s="1634" customFormat="1">
      <c r="G20792" s="3336"/>
      <c r="P20792" s="3337"/>
    </row>
    <row r="20793" spans="7:16" s="1634" customFormat="1">
      <c r="G20793" s="3336"/>
      <c r="P20793" s="3337"/>
    </row>
    <row r="20794" spans="7:16" s="1634" customFormat="1">
      <c r="G20794" s="3336"/>
      <c r="P20794" s="3337"/>
    </row>
    <row r="20795" spans="7:16" s="1634" customFormat="1">
      <c r="G20795" s="3336"/>
      <c r="P20795" s="3337"/>
    </row>
    <row r="20796" spans="7:16" s="1634" customFormat="1">
      <c r="G20796" s="3336"/>
      <c r="P20796" s="3337"/>
    </row>
    <row r="20797" spans="7:16" s="1634" customFormat="1">
      <c r="G20797" s="3336"/>
      <c r="P20797" s="3337"/>
    </row>
    <row r="20798" spans="7:16" s="1634" customFormat="1">
      <c r="G20798" s="3336"/>
      <c r="P20798" s="3337"/>
    </row>
    <row r="20799" spans="7:16" s="1634" customFormat="1">
      <c r="G20799" s="3336"/>
      <c r="P20799" s="3337"/>
    </row>
    <row r="20800" spans="7:16" s="1634" customFormat="1">
      <c r="G20800" s="3336"/>
      <c r="P20800" s="3337"/>
    </row>
    <row r="20801" spans="7:16" s="1634" customFormat="1">
      <c r="G20801" s="3336"/>
      <c r="P20801" s="3337"/>
    </row>
    <row r="20802" spans="7:16" s="1634" customFormat="1">
      <c r="G20802" s="3336"/>
      <c r="P20802" s="3337"/>
    </row>
    <row r="20803" spans="7:16" s="1634" customFormat="1">
      <c r="G20803" s="3336"/>
      <c r="P20803" s="3337"/>
    </row>
    <row r="20804" spans="7:16" s="1634" customFormat="1">
      <c r="G20804" s="3336"/>
      <c r="P20804" s="3337"/>
    </row>
    <row r="20805" spans="7:16" s="1634" customFormat="1">
      <c r="G20805" s="3336"/>
      <c r="P20805" s="3337"/>
    </row>
    <row r="20806" spans="7:16" s="1634" customFormat="1">
      <c r="G20806" s="3336"/>
      <c r="P20806" s="3337"/>
    </row>
    <row r="20807" spans="7:16" s="1634" customFormat="1">
      <c r="G20807" s="3336"/>
      <c r="P20807" s="3337"/>
    </row>
    <row r="20808" spans="7:16" s="1634" customFormat="1">
      <c r="G20808" s="3336"/>
      <c r="P20808" s="3337"/>
    </row>
    <row r="20809" spans="7:16" s="1634" customFormat="1">
      <c r="G20809" s="3336"/>
      <c r="P20809" s="3337"/>
    </row>
    <row r="20810" spans="7:16" s="1634" customFormat="1">
      <c r="G20810" s="3336"/>
      <c r="P20810" s="3337"/>
    </row>
    <row r="20811" spans="7:16" s="1634" customFormat="1">
      <c r="G20811" s="3336"/>
      <c r="P20811" s="3337"/>
    </row>
    <row r="20812" spans="7:16" s="1634" customFormat="1">
      <c r="G20812" s="3336"/>
      <c r="P20812" s="3337"/>
    </row>
    <row r="20813" spans="7:16" s="1634" customFormat="1">
      <c r="G20813" s="3336"/>
      <c r="P20813" s="3337"/>
    </row>
    <row r="20814" spans="7:16" s="1634" customFormat="1">
      <c r="G20814" s="3336"/>
      <c r="P20814" s="3337"/>
    </row>
    <row r="20815" spans="7:16" s="1634" customFormat="1">
      <c r="G20815" s="3336"/>
      <c r="P20815" s="3337"/>
    </row>
    <row r="20816" spans="7:16" s="1634" customFormat="1">
      <c r="G20816" s="3336"/>
      <c r="P20816" s="3337"/>
    </row>
    <row r="20817" spans="7:16" s="1634" customFormat="1">
      <c r="G20817" s="3336"/>
      <c r="P20817" s="3337"/>
    </row>
    <row r="20818" spans="7:16" s="1634" customFormat="1">
      <c r="G20818" s="3336"/>
      <c r="P20818" s="3337"/>
    </row>
    <row r="20819" spans="7:16" s="1634" customFormat="1">
      <c r="G20819" s="3336"/>
      <c r="P20819" s="3337"/>
    </row>
    <row r="20820" spans="7:16" s="1634" customFormat="1">
      <c r="G20820" s="3336"/>
      <c r="P20820" s="3337"/>
    </row>
    <row r="20821" spans="7:16" s="1634" customFormat="1">
      <c r="G20821" s="3336"/>
      <c r="P20821" s="3337"/>
    </row>
    <row r="20822" spans="7:16" s="1634" customFormat="1">
      <c r="G20822" s="3336"/>
      <c r="P20822" s="3337"/>
    </row>
    <row r="20823" spans="7:16" s="1634" customFormat="1">
      <c r="G20823" s="3336"/>
      <c r="P20823" s="3337"/>
    </row>
    <row r="20824" spans="7:16" s="1634" customFormat="1">
      <c r="G20824" s="3336"/>
      <c r="P20824" s="3337"/>
    </row>
    <row r="20825" spans="7:16" s="1634" customFormat="1">
      <c r="G20825" s="3336"/>
      <c r="P20825" s="3337"/>
    </row>
    <row r="20826" spans="7:16" s="1634" customFormat="1">
      <c r="G20826" s="3336"/>
      <c r="P20826" s="3337"/>
    </row>
    <row r="20827" spans="7:16" s="1634" customFormat="1">
      <c r="G20827" s="3336"/>
      <c r="P20827" s="3337"/>
    </row>
    <row r="20828" spans="7:16" s="1634" customFormat="1">
      <c r="G20828" s="3336"/>
      <c r="P20828" s="3337"/>
    </row>
    <row r="20829" spans="7:16" s="1634" customFormat="1">
      <c r="G20829" s="3336"/>
      <c r="P20829" s="3337"/>
    </row>
    <row r="20830" spans="7:16" s="1634" customFormat="1">
      <c r="G20830" s="3336"/>
      <c r="P20830" s="3337"/>
    </row>
    <row r="20831" spans="7:16" s="1634" customFormat="1">
      <c r="G20831" s="3336"/>
      <c r="P20831" s="3337"/>
    </row>
    <row r="20832" spans="7:16" s="1634" customFormat="1">
      <c r="G20832" s="3336"/>
      <c r="P20832" s="3337"/>
    </row>
    <row r="20833" spans="7:16" s="1634" customFormat="1">
      <c r="G20833" s="3336"/>
      <c r="P20833" s="3337"/>
    </row>
    <row r="20834" spans="7:16" s="1634" customFormat="1">
      <c r="G20834" s="3336"/>
      <c r="P20834" s="3337"/>
    </row>
    <row r="20835" spans="7:16" s="1634" customFormat="1">
      <c r="G20835" s="3336"/>
      <c r="P20835" s="3337"/>
    </row>
    <row r="20836" spans="7:16" s="1634" customFormat="1">
      <c r="G20836" s="3336"/>
      <c r="P20836" s="3337"/>
    </row>
    <row r="20837" spans="7:16" s="1634" customFormat="1">
      <c r="G20837" s="3336"/>
      <c r="P20837" s="3337"/>
    </row>
    <row r="20838" spans="7:16" s="1634" customFormat="1">
      <c r="G20838" s="3336"/>
      <c r="P20838" s="3337"/>
    </row>
    <row r="20839" spans="7:16" s="1634" customFormat="1">
      <c r="G20839" s="3336"/>
      <c r="P20839" s="3337"/>
    </row>
    <row r="20840" spans="7:16" s="1634" customFormat="1">
      <c r="G20840" s="3336"/>
      <c r="P20840" s="3337"/>
    </row>
    <row r="20841" spans="7:16" s="1634" customFormat="1">
      <c r="G20841" s="3336"/>
      <c r="P20841" s="3337"/>
    </row>
    <row r="20842" spans="7:16" s="1634" customFormat="1">
      <c r="G20842" s="3336"/>
      <c r="P20842" s="3337"/>
    </row>
    <row r="20843" spans="7:16" s="1634" customFormat="1">
      <c r="G20843" s="3336"/>
      <c r="P20843" s="3337"/>
    </row>
    <row r="20844" spans="7:16" s="1634" customFormat="1">
      <c r="G20844" s="3336"/>
      <c r="P20844" s="3337"/>
    </row>
    <row r="20845" spans="7:16" s="1634" customFormat="1">
      <c r="G20845" s="3336"/>
      <c r="P20845" s="3337"/>
    </row>
    <row r="20846" spans="7:16" s="1634" customFormat="1">
      <c r="G20846" s="3336"/>
      <c r="P20846" s="3337"/>
    </row>
    <row r="20847" spans="7:16" s="1634" customFormat="1">
      <c r="G20847" s="3336"/>
      <c r="P20847" s="3337"/>
    </row>
    <row r="20848" spans="7:16" s="1634" customFormat="1">
      <c r="G20848" s="3336"/>
      <c r="P20848" s="3337"/>
    </row>
    <row r="20849" spans="7:16" s="1634" customFormat="1">
      <c r="G20849" s="3336"/>
      <c r="P20849" s="3337"/>
    </row>
    <row r="20850" spans="7:16" s="1634" customFormat="1">
      <c r="G20850" s="3336"/>
      <c r="P20850" s="3337"/>
    </row>
    <row r="20851" spans="7:16" s="1634" customFormat="1">
      <c r="G20851" s="3336"/>
      <c r="P20851" s="3337"/>
    </row>
    <row r="20852" spans="7:16" s="1634" customFormat="1">
      <c r="G20852" s="3336"/>
      <c r="P20852" s="3337"/>
    </row>
    <row r="20853" spans="7:16" s="1634" customFormat="1">
      <c r="G20853" s="3336"/>
      <c r="P20853" s="3337"/>
    </row>
    <row r="20854" spans="7:16" s="1634" customFormat="1">
      <c r="G20854" s="3336"/>
      <c r="P20854" s="3337"/>
    </row>
    <row r="20855" spans="7:16" s="1634" customFormat="1">
      <c r="G20855" s="3336"/>
      <c r="P20855" s="3337"/>
    </row>
    <row r="20856" spans="7:16" s="1634" customFormat="1">
      <c r="G20856" s="3336"/>
      <c r="P20856" s="3337"/>
    </row>
    <row r="20857" spans="7:16" s="1634" customFormat="1">
      <c r="G20857" s="3336"/>
      <c r="P20857" s="3337"/>
    </row>
    <row r="20858" spans="7:16" s="1634" customFormat="1">
      <c r="G20858" s="3336"/>
      <c r="P20858" s="3337"/>
    </row>
    <row r="20859" spans="7:16" s="1634" customFormat="1">
      <c r="G20859" s="3336"/>
      <c r="P20859" s="3337"/>
    </row>
    <row r="20860" spans="7:16" s="1634" customFormat="1">
      <c r="G20860" s="3336"/>
      <c r="P20860" s="3337"/>
    </row>
    <row r="20861" spans="7:16" s="1634" customFormat="1">
      <c r="G20861" s="3336"/>
      <c r="P20861" s="3337"/>
    </row>
    <row r="20862" spans="7:16" s="1634" customFormat="1">
      <c r="G20862" s="3336"/>
      <c r="P20862" s="3337"/>
    </row>
    <row r="20863" spans="7:16" s="1634" customFormat="1">
      <c r="G20863" s="3336"/>
      <c r="P20863" s="3337"/>
    </row>
    <row r="20864" spans="7:16" s="1634" customFormat="1">
      <c r="G20864" s="3336"/>
      <c r="P20864" s="3337"/>
    </row>
    <row r="20865" spans="7:16" s="1634" customFormat="1">
      <c r="G20865" s="3336"/>
      <c r="P20865" s="3337"/>
    </row>
    <row r="20866" spans="7:16" s="1634" customFormat="1">
      <c r="G20866" s="3336"/>
      <c r="P20866" s="3337"/>
    </row>
    <row r="20867" spans="7:16" s="1634" customFormat="1">
      <c r="G20867" s="3336"/>
      <c r="P20867" s="3337"/>
    </row>
    <row r="20868" spans="7:16" s="1634" customFormat="1">
      <c r="G20868" s="3336"/>
      <c r="P20868" s="3337"/>
    </row>
    <row r="20869" spans="7:16" s="1634" customFormat="1">
      <c r="G20869" s="3336"/>
      <c r="P20869" s="3337"/>
    </row>
    <row r="20870" spans="7:16" s="1634" customFormat="1">
      <c r="G20870" s="3336"/>
      <c r="P20870" s="3337"/>
    </row>
    <row r="20871" spans="7:16" s="1634" customFormat="1">
      <c r="G20871" s="3336"/>
      <c r="P20871" s="3337"/>
    </row>
    <row r="20872" spans="7:16" s="1634" customFormat="1">
      <c r="G20872" s="3336"/>
      <c r="P20872" s="3337"/>
    </row>
    <row r="20873" spans="7:16" s="1634" customFormat="1">
      <c r="G20873" s="3336"/>
      <c r="P20873" s="3337"/>
    </row>
    <row r="20874" spans="7:16" s="1634" customFormat="1">
      <c r="G20874" s="3336"/>
      <c r="P20874" s="3337"/>
    </row>
    <row r="20875" spans="7:16" s="1634" customFormat="1">
      <c r="G20875" s="3336"/>
      <c r="P20875" s="3337"/>
    </row>
    <row r="20876" spans="7:16" s="1634" customFormat="1">
      <c r="G20876" s="3336"/>
      <c r="P20876" s="3337"/>
    </row>
    <row r="20877" spans="7:16" s="1634" customFormat="1">
      <c r="G20877" s="3336"/>
      <c r="P20877" s="3337"/>
    </row>
    <row r="20878" spans="7:16" s="1634" customFormat="1">
      <c r="G20878" s="3336"/>
      <c r="P20878" s="3337"/>
    </row>
    <row r="20879" spans="7:16" s="1634" customFormat="1">
      <c r="G20879" s="3336"/>
      <c r="P20879" s="3337"/>
    </row>
    <row r="20880" spans="7:16" s="1634" customFormat="1">
      <c r="G20880" s="3336"/>
      <c r="P20880" s="3337"/>
    </row>
    <row r="20881" spans="7:16" s="1634" customFormat="1">
      <c r="G20881" s="3336"/>
      <c r="P20881" s="3337"/>
    </row>
    <row r="20882" spans="7:16" s="1634" customFormat="1">
      <c r="G20882" s="3336"/>
      <c r="P20882" s="3337"/>
    </row>
    <row r="20883" spans="7:16" s="1634" customFormat="1">
      <c r="G20883" s="3336"/>
      <c r="P20883" s="3337"/>
    </row>
    <row r="20884" spans="7:16" s="1634" customFormat="1">
      <c r="G20884" s="3336"/>
      <c r="P20884" s="3337"/>
    </row>
    <row r="20885" spans="7:16" s="1634" customFormat="1">
      <c r="G20885" s="3336"/>
      <c r="P20885" s="3337"/>
    </row>
    <row r="20886" spans="7:16" s="1634" customFormat="1">
      <c r="G20886" s="3336"/>
      <c r="P20886" s="3337"/>
    </row>
    <row r="20887" spans="7:16" s="1634" customFormat="1">
      <c r="G20887" s="3336"/>
      <c r="P20887" s="3337"/>
    </row>
    <row r="20888" spans="7:16" s="1634" customFormat="1">
      <c r="G20888" s="3336"/>
      <c r="P20888" s="3337"/>
    </row>
    <row r="20889" spans="7:16" s="1634" customFormat="1">
      <c r="G20889" s="3336"/>
      <c r="P20889" s="3337"/>
    </row>
    <row r="20890" spans="7:16" s="1634" customFormat="1">
      <c r="G20890" s="3336"/>
      <c r="P20890" s="3337"/>
    </row>
    <row r="20891" spans="7:16" s="1634" customFormat="1">
      <c r="G20891" s="3336"/>
      <c r="P20891" s="3337"/>
    </row>
    <row r="20892" spans="7:16" s="1634" customFormat="1">
      <c r="G20892" s="3336"/>
      <c r="P20892" s="3337"/>
    </row>
    <row r="20893" spans="7:16" s="1634" customFormat="1">
      <c r="G20893" s="3336"/>
      <c r="P20893" s="3337"/>
    </row>
    <row r="20894" spans="7:16" s="1634" customFormat="1">
      <c r="G20894" s="3336"/>
      <c r="P20894" s="3337"/>
    </row>
    <row r="20895" spans="7:16" s="1634" customFormat="1">
      <c r="G20895" s="3336"/>
      <c r="P20895" s="3337"/>
    </row>
    <row r="20896" spans="7:16" s="1634" customFormat="1">
      <c r="G20896" s="3336"/>
      <c r="P20896" s="3337"/>
    </row>
    <row r="20897" spans="7:16" s="1634" customFormat="1">
      <c r="G20897" s="3336"/>
      <c r="P20897" s="3337"/>
    </row>
    <row r="20898" spans="7:16" s="1634" customFormat="1">
      <c r="G20898" s="3336"/>
      <c r="P20898" s="3337"/>
    </row>
    <row r="20899" spans="7:16" s="1634" customFormat="1">
      <c r="G20899" s="3336"/>
      <c r="P20899" s="3337"/>
    </row>
    <row r="20900" spans="7:16" s="1634" customFormat="1">
      <c r="G20900" s="3336"/>
      <c r="P20900" s="3337"/>
    </row>
    <row r="20901" spans="7:16" s="1634" customFormat="1">
      <c r="G20901" s="3336"/>
      <c r="P20901" s="3337"/>
    </row>
    <row r="20902" spans="7:16" s="1634" customFormat="1">
      <c r="G20902" s="3336"/>
      <c r="P20902" s="3337"/>
    </row>
    <row r="20903" spans="7:16" s="1634" customFormat="1">
      <c r="G20903" s="3336"/>
      <c r="P20903" s="3337"/>
    </row>
    <row r="20904" spans="7:16" s="1634" customFormat="1">
      <c r="G20904" s="3336"/>
      <c r="P20904" s="3337"/>
    </row>
    <row r="20905" spans="7:16" s="1634" customFormat="1">
      <c r="G20905" s="3336"/>
      <c r="P20905" s="3337"/>
    </row>
    <row r="20906" spans="7:16" s="1634" customFormat="1">
      <c r="G20906" s="3336"/>
      <c r="P20906" s="3337"/>
    </row>
    <row r="20907" spans="7:16" s="1634" customFormat="1">
      <c r="G20907" s="3336"/>
      <c r="P20907" s="3337"/>
    </row>
    <row r="20908" spans="7:16" s="1634" customFormat="1">
      <c r="G20908" s="3336"/>
      <c r="P20908" s="3337"/>
    </row>
    <row r="20909" spans="7:16" s="1634" customFormat="1">
      <c r="G20909" s="3336"/>
      <c r="P20909" s="3337"/>
    </row>
    <row r="20910" spans="7:16" s="1634" customFormat="1">
      <c r="G20910" s="3336"/>
      <c r="P20910" s="3337"/>
    </row>
    <row r="20911" spans="7:16" s="1634" customFormat="1">
      <c r="G20911" s="3336"/>
      <c r="P20911" s="3337"/>
    </row>
    <row r="20912" spans="7:16" s="1634" customFormat="1">
      <c r="G20912" s="3336"/>
      <c r="P20912" s="3337"/>
    </row>
    <row r="20913" spans="7:16" s="1634" customFormat="1">
      <c r="G20913" s="3336"/>
      <c r="P20913" s="3337"/>
    </row>
    <row r="20914" spans="7:16" s="1634" customFormat="1">
      <c r="G20914" s="3336"/>
      <c r="P20914" s="3337"/>
    </row>
    <row r="20915" spans="7:16" s="1634" customFormat="1">
      <c r="G20915" s="3336"/>
      <c r="P20915" s="3337"/>
    </row>
    <row r="20916" spans="7:16" s="1634" customFormat="1">
      <c r="G20916" s="3336"/>
      <c r="P20916" s="3337"/>
    </row>
    <row r="20917" spans="7:16" s="1634" customFormat="1">
      <c r="G20917" s="3336"/>
      <c r="P20917" s="3337"/>
    </row>
    <row r="20918" spans="7:16" s="1634" customFormat="1">
      <c r="G20918" s="3336"/>
      <c r="P20918" s="3337"/>
    </row>
    <row r="20919" spans="7:16" s="1634" customFormat="1">
      <c r="G20919" s="3336"/>
      <c r="P20919" s="3337"/>
    </row>
    <row r="20920" spans="7:16" s="1634" customFormat="1">
      <c r="G20920" s="3336"/>
      <c r="P20920" s="3337"/>
    </row>
    <row r="20921" spans="7:16" s="1634" customFormat="1">
      <c r="G20921" s="3336"/>
      <c r="P20921" s="3337"/>
    </row>
    <row r="20922" spans="7:16" s="1634" customFormat="1">
      <c r="G20922" s="3336"/>
      <c r="P20922" s="3337"/>
    </row>
    <row r="20923" spans="7:16" s="1634" customFormat="1">
      <c r="G20923" s="3336"/>
      <c r="P20923" s="3337"/>
    </row>
    <row r="20924" spans="7:16" s="1634" customFormat="1">
      <c r="G20924" s="3336"/>
      <c r="P20924" s="3337"/>
    </row>
    <row r="20925" spans="7:16" s="1634" customFormat="1">
      <c r="G20925" s="3336"/>
      <c r="P20925" s="3337"/>
    </row>
    <row r="20926" spans="7:16" s="1634" customFormat="1">
      <c r="G20926" s="3336"/>
      <c r="P20926" s="3337"/>
    </row>
    <row r="20927" spans="7:16" s="1634" customFormat="1">
      <c r="G20927" s="3336"/>
      <c r="P20927" s="3337"/>
    </row>
    <row r="20928" spans="7:16" s="1634" customFormat="1">
      <c r="G20928" s="3336"/>
      <c r="P20928" s="3337"/>
    </row>
    <row r="20929" spans="7:16" s="1634" customFormat="1">
      <c r="G20929" s="3336"/>
      <c r="P20929" s="3337"/>
    </row>
    <row r="20930" spans="7:16" s="1634" customFormat="1">
      <c r="G20930" s="3336"/>
      <c r="P20930" s="3337"/>
    </row>
    <row r="20931" spans="7:16" s="1634" customFormat="1">
      <c r="G20931" s="3336"/>
      <c r="P20931" s="3337"/>
    </row>
    <row r="20932" spans="7:16" s="1634" customFormat="1">
      <c r="G20932" s="3336"/>
      <c r="P20932" s="3337"/>
    </row>
    <row r="20933" spans="7:16" s="1634" customFormat="1">
      <c r="G20933" s="3336"/>
      <c r="P20933" s="3337"/>
    </row>
    <row r="20934" spans="7:16" s="1634" customFormat="1">
      <c r="G20934" s="3336"/>
      <c r="P20934" s="3337"/>
    </row>
    <row r="20935" spans="7:16" s="1634" customFormat="1">
      <c r="G20935" s="3336"/>
      <c r="P20935" s="3337"/>
    </row>
    <row r="20936" spans="7:16" s="1634" customFormat="1">
      <c r="G20936" s="3336"/>
      <c r="P20936" s="3337"/>
    </row>
    <row r="20937" spans="7:16" s="1634" customFormat="1">
      <c r="G20937" s="3336"/>
      <c r="P20937" s="3337"/>
    </row>
    <row r="20938" spans="7:16" s="1634" customFormat="1">
      <c r="G20938" s="3336"/>
      <c r="P20938" s="3337"/>
    </row>
    <row r="20939" spans="7:16" s="1634" customFormat="1">
      <c r="G20939" s="3336"/>
      <c r="P20939" s="3337"/>
    </row>
    <row r="20940" spans="7:16" s="1634" customFormat="1">
      <c r="G20940" s="3336"/>
      <c r="P20940" s="3337"/>
    </row>
    <row r="20941" spans="7:16" s="1634" customFormat="1">
      <c r="G20941" s="3336"/>
      <c r="P20941" s="3337"/>
    </row>
    <row r="20942" spans="7:16" s="1634" customFormat="1">
      <c r="G20942" s="3336"/>
      <c r="P20942" s="3337"/>
    </row>
    <row r="20943" spans="7:16" s="1634" customFormat="1">
      <c r="G20943" s="3336"/>
      <c r="P20943" s="3337"/>
    </row>
    <row r="20944" spans="7:16" s="1634" customFormat="1">
      <c r="G20944" s="3336"/>
      <c r="P20944" s="3337"/>
    </row>
    <row r="20945" spans="7:16" s="1634" customFormat="1">
      <c r="G20945" s="3336"/>
      <c r="P20945" s="3337"/>
    </row>
    <row r="20946" spans="7:16" s="1634" customFormat="1">
      <c r="G20946" s="3336"/>
      <c r="P20946" s="3337"/>
    </row>
    <row r="20947" spans="7:16" s="1634" customFormat="1">
      <c r="G20947" s="3336"/>
      <c r="P20947" s="3337"/>
    </row>
    <row r="20948" spans="7:16" s="1634" customFormat="1">
      <c r="G20948" s="3336"/>
      <c r="P20948" s="3337"/>
    </row>
    <row r="20949" spans="7:16" s="1634" customFormat="1">
      <c r="G20949" s="3336"/>
      <c r="P20949" s="3337"/>
    </row>
    <row r="20950" spans="7:16" s="1634" customFormat="1">
      <c r="G20950" s="3336"/>
      <c r="P20950" s="3337"/>
    </row>
    <row r="20951" spans="7:16" s="1634" customFormat="1">
      <c r="G20951" s="3336"/>
      <c r="P20951" s="3337"/>
    </row>
    <row r="20952" spans="7:16" s="1634" customFormat="1">
      <c r="G20952" s="3336"/>
      <c r="P20952" s="3337"/>
    </row>
    <row r="20953" spans="7:16" s="1634" customFormat="1">
      <c r="G20953" s="3336"/>
      <c r="P20953" s="3337"/>
    </row>
    <row r="20954" spans="7:16" s="1634" customFormat="1">
      <c r="G20954" s="3336"/>
      <c r="P20954" s="3337"/>
    </row>
    <row r="20955" spans="7:16" s="1634" customFormat="1">
      <c r="G20955" s="3336"/>
      <c r="P20955" s="3337"/>
    </row>
    <row r="20956" spans="7:16" s="1634" customFormat="1">
      <c r="G20956" s="3336"/>
      <c r="P20956" s="3337"/>
    </row>
    <row r="20957" spans="7:16" s="1634" customFormat="1">
      <c r="G20957" s="3336"/>
      <c r="P20957" s="3337"/>
    </row>
    <row r="20958" spans="7:16" s="1634" customFormat="1">
      <c r="G20958" s="3336"/>
      <c r="P20958" s="3337"/>
    </row>
    <row r="20959" spans="7:16" s="1634" customFormat="1">
      <c r="G20959" s="3336"/>
      <c r="P20959" s="3337"/>
    </row>
    <row r="20960" spans="7:16" s="1634" customFormat="1">
      <c r="G20960" s="3336"/>
      <c r="P20960" s="3337"/>
    </row>
    <row r="20961" spans="7:16" s="1634" customFormat="1">
      <c r="G20961" s="3336"/>
      <c r="P20961" s="3337"/>
    </row>
    <row r="20962" spans="7:16" s="1634" customFormat="1">
      <c r="G20962" s="3336"/>
      <c r="P20962" s="3337"/>
    </row>
    <row r="20963" spans="7:16" s="1634" customFormat="1">
      <c r="G20963" s="3336"/>
      <c r="P20963" s="3337"/>
    </row>
    <row r="20964" spans="7:16" s="1634" customFormat="1">
      <c r="G20964" s="3336"/>
      <c r="P20964" s="3337"/>
    </row>
    <row r="20965" spans="7:16" s="1634" customFormat="1">
      <c r="G20965" s="3336"/>
      <c r="P20965" s="3337"/>
    </row>
    <row r="20966" spans="7:16" s="1634" customFormat="1">
      <c r="G20966" s="3336"/>
      <c r="P20966" s="3337"/>
    </row>
    <row r="20967" spans="7:16" s="1634" customFormat="1">
      <c r="G20967" s="3336"/>
      <c r="P20967" s="3337"/>
    </row>
    <row r="20968" spans="7:16" s="1634" customFormat="1">
      <c r="G20968" s="3336"/>
      <c r="P20968" s="3337"/>
    </row>
    <row r="20969" spans="7:16" s="1634" customFormat="1">
      <c r="G20969" s="3336"/>
      <c r="P20969" s="3337"/>
    </row>
    <row r="20970" spans="7:16" s="1634" customFormat="1">
      <c r="G20970" s="3336"/>
      <c r="P20970" s="3337"/>
    </row>
    <row r="20971" spans="7:16" s="1634" customFormat="1">
      <c r="G20971" s="3336"/>
      <c r="P20971" s="3337"/>
    </row>
    <row r="20972" spans="7:16" s="1634" customFormat="1">
      <c r="G20972" s="3336"/>
      <c r="P20972" s="3337"/>
    </row>
    <row r="20973" spans="7:16" s="1634" customFormat="1">
      <c r="G20973" s="3336"/>
      <c r="P20973" s="3337"/>
    </row>
    <row r="20974" spans="7:16" s="1634" customFormat="1">
      <c r="G20974" s="3336"/>
      <c r="P20974" s="3337"/>
    </row>
    <row r="20975" spans="7:16" s="1634" customFormat="1">
      <c r="G20975" s="3336"/>
      <c r="P20975" s="3337"/>
    </row>
    <row r="20976" spans="7:16" s="1634" customFormat="1">
      <c r="G20976" s="3336"/>
      <c r="P20976" s="3337"/>
    </row>
    <row r="20977" spans="7:16" s="1634" customFormat="1">
      <c r="G20977" s="3336"/>
      <c r="P20977" s="3337"/>
    </row>
    <row r="20978" spans="7:16" s="1634" customFormat="1">
      <c r="G20978" s="3336"/>
      <c r="P20978" s="3337"/>
    </row>
    <row r="20979" spans="7:16" s="1634" customFormat="1">
      <c r="G20979" s="3336"/>
      <c r="P20979" s="3337"/>
    </row>
    <row r="20980" spans="7:16" s="1634" customFormat="1">
      <c r="G20980" s="3336"/>
      <c r="P20980" s="3337"/>
    </row>
    <row r="20981" spans="7:16" s="1634" customFormat="1">
      <c r="G20981" s="3336"/>
      <c r="P20981" s="3337"/>
    </row>
    <row r="20982" spans="7:16" s="1634" customFormat="1">
      <c r="G20982" s="3336"/>
      <c r="P20982" s="3337"/>
    </row>
    <row r="20983" spans="7:16" s="1634" customFormat="1">
      <c r="G20983" s="3336"/>
      <c r="P20983" s="3337"/>
    </row>
    <row r="20984" spans="7:16" s="1634" customFormat="1">
      <c r="G20984" s="3336"/>
      <c r="P20984" s="3337"/>
    </row>
    <row r="20985" spans="7:16" s="1634" customFormat="1">
      <c r="G20985" s="3336"/>
      <c r="P20985" s="3337"/>
    </row>
    <row r="20986" spans="7:16" s="1634" customFormat="1">
      <c r="G20986" s="3336"/>
      <c r="P20986" s="3337"/>
    </row>
    <row r="20987" spans="7:16" s="1634" customFormat="1">
      <c r="G20987" s="3336"/>
      <c r="P20987" s="3337"/>
    </row>
    <row r="20988" spans="7:16" s="1634" customFormat="1">
      <c r="G20988" s="3336"/>
      <c r="P20988" s="3337"/>
    </row>
    <row r="20989" spans="7:16" s="1634" customFormat="1">
      <c r="G20989" s="3336"/>
      <c r="P20989" s="3337"/>
    </row>
    <row r="20990" spans="7:16" s="1634" customFormat="1">
      <c r="G20990" s="3336"/>
      <c r="P20990" s="3337"/>
    </row>
    <row r="20991" spans="7:16" s="1634" customFormat="1">
      <c r="G20991" s="3336"/>
      <c r="P20991" s="3337"/>
    </row>
    <row r="20992" spans="7:16" s="1634" customFormat="1">
      <c r="G20992" s="3336"/>
      <c r="P20992" s="3337"/>
    </row>
    <row r="20993" spans="7:16" s="1634" customFormat="1">
      <c r="G20993" s="3336"/>
      <c r="P20993" s="3337"/>
    </row>
    <row r="20994" spans="7:16" s="1634" customFormat="1">
      <c r="G20994" s="3336"/>
      <c r="P20994" s="3337"/>
    </row>
    <row r="20995" spans="7:16" s="1634" customFormat="1">
      <c r="G20995" s="3336"/>
      <c r="P20995" s="3337"/>
    </row>
    <row r="20996" spans="7:16" s="1634" customFormat="1">
      <c r="G20996" s="3336"/>
      <c r="P20996" s="3337"/>
    </row>
    <row r="20997" spans="7:16" s="1634" customFormat="1">
      <c r="G20997" s="3336"/>
      <c r="P20997" s="3337"/>
    </row>
    <row r="20998" spans="7:16" s="1634" customFormat="1">
      <c r="G20998" s="3336"/>
      <c r="P20998" s="3337"/>
    </row>
    <row r="20999" spans="7:16" s="1634" customFormat="1">
      <c r="G20999" s="3336"/>
      <c r="P20999" s="3337"/>
    </row>
    <row r="21000" spans="7:16" s="1634" customFormat="1">
      <c r="G21000" s="3336"/>
      <c r="P21000" s="3337"/>
    </row>
    <row r="21001" spans="7:16" s="1634" customFormat="1">
      <c r="G21001" s="3336"/>
      <c r="P21001" s="3337"/>
    </row>
    <row r="21002" spans="7:16" s="1634" customFormat="1">
      <c r="G21002" s="3336"/>
      <c r="P21002" s="3337"/>
    </row>
    <row r="21003" spans="7:16" s="1634" customFormat="1">
      <c r="G21003" s="3336"/>
      <c r="P21003" s="3337"/>
    </row>
    <row r="21004" spans="7:16" s="1634" customFormat="1">
      <c r="G21004" s="3336"/>
      <c r="P21004" s="3337"/>
    </row>
    <row r="21005" spans="7:16" s="1634" customFormat="1">
      <c r="G21005" s="3336"/>
      <c r="P21005" s="3337"/>
    </row>
    <row r="21006" spans="7:16" s="1634" customFormat="1">
      <c r="G21006" s="3336"/>
      <c r="P21006" s="3337"/>
    </row>
    <row r="21007" spans="7:16" s="1634" customFormat="1">
      <c r="G21007" s="3336"/>
      <c r="P21007" s="3337"/>
    </row>
    <row r="21008" spans="7:16" s="1634" customFormat="1">
      <c r="G21008" s="3336"/>
      <c r="P21008" s="3337"/>
    </row>
    <row r="21009" spans="7:16" s="1634" customFormat="1">
      <c r="G21009" s="3336"/>
      <c r="P21009" s="3337"/>
    </row>
    <row r="21010" spans="7:16" s="1634" customFormat="1">
      <c r="G21010" s="3336"/>
      <c r="P21010" s="3337"/>
    </row>
    <row r="21011" spans="7:16" s="1634" customFormat="1">
      <c r="G21011" s="3336"/>
      <c r="P21011" s="3337"/>
    </row>
    <row r="21012" spans="7:16" s="1634" customFormat="1">
      <c r="G21012" s="3336"/>
      <c r="P21012" s="3337"/>
    </row>
    <row r="21013" spans="7:16" s="1634" customFormat="1">
      <c r="G21013" s="3336"/>
      <c r="P21013" s="3337"/>
    </row>
    <row r="21014" spans="7:16" s="1634" customFormat="1">
      <c r="G21014" s="3336"/>
      <c r="P21014" s="3337"/>
    </row>
    <row r="21015" spans="7:16" s="1634" customFormat="1">
      <c r="G21015" s="3336"/>
      <c r="P21015" s="3337"/>
    </row>
    <row r="21016" spans="7:16" s="1634" customFormat="1">
      <c r="G21016" s="3336"/>
      <c r="P21016" s="3337"/>
    </row>
    <row r="21017" spans="7:16" s="1634" customFormat="1">
      <c r="G21017" s="3336"/>
      <c r="P21017" s="3337"/>
    </row>
    <row r="21018" spans="7:16" s="1634" customFormat="1">
      <c r="G21018" s="3336"/>
      <c r="P21018" s="3337"/>
    </row>
    <row r="21019" spans="7:16" s="1634" customFormat="1">
      <c r="G21019" s="3336"/>
      <c r="P21019" s="3337"/>
    </row>
    <row r="21020" spans="7:16" s="1634" customFormat="1">
      <c r="G21020" s="3336"/>
      <c r="P21020" s="3337"/>
    </row>
    <row r="21021" spans="7:16" s="1634" customFormat="1">
      <c r="G21021" s="3336"/>
      <c r="P21021" s="3337"/>
    </row>
    <row r="21022" spans="7:16" s="1634" customFormat="1">
      <c r="G21022" s="3336"/>
      <c r="P21022" s="3337"/>
    </row>
    <row r="21023" spans="7:16" s="1634" customFormat="1">
      <c r="G21023" s="3336"/>
      <c r="P21023" s="3337"/>
    </row>
    <row r="21024" spans="7:16" s="1634" customFormat="1">
      <c r="G21024" s="3336"/>
      <c r="P21024" s="3337"/>
    </row>
    <row r="21025" spans="7:16" s="1634" customFormat="1">
      <c r="G21025" s="3336"/>
      <c r="P21025" s="3337"/>
    </row>
    <row r="21026" spans="7:16" s="1634" customFormat="1">
      <c r="G21026" s="3336"/>
      <c r="P21026" s="3337"/>
    </row>
    <row r="21027" spans="7:16" s="1634" customFormat="1">
      <c r="G21027" s="3336"/>
      <c r="P21027" s="3337"/>
    </row>
    <row r="21028" spans="7:16" s="1634" customFormat="1">
      <c r="G21028" s="3336"/>
      <c r="P21028" s="3337"/>
    </row>
    <row r="21029" spans="7:16" s="1634" customFormat="1">
      <c r="G21029" s="3336"/>
      <c r="P21029" s="3337"/>
    </row>
    <row r="21030" spans="7:16" s="1634" customFormat="1">
      <c r="G21030" s="3336"/>
      <c r="P21030" s="3337"/>
    </row>
    <row r="21031" spans="7:16" s="1634" customFormat="1">
      <c r="G21031" s="3336"/>
      <c r="P21031" s="3337"/>
    </row>
    <row r="21032" spans="7:16" s="1634" customFormat="1">
      <c r="G21032" s="3336"/>
      <c r="P21032" s="3337"/>
    </row>
    <row r="21033" spans="7:16" s="1634" customFormat="1">
      <c r="G21033" s="3336"/>
      <c r="P21033" s="3337"/>
    </row>
    <row r="21034" spans="7:16" s="1634" customFormat="1">
      <c r="G21034" s="3336"/>
      <c r="P21034" s="3337"/>
    </row>
    <row r="21035" spans="7:16" s="1634" customFormat="1">
      <c r="G21035" s="3336"/>
      <c r="P21035" s="3337"/>
    </row>
    <row r="21036" spans="7:16" s="1634" customFormat="1">
      <c r="G21036" s="3336"/>
      <c r="P21036" s="3337"/>
    </row>
    <row r="21037" spans="7:16" s="1634" customFormat="1">
      <c r="G21037" s="3336"/>
      <c r="P21037" s="3337"/>
    </row>
    <row r="21038" spans="7:16" s="1634" customFormat="1">
      <c r="G21038" s="3336"/>
      <c r="P21038" s="3337"/>
    </row>
    <row r="21039" spans="7:16" s="1634" customFormat="1">
      <c r="G21039" s="3336"/>
      <c r="P21039" s="3337"/>
    </row>
    <row r="21040" spans="7:16" s="1634" customFormat="1">
      <c r="G21040" s="3336"/>
      <c r="P21040" s="3337"/>
    </row>
    <row r="21041" spans="7:16" s="1634" customFormat="1">
      <c r="G21041" s="3336"/>
      <c r="P21041" s="3337"/>
    </row>
    <row r="21042" spans="7:16" s="1634" customFormat="1">
      <c r="G21042" s="3336"/>
      <c r="P21042" s="3337"/>
    </row>
    <row r="21043" spans="7:16" s="1634" customFormat="1">
      <c r="G21043" s="3336"/>
      <c r="P21043" s="3337"/>
    </row>
    <row r="21044" spans="7:16" s="1634" customFormat="1">
      <c r="G21044" s="3336"/>
      <c r="P21044" s="3337"/>
    </row>
    <row r="21045" spans="7:16" s="1634" customFormat="1">
      <c r="G21045" s="3336"/>
      <c r="P21045" s="3337"/>
    </row>
    <row r="21046" spans="7:16" s="1634" customFormat="1">
      <c r="G21046" s="3336"/>
      <c r="P21046" s="3337"/>
    </row>
    <row r="21047" spans="7:16" s="1634" customFormat="1">
      <c r="G21047" s="3336"/>
      <c r="P21047" s="3337"/>
    </row>
    <row r="21048" spans="7:16" s="1634" customFormat="1">
      <c r="G21048" s="3336"/>
      <c r="P21048" s="3337"/>
    </row>
    <row r="21049" spans="7:16" s="1634" customFormat="1">
      <c r="G21049" s="3336"/>
      <c r="P21049" s="3337"/>
    </row>
    <row r="21050" spans="7:16" s="1634" customFormat="1">
      <c r="G21050" s="3336"/>
      <c r="P21050" s="3337"/>
    </row>
    <row r="21051" spans="7:16" s="1634" customFormat="1">
      <c r="G21051" s="3336"/>
      <c r="P21051" s="3337"/>
    </row>
    <row r="21052" spans="7:16" s="1634" customFormat="1">
      <c r="G21052" s="3336"/>
      <c r="P21052" s="3337"/>
    </row>
    <row r="21053" spans="7:16" s="1634" customFormat="1">
      <c r="G21053" s="3336"/>
      <c r="P21053" s="3337"/>
    </row>
    <row r="21054" spans="7:16" s="1634" customFormat="1">
      <c r="G21054" s="3336"/>
      <c r="P21054" s="3337"/>
    </row>
    <row r="21055" spans="7:16" s="1634" customFormat="1">
      <c r="G21055" s="3336"/>
      <c r="P21055" s="3337"/>
    </row>
    <row r="21056" spans="7:16" s="1634" customFormat="1">
      <c r="G21056" s="3336"/>
      <c r="P21056" s="3337"/>
    </row>
    <row r="21057" spans="7:16" s="1634" customFormat="1">
      <c r="G21057" s="3336"/>
      <c r="P21057" s="3337"/>
    </row>
    <row r="21058" spans="7:16" s="1634" customFormat="1">
      <c r="G21058" s="3336"/>
      <c r="P21058" s="3337"/>
    </row>
    <row r="21059" spans="7:16" s="1634" customFormat="1">
      <c r="G21059" s="3336"/>
      <c r="P21059" s="3337"/>
    </row>
    <row r="21060" spans="7:16" s="1634" customFormat="1">
      <c r="G21060" s="3336"/>
      <c r="P21060" s="3337"/>
    </row>
    <row r="21061" spans="7:16" s="1634" customFormat="1">
      <c r="G21061" s="3336"/>
      <c r="P21061" s="3337"/>
    </row>
    <row r="21062" spans="7:16" s="1634" customFormat="1">
      <c r="G21062" s="3336"/>
      <c r="P21062" s="3337"/>
    </row>
    <row r="21063" spans="7:16" s="1634" customFormat="1">
      <c r="G21063" s="3336"/>
      <c r="P21063" s="3337"/>
    </row>
    <row r="21064" spans="7:16" s="1634" customFormat="1">
      <c r="G21064" s="3336"/>
      <c r="P21064" s="3337"/>
    </row>
    <row r="21065" spans="7:16" s="1634" customFormat="1">
      <c r="G21065" s="3336"/>
      <c r="P21065" s="3337"/>
    </row>
    <row r="21066" spans="7:16" s="1634" customFormat="1">
      <c r="G21066" s="3336"/>
      <c r="P21066" s="3337"/>
    </row>
    <row r="21067" spans="7:16" s="1634" customFormat="1">
      <c r="G21067" s="3336"/>
      <c r="P21067" s="3337"/>
    </row>
    <row r="21068" spans="7:16" s="1634" customFormat="1">
      <c r="G21068" s="3336"/>
      <c r="P21068" s="3337"/>
    </row>
    <row r="21069" spans="7:16" s="1634" customFormat="1">
      <c r="G21069" s="3336"/>
      <c r="P21069" s="3337"/>
    </row>
    <row r="21070" spans="7:16" s="1634" customFormat="1">
      <c r="G21070" s="3336"/>
      <c r="P21070" s="3337"/>
    </row>
    <row r="21071" spans="7:16" s="1634" customFormat="1">
      <c r="G21071" s="3336"/>
      <c r="P21071" s="3337"/>
    </row>
    <row r="21072" spans="7:16" s="1634" customFormat="1">
      <c r="G21072" s="3336"/>
      <c r="P21072" s="3337"/>
    </row>
    <row r="21073" spans="7:16" s="1634" customFormat="1">
      <c r="G21073" s="3336"/>
      <c r="P21073" s="3337"/>
    </row>
    <row r="21074" spans="7:16" s="1634" customFormat="1">
      <c r="G21074" s="3336"/>
      <c r="P21074" s="3337"/>
    </row>
    <row r="21075" spans="7:16" s="1634" customFormat="1">
      <c r="G21075" s="3336"/>
      <c r="P21075" s="3337"/>
    </row>
    <row r="21076" spans="7:16" s="1634" customFormat="1">
      <c r="G21076" s="3336"/>
      <c r="P21076" s="3337"/>
    </row>
    <row r="21077" spans="7:16" s="1634" customFormat="1">
      <c r="G21077" s="3336"/>
      <c r="P21077" s="3337"/>
    </row>
    <row r="21078" spans="7:16" s="1634" customFormat="1">
      <c r="G21078" s="3336"/>
      <c r="P21078" s="3337"/>
    </row>
    <row r="21079" spans="7:16" s="1634" customFormat="1">
      <c r="G21079" s="3336"/>
      <c r="P21079" s="3337"/>
    </row>
    <row r="21080" spans="7:16" s="1634" customFormat="1">
      <c r="G21080" s="3336"/>
      <c r="P21080" s="3337"/>
    </row>
    <row r="21081" spans="7:16" s="1634" customFormat="1">
      <c r="G21081" s="3336"/>
      <c r="P21081" s="3337"/>
    </row>
    <row r="21082" spans="7:16" s="1634" customFormat="1">
      <c r="G21082" s="3336"/>
      <c r="P21082" s="3337"/>
    </row>
    <row r="21083" spans="7:16" s="1634" customFormat="1">
      <c r="G21083" s="3336"/>
      <c r="P21083" s="3337"/>
    </row>
    <row r="21084" spans="7:16" s="1634" customFormat="1">
      <c r="G21084" s="3336"/>
      <c r="P21084" s="3337"/>
    </row>
    <row r="21085" spans="7:16" s="1634" customFormat="1">
      <c r="G21085" s="3336"/>
      <c r="P21085" s="3337"/>
    </row>
    <row r="21086" spans="7:16" s="1634" customFormat="1">
      <c r="G21086" s="3336"/>
      <c r="P21086" s="3337"/>
    </row>
    <row r="21087" spans="7:16" s="1634" customFormat="1">
      <c r="G21087" s="3336"/>
      <c r="P21087" s="3337"/>
    </row>
    <row r="21088" spans="7:16" s="1634" customFormat="1">
      <c r="G21088" s="3336"/>
      <c r="P21088" s="3337"/>
    </row>
    <row r="21089" spans="7:16" s="1634" customFormat="1">
      <c r="G21089" s="3336"/>
      <c r="P21089" s="3337"/>
    </row>
    <row r="21090" spans="7:16" s="1634" customFormat="1">
      <c r="G21090" s="3336"/>
      <c r="P21090" s="3337"/>
    </row>
    <row r="21091" spans="7:16" s="1634" customFormat="1">
      <c r="G21091" s="3336"/>
      <c r="P21091" s="3337"/>
    </row>
    <row r="21092" spans="7:16" s="1634" customFormat="1">
      <c r="G21092" s="3336"/>
      <c r="P21092" s="3337"/>
    </row>
    <row r="21093" spans="7:16" s="1634" customFormat="1">
      <c r="G21093" s="3336"/>
      <c r="P21093" s="3337"/>
    </row>
    <row r="21094" spans="7:16" s="1634" customFormat="1">
      <c r="G21094" s="3336"/>
      <c r="P21094" s="3337"/>
    </row>
    <row r="21095" spans="7:16" s="1634" customFormat="1">
      <c r="G21095" s="3336"/>
      <c r="P21095" s="3337"/>
    </row>
    <row r="21096" spans="7:16" s="1634" customFormat="1">
      <c r="G21096" s="3336"/>
      <c r="P21096" s="3337"/>
    </row>
    <row r="21097" spans="7:16" s="1634" customFormat="1">
      <c r="G21097" s="3336"/>
      <c r="P21097" s="3337"/>
    </row>
    <row r="21098" spans="7:16" s="1634" customFormat="1">
      <c r="G21098" s="3336"/>
      <c r="P21098" s="3337"/>
    </row>
    <row r="21099" spans="7:16" s="1634" customFormat="1">
      <c r="G21099" s="3336"/>
      <c r="P21099" s="3337"/>
    </row>
    <row r="21100" spans="7:16" s="1634" customFormat="1">
      <c r="G21100" s="3336"/>
      <c r="P21100" s="3337"/>
    </row>
    <row r="21101" spans="7:16" s="1634" customFormat="1">
      <c r="G21101" s="3336"/>
      <c r="P21101" s="3337"/>
    </row>
    <row r="21102" spans="7:16" s="1634" customFormat="1">
      <c r="G21102" s="3336"/>
      <c r="P21102" s="3337"/>
    </row>
    <row r="21103" spans="7:16" s="1634" customFormat="1">
      <c r="G21103" s="3336"/>
      <c r="P21103" s="3337"/>
    </row>
    <row r="21104" spans="7:16" s="1634" customFormat="1">
      <c r="G21104" s="3336"/>
      <c r="P21104" s="3337"/>
    </row>
    <row r="21105" spans="7:16" s="1634" customFormat="1">
      <c r="G21105" s="3336"/>
      <c r="P21105" s="3337"/>
    </row>
    <row r="21106" spans="7:16" s="1634" customFormat="1">
      <c r="G21106" s="3336"/>
      <c r="P21106" s="3337"/>
    </row>
    <row r="21107" spans="7:16" s="1634" customFormat="1">
      <c r="G21107" s="3336"/>
      <c r="P21107" s="3337"/>
    </row>
    <row r="21108" spans="7:16" s="1634" customFormat="1">
      <c r="G21108" s="3336"/>
      <c r="P21108" s="3337"/>
    </row>
    <row r="21109" spans="7:16" s="1634" customFormat="1">
      <c r="G21109" s="3336"/>
      <c r="P21109" s="3337"/>
    </row>
    <row r="21110" spans="7:16" s="1634" customFormat="1">
      <c r="G21110" s="3336"/>
      <c r="P21110" s="3337"/>
    </row>
    <row r="21111" spans="7:16" s="1634" customFormat="1">
      <c r="G21111" s="3336"/>
      <c r="P21111" s="3337"/>
    </row>
    <row r="21112" spans="7:16" s="1634" customFormat="1">
      <c r="G21112" s="3336"/>
      <c r="P21112" s="3337"/>
    </row>
    <row r="21113" spans="7:16" s="1634" customFormat="1">
      <c r="G21113" s="3336"/>
      <c r="P21113" s="3337"/>
    </row>
    <row r="21114" spans="7:16" s="1634" customFormat="1">
      <c r="G21114" s="3336"/>
      <c r="P21114" s="3337"/>
    </row>
    <row r="21115" spans="7:16" s="1634" customFormat="1">
      <c r="G21115" s="3336"/>
      <c r="P21115" s="3337"/>
    </row>
    <row r="21116" spans="7:16" s="1634" customFormat="1">
      <c r="G21116" s="3336"/>
      <c r="P21116" s="3337"/>
    </row>
    <row r="21117" spans="7:16" s="1634" customFormat="1">
      <c r="G21117" s="3336"/>
      <c r="P21117" s="3337"/>
    </row>
    <row r="21118" spans="7:16" s="1634" customFormat="1">
      <c r="G21118" s="3336"/>
      <c r="P21118" s="3337"/>
    </row>
    <row r="21119" spans="7:16" s="1634" customFormat="1">
      <c r="G21119" s="3336"/>
      <c r="P21119" s="3337"/>
    </row>
    <row r="21120" spans="7:16" s="1634" customFormat="1">
      <c r="G21120" s="3336"/>
      <c r="P21120" s="3337"/>
    </row>
    <row r="21121" spans="7:16" s="1634" customFormat="1">
      <c r="G21121" s="3336"/>
      <c r="P21121" s="3337"/>
    </row>
    <row r="21122" spans="7:16" s="1634" customFormat="1">
      <c r="G21122" s="3336"/>
      <c r="P21122" s="3337"/>
    </row>
    <row r="21123" spans="7:16" s="1634" customFormat="1">
      <c r="G21123" s="3336"/>
      <c r="P21123" s="3337"/>
    </row>
    <row r="21124" spans="7:16" s="1634" customFormat="1">
      <c r="G21124" s="3336"/>
      <c r="P21124" s="3337"/>
    </row>
    <row r="21125" spans="7:16" s="1634" customFormat="1">
      <c r="G21125" s="3336"/>
      <c r="P21125" s="3337"/>
    </row>
    <row r="21126" spans="7:16" s="1634" customFormat="1">
      <c r="G21126" s="3336"/>
      <c r="P21126" s="3337"/>
    </row>
    <row r="21127" spans="7:16" s="1634" customFormat="1">
      <c r="G21127" s="3336"/>
      <c r="P21127" s="3337"/>
    </row>
    <row r="21128" spans="7:16" s="1634" customFormat="1">
      <c r="G21128" s="3336"/>
      <c r="P21128" s="3337"/>
    </row>
    <row r="21129" spans="7:16" s="1634" customFormat="1">
      <c r="G21129" s="3336"/>
      <c r="P21129" s="3337"/>
    </row>
    <row r="21130" spans="7:16" s="1634" customFormat="1">
      <c r="G21130" s="3336"/>
      <c r="P21130" s="3337"/>
    </row>
    <row r="21131" spans="7:16" s="1634" customFormat="1">
      <c r="G21131" s="3336"/>
      <c r="P21131" s="3337"/>
    </row>
    <row r="21132" spans="7:16" s="1634" customFormat="1">
      <c r="G21132" s="3336"/>
      <c r="P21132" s="3337"/>
    </row>
    <row r="21133" spans="7:16" s="1634" customFormat="1">
      <c r="G21133" s="3336"/>
      <c r="P21133" s="3337"/>
    </row>
    <row r="21134" spans="7:16" s="1634" customFormat="1">
      <c r="G21134" s="3336"/>
      <c r="P21134" s="3337"/>
    </row>
    <row r="21135" spans="7:16" s="1634" customFormat="1">
      <c r="G21135" s="3336"/>
      <c r="P21135" s="3337"/>
    </row>
    <row r="21136" spans="7:16" s="1634" customFormat="1">
      <c r="G21136" s="3336"/>
      <c r="P21136" s="3337"/>
    </row>
    <row r="21137" spans="7:16" s="1634" customFormat="1">
      <c r="G21137" s="3336"/>
      <c r="P21137" s="3337"/>
    </row>
    <row r="21138" spans="7:16" s="1634" customFormat="1">
      <c r="G21138" s="3336"/>
      <c r="P21138" s="3337"/>
    </row>
    <row r="21139" spans="7:16" s="1634" customFormat="1">
      <c r="G21139" s="3336"/>
      <c r="P21139" s="3337"/>
    </row>
    <row r="21140" spans="7:16" s="1634" customFormat="1">
      <c r="G21140" s="3336"/>
      <c r="P21140" s="3337"/>
    </row>
    <row r="21141" spans="7:16" s="1634" customFormat="1">
      <c r="G21141" s="3336"/>
      <c r="P21141" s="3337"/>
    </row>
    <row r="21142" spans="7:16" s="1634" customFormat="1">
      <c r="G21142" s="3336"/>
      <c r="P21142" s="3337"/>
    </row>
    <row r="21143" spans="7:16" s="1634" customFormat="1">
      <c r="G21143" s="3336"/>
      <c r="P21143" s="3337"/>
    </row>
    <row r="21144" spans="7:16" s="1634" customFormat="1">
      <c r="G21144" s="3336"/>
      <c r="P21144" s="3337"/>
    </row>
    <row r="21145" spans="7:16" s="1634" customFormat="1">
      <c r="G21145" s="3336"/>
      <c r="P21145" s="3337"/>
    </row>
    <row r="21146" spans="7:16" s="1634" customFormat="1">
      <c r="G21146" s="3336"/>
      <c r="P21146" s="3337"/>
    </row>
    <row r="21147" spans="7:16" s="1634" customFormat="1">
      <c r="G21147" s="3336"/>
      <c r="P21147" s="3337"/>
    </row>
    <row r="21148" spans="7:16" s="1634" customFormat="1">
      <c r="G21148" s="3336"/>
      <c r="P21148" s="3337"/>
    </row>
    <row r="21149" spans="7:16" s="1634" customFormat="1">
      <c r="G21149" s="3336"/>
      <c r="P21149" s="3337"/>
    </row>
    <row r="21150" spans="7:16" s="1634" customFormat="1">
      <c r="G21150" s="3336"/>
      <c r="P21150" s="3337"/>
    </row>
    <row r="21151" spans="7:16" s="1634" customFormat="1">
      <c r="G21151" s="3336"/>
      <c r="P21151" s="3337"/>
    </row>
    <row r="21152" spans="7:16" s="1634" customFormat="1">
      <c r="G21152" s="3336"/>
      <c r="P21152" s="3337"/>
    </row>
    <row r="21153" spans="7:16" s="1634" customFormat="1">
      <c r="G21153" s="3336"/>
      <c r="P21153" s="3337"/>
    </row>
    <row r="21154" spans="7:16" s="1634" customFormat="1">
      <c r="G21154" s="3336"/>
      <c r="P21154" s="3337"/>
    </row>
    <row r="21155" spans="7:16" s="1634" customFormat="1">
      <c r="G21155" s="3336"/>
      <c r="P21155" s="3337"/>
    </row>
    <row r="21156" spans="7:16" s="1634" customFormat="1">
      <c r="G21156" s="3336"/>
      <c r="P21156" s="3337"/>
    </row>
    <row r="21157" spans="7:16" s="1634" customFormat="1">
      <c r="G21157" s="3336"/>
      <c r="P21157" s="3337"/>
    </row>
    <row r="21158" spans="7:16" s="1634" customFormat="1">
      <c r="G21158" s="3336"/>
      <c r="P21158" s="3337"/>
    </row>
    <row r="21159" spans="7:16" s="1634" customFormat="1">
      <c r="G21159" s="3336"/>
      <c r="P21159" s="3337"/>
    </row>
    <row r="21160" spans="7:16" s="1634" customFormat="1">
      <c r="G21160" s="3336"/>
      <c r="P21160" s="3337"/>
    </row>
    <row r="21161" spans="7:16" s="1634" customFormat="1">
      <c r="G21161" s="3336"/>
      <c r="P21161" s="3337"/>
    </row>
    <row r="21162" spans="7:16" s="1634" customFormat="1">
      <c r="G21162" s="3336"/>
      <c r="P21162" s="3337"/>
    </row>
    <row r="21163" spans="7:16" s="1634" customFormat="1">
      <c r="G21163" s="3336"/>
      <c r="P21163" s="3337"/>
    </row>
    <row r="21164" spans="7:16" s="1634" customFormat="1">
      <c r="G21164" s="3336"/>
      <c r="P21164" s="3337"/>
    </row>
    <row r="21165" spans="7:16" s="1634" customFormat="1">
      <c r="G21165" s="3336"/>
      <c r="P21165" s="3337"/>
    </row>
    <row r="21166" spans="7:16" s="1634" customFormat="1">
      <c r="G21166" s="3336"/>
      <c r="P21166" s="3337"/>
    </row>
    <row r="21167" spans="7:16" s="1634" customFormat="1">
      <c r="G21167" s="3336"/>
      <c r="P21167" s="3337"/>
    </row>
    <row r="21168" spans="7:16" s="1634" customFormat="1">
      <c r="G21168" s="3336"/>
      <c r="P21168" s="3337"/>
    </row>
    <row r="21169" spans="7:16" s="1634" customFormat="1">
      <c r="G21169" s="3336"/>
      <c r="P21169" s="3337"/>
    </row>
    <row r="21170" spans="7:16" s="1634" customFormat="1">
      <c r="G21170" s="3336"/>
      <c r="P21170" s="3337"/>
    </row>
    <row r="21171" spans="7:16" s="1634" customFormat="1">
      <c r="G21171" s="3336"/>
      <c r="P21171" s="3337"/>
    </row>
    <row r="21172" spans="7:16" s="1634" customFormat="1">
      <c r="G21172" s="3336"/>
      <c r="P21172" s="3337"/>
    </row>
    <row r="21173" spans="7:16" s="1634" customFormat="1">
      <c r="G21173" s="3336"/>
      <c r="P21173" s="3337"/>
    </row>
    <row r="21174" spans="7:16" s="1634" customFormat="1">
      <c r="G21174" s="3336"/>
      <c r="P21174" s="3337"/>
    </row>
    <row r="21175" spans="7:16" s="1634" customFormat="1">
      <c r="G21175" s="3336"/>
      <c r="P21175" s="3337"/>
    </row>
    <row r="21176" spans="7:16" s="1634" customFormat="1">
      <c r="G21176" s="3336"/>
      <c r="P21176" s="3337"/>
    </row>
    <row r="21177" spans="7:16" s="1634" customFormat="1">
      <c r="G21177" s="3336"/>
      <c r="P21177" s="3337"/>
    </row>
    <row r="21178" spans="7:16" s="1634" customFormat="1">
      <c r="G21178" s="3336"/>
      <c r="P21178" s="3337"/>
    </row>
    <row r="21179" spans="7:16" s="1634" customFormat="1">
      <c r="G21179" s="3336"/>
      <c r="P21179" s="3337"/>
    </row>
    <row r="21180" spans="7:16" s="1634" customFormat="1">
      <c r="G21180" s="3336"/>
      <c r="P21180" s="3337"/>
    </row>
    <row r="21181" spans="7:16" s="1634" customFormat="1">
      <c r="G21181" s="3336"/>
      <c r="P21181" s="3337"/>
    </row>
    <row r="21182" spans="7:16" s="1634" customFormat="1">
      <c r="G21182" s="3336"/>
      <c r="P21182" s="3337"/>
    </row>
    <row r="21183" spans="7:16" s="1634" customFormat="1">
      <c r="G21183" s="3336"/>
      <c r="P21183" s="3337"/>
    </row>
    <row r="21184" spans="7:16" s="1634" customFormat="1">
      <c r="G21184" s="3336"/>
      <c r="P21184" s="3337"/>
    </row>
    <row r="21185" spans="7:16" s="1634" customFormat="1">
      <c r="G21185" s="3336"/>
      <c r="P21185" s="3337"/>
    </row>
    <row r="21186" spans="7:16" s="1634" customFormat="1">
      <c r="G21186" s="3336"/>
      <c r="P21186" s="3337"/>
    </row>
    <row r="21187" spans="7:16" s="1634" customFormat="1">
      <c r="G21187" s="3336"/>
      <c r="P21187" s="3337"/>
    </row>
    <row r="21188" spans="7:16" s="1634" customFormat="1">
      <c r="G21188" s="3336"/>
      <c r="P21188" s="3337"/>
    </row>
    <row r="21189" spans="7:16" s="1634" customFormat="1">
      <c r="G21189" s="3336"/>
      <c r="P21189" s="3337"/>
    </row>
    <row r="21190" spans="7:16" s="1634" customFormat="1">
      <c r="G21190" s="3336"/>
      <c r="P21190" s="3337"/>
    </row>
    <row r="21191" spans="7:16" s="1634" customFormat="1">
      <c r="G21191" s="3336"/>
      <c r="P21191" s="3337"/>
    </row>
    <row r="21192" spans="7:16" s="1634" customFormat="1">
      <c r="G21192" s="3336"/>
      <c r="P21192" s="3337"/>
    </row>
    <row r="21193" spans="7:16" s="1634" customFormat="1">
      <c r="G21193" s="3336"/>
      <c r="P21193" s="3337"/>
    </row>
    <row r="21194" spans="7:16" s="1634" customFormat="1">
      <c r="G21194" s="3336"/>
      <c r="P21194" s="3337"/>
    </row>
    <row r="21195" spans="7:16" s="1634" customFormat="1">
      <c r="G21195" s="3336"/>
      <c r="P21195" s="3337"/>
    </row>
    <row r="21196" spans="7:16" s="1634" customFormat="1">
      <c r="G21196" s="3336"/>
      <c r="P21196" s="3337"/>
    </row>
    <row r="21197" spans="7:16" s="1634" customFormat="1">
      <c r="G21197" s="3336"/>
      <c r="P21197" s="3337"/>
    </row>
    <row r="21198" spans="7:16" s="1634" customFormat="1">
      <c r="G21198" s="3336"/>
      <c r="P21198" s="3337"/>
    </row>
    <row r="21199" spans="7:16" s="1634" customFormat="1">
      <c r="G21199" s="3336"/>
      <c r="P21199" s="3337"/>
    </row>
    <row r="21200" spans="7:16" s="1634" customFormat="1">
      <c r="G21200" s="3336"/>
      <c r="P21200" s="3337"/>
    </row>
    <row r="21201" spans="7:16" s="1634" customFormat="1">
      <c r="G21201" s="3336"/>
      <c r="P21201" s="3337"/>
    </row>
    <row r="21202" spans="7:16" s="1634" customFormat="1">
      <c r="G21202" s="3336"/>
      <c r="P21202" s="3337"/>
    </row>
    <row r="21203" spans="7:16" s="1634" customFormat="1">
      <c r="G21203" s="3336"/>
      <c r="P21203" s="3337"/>
    </row>
    <row r="21204" spans="7:16" s="1634" customFormat="1">
      <c r="G21204" s="3336"/>
      <c r="P21204" s="3337"/>
    </row>
    <row r="21205" spans="7:16" s="1634" customFormat="1">
      <c r="G21205" s="3336"/>
      <c r="P21205" s="3337"/>
    </row>
    <row r="21206" spans="7:16" s="1634" customFormat="1">
      <c r="G21206" s="3336"/>
      <c r="P21206" s="3337"/>
    </row>
    <row r="21207" spans="7:16" s="1634" customFormat="1">
      <c r="G21207" s="3336"/>
      <c r="P21207" s="3337"/>
    </row>
    <row r="21208" spans="7:16" s="1634" customFormat="1">
      <c r="G21208" s="3336"/>
      <c r="P21208" s="3337"/>
    </row>
    <row r="21209" spans="7:16" s="1634" customFormat="1">
      <c r="G21209" s="3336"/>
      <c r="P21209" s="3337"/>
    </row>
    <row r="21210" spans="7:16" s="1634" customFormat="1">
      <c r="G21210" s="3336"/>
      <c r="P21210" s="3337"/>
    </row>
    <row r="21211" spans="7:16" s="1634" customFormat="1">
      <c r="G21211" s="3336"/>
      <c r="P21211" s="3337"/>
    </row>
    <row r="21212" spans="7:16" s="1634" customFormat="1">
      <c r="G21212" s="3336"/>
      <c r="P21212" s="3337"/>
    </row>
    <row r="21213" spans="7:16" s="1634" customFormat="1">
      <c r="G21213" s="3336"/>
      <c r="P21213" s="3337"/>
    </row>
    <row r="21214" spans="7:16" s="1634" customFormat="1">
      <c r="G21214" s="3336"/>
      <c r="P21214" s="3337"/>
    </row>
    <row r="21215" spans="7:16" s="1634" customFormat="1">
      <c r="G21215" s="3336"/>
      <c r="P21215" s="3337"/>
    </row>
    <row r="21216" spans="7:16" s="1634" customFormat="1">
      <c r="G21216" s="3336"/>
      <c r="P21216" s="3337"/>
    </row>
    <row r="21217" spans="7:16" s="1634" customFormat="1">
      <c r="G21217" s="3336"/>
      <c r="P21217" s="3337"/>
    </row>
    <row r="21218" spans="7:16" s="1634" customFormat="1">
      <c r="G21218" s="3336"/>
      <c r="P21218" s="3337"/>
    </row>
    <row r="21219" spans="7:16" s="1634" customFormat="1">
      <c r="G21219" s="3336"/>
      <c r="P21219" s="3337"/>
    </row>
    <row r="21220" spans="7:16" s="1634" customFormat="1">
      <c r="G21220" s="3336"/>
      <c r="P21220" s="3337"/>
    </row>
    <row r="21221" spans="7:16" s="1634" customFormat="1">
      <c r="G21221" s="3336"/>
      <c r="P21221" s="3337"/>
    </row>
    <row r="21222" spans="7:16" s="1634" customFormat="1">
      <c r="G21222" s="3336"/>
      <c r="P21222" s="3337"/>
    </row>
    <row r="21223" spans="7:16" s="1634" customFormat="1">
      <c r="G21223" s="3336"/>
      <c r="P21223" s="3337"/>
    </row>
    <row r="21224" spans="7:16" s="1634" customFormat="1">
      <c r="G21224" s="3336"/>
      <c r="P21224" s="3337"/>
    </row>
    <row r="21225" spans="7:16" s="1634" customFormat="1">
      <c r="G21225" s="3336"/>
      <c r="P21225" s="3337"/>
    </row>
    <row r="21226" spans="7:16" s="1634" customFormat="1">
      <c r="G21226" s="3336"/>
      <c r="P21226" s="3337"/>
    </row>
    <row r="21227" spans="7:16" s="1634" customFormat="1">
      <c r="G21227" s="3336"/>
      <c r="P21227" s="3337"/>
    </row>
    <row r="21228" spans="7:16" s="1634" customFormat="1">
      <c r="G21228" s="3336"/>
      <c r="P21228" s="3337"/>
    </row>
    <row r="21229" spans="7:16" s="1634" customFormat="1">
      <c r="G21229" s="3336"/>
      <c r="P21229" s="3337"/>
    </row>
    <row r="21230" spans="7:16" s="1634" customFormat="1">
      <c r="G21230" s="3336"/>
      <c r="P21230" s="3337"/>
    </row>
    <row r="21231" spans="7:16" s="1634" customFormat="1">
      <c r="G21231" s="3336"/>
      <c r="P21231" s="3337"/>
    </row>
    <row r="21232" spans="7:16" s="1634" customFormat="1">
      <c r="G21232" s="3336"/>
      <c r="P21232" s="3337"/>
    </row>
    <row r="21233" spans="7:16" s="1634" customFormat="1">
      <c r="G21233" s="3336"/>
      <c r="P21233" s="3337"/>
    </row>
    <row r="21234" spans="7:16" s="1634" customFormat="1">
      <c r="G21234" s="3336"/>
      <c r="P21234" s="3337"/>
    </row>
    <row r="21235" spans="7:16" s="1634" customFormat="1">
      <c r="G21235" s="3336"/>
      <c r="P21235" s="3337"/>
    </row>
    <row r="21236" spans="7:16" s="1634" customFormat="1">
      <c r="G21236" s="3336"/>
      <c r="P21236" s="3337"/>
    </row>
    <row r="21237" spans="7:16" s="1634" customFormat="1">
      <c r="G21237" s="3336"/>
      <c r="P21237" s="3337"/>
    </row>
    <row r="21238" spans="7:16" s="1634" customFormat="1">
      <c r="G21238" s="3336"/>
      <c r="P21238" s="3337"/>
    </row>
    <row r="21239" spans="7:16" s="1634" customFormat="1">
      <c r="G21239" s="3336"/>
      <c r="P21239" s="3337"/>
    </row>
    <row r="21240" spans="7:16" s="1634" customFormat="1">
      <c r="G21240" s="3336"/>
      <c r="P21240" s="3337"/>
    </row>
    <row r="21241" spans="7:16" s="1634" customFormat="1">
      <c r="G21241" s="3336"/>
      <c r="P21241" s="3337"/>
    </row>
    <row r="21242" spans="7:16" s="1634" customFormat="1">
      <c r="G21242" s="3336"/>
      <c r="P21242" s="3337"/>
    </row>
    <row r="21243" spans="7:16" s="1634" customFormat="1">
      <c r="G21243" s="3336"/>
      <c r="P21243" s="3337"/>
    </row>
    <row r="21244" spans="7:16" s="1634" customFormat="1">
      <c r="G21244" s="3336"/>
      <c r="P21244" s="3337"/>
    </row>
    <row r="21245" spans="7:16" s="1634" customFormat="1">
      <c r="G21245" s="3336"/>
      <c r="P21245" s="3337"/>
    </row>
    <row r="21246" spans="7:16" s="1634" customFormat="1">
      <c r="G21246" s="3336"/>
      <c r="P21246" s="3337"/>
    </row>
    <row r="21247" spans="7:16" s="1634" customFormat="1">
      <c r="G21247" s="3336"/>
      <c r="P21247" s="3337"/>
    </row>
    <row r="21248" spans="7:16" s="1634" customFormat="1">
      <c r="G21248" s="3336"/>
      <c r="P21248" s="3337"/>
    </row>
    <row r="21249" spans="7:16" s="1634" customFormat="1">
      <c r="G21249" s="3336"/>
      <c r="P21249" s="3337"/>
    </row>
    <row r="21250" spans="7:16" s="1634" customFormat="1">
      <c r="G21250" s="3336"/>
      <c r="P21250" s="3337"/>
    </row>
    <row r="21251" spans="7:16" s="1634" customFormat="1">
      <c r="G21251" s="3336"/>
      <c r="P21251" s="3337"/>
    </row>
    <row r="21252" spans="7:16" s="1634" customFormat="1">
      <c r="G21252" s="3336"/>
      <c r="P21252" s="3337"/>
    </row>
    <row r="21253" spans="7:16" s="1634" customFormat="1">
      <c r="G21253" s="3336"/>
      <c r="P21253" s="3337"/>
    </row>
    <row r="21254" spans="7:16" s="1634" customFormat="1">
      <c r="G21254" s="3336"/>
      <c r="P21254" s="3337"/>
    </row>
    <row r="21255" spans="7:16" s="1634" customFormat="1">
      <c r="G21255" s="3336"/>
      <c r="P21255" s="3337"/>
    </row>
    <row r="21256" spans="7:16" s="1634" customFormat="1">
      <c r="G21256" s="3336"/>
      <c r="P21256" s="3337"/>
    </row>
    <row r="21257" spans="7:16" s="1634" customFormat="1">
      <c r="G21257" s="3336"/>
      <c r="P21257" s="3337"/>
    </row>
    <row r="21258" spans="7:16" s="1634" customFormat="1">
      <c r="G21258" s="3336"/>
      <c r="P21258" s="3337"/>
    </row>
    <row r="21259" spans="7:16" s="1634" customFormat="1">
      <c r="G21259" s="3336"/>
      <c r="P21259" s="3337"/>
    </row>
    <row r="21260" spans="7:16" s="1634" customFormat="1">
      <c r="G21260" s="3336"/>
      <c r="P21260" s="3337"/>
    </row>
    <row r="21261" spans="7:16" s="1634" customFormat="1">
      <c r="G21261" s="3336"/>
      <c r="P21261" s="3337"/>
    </row>
    <row r="21262" spans="7:16" s="1634" customFormat="1">
      <c r="G21262" s="3336"/>
      <c r="P21262" s="3337"/>
    </row>
    <row r="21263" spans="7:16" s="1634" customFormat="1">
      <c r="G21263" s="3336"/>
      <c r="P21263" s="3337"/>
    </row>
    <row r="21264" spans="7:16" s="1634" customFormat="1">
      <c r="G21264" s="3336"/>
      <c r="P21264" s="3337"/>
    </row>
    <row r="21265" spans="7:16" s="1634" customFormat="1">
      <c r="G21265" s="3336"/>
      <c r="P21265" s="3337"/>
    </row>
    <row r="21266" spans="7:16" s="1634" customFormat="1">
      <c r="G21266" s="3336"/>
      <c r="P21266" s="3337"/>
    </row>
    <row r="21267" spans="7:16" s="1634" customFormat="1">
      <c r="G21267" s="3336"/>
      <c r="P21267" s="3337"/>
    </row>
    <row r="21268" spans="7:16" s="1634" customFormat="1">
      <c r="G21268" s="3336"/>
      <c r="P21268" s="3337"/>
    </row>
    <row r="21269" spans="7:16" s="1634" customFormat="1">
      <c r="G21269" s="3336"/>
      <c r="P21269" s="3337"/>
    </row>
    <row r="21270" spans="7:16" s="1634" customFormat="1">
      <c r="G21270" s="3336"/>
      <c r="P21270" s="3337"/>
    </row>
    <row r="21271" spans="7:16" s="1634" customFormat="1">
      <c r="G21271" s="3336"/>
      <c r="P21271" s="3337"/>
    </row>
    <row r="21272" spans="7:16" s="1634" customFormat="1">
      <c r="G21272" s="3336"/>
      <c r="P21272" s="3337"/>
    </row>
    <row r="21273" spans="7:16" s="1634" customFormat="1">
      <c r="G21273" s="3336"/>
      <c r="P21273" s="3337"/>
    </row>
    <row r="21274" spans="7:16" s="1634" customFormat="1">
      <c r="G21274" s="3336"/>
      <c r="P21274" s="3337"/>
    </row>
    <row r="21275" spans="7:16" s="1634" customFormat="1">
      <c r="G21275" s="3336"/>
      <c r="P21275" s="3337"/>
    </row>
    <row r="21276" spans="7:16" s="1634" customFormat="1">
      <c r="G21276" s="3336"/>
      <c r="P21276" s="3337"/>
    </row>
    <row r="21277" spans="7:16" s="1634" customFormat="1">
      <c r="G21277" s="3336"/>
      <c r="P21277" s="3337"/>
    </row>
    <row r="21278" spans="7:16" s="1634" customFormat="1">
      <c r="G21278" s="3336"/>
      <c r="P21278" s="3337"/>
    </row>
    <row r="21279" spans="7:16" s="1634" customFormat="1">
      <c r="G21279" s="3336"/>
      <c r="P21279" s="3337"/>
    </row>
    <row r="21280" spans="7:16" s="1634" customFormat="1">
      <c r="G21280" s="3336"/>
      <c r="P21280" s="3337"/>
    </row>
    <row r="21281" spans="7:16" s="1634" customFormat="1">
      <c r="G21281" s="3336"/>
      <c r="P21281" s="3337"/>
    </row>
    <row r="21282" spans="7:16" s="1634" customFormat="1">
      <c r="G21282" s="3336"/>
      <c r="P21282" s="3337"/>
    </row>
    <row r="21283" spans="7:16" s="1634" customFormat="1">
      <c r="G21283" s="3336"/>
      <c r="P21283" s="3337"/>
    </row>
    <row r="21284" spans="7:16" s="1634" customFormat="1">
      <c r="G21284" s="3336"/>
      <c r="P21284" s="3337"/>
    </row>
    <row r="21285" spans="7:16" s="1634" customFormat="1">
      <c r="G21285" s="3336"/>
      <c r="P21285" s="3337"/>
    </row>
    <row r="21286" spans="7:16" s="1634" customFormat="1">
      <c r="G21286" s="3336"/>
      <c r="P21286" s="3337"/>
    </row>
    <row r="21287" spans="7:16" s="1634" customFormat="1">
      <c r="G21287" s="3336"/>
      <c r="P21287" s="3337"/>
    </row>
    <row r="21288" spans="7:16" s="1634" customFormat="1">
      <c r="G21288" s="3336"/>
      <c r="P21288" s="3337"/>
    </row>
    <row r="21289" spans="7:16" s="1634" customFormat="1">
      <c r="G21289" s="3336"/>
      <c r="P21289" s="3337"/>
    </row>
    <row r="21290" spans="7:16" s="1634" customFormat="1">
      <c r="G21290" s="3336"/>
      <c r="P21290" s="3337"/>
    </row>
    <row r="21291" spans="7:16" s="1634" customFormat="1">
      <c r="G21291" s="3336"/>
      <c r="P21291" s="3337"/>
    </row>
    <row r="21292" spans="7:16" s="1634" customFormat="1">
      <c r="G21292" s="3336"/>
      <c r="P21292" s="3337"/>
    </row>
    <row r="21293" spans="7:16" s="1634" customFormat="1">
      <c r="G21293" s="3336"/>
      <c r="P21293" s="3337"/>
    </row>
    <row r="21294" spans="7:16" s="1634" customFormat="1">
      <c r="G21294" s="3336"/>
      <c r="P21294" s="3337"/>
    </row>
    <row r="21295" spans="7:16" s="1634" customFormat="1">
      <c r="G21295" s="3336"/>
      <c r="P21295" s="3337"/>
    </row>
    <row r="21296" spans="7:16" s="1634" customFormat="1">
      <c r="G21296" s="3336"/>
      <c r="P21296" s="3337"/>
    </row>
    <row r="21297" spans="7:16" s="1634" customFormat="1">
      <c r="G21297" s="3336"/>
      <c r="P21297" s="3337"/>
    </row>
    <row r="21298" spans="7:16" s="1634" customFormat="1">
      <c r="G21298" s="3336"/>
      <c r="P21298" s="3337"/>
    </row>
    <row r="21299" spans="7:16" s="1634" customFormat="1">
      <c r="G21299" s="3336"/>
      <c r="P21299" s="3337"/>
    </row>
    <row r="21300" spans="7:16" s="1634" customFormat="1">
      <c r="G21300" s="3336"/>
      <c r="P21300" s="3337"/>
    </row>
    <row r="21301" spans="7:16" s="1634" customFormat="1">
      <c r="G21301" s="3336"/>
      <c r="P21301" s="3337"/>
    </row>
    <row r="21302" spans="7:16" s="1634" customFormat="1">
      <c r="G21302" s="3336"/>
      <c r="P21302" s="3337"/>
    </row>
    <row r="21303" spans="7:16" s="1634" customFormat="1">
      <c r="G21303" s="3336"/>
      <c r="P21303" s="3337"/>
    </row>
    <row r="21304" spans="7:16" s="1634" customFormat="1">
      <c r="G21304" s="3336"/>
      <c r="P21304" s="3337"/>
    </row>
    <row r="21305" spans="7:16" s="1634" customFormat="1">
      <c r="G21305" s="3336"/>
      <c r="P21305" s="3337"/>
    </row>
    <row r="21306" spans="7:16" s="1634" customFormat="1">
      <c r="G21306" s="3336"/>
      <c r="P21306" s="3337"/>
    </row>
    <row r="21307" spans="7:16" s="1634" customFormat="1">
      <c r="G21307" s="3336"/>
      <c r="P21307" s="3337"/>
    </row>
    <row r="21308" spans="7:16" s="1634" customFormat="1">
      <c r="G21308" s="3336"/>
      <c r="P21308" s="3337"/>
    </row>
    <row r="21309" spans="7:16" s="1634" customFormat="1">
      <c r="G21309" s="3336"/>
      <c r="P21309" s="3337"/>
    </row>
    <row r="21310" spans="7:16" s="1634" customFormat="1">
      <c r="G21310" s="3336"/>
      <c r="P21310" s="3337"/>
    </row>
    <row r="21311" spans="7:16" s="1634" customFormat="1">
      <c r="G21311" s="3336"/>
      <c r="P21311" s="3337"/>
    </row>
    <row r="21312" spans="7:16" s="1634" customFormat="1">
      <c r="G21312" s="3336"/>
      <c r="P21312" s="3337"/>
    </row>
    <row r="21313" spans="7:16" s="1634" customFormat="1">
      <c r="G21313" s="3336"/>
      <c r="P21313" s="3337"/>
    </row>
    <row r="21314" spans="7:16" s="1634" customFormat="1">
      <c r="G21314" s="3336"/>
      <c r="P21314" s="3337"/>
    </row>
    <row r="21315" spans="7:16" s="1634" customFormat="1">
      <c r="G21315" s="3336"/>
      <c r="P21315" s="3337"/>
    </row>
    <row r="21316" spans="7:16" s="1634" customFormat="1">
      <c r="G21316" s="3336"/>
      <c r="P21316" s="3337"/>
    </row>
    <row r="21317" spans="7:16" s="1634" customFormat="1">
      <c r="G21317" s="3336"/>
      <c r="P21317" s="3337"/>
    </row>
    <row r="21318" spans="7:16" s="1634" customFormat="1">
      <c r="G21318" s="3336"/>
      <c r="P21318" s="3337"/>
    </row>
    <row r="21319" spans="7:16" s="1634" customFormat="1">
      <c r="G21319" s="3336"/>
      <c r="P21319" s="3337"/>
    </row>
    <row r="21320" spans="7:16" s="1634" customFormat="1">
      <c r="G21320" s="3336"/>
      <c r="P21320" s="3337"/>
    </row>
    <row r="21321" spans="7:16" s="1634" customFormat="1">
      <c r="G21321" s="3336"/>
      <c r="P21321" s="3337"/>
    </row>
    <row r="21322" spans="7:16" s="1634" customFormat="1">
      <c r="G21322" s="3336"/>
      <c r="P21322" s="3337"/>
    </row>
    <row r="21323" spans="7:16" s="1634" customFormat="1">
      <c r="G21323" s="3336"/>
      <c r="P21323" s="3337"/>
    </row>
    <row r="21324" spans="7:16" s="1634" customFormat="1">
      <c r="G21324" s="3336"/>
      <c r="P21324" s="3337"/>
    </row>
    <row r="21325" spans="7:16" s="1634" customFormat="1">
      <c r="G21325" s="3336"/>
      <c r="P21325" s="3337"/>
    </row>
    <row r="21326" spans="7:16" s="1634" customFormat="1">
      <c r="G21326" s="3336"/>
      <c r="P21326" s="3337"/>
    </row>
    <row r="21327" spans="7:16" s="1634" customFormat="1">
      <c r="G21327" s="3336"/>
      <c r="P21327" s="3337"/>
    </row>
    <row r="21328" spans="7:16" s="1634" customFormat="1">
      <c r="G21328" s="3336"/>
      <c r="P21328" s="3337"/>
    </row>
    <row r="21329" spans="7:16" s="1634" customFormat="1">
      <c r="G21329" s="3336"/>
      <c r="P21329" s="3337"/>
    </row>
    <row r="21330" spans="7:16" s="1634" customFormat="1">
      <c r="G21330" s="3336"/>
      <c r="P21330" s="3337"/>
    </row>
    <row r="21331" spans="7:16" s="1634" customFormat="1">
      <c r="G21331" s="3336"/>
      <c r="P21331" s="3337"/>
    </row>
    <row r="21332" spans="7:16" s="1634" customFormat="1">
      <c r="G21332" s="3336"/>
      <c r="P21332" s="3337"/>
    </row>
    <row r="21333" spans="7:16" s="1634" customFormat="1">
      <c r="G21333" s="3336"/>
      <c r="P21333" s="3337"/>
    </row>
    <row r="21334" spans="7:16" s="1634" customFormat="1">
      <c r="G21334" s="3336"/>
      <c r="P21334" s="3337"/>
    </row>
    <row r="21335" spans="7:16" s="1634" customFormat="1">
      <c r="G21335" s="3336"/>
      <c r="P21335" s="3337"/>
    </row>
    <row r="21336" spans="7:16" s="1634" customFormat="1">
      <c r="G21336" s="3336"/>
      <c r="P21336" s="3337"/>
    </row>
    <row r="21337" spans="7:16" s="1634" customFormat="1">
      <c r="G21337" s="3336"/>
      <c r="P21337" s="3337"/>
    </row>
    <row r="21338" spans="7:16" s="1634" customFormat="1">
      <c r="G21338" s="3336"/>
      <c r="P21338" s="3337"/>
    </row>
    <row r="21339" spans="7:16" s="1634" customFormat="1">
      <c r="G21339" s="3336"/>
      <c r="P21339" s="3337"/>
    </row>
    <row r="21340" spans="7:16" s="1634" customFormat="1">
      <c r="G21340" s="3336"/>
      <c r="P21340" s="3337"/>
    </row>
    <row r="21341" spans="7:16" s="1634" customFormat="1">
      <c r="G21341" s="3336"/>
      <c r="P21341" s="3337"/>
    </row>
    <row r="21342" spans="7:16" s="1634" customFormat="1">
      <c r="G21342" s="3336"/>
      <c r="P21342" s="3337"/>
    </row>
    <row r="21343" spans="7:16" s="1634" customFormat="1">
      <c r="G21343" s="3336"/>
      <c r="P21343" s="3337"/>
    </row>
    <row r="21344" spans="7:16" s="1634" customFormat="1">
      <c r="G21344" s="3336"/>
      <c r="P21344" s="3337"/>
    </row>
    <row r="21345" spans="7:16" s="1634" customFormat="1">
      <c r="G21345" s="3336"/>
      <c r="P21345" s="3337"/>
    </row>
    <row r="21346" spans="7:16" s="1634" customFormat="1">
      <c r="G21346" s="3336"/>
      <c r="P21346" s="3337"/>
    </row>
    <row r="21347" spans="7:16" s="1634" customFormat="1">
      <c r="G21347" s="3336"/>
      <c r="P21347" s="3337"/>
    </row>
    <row r="21348" spans="7:16" s="1634" customFormat="1">
      <c r="G21348" s="3336"/>
      <c r="P21348" s="3337"/>
    </row>
    <row r="21349" spans="7:16" s="1634" customFormat="1">
      <c r="G21349" s="3336"/>
      <c r="P21349" s="3337"/>
    </row>
    <row r="21350" spans="7:16" s="1634" customFormat="1">
      <c r="G21350" s="3336"/>
      <c r="P21350" s="3337"/>
    </row>
    <row r="21351" spans="7:16" s="1634" customFormat="1">
      <c r="G21351" s="3336"/>
      <c r="P21351" s="3337"/>
    </row>
    <row r="21352" spans="7:16" s="1634" customFormat="1">
      <c r="G21352" s="3336"/>
      <c r="P21352" s="3337"/>
    </row>
    <row r="21353" spans="7:16" s="1634" customFormat="1">
      <c r="G21353" s="3336"/>
      <c r="P21353" s="3337"/>
    </row>
    <row r="21354" spans="7:16" s="1634" customFormat="1">
      <c r="G21354" s="3336"/>
      <c r="P21354" s="3337"/>
    </row>
    <row r="21355" spans="7:16" s="1634" customFormat="1">
      <c r="G21355" s="3336"/>
      <c r="P21355" s="3337"/>
    </row>
    <row r="21356" spans="7:16" s="1634" customFormat="1">
      <c r="G21356" s="3336"/>
      <c r="P21356" s="3337"/>
    </row>
    <row r="21357" spans="7:16" s="1634" customFormat="1">
      <c r="G21357" s="3336"/>
      <c r="P21357" s="3337"/>
    </row>
    <row r="21358" spans="7:16" s="1634" customFormat="1">
      <c r="G21358" s="3336"/>
      <c r="P21358" s="3337"/>
    </row>
    <row r="21359" spans="7:16" s="1634" customFormat="1">
      <c r="G21359" s="3336"/>
      <c r="P21359" s="3337"/>
    </row>
    <row r="21360" spans="7:16" s="1634" customFormat="1">
      <c r="G21360" s="3336"/>
      <c r="P21360" s="3337"/>
    </row>
    <row r="21361" spans="7:16" s="1634" customFormat="1">
      <c r="G21361" s="3336"/>
      <c r="P21361" s="3337"/>
    </row>
    <row r="21362" spans="7:16" s="1634" customFormat="1">
      <c r="G21362" s="3336"/>
      <c r="P21362" s="3337"/>
    </row>
    <row r="21363" spans="7:16" s="1634" customFormat="1">
      <c r="G21363" s="3336"/>
      <c r="P21363" s="3337"/>
    </row>
    <row r="21364" spans="7:16" s="1634" customFormat="1">
      <c r="G21364" s="3336"/>
      <c r="P21364" s="3337"/>
    </row>
    <row r="21365" spans="7:16" s="1634" customFormat="1">
      <c r="G21365" s="3336"/>
      <c r="P21365" s="3337"/>
    </row>
    <row r="21366" spans="7:16" s="1634" customFormat="1">
      <c r="G21366" s="3336"/>
      <c r="P21366" s="3337"/>
    </row>
    <row r="21367" spans="7:16" s="1634" customFormat="1">
      <c r="G21367" s="3336"/>
      <c r="P21367" s="3337"/>
    </row>
    <row r="21368" spans="7:16" s="1634" customFormat="1">
      <c r="G21368" s="3336"/>
      <c r="P21368" s="3337"/>
    </row>
    <row r="21369" spans="7:16" s="1634" customFormat="1">
      <c r="G21369" s="3336"/>
      <c r="P21369" s="3337"/>
    </row>
    <row r="21370" spans="7:16" s="1634" customFormat="1">
      <c r="G21370" s="3336"/>
      <c r="P21370" s="3337"/>
    </row>
    <row r="21371" spans="7:16" s="1634" customFormat="1">
      <c r="G21371" s="3336"/>
      <c r="P21371" s="3337"/>
    </row>
    <row r="21372" spans="7:16" s="1634" customFormat="1">
      <c r="G21372" s="3336"/>
      <c r="P21372" s="3337"/>
    </row>
    <row r="21373" spans="7:16" s="1634" customFormat="1">
      <c r="G21373" s="3336"/>
      <c r="P21373" s="3337"/>
    </row>
    <row r="21374" spans="7:16" s="1634" customFormat="1">
      <c r="G21374" s="3336"/>
      <c r="P21374" s="3337"/>
    </row>
    <row r="21375" spans="7:16" s="1634" customFormat="1">
      <c r="G21375" s="3336"/>
      <c r="P21375" s="3337"/>
    </row>
    <row r="21376" spans="7:16" s="1634" customFormat="1">
      <c r="G21376" s="3336"/>
      <c r="P21376" s="3337"/>
    </row>
    <row r="21377" spans="7:16" s="1634" customFormat="1">
      <c r="G21377" s="3336"/>
      <c r="P21377" s="3337"/>
    </row>
    <row r="21378" spans="7:16" s="1634" customFormat="1">
      <c r="G21378" s="3336"/>
      <c r="P21378" s="3337"/>
    </row>
    <row r="21379" spans="7:16" s="1634" customFormat="1">
      <c r="G21379" s="3336"/>
      <c r="P21379" s="3337"/>
    </row>
    <row r="21380" spans="7:16" s="1634" customFormat="1">
      <c r="G21380" s="3336"/>
      <c r="P21380" s="3337"/>
    </row>
    <row r="21381" spans="7:16" s="1634" customFormat="1">
      <c r="G21381" s="3336"/>
      <c r="P21381" s="3337"/>
    </row>
    <row r="21382" spans="7:16" s="1634" customFormat="1">
      <c r="G21382" s="3336"/>
      <c r="P21382" s="3337"/>
    </row>
    <row r="21383" spans="7:16" s="1634" customFormat="1">
      <c r="G21383" s="3336"/>
      <c r="P21383" s="3337"/>
    </row>
    <row r="21384" spans="7:16" s="1634" customFormat="1">
      <c r="G21384" s="3336"/>
      <c r="P21384" s="3337"/>
    </row>
    <row r="21385" spans="7:16" s="1634" customFormat="1">
      <c r="G21385" s="3336"/>
      <c r="P21385" s="3337"/>
    </row>
    <row r="21386" spans="7:16" s="1634" customFormat="1">
      <c r="G21386" s="3336"/>
      <c r="P21386" s="3337"/>
    </row>
    <row r="21387" spans="7:16" s="1634" customFormat="1">
      <c r="G21387" s="3336"/>
      <c r="P21387" s="3337"/>
    </row>
    <row r="21388" spans="7:16" s="1634" customFormat="1">
      <c r="G21388" s="3336"/>
      <c r="P21388" s="3337"/>
    </row>
    <row r="21389" spans="7:16" s="1634" customFormat="1">
      <c r="G21389" s="3336"/>
      <c r="P21389" s="3337"/>
    </row>
    <row r="21390" spans="7:16" s="1634" customFormat="1">
      <c r="G21390" s="3336"/>
      <c r="P21390" s="3337"/>
    </row>
    <row r="21391" spans="7:16" s="1634" customFormat="1">
      <c r="G21391" s="3336"/>
      <c r="P21391" s="3337"/>
    </row>
    <row r="21392" spans="7:16" s="1634" customFormat="1">
      <c r="G21392" s="3336"/>
      <c r="P21392" s="3337"/>
    </row>
    <row r="21393" spans="7:16" s="1634" customFormat="1">
      <c r="G21393" s="3336"/>
      <c r="P21393" s="3337"/>
    </row>
    <row r="21394" spans="7:16" s="1634" customFormat="1">
      <c r="G21394" s="3336"/>
      <c r="P21394" s="3337"/>
    </row>
    <row r="21395" spans="7:16" s="1634" customFormat="1">
      <c r="G21395" s="3336"/>
      <c r="P21395" s="3337"/>
    </row>
    <row r="21396" spans="7:16" s="1634" customFormat="1">
      <c r="G21396" s="3336"/>
      <c r="P21396" s="3337"/>
    </row>
    <row r="21397" spans="7:16" s="1634" customFormat="1">
      <c r="G21397" s="3336"/>
      <c r="P21397" s="3337"/>
    </row>
    <row r="21398" spans="7:16" s="1634" customFormat="1">
      <c r="G21398" s="3336"/>
      <c r="P21398" s="3337"/>
    </row>
    <row r="21399" spans="7:16" s="1634" customFormat="1">
      <c r="G21399" s="3336"/>
      <c r="P21399" s="3337"/>
    </row>
    <row r="21400" spans="7:16" s="1634" customFormat="1">
      <c r="G21400" s="3336"/>
      <c r="P21400" s="3337"/>
    </row>
    <row r="21401" spans="7:16" s="1634" customFormat="1">
      <c r="G21401" s="3336"/>
      <c r="P21401" s="3337"/>
    </row>
    <row r="21402" spans="7:16" s="1634" customFormat="1">
      <c r="G21402" s="3336"/>
      <c r="P21402" s="3337"/>
    </row>
    <row r="21403" spans="7:16" s="1634" customFormat="1">
      <c r="G21403" s="3336"/>
      <c r="P21403" s="3337"/>
    </row>
    <row r="21404" spans="7:16" s="1634" customFormat="1">
      <c r="G21404" s="3336"/>
      <c r="P21404" s="3337"/>
    </row>
    <row r="21405" spans="7:16" s="1634" customFormat="1">
      <c r="G21405" s="3336"/>
      <c r="P21405" s="3337"/>
    </row>
    <row r="21406" spans="7:16" s="1634" customFormat="1">
      <c r="G21406" s="3336"/>
      <c r="P21406" s="3337"/>
    </row>
    <row r="21407" spans="7:16" s="1634" customFormat="1">
      <c r="G21407" s="3336"/>
      <c r="P21407" s="3337"/>
    </row>
    <row r="21408" spans="7:16" s="1634" customFormat="1">
      <c r="G21408" s="3336"/>
      <c r="P21408" s="3337"/>
    </row>
    <row r="21409" spans="7:16" s="1634" customFormat="1">
      <c r="G21409" s="3336"/>
      <c r="P21409" s="3337"/>
    </row>
    <row r="21410" spans="7:16" s="1634" customFormat="1">
      <c r="G21410" s="3336"/>
      <c r="P21410" s="3337"/>
    </row>
    <row r="21411" spans="7:16" s="1634" customFormat="1">
      <c r="G21411" s="3336"/>
      <c r="P21411" s="3337"/>
    </row>
    <row r="21412" spans="7:16" s="1634" customFormat="1">
      <c r="G21412" s="3336"/>
      <c r="P21412" s="3337"/>
    </row>
    <row r="21413" spans="7:16" s="1634" customFormat="1">
      <c r="G21413" s="3336"/>
      <c r="P21413" s="3337"/>
    </row>
    <row r="21414" spans="7:16" s="1634" customFormat="1">
      <c r="G21414" s="3336"/>
      <c r="P21414" s="3337"/>
    </row>
    <row r="21415" spans="7:16" s="1634" customFormat="1">
      <c r="G21415" s="3336"/>
      <c r="P21415" s="3337"/>
    </row>
    <row r="21416" spans="7:16" s="1634" customFormat="1">
      <c r="G21416" s="3336"/>
      <c r="P21416" s="3337"/>
    </row>
    <row r="21417" spans="7:16" s="1634" customFormat="1">
      <c r="G21417" s="3336"/>
      <c r="P21417" s="3337"/>
    </row>
    <row r="21418" spans="7:16" s="1634" customFormat="1">
      <c r="G21418" s="3336"/>
      <c r="P21418" s="3337"/>
    </row>
    <row r="21419" spans="7:16" s="1634" customFormat="1">
      <c r="G21419" s="3336"/>
      <c r="P21419" s="3337"/>
    </row>
    <row r="21420" spans="7:16" s="1634" customFormat="1">
      <c r="G21420" s="3336"/>
      <c r="P21420" s="3337"/>
    </row>
    <row r="21421" spans="7:16" s="1634" customFormat="1">
      <c r="G21421" s="3336"/>
      <c r="P21421" s="3337"/>
    </row>
    <row r="21422" spans="7:16" s="1634" customFormat="1">
      <c r="G21422" s="3336"/>
      <c r="P21422" s="3337"/>
    </row>
    <row r="21423" spans="7:16" s="1634" customFormat="1">
      <c r="G21423" s="3336"/>
      <c r="P21423" s="3337"/>
    </row>
    <row r="21424" spans="7:16" s="1634" customFormat="1">
      <c r="G21424" s="3336"/>
      <c r="P21424" s="3337"/>
    </row>
    <row r="21425" spans="7:16" s="1634" customFormat="1">
      <c r="G21425" s="3336"/>
      <c r="P21425" s="3337"/>
    </row>
    <row r="21426" spans="7:16" s="1634" customFormat="1">
      <c r="G21426" s="3336"/>
      <c r="P21426" s="3337"/>
    </row>
    <row r="21427" spans="7:16" s="1634" customFormat="1">
      <c r="G21427" s="3336"/>
      <c r="P21427" s="3337"/>
    </row>
    <row r="21428" spans="7:16" s="1634" customFormat="1">
      <c r="G21428" s="3336"/>
      <c r="P21428" s="3337"/>
    </row>
    <row r="21429" spans="7:16" s="1634" customFormat="1">
      <c r="G21429" s="3336"/>
      <c r="P21429" s="3337"/>
    </row>
    <row r="21430" spans="7:16" s="1634" customFormat="1">
      <c r="G21430" s="3336"/>
      <c r="P21430" s="3337"/>
    </row>
    <row r="21431" spans="7:16" s="1634" customFormat="1">
      <c r="G21431" s="3336"/>
      <c r="P21431" s="3337"/>
    </row>
    <row r="21432" spans="7:16" s="1634" customFormat="1">
      <c r="G21432" s="3336"/>
      <c r="P21432" s="3337"/>
    </row>
    <row r="21433" spans="7:16" s="1634" customFormat="1">
      <c r="G21433" s="3336"/>
      <c r="P21433" s="3337"/>
    </row>
    <row r="21434" spans="7:16" s="1634" customFormat="1">
      <c r="G21434" s="3336"/>
      <c r="P21434" s="3337"/>
    </row>
    <row r="21435" spans="7:16" s="1634" customFormat="1">
      <c r="G21435" s="3336"/>
      <c r="P21435" s="3337"/>
    </row>
    <row r="21436" spans="7:16" s="1634" customFormat="1">
      <c r="G21436" s="3336"/>
      <c r="P21436" s="3337"/>
    </row>
    <row r="21437" spans="7:16" s="1634" customFormat="1">
      <c r="G21437" s="3336"/>
      <c r="P21437" s="3337"/>
    </row>
    <row r="21438" spans="7:16" s="1634" customFormat="1">
      <c r="G21438" s="3336"/>
      <c r="P21438" s="3337"/>
    </row>
    <row r="21439" spans="7:16" s="1634" customFormat="1">
      <c r="G21439" s="3336"/>
      <c r="P21439" s="3337"/>
    </row>
    <row r="21440" spans="7:16" s="1634" customFormat="1">
      <c r="G21440" s="3336"/>
      <c r="P21440" s="3337"/>
    </row>
    <row r="21441" spans="7:16" s="1634" customFormat="1">
      <c r="G21441" s="3336"/>
      <c r="P21441" s="3337"/>
    </row>
    <row r="21442" spans="7:16" s="1634" customFormat="1">
      <c r="G21442" s="3336"/>
      <c r="P21442" s="3337"/>
    </row>
    <row r="21443" spans="7:16" s="1634" customFormat="1">
      <c r="G21443" s="3336"/>
      <c r="P21443" s="3337"/>
    </row>
    <row r="21444" spans="7:16" s="1634" customFormat="1">
      <c r="G21444" s="3336"/>
      <c r="P21444" s="3337"/>
    </row>
    <row r="21445" spans="7:16" s="1634" customFormat="1">
      <c r="G21445" s="3336"/>
      <c r="P21445" s="3337"/>
    </row>
    <row r="21446" spans="7:16" s="1634" customFormat="1">
      <c r="G21446" s="3336"/>
      <c r="P21446" s="3337"/>
    </row>
    <row r="21447" spans="7:16" s="1634" customFormat="1">
      <c r="G21447" s="3336"/>
      <c r="P21447" s="3337"/>
    </row>
    <row r="21448" spans="7:16" s="1634" customFormat="1">
      <c r="G21448" s="3336"/>
      <c r="P21448" s="3337"/>
    </row>
    <row r="21449" spans="7:16" s="1634" customFormat="1">
      <c r="G21449" s="3336"/>
      <c r="P21449" s="3337"/>
    </row>
    <row r="21450" spans="7:16" s="1634" customFormat="1">
      <c r="G21450" s="3336"/>
      <c r="P21450" s="3337"/>
    </row>
    <row r="21451" spans="7:16" s="1634" customFormat="1">
      <c r="G21451" s="3336"/>
      <c r="P21451" s="3337"/>
    </row>
    <row r="21452" spans="7:16" s="1634" customFormat="1">
      <c r="G21452" s="3336"/>
      <c r="P21452" s="3337"/>
    </row>
    <row r="21453" spans="7:16" s="1634" customFormat="1">
      <c r="G21453" s="3336"/>
      <c r="P21453" s="3337"/>
    </row>
    <row r="21454" spans="7:16" s="1634" customFormat="1">
      <c r="G21454" s="3336"/>
      <c r="P21454" s="3337"/>
    </row>
    <row r="21455" spans="7:16" s="1634" customFormat="1">
      <c r="G21455" s="3336"/>
      <c r="P21455" s="3337"/>
    </row>
    <row r="21456" spans="7:16" s="1634" customFormat="1">
      <c r="G21456" s="3336"/>
      <c r="P21456" s="3337"/>
    </row>
    <row r="21457" spans="7:16" s="1634" customFormat="1">
      <c r="G21457" s="3336"/>
      <c r="P21457" s="3337"/>
    </row>
    <row r="21458" spans="7:16" s="1634" customFormat="1">
      <c r="G21458" s="3336"/>
      <c r="P21458" s="3337"/>
    </row>
    <row r="21459" spans="7:16" s="1634" customFormat="1">
      <c r="G21459" s="3336"/>
      <c r="P21459" s="3337"/>
    </row>
    <row r="21460" spans="7:16" s="1634" customFormat="1">
      <c r="G21460" s="3336"/>
      <c r="P21460" s="3337"/>
    </row>
    <row r="21461" spans="7:16" s="1634" customFormat="1">
      <c r="G21461" s="3336"/>
      <c r="P21461" s="3337"/>
    </row>
    <row r="21462" spans="7:16" s="1634" customFormat="1">
      <c r="G21462" s="3336"/>
      <c r="P21462" s="3337"/>
    </row>
    <row r="21463" spans="7:16" s="1634" customFormat="1">
      <c r="G21463" s="3336"/>
      <c r="P21463" s="3337"/>
    </row>
    <row r="21464" spans="7:16" s="1634" customFormat="1">
      <c r="G21464" s="3336"/>
      <c r="P21464" s="3337"/>
    </row>
    <row r="21465" spans="7:16" s="1634" customFormat="1">
      <c r="G21465" s="3336"/>
      <c r="P21465" s="3337"/>
    </row>
    <row r="21466" spans="7:16" s="1634" customFormat="1">
      <c r="G21466" s="3336"/>
      <c r="P21466" s="3337"/>
    </row>
    <row r="21467" spans="7:16" s="1634" customFormat="1">
      <c r="G21467" s="3336"/>
      <c r="P21467" s="3337"/>
    </row>
    <row r="21468" spans="7:16" s="1634" customFormat="1">
      <c r="G21468" s="3336"/>
      <c r="P21468" s="3337"/>
    </row>
    <row r="21469" spans="7:16" s="1634" customFormat="1">
      <c r="G21469" s="3336"/>
      <c r="P21469" s="3337"/>
    </row>
    <row r="21470" spans="7:16" s="1634" customFormat="1">
      <c r="G21470" s="3336"/>
      <c r="P21470" s="3337"/>
    </row>
    <row r="21471" spans="7:16" s="1634" customFormat="1">
      <c r="G21471" s="3336"/>
      <c r="P21471" s="3337"/>
    </row>
    <row r="21472" spans="7:16" s="1634" customFormat="1">
      <c r="G21472" s="3336"/>
      <c r="P21472" s="3337"/>
    </row>
    <row r="21473" spans="7:16" s="1634" customFormat="1">
      <c r="G21473" s="3336"/>
      <c r="P21473" s="3337"/>
    </row>
    <row r="21474" spans="7:16" s="1634" customFormat="1">
      <c r="G21474" s="3336"/>
      <c r="P21474" s="3337"/>
    </row>
    <row r="21475" spans="7:16" s="1634" customFormat="1">
      <c r="G21475" s="3336"/>
      <c r="P21475" s="3337"/>
    </row>
    <row r="21476" spans="7:16" s="1634" customFormat="1">
      <c r="G21476" s="3336"/>
      <c r="P21476" s="3337"/>
    </row>
    <row r="21477" spans="7:16" s="1634" customFormat="1">
      <c r="G21477" s="3336"/>
      <c r="P21477" s="3337"/>
    </row>
    <row r="21478" spans="7:16" s="1634" customFormat="1">
      <c r="G21478" s="3336"/>
      <c r="P21478" s="3337"/>
    </row>
    <row r="21479" spans="7:16" s="1634" customFormat="1">
      <c r="G21479" s="3336"/>
      <c r="P21479" s="3337"/>
    </row>
    <row r="21480" spans="7:16" s="1634" customFormat="1">
      <c r="G21480" s="3336"/>
      <c r="P21480" s="3337"/>
    </row>
    <row r="21481" spans="7:16" s="1634" customFormat="1">
      <c r="G21481" s="3336"/>
      <c r="P21481" s="3337"/>
    </row>
    <row r="21482" spans="7:16" s="1634" customFormat="1">
      <c r="G21482" s="3336"/>
      <c r="P21482" s="3337"/>
    </row>
    <row r="21483" spans="7:16" s="1634" customFormat="1">
      <c r="G21483" s="3336"/>
      <c r="P21483" s="3337"/>
    </row>
    <row r="21484" spans="7:16" s="1634" customFormat="1">
      <c r="G21484" s="3336"/>
      <c r="P21484" s="3337"/>
    </row>
    <row r="21485" spans="7:16" s="1634" customFormat="1">
      <c r="G21485" s="3336"/>
      <c r="P21485" s="3337"/>
    </row>
    <row r="21486" spans="7:16" s="1634" customFormat="1">
      <c r="G21486" s="3336"/>
      <c r="P21486" s="3337"/>
    </row>
    <row r="21487" spans="7:16" s="1634" customFormat="1">
      <c r="G21487" s="3336"/>
      <c r="P21487" s="3337"/>
    </row>
    <row r="21488" spans="7:16" s="1634" customFormat="1">
      <c r="G21488" s="3336"/>
      <c r="P21488" s="3337"/>
    </row>
    <row r="21489" spans="7:16" s="1634" customFormat="1">
      <c r="G21489" s="3336"/>
      <c r="P21489" s="3337"/>
    </row>
    <row r="21490" spans="7:16" s="1634" customFormat="1">
      <c r="G21490" s="3336"/>
      <c r="P21490" s="3337"/>
    </row>
    <row r="21491" spans="7:16" s="1634" customFormat="1">
      <c r="G21491" s="3336"/>
      <c r="P21491" s="3337"/>
    </row>
    <row r="21492" spans="7:16" s="1634" customFormat="1">
      <c r="G21492" s="3336"/>
      <c r="P21492" s="3337"/>
    </row>
    <row r="21493" spans="7:16" s="1634" customFormat="1">
      <c r="G21493" s="3336"/>
      <c r="P21493" s="3337"/>
    </row>
    <row r="21494" spans="7:16" s="1634" customFormat="1">
      <c r="G21494" s="3336"/>
      <c r="P21494" s="3337"/>
    </row>
    <row r="21495" spans="7:16" s="1634" customFormat="1">
      <c r="G21495" s="3336"/>
      <c r="P21495" s="3337"/>
    </row>
    <row r="21496" spans="7:16" s="1634" customFormat="1">
      <c r="G21496" s="3336"/>
      <c r="P21496" s="3337"/>
    </row>
    <row r="21497" spans="7:16" s="1634" customFormat="1">
      <c r="G21497" s="3336"/>
      <c r="P21497" s="3337"/>
    </row>
    <row r="21498" spans="7:16" s="1634" customFormat="1">
      <c r="G21498" s="3336"/>
      <c r="P21498" s="3337"/>
    </row>
    <row r="21499" spans="7:16" s="1634" customFormat="1">
      <c r="G21499" s="3336"/>
      <c r="P21499" s="3337"/>
    </row>
    <row r="21500" spans="7:16" s="1634" customFormat="1">
      <c r="G21500" s="3336"/>
      <c r="P21500" s="3337"/>
    </row>
    <row r="21501" spans="7:16" s="1634" customFormat="1">
      <c r="G21501" s="3336"/>
      <c r="P21501" s="3337"/>
    </row>
    <row r="21502" spans="7:16" s="1634" customFormat="1">
      <c r="G21502" s="3336"/>
      <c r="P21502" s="3337"/>
    </row>
    <row r="21503" spans="7:16" s="1634" customFormat="1">
      <c r="G21503" s="3336"/>
      <c r="P21503" s="3337"/>
    </row>
    <row r="21504" spans="7:16" s="1634" customFormat="1">
      <c r="G21504" s="3336"/>
      <c r="P21504" s="3337"/>
    </row>
    <row r="21505" spans="7:16" s="1634" customFormat="1">
      <c r="G21505" s="3336"/>
      <c r="P21505" s="3337"/>
    </row>
    <row r="21506" spans="7:16" s="1634" customFormat="1">
      <c r="G21506" s="3336"/>
      <c r="P21506" s="3337"/>
    </row>
    <row r="21507" spans="7:16" s="1634" customFormat="1">
      <c r="G21507" s="3336"/>
      <c r="P21507" s="3337"/>
    </row>
    <row r="21508" spans="7:16" s="1634" customFormat="1">
      <c r="G21508" s="3336"/>
      <c r="P21508" s="3337"/>
    </row>
    <row r="21509" spans="7:16" s="1634" customFormat="1">
      <c r="G21509" s="3336"/>
      <c r="P21509" s="3337"/>
    </row>
    <row r="21510" spans="7:16" s="1634" customFormat="1">
      <c r="G21510" s="3336"/>
      <c r="P21510" s="3337"/>
    </row>
    <row r="21511" spans="7:16" s="1634" customFormat="1">
      <c r="G21511" s="3336"/>
      <c r="P21511" s="3337"/>
    </row>
    <row r="21512" spans="7:16" s="1634" customFormat="1">
      <c r="G21512" s="3336"/>
      <c r="P21512" s="3337"/>
    </row>
    <row r="21513" spans="7:16" s="1634" customFormat="1">
      <c r="G21513" s="3336"/>
      <c r="P21513" s="3337"/>
    </row>
    <row r="21514" spans="7:16" s="1634" customFormat="1">
      <c r="G21514" s="3336"/>
      <c r="P21514" s="3337"/>
    </row>
    <row r="21515" spans="7:16" s="1634" customFormat="1">
      <c r="G21515" s="3336"/>
      <c r="P21515" s="3337"/>
    </row>
    <row r="21516" spans="7:16" s="1634" customFormat="1">
      <c r="G21516" s="3336"/>
      <c r="P21516" s="3337"/>
    </row>
    <row r="21517" spans="7:16" s="1634" customFormat="1">
      <c r="G21517" s="3336"/>
      <c r="P21517" s="3337"/>
    </row>
    <row r="21518" spans="7:16" s="1634" customFormat="1">
      <c r="G21518" s="3336"/>
      <c r="P21518" s="3337"/>
    </row>
    <row r="21519" spans="7:16" s="1634" customFormat="1">
      <c r="G21519" s="3336"/>
      <c r="P21519" s="3337"/>
    </row>
    <row r="21520" spans="7:16" s="1634" customFormat="1">
      <c r="G21520" s="3336"/>
      <c r="P21520" s="3337"/>
    </row>
    <row r="21521" spans="7:16" s="1634" customFormat="1">
      <c r="G21521" s="3336"/>
      <c r="P21521" s="3337"/>
    </row>
    <row r="21522" spans="7:16" s="1634" customFormat="1">
      <c r="G21522" s="3336"/>
      <c r="P21522" s="3337"/>
    </row>
    <row r="21523" spans="7:16" s="1634" customFormat="1">
      <c r="G21523" s="3336"/>
      <c r="P21523" s="3337"/>
    </row>
    <row r="21524" spans="7:16" s="1634" customFormat="1">
      <c r="G21524" s="3336"/>
      <c r="P21524" s="3337"/>
    </row>
    <row r="21525" spans="7:16" s="1634" customFormat="1">
      <c r="G21525" s="3336"/>
      <c r="P21525" s="3337"/>
    </row>
    <row r="21526" spans="7:16" s="1634" customFormat="1">
      <c r="G21526" s="3336"/>
      <c r="P21526" s="3337"/>
    </row>
    <row r="21527" spans="7:16" s="1634" customFormat="1">
      <c r="G21527" s="3336"/>
      <c r="P21527" s="3337"/>
    </row>
    <row r="21528" spans="7:16" s="1634" customFormat="1">
      <c r="G21528" s="3336"/>
      <c r="P21528" s="3337"/>
    </row>
    <row r="21529" spans="7:16" s="1634" customFormat="1">
      <c r="G21529" s="3336"/>
      <c r="P21529" s="3337"/>
    </row>
    <row r="21530" spans="7:16" s="1634" customFormat="1">
      <c r="G21530" s="3336"/>
      <c r="P21530" s="3337"/>
    </row>
    <row r="21531" spans="7:16" s="1634" customFormat="1">
      <c r="G21531" s="3336"/>
      <c r="P21531" s="3337"/>
    </row>
    <row r="21532" spans="7:16" s="1634" customFormat="1">
      <c r="G21532" s="3336"/>
      <c r="P21532" s="3337"/>
    </row>
    <row r="21533" spans="7:16" s="1634" customFormat="1">
      <c r="G21533" s="3336"/>
      <c r="P21533" s="3337"/>
    </row>
    <row r="21534" spans="7:16" s="1634" customFormat="1">
      <c r="G21534" s="3336"/>
      <c r="P21534" s="3337"/>
    </row>
    <row r="21535" spans="7:16" s="1634" customFormat="1">
      <c r="G21535" s="3336"/>
      <c r="P21535" s="3337"/>
    </row>
    <row r="21536" spans="7:16" s="1634" customFormat="1">
      <c r="G21536" s="3336"/>
      <c r="P21536" s="3337"/>
    </row>
    <row r="21537" spans="7:16" s="1634" customFormat="1">
      <c r="G21537" s="3336"/>
      <c r="P21537" s="3337"/>
    </row>
    <row r="21538" spans="7:16" s="1634" customFormat="1">
      <c r="G21538" s="3336"/>
      <c r="P21538" s="3337"/>
    </row>
    <row r="21539" spans="7:16" s="1634" customFormat="1">
      <c r="G21539" s="3336"/>
      <c r="P21539" s="3337"/>
    </row>
    <row r="21540" spans="7:16" s="1634" customFormat="1">
      <c r="G21540" s="3336"/>
      <c r="P21540" s="3337"/>
    </row>
    <row r="21541" spans="7:16" s="1634" customFormat="1">
      <c r="G21541" s="3336"/>
      <c r="P21541" s="3337"/>
    </row>
    <row r="21542" spans="7:16" s="1634" customFormat="1">
      <c r="G21542" s="3336"/>
      <c r="P21542" s="3337"/>
    </row>
    <row r="21543" spans="7:16" s="1634" customFormat="1">
      <c r="G21543" s="3336"/>
      <c r="P21543" s="3337"/>
    </row>
    <row r="21544" spans="7:16" s="1634" customFormat="1">
      <c r="G21544" s="3336"/>
      <c r="P21544" s="3337"/>
    </row>
    <row r="21545" spans="7:16" s="1634" customFormat="1">
      <c r="G21545" s="3336"/>
      <c r="P21545" s="3337"/>
    </row>
    <row r="21546" spans="7:16" s="1634" customFormat="1">
      <c r="G21546" s="3336"/>
      <c r="P21546" s="3337"/>
    </row>
    <row r="21547" spans="7:16" s="1634" customFormat="1">
      <c r="G21547" s="3336"/>
      <c r="P21547" s="3337"/>
    </row>
    <row r="21548" spans="7:16" s="1634" customFormat="1">
      <c r="G21548" s="3336"/>
      <c r="P21548" s="3337"/>
    </row>
    <row r="21549" spans="7:16" s="1634" customFormat="1">
      <c r="G21549" s="3336"/>
      <c r="P21549" s="3337"/>
    </row>
    <row r="21550" spans="7:16" s="1634" customFormat="1">
      <c r="G21550" s="3336"/>
      <c r="P21550" s="3337"/>
    </row>
    <row r="21551" spans="7:16" s="1634" customFormat="1">
      <c r="G21551" s="3336"/>
      <c r="P21551" s="3337"/>
    </row>
    <row r="21552" spans="7:16" s="1634" customFormat="1">
      <c r="G21552" s="3336"/>
      <c r="P21552" s="3337"/>
    </row>
    <row r="21553" spans="7:16" s="1634" customFormat="1">
      <c r="G21553" s="3336"/>
      <c r="P21553" s="3337"/>
    </row>
    <row r="21554" spans="7:16" s="1634" customFormat="1">
      <c r="G21554" s="3336"/>
      <c r="P21554" s="3337"/>
    </row>
    <row r="21555" spans="7:16" s="1634" customFormat="1">
      <c r="G21555" s="3336"/>
      <c r="P21555" s="3337"/>
    </row>
    <row r="21556" spans="7:16" s="1634" customFormat="1">
      <c r="G21556" s="3336"/>
      <c r="P21556" s="3337"/>
    </row>
    <row r="21557" spans="7:16" s="1634" customFormat="1">
      <c r="G21557" s="3336"/>
      <c r="P21557" s="3337"/>
    </row>
    <row r="21558" spans="7:16" s="1634" customFormat="1">
      <c r="G21558" s="3336"/>
      <c r="P21558" s="3337"/>
    </row>
    <row r="21559" spans="7:16" s="1634" customFormat="1">
      <c r="G21559" s="3336"/>
      <c r="P21559" s="3337"/>
    </row>
    <row r="21560" spans="7:16" s="1634" customFormat="1">
      <c r="G21560" s="3336"/>
      <c r="P21560" s="3337"/>
    </row>
    <row r="21561" spans="7:16" s="1634" customFormat="1">
      <c r="G21561" s="3336"/>
      <c r="P21561" s="3337"/>
    </row>
    <row r="21562" spans="7:16" s="1634" customFormat="1">
      <c r="G21562" s="3336"/>
      <c r="P21562" s="3337"/>
    </row>
    <row r="21563" spans="7:16" s="1634" customFormat="1">
      <c r="G21563" s="3336"/>
      <c r="P21563" s="3337"/>
    </row>
    <row r="21564" spans="7:16" s="1634" customFormat="1">
      <c r="G21564" s="3336"/>
      <c r="P21564" s="3337"/>
    </row>
    <row r="21565" spans="7:16" s="1634" customFormat="1">
      <c r="G21565" s="3336"/>
      <c r="P21565" s="3337"/>
    </row>
    <row r="21566" spans="7:16" s="1634" customFormat="1">
      <c r="G21566" s="3336"/>
      <c r="P21566" s="3337"/>
    </row>
    <row r="21567" spans="7:16" s="1634" customFormat="1">
      <c r="G21567" s="3336"/>
      <c r="P21567" s="3337"/>
    </row>
    <row r="21568" spans="7:16" s="1634" customFormat="1">
      <c r="G21568" s="3336"/>
      <c r="P21568" s="3337"/>
    </row>
    <row r="21569" spans="7:16" s="1634" customFormat="1">
      <c r="G21569" s="3336"/>
      <c r="P21569" s="3337"/>
    </row>
    <row r="21570" spans="7:16" s="1634" customFormat="1">
      <c r="G21570" s="3336"/>
      <c r="P21570" s="3337"/>
    </row>
    <row r="21571" spans="7:16" s="1634" customFormat="1">
      <c r="G21571" s="3336"/>
      <c r="P21571" s="3337"/>
    </row>
    <row r="21572" spans="7:16" s="1634" customFormat="1">
      <c r="G21572" s="3336"/>
      <c r="P21572" s="3337"/>
    </row>
    <row r="21573" spans="7:16" s="1634" customFormat="1">
      <c r="G21573" s="3336"/>
      <c r="P21573" s="3337"/>
    </row>
    <row r="21574" spans="7:16" s="1634" customFormat="1">
      <c r="G21574" s="3336"/>
      <c r="P21574" s="3337"/>
    </row>
    <row r="21575" spans="7:16" s="1634" customFormat="1">
      <c r="G21575" s="3336"/>
      <c r="P21575" s="3337"/>
    </row>
    <row r="21576" spans="7:16" s="1634" customFormat="1">
      <c r="G21576" s="3336"/>
      <c r="P21576" s="3337"/>
    </row>
    <row r="21577" spans="7:16" s="1634" customFormat="1">
      <c r="G21577" s="3336"/>
      <c r="P21577" s="3337"/>
    </row>
    <row r="21578" spans="7:16" s="1634" customFormat="1">
      <c r="G21578" s="3336"/>
      <c r="P21578" s="3337"/>
    </row>
    <row r="21579" spans="7:16" s="1634" customFormat="1">
      <c r="G21579" s="3336"/>
      <c r="P21579" s="3337"/>
    </row>
    <row r="21580" spans="7:16" s="1634" customFormat="1">
      <c r="G21580" s="3336"/>
      <c r="P21580" s="3337"/>
    </row>
    <row r="21581" spans="7:16" s="1634" customFormat="1">
      <c r="G21581" s="3336"/>
      <c r="P21581" s="3337"/>
    </row>
    <row r="21582" spans="7:16" s="1634" customFormat="1">
      <c r="G21582" s="3336"/>
      <c r="P21582" s="3337"/>
    </row>
    <row r="21583" spans="7:16" s="1634" customFormat="1">
      <c r="G21583" s="3336"/>
      <c r="P21583" s="3337"/>
    </row>
    <row r="21584" spans="7:16" s="1634" customFormat="1">
      <c r="G21584" s="3336"/>
      <c r="P21584" s="3337"/>
    </row>
    <row r="21585" spans="7:16" s="1634" customFormat="1">
      <c r="G21585" s="3336"/>
      <c r="P21585" s="3337"/>
    </row>
    <row r="21586" spans="7:16" s="1634" customFormat="1">
      <c r="G21586" s="3336"/>
      <c r="P21586" s="3337"/>
    </row>
    <row r="21587" spans="7:16" s="1634" customFormat="1">
      <c r="G21587" s="3336"/>
      <c r="P21587" s="3337"/>
    </row>
    <row r="21588" spans="7:16" s="1634" customFormat="1">
      <c r="G21588" s="3336"/>
      <c r="P21588" s="3337"/>
    </row>
    <row r="21589" spans="7:16" s="1634" customFormat="1">
      <c r="G21589" s="3336"/>
      <c r="P21589" s="3337"/>
    </row>
    <row r="21590" spans="7:16" s="1634" customFormat="1">
      <c r="G21590" s="3336"/>
      <c r="P21590" s="3337"/>
    </row>
    <row r="21591" spans="7:16" s="1634" customFormat="1">
      <c r="G21591" s="3336"/>
      <c r="P21591" s="3337"/>
    </row>
    <row r="21592" spans="7:16" s="1634" customFormat="1">
      <c r="G21592" s="3336"/>
      <c r="P21592" s="3337"/>
    </row>
    <row r="21593" spans="7:16" s="1634" customFormat="1">
      <c r="G21593" s="3336"/>
      <c r="P21593" s="3337"/>
    </row>
    <row r="21594" spans="7:16" s="1634" customFormat="1">
      <c r="G21594" s="3336"/>
      <c r="P21594" s="3337"/>
    </row>
    <row r="21595" spans="7:16" s="1634" customFormat="1">
      <c r="G21595" s="3336"/>
      <c r="P21595" s="3337"/>
    </row>
    <row r="21596" spans="7:16" s="1634" customFormat="1">
      <c r="G21596" s="3336"/>
      <c r="P21596" s="3337"/>
    </row>
    <row r="21597" spans="7:16" s="1634" customFormat="1">
      <c r="G21597" s="3336"/>
      <c r="P21597" s="3337"/>
    </row>
    <row r="21598" spans="7:16" s="1634" customFormat="1">
      <c r="G21598" s="3336"/>
      <c r="P21598" s="3337"/>
    </row>
    <row r="21599" spans="7:16" s="1634" customFormat="1">
      <c r="G21599" s="3336"/>
      <c r="P21599" s="3337"/>
    </row>
    <row r="21600" spans="7:16" s="1634" customFormat="1">
      <c r="G21600" s="3336"/>
      <c r="P21600" s="3337"/>
    </row>
    <row r="21601" spans="7:16" s="1634" customFormat="1">
      <c r="G21601" s="3336"/>
      <c r="P21601" s="3337"/>
    </row>
    <row r="21602" spans="7:16" s="1634" customFormat="1">
      <c r="G21602" s="3336"/>
      <c r="P21602" s="3337"/>
    </row>
    <row r="21603" spans="7:16" s="1634" customFormat="1">
      <c r="G21603" s="3336"/>
      <c r="P21603" s="3337"/>
    </row>
    <row r="21604" spans="7:16" s="1634" customFormat="1">
      <c r="G21604" s="3336"/>
      <c r="P21604" s="3337"/>
    </row>
    <row r="21605" spans="7:16" s="1634" customFormat="1">
      <c r="G21605" s="3336"/>
      <c r="P21605" s="3337"/>
    </row>
    <row r="21606" spans="7:16" s="1634" customFormat="1">
      <c r="G21606" s="3336"/>
      <c r="P21606" s="3337"/>
    </row>
    <row r="21607" spans="7:16" s="1634" customFormat="1">
      <c r="G21607" s="3336"/>
      <c r="P21607" s="3337"/>
    </row>
    <row r="21608" spans="7:16" s="1634" customFormat="1">
      <c r="G21608" s="3336"/>
      <c r="P21608" s="3337"/>
    </row>
    <row r="21609" spans="7:16" s="1634" customFormat="1">
      <c r="G21609" s="3336"/>
      <c r="P21609" s="3337"/>
    </row>
    <row r="21610" spans="7:16" s="1634" customFormat="1">
      <c r="G21610" s="3336"/>
      <c r="P21610" s="3337"/>
    </row>
    <row r="21611" spans="7:16" s="1634" customFormat="1">
      <c r="G21611" s="3336"/>
      <c r="P21611" s="3337"/>
    </row>
    <row r="21612" spans="7:16" s="1634" customFormat="1">
      <c r="G21612" s="3336"/>
      <c r="P21612" s="3337"/>
    </row>
    <row r="21613" spans="7:16" s="1634" customFormat="1">
      <c r="G21613" s="3336"/>
      <c r="P21613" s="3337"/>
    </row>
    <row r="21614" spans="7:16" s="1634" customFormat="1">
      <c r="G21614" s="3336"/>
      <c r="P21614" s="3337"/>
    </row>
    <row r="21615" spans="7:16" s="1634" customFormat="1">
      <c r="G21615" s="3336"/>
      <c r="P21615" s="3337"/>
    </row>
    <row r="21616" spans="7:16" s="1634" customFormat="1">
      <c r="G21616" s="3336"/>
      <c r="P21616" s="3337"/>
    </row>
    <row r="21617" spans="7:16" s="1634" customFormat="1">
      <c r="G21617" s="3336"/>
      <c r="P21617" s="3337"/>
    </row>
    <row r="21618" spans="7:16" s="1634" customFormat="1">
      <c r="G21618" s="3336"/>
      <c r="P21618" s="3337"/>
    </row>
    <row r="21619" spans="7:16" s="1634" customFormat="1">
      <c r="G21619" s="3336"/>
      <c r="P21619" s="3337"/>
    </row>
    <row r="21620" spans="7:16" s="1634" customFormat="1">
      <c r="G21620" s="3336"/>
      <c r="P21620" s="3337"/>
    </row>
    <row r="21621" spans="7:16" s="1634" customFormat="1">
      <c r="G21621" s="3336"/>
      <c r="P21621" s="3337"/>
    </row>
    <row r="21622" spans="7:16" s="1634" customFormat="1">
      <c r="G21622" s="3336"/>
      <c r="P21622" s="3337"/>
    </row>
    <row r="21623" spans="7:16" s="1634" customFormat="1">
      <c r="G21623" s="3336"/>
      <c r="P21623" s="3337"/>
    </row>
    <row r="21624" spans="7:16" s="1634" customFormat="1">
      <c r="G21624" s="3336"/>
      <c r="P21624" s="3337"/>
    </row>
    <row r="21625" spans="7:16" s="1634" customFormat="1">
      <c r="G21625" s="3336"/>
      <c r="P21625" s="3337"/>
    </row>
    <row r="21626" spans="7:16" s="1634" customFormat="1">
      <c r="G21626" s="3336"/>
      <c r="P21626" s="3337"/>
    </row>
    <row r="21627" spans="7:16" s="1634" customFormat="1">
      <c r="G21627" s="3336"/>
      <c r="P21627" s="3337"/>
    </row>
    <row r="21628" spans="7:16" s="1634" customFormat="1">
      <c r="G21628" s="3336"/>
      <c r="P21628" s="3337"/>
    </row>
    <row r="21629" spans="7:16" s="1634" customFormat="1">
      <c r="G21629" s="3336"/>
      <c r="P21629" s="3337"/>
    </row>
    <row r="21630" spans="7:16" s="1634" customFormat="1">
      <c r="G21630" s="3336"/>
      <c r="P21630" s="3337"/>
    </row>
    <row r="21631" spans="7:16" s="1634" customFormat="1">
      <c r="G21631" s="3336"/>
      <c r="P21631" s="3337"/>
    </row>
    <row r="21632" spans="7:16" s="1634" customFormat="1">
      <c r="G21632" s="3336"/>
      <c r="P21632" s="3337"/>
    </row>
    <row r="21633" spans="7:16" s="1634" customFormat="1">
      <c r="G21633" s="3336"/>
      <c r="P21633" s="3337"/>
    </row>
    <row r="21634" spans="7:16" s="1634" customFormat="1">
      <c r="G21634" s="3336"/>
      <c r="P21634" s="3337"/>
    </row>
    <row r="21635" spans="7:16" s="1634" customFormat="1">
      <c r="G21635" s="3336"/>
      <c r="P21635" s="3337"/>
    </row>
    <row r="21636" spans="7:16" s="1634" customFormat="1">
      <c r="G21636" s="3336"/>
      <c r="P21636" s="3337"/>
    </row>
    <row r="21637" spans="7:16" s="1634" customFormat="1">
      <c r="G21637" s="3336"/>
      <c r="P21637" s="3337"/>
    </row>
    <row r="21638" spans="7:16" s="1634" customFormat="1">
      <c r="G21638" s="3336"/>
      <c r="P21638" s="3337"/>
    </row>
    <row r="21639" spans="7:16" s="1634" customFormat="1">
      <c r="G21639" s="3336"/>
      <c r="P21639" s="3337"/>
    </row>
    <row r="21640" spans="7:16" s="1634" customFormat="1">
      <c r="G21640" s="3336"/>
      <c r="P21640" s="3337"/>
    </row>
    <row r="21641" spans="7:16" s="1634" customFormat="1">
      <c r="G21641" s="3336"/>
      <c r="P21641" s="3337"/>
    </row>
    <row r="21642" spans="7:16" s="1634" customFormat="1">
      <c r="G21642" s="3336"/>
      <c r="P21642" s="3337"/>
    </row>
    <row r="21643" spans="7:16" s="1634" customFormat="1">
      <c r="G21643" s="3336"/>
      <c r="P21643" s="3337"/>
    </row>
    <row r="21644" spans="7:16" s="1634" customFormat="1">
      <c r="G21644" s="3336"/>
      <c r="P21644" s="3337"/>
    </row>
    <row r="21645" spans="7:16" s="1634" customFormat="1">
      <c r="G21645" s="3336"/>
      <c r="P21645" s="3337"/>
    </row>
    <row r="21646" spans="7:16" s="1634" customFormat="1">
      <c r="G21646" s="3336"/>
      <c r="P21646" s="3337"/>
    </row>
    <row r="21647" spans="7:16" s="1634" customFormat="1">
      <c r="G21647" s="3336"/>
      <c r="P21647" s="3337"/>
    </row>
    <row r="21648" spans="7:16" s="1634" customFormat="1">
      <c r="G21648" s="3336"/>
      <c r="P21648" s="3337"/>
    </row>
    <row r="21649" spans="7:16" s="1634" customFormat="1">
      <c r="G21649" s="3336"/>
      <c r="P21649" s="3337"/>
    </row>
    <row r="21650" spans="7:16" s="1634" customFormat="1">
      <c r="G21650" s="3336"/>
      <c r="P21650" s="3337"/>
    </row>
    <row r="21651" spans="7:16" s="1634" customFormat="1">
      <c r="G21651" s="3336"/>
      <c r="P21651" s="3337"/>
    </row>
    <row r="21652" spans="7:16" s="1634" customFormat="1">
      <c r="G21652" s="3336"/>
      <c r="P21652" s="3337"/>
    </row>
    <row r="21653" spans="7:16" s="1634" customFormat="1">
      <c r="G21653" s="3336"/>
      <c r="P21653" s="3337"/>
    </row>
    <row r="21654" spans="7:16" s="1634" customFormat="1">
      <c r="G21654" s="3336"/>
      <c r="P21654" s="3337"/>
    </row>
    <row r="21655" spans="7:16" s="1634" customFormat="1">
      <c r="G21655" s="3336"/>
      <c r="P21655" s="3337"/>
    </row>
    <row r="21656" spans="7:16" s="1634" customFormat="1">
      <c r="G21656" s="3336"/>
      <c r="P21656" s="3337"/>
    </row>
    <row r="21657" spans="7:16" s="1634" customFormat="1">
      <c r="G21657" s="3336"/>
      <c r="P21657" s="3337"/>
    </row>
    <row r="21658" spans="7:16" s="1634" customFormat="1">
      <c r="G21658" s="3336"/>
      <c r="P21658" s="3337"/>
    </row>
    <row r="21659" spans="7:16" s="1634" customFormat="1">
      <c r="G21659" s="3336"/>
      <c r="P21659" s="3337"/>
    </row>
    <row r="21660" spans="7:16" s="1634" customFormat="1">
      <c r="G21660" s="3336"/>
      <c r="P21660" s="3337"/>
    </row>
    <row r="21661" spans="7:16" s="1634" customFormat="1">
      <c r="G21661" s="3336"/>
      <c r="P21661" s="3337"/>
    </row>
    <row r="21662" spans="7:16" s="1634" customFormat="1">
      <c r="G21662" s="3336"/>
      <c r="P21662" s="3337"/>
    </row>
    <row r="21663" spans="7:16" s="1634" customFormat="1">
      <c r="G21663" s="3336"/>
      <c r="P21663" s="3337"/>
    </row>
    <row r="21664" spans="7:16" s="1634" customFormat="1">
      <c r="G21664" s="3336"/>
      <c r="P21664" s="3337"/>
    </row>
    <row r="21665" spans="7:16" s="1634" customFormat="1">
      <c r="G21665" s="3336"/>
      <c r="P21665" s="3337"/>
    </row>
    <row r="21666" spans="7:16" s="1634" customFormat="1">
      <c r="G21666" s="3336"/>
      <c r="P21666" s="3337"/>
    </row>
    <row r="21667" spans="7:16" s="1634" customFormat="1">
      <c r="G21667" s="3336"/>
      <c r="P21667" s="3337"/>
    </row>
    <row r="21668" spans="7:16" s="1634" customFormat="1">
      <c r="G21668" s="3336"/>
      <c r="P21668" s="3337"/>
    </row>
    <row r="21669" spans="7:16" s="1634" customFormat="1">
      <c r="G21669" s="3336"/>
      <c r="P21669" s="3337"/>
    </row>
    <row r="21670" spans="7:16" s="1634" customFormat="1">
      <c r="G21670" s="3336"/>
      <c r="P21670" s="3337"/>
    </row>
    <row r="21671" spans="7:16" s="1634" customFormat="1">
      <c r="G21671" s="3336"/>
      <c r="P21671" s="3337"/>
    </row>
    <row r="21672" spans="7:16" s="1634" customFormat="1">
      <c r="G21672" s="3336"/>
      <c r="P21672" s="3337"/>
    </row>
    <row r="21673" spans="7:16" s="1634" customFormat="1">
      <c r="G21673" s="3336"/>
      <c r="P21673" s="3337"/>
    </row>
    <row r="21674" spans="7:16" s="1634" customFormat="1">
      <c r="G21674" s="3336"/>
      <c r="P21674" s="3337"/>
    </row>
    <row r="21675" spans="7:16" s="1634" customFormat="1">
      <c r="G21675" s="3336"/>
      <c r="P21675" s="3337"/>
    </row>
    <row r="21676" spans="7:16" s="1634" customFormat="1">
      <c r="G21676" s="3336"/>
      <c r="P21676" s="3337"/>
    </row>
    <row r="21677" spans="7:16" s="1634" customFormat="1">
      <c r="G21677" s="3336"/>
      <c r="P21677" s="3337"/>
    </row>
    <row r="21678" spans="7:16" s="1634" customFormat="1">
      <c r="G21678" s="3336"/>
      <c r="P21678" s="3337"/>
    </row>
    <row r="21679" spans="7:16" s="1634" customFormat="1">
      <c r="G21679" s="3336"/>
      <c r="P21679" s="3337"/>
    </row>
    <row r="21680" spans="7:16" s="1634" customFormat="1">
      <c r="G21680" s="3336"/>
      <c r="P21680" s="3337"/>
    </row>
    <row r="21681" spans="7:16" s="1634" customFormat="1">
      <c r="G21681" s="3336"/>
      <c r="P21681" s="3337"/>
    </row>
    <row r="21682" spans="7:16" s="1634" customFormat="1">
      <c r="G21682" s="3336"/>
      <c r="P21682" s="3337"/>
    </row>
    <row r="21683" spans="7:16" s="1634" customFormat="1">
      <c r="G21683" s="3336"/>
      <c r="P21683" s="3337"/>
    </row>
    <row r="21684" spans="7:16" s="1634" customFormat="1">
      <c r="G21684" s="3336"/>
      <c r="P21684" s="3337"/>
    </row>
    <row r="21685" spans="7:16" s="1634" customFormat="1">
      <c r="G21685" s="3336"/>
      <c r="P21685" s="3337"/>
    </row>
    <row r="21686" spans="7:16" s="1634" customFormat="1">
      <c r="G21686" s="3336"/>
      <c r="P21686" s="3337"/>
    </row>
    <row r="21687" spans="7:16" s="1634" customFormat="1">
      <c r="G21687" s="3336"/>
      <c r="P21687" s="3337"/>
    </row>
    <row r="21688" spans="7:16" s="1634" customFormat="1">
      <c r="G21688" s="3336"/>
      <c r="P21688" s="3337"/>
    </row>
    <row r="21689" spans="7:16" s="1634" customFormat="1">
      <c r="G21689" s="3336"/>
      <c r="P21689" s="3337"/>
    </row>
    <row r="21690" spans="7:16" s="1634" customFormat="1">
      <c r="G21690" s="3336"/>
      <c r="P21690" s="3337"/>
    </row>
    <row r="21691" spans="7:16" s="1634" customFormat="1">
      <c r="G21691" s="3336"/>
      <c r="P21691" s="3337"/>
    </row>
    <row r="21692" spans="7:16" s="1634" customFormat="1">
      <c r="G21692" s="3336"/>
      <c r="P21692" s="3337"/>
    </row>
    <row r="21693" spans="7:16" s="1634" customFormat="1">
      <c r="G21693" s="3336"/>
      <c r="P21693" s="3337"/>
    </row>
    <row r="21694" spans="7:16" s="1634" customFormat="1">
      <c r="G21694" s="3336"/>
      <c r="P21694" s="3337"/>
    </row>
    <row r="21695" spans="7:16" s="1634" customFormat="1">
      <c r="G21695" s="3336"/>
      <c r="P21695" s="3337"/>
    </row>
    <row r="21696" spans="7:16" s="1634" customFormat="1">
      <c r="G21696" s="3336"/>
      <c r="P21696" s="3337"/>
    </row>
    <row r="21697" spans="7:16" s="1634" customFormat="1">
      <c r="G21697" s="3336"/>
      <c r="P21697" s="3337"/>
    </row>
    <row r="21698" spans="7:16" s="1634" customFormat="1">
      <c r="G21698" s="3336"/>
      <c r="P21698" s="3337"/>
    </row>
    <row r="21699" spans="7:16" s="1634" customFormat="1">
      <c r="G21699" s="3336"/>
      <c r="P21699" s="3337"/>
    </row>
    <row r="21700" spans="7:16" s="1634" customFormat="1">
      <c r="G21700" s="3336"/>
      <c r="P21700" s="3337"/>
    </row>
    <row r="21701" spans="7:16" s="1634" customFormat="1">
      <c r="G21701" s="3336"/>
      <c r="P21701" s="3337"/>
    </row>
    <row r="21702" spans="7:16" s="1634" customFormat="1">
      <c r="G21702" s="3336"/>
      <c r="P21702" s="3337"/>
    </row>
    <row r="21703" spans="7:16" s="1634" customFormat="1">
      <c r="G21703" s="3336"/>
      <c r="P21703" s="3337"/>
    </row>
    <row r="21704" spans="7:16" s="1634" customFormat="1">
      <c r="G21704" s="3336"/>
      <c r="P21704" s="3337"/>
    </row>
    <row r="21705" spans="7:16" s="1634" customFormat="1">
      <c r="G21705" s="3336"/>
      <c r="P21705" s="3337"/>
    </row>
    <row r="21706" spans="7:16" s="1634" customFormat="1">
      <c r="G21706" s="3336"/>
      <c r="P21706" s="3337"/>
    </row>
    <row r="21707" spans="7:16" s="1634" customFormat="1">
      <c r="G21707" s="3336"/>
      <c r="P21707" s="3337"/>
    </row>
    <row r="21708" spans="7:16" s="1634" customFormat="1">
      <c r="G21708" s="3336"/>
      <c r="P21708" s="3337"/>
    </row>
    <row r="21709" spans="7:16" s="1634" customFormat="1">
      <c r="G21709" s="3336"/>
      <c r="P21709" s="3337"/>
    </row>
    <row r="21710" spans="7:16" s="1634" customFormat="1">
      <c r="G21710" s="3336"/>
      <c r="P21710" s="3337"/>
    </row>
    <row r="21711" spans="7:16" s="1634" customFormat="1">
      <c r="G21711" s="3336"/>
      <c r="P21711" s="3337"/>
    </row>
    <row r="21712" spans="7:16" s="1634" customFormat="1">
      <c r="G21712" s="3336"/>
      <c r="P21712" s="3337"/>
    </row>
    <row r="21713" spans="7:16" s="1634" customFormat="1">
      <c r="G21713" s="3336"/>
      <c r="P21713" s="3337"/>
    </row>
    <row r="21714" spans="7:16" s="1634" customFormat="1">
      <c r="G21714" s="3336"/>
      <c r="P21714" s="3337"/>
    </row>
    <row r="21715" spans="7:16" s="1634" customFormat="1">
      <c r="G21715" s="3336"/>
      <c r="P21715" s="3337"/>
    </row>
    <row r="21716" spans="7:16" s="1634" customFormat="1">
      <c r="G21716" s="3336"/>
      <c r="P21716" s="3337"/>
    </row>
    <row r="21717" spans="7:16" s="1634" customFormat="1">
      <c r="G21717" s="3336"/>
      <c r="P21717" s="3337"/>
    </row>
    <row r="21718" spans="7:16" s="1634" customFormat="1">
      <c r="G21718" s="3336"/>
      <c r="P21718" s="3337"/>
    </row>
    <row r="21719" spans="7:16" s="1634" customFormat="1">
      <c r="G21719" s="3336"/>
      <c r="P21719" s="3337"/>
    </row>
    <row r="21720" spans="7:16" s="1634" customFormat="1">
      <c r="G21720" s="3336"/>
      <c r="P21720" s="3337"/>
    </row>
    <row r="21721" spans="7:16" s="1634" customFormat="1">
      <c r="G21721" s="3336"/>
      <c r="P21721" s="3337"/>
    </row>
    <row r="21722" spans="7:16" s="1634" customFormat="1">
      <c r="G21722" s="3336"/>
      <c r="P21722" s="3337"/>
    </row>
    <row r="21723" spans="7:16" s="1634" customFormat="1">
      <c r="G21723" s="3336"/>
      <c r="P21723" s="3337"/>
    </row>
    <row r="21724" spans="7:16" s="1634" customFormat="1">
      <c r="G21724" s="3336"/>
      <c r="P21724" s="3337"/>
    </row>
    <row r="21725" spans="7:16" s="1634" customFormat="1">
      <c r="G21725" s="3336"/>
      <c r="P21725" s="3337"/>
    </row>
    <row r="21726" spans="7:16" s="1634" customFormat="1">
      <c r="G21726" s="3336"/>
      <c r="P21726" s="3337"/>
    </row>
    <row r="21727" spans="7:16" s="1634" customFormat="1">
      <c r="G21727" s="3336"/>
      <c r="P21727" s="3337"/>
    </row>
    <row r="21728" spans="7:16" s="1634" customFormat="1">
      <c r="G21728" s="3336"/>
      <c r="P21728" s="3337"/>
    </row>
    <row r="21729" spans="7:16" s="1634" customFormat="1">
      <c r="G21729" s="3336"/>
      <c r="P21729" s="3337"/>
    </row>
    <row r="21730" spans="7:16" s="1634" customFormat="1">
      <c r="G21730" s="3336"/>
      <c r="P21730" s="3337"/>
    </row>
    <row r="21731" spans="7:16" s="1634" customFormat="1">
      <c r="G21731" s="3336"/>
      <c r="P21731" s="3337"/>
    </row>
    <row r="21732" spans="7:16" s="1634" customFormat="1">
      <c r="G21732" s="3336"/>
      <c r="P21732" s="3337"/>
    </row>
    <row r="21733" spans="7:16" s="1634" customFormat="1">
      <c r="G21733" s="3336"/>
      <c r="P21733" s="3337"/>
    </row>
    <row r="21734" spans="7:16" s="1634" customFormat="1">
      <c r="G21734" s="3336"/>
      <c r="P21734" s="3337"/>
    </row>
    <row r="21735" spans="7:16" s="1634" customFormat="1">
      <c r="G21735" s="3336"/>
      <c r="P21735" s="3337"/>
    </row>
    <row r="21736" spans="7:16" s="1634" customFormat="1">
      <c r="G21736" s="3336"/>
      <c r="P21736" s="3337"/>
    </row>
    <row r="21737" spans="7:16" s="1634" customFormat="1">
      <c r="G21737" s="3336"/>
      <c r="P21737" s="3337"/>
    </row>
    <row r="21738" spans="7:16" s="1634" customFormat="1">
      <c r="G21738" s="3336"/>
      <c r="P21738" s="3337"/>
    </row>
    <row r="21739" spans="7:16" s="1634" customFormat="1">
      <c r="G21739" s="3336"/>
      <c r="P21739" s="3337"/>
    </row>
    <row r="21740" spans="7:16" s="1634" customFormat="1">
      <c r="G21740" s="3336"/>
      <c r="P21740" s="3337"/>
    </row>
    <row r="21741" spans="7:16" s="1634" customFormat="1">
      <c r="G21741" s="3336"/>
      <c r="P21741" s="3337"/>
    </row>
    <row r="21742" spans="7:16" s="1634" customFormat="1">
      <c r="G21742" s="3336"/>
      <c r="P21742" s="3337"/>
    </row>
    <row r="21743" spans="7:16" s="1634" customFormat="1">
      <c r="G21743" s="3336"/>
      <c r="P21743" s="3337"/>
    </row>
    <row r="21744" spans="7:16" s="1634" customFormat="1">
      <c r="G21744" s="3336"/>
      <c r="P21744" s="3337"/>
    </row>
    <row r="21745" spans="7:16" s="1634" customFormat="1">
      <c r="G21745" s="3336"/>
      <c r="P21745" s="3337"/>
    </row>
    <row r="21746" spans="7:16" s="1634" customFormat="1">
      <c r="G21746" s="3336"/>
      <c r="P21746" s="3337"/>
    </row>
    <row r="21747" spans="7:16" s="1634" customFormat="1">
      <c r="G21747" s="3336"/>
      <c r="P21747" s="3337"/>
    </row>
    <row r="21748" spans="7:16" s="1634" customFormat="1">
      <c r="G21748" s="3336"/>
      <c r="P21748" s="3337"/>
    </row>
    <row r="21749" spans="7:16" s="1634" customFormat="1">
      <c r="G21749" s="3336"/>
      <c r="P21749" s="3337"/>
    </row>
    <row r="21750" spans="7:16" s="1634" customFormat="1">
      <c r="G21750" s="3336"/>
      <c r="P21750" s="3337"/>
    </row>
    <row r="21751" spans="7:16" s="1634" customFormat="1">
      <c r="G21751" s="3336"/>
      <c r="P21751" s="3337"/>
    </row>
    <row r="21752" spans="7:16" s="1634" customFormat="1">
      <c r="G21752" s="3336"/>
      <c r="P21752" s="3337"/>
    </row>
    <row r="21753" spans="7:16" s="1634" customFormat="1">
      <c r="G21753" s="3336"/>
      <c r="P21753" s="3337"/>
    </row>
    <row r="21754" spans="7:16" s="1634" customFormat="1">
      <c r="G21754" s="3336"/>
      <c r="P21754" s="3337"/>
    </row>
    <row r="21755" spans="7:16" s="1634" customFormat="1">
      <c r="G21755" s="3336"/>
      <c r="P21755" s="3337"/>
    </row>
    <row r="21756" spans="7:16" s="1634" customFormat="1">
      <c r="G21756" s="3336"/>
      <c r="P21756" s="3337"/>
    </row>
    <row r="21757" spans="7:16" s="1634" customFormat="1">
      <c r="G21757" s="3336"/>
      <c r="P21757" s="3337"/>
    </row>
    <row r="21758" spans="7:16" s="1634" customFormat="1">
      <c r="G21758" s="3336"/>
      <c r="P21758" s="3337"/>
    </row>
    <row r="21759" spans="7:16" s="1634" customFormat="1">
      <c r="G21759" s="3336"/>
      <c r="P21759" s="3337"/>
    </row>
    <row r="21760" spans="7:16" s="1634" customFormat="1">
      <c r="G21760" s="3336"/>
      <c r="P21760" s="3337"/>
    </row>
    <row r="21761" spans="7:16" s="1634" customFormat="1">
      <c r="G21761" s="3336"/>
      <c r="P21761" s="3337"/>
    </row>
    <row r="21762" spans="7:16" s="1634" customFormat="1">
      <c r="G21762" s="3336"/>
      <c r="P21762" s="3337"/>
    </row>
    <row r="21763" spans="7:16" s="1634" customFormat="1">
      <c r="G21763" s="3336"/>
      <c r="P21763" s="3337"/>
    </row>
    <row r="21764" spans="7:16" s="1634" customFormat="1">
      <c r="G21764" s="3336"/>
      <c r="P21764" s="3337"/>
    </row>
    <row r="21765" spans="7:16" s="1634" customFormat="1">
      <c r="G21765" s="3336"/>
      <c r="P21765" s="3337"/>
    </row>
    <row r="21766" spans="7:16" s="1634" customFormat="1">
      <c r="G21766" s="3336"/>
      <c r="P21766" s="3337"/>
    </row>
    <row r="21767" spans="7:16" s="1634" customFormat="1">
      <c r="G21767" s="3336"/>
      <c r="P21767" s="3337"/>
    </row>
    <row r="21768" spans="7:16" s="1634" customFormat="1">
      <c r="G21768" s="3336"/>
      <c r="P21768" s="3337"/>
    </row>
    <row r="21769" spans="7:16" s="1634" customFormat="1">
      <c r="G21769" s="3336"/>
      <c r="P21769" s="3337"/>
    </row>
    <row r="21770" spans="7:16" s="1634" customFormat="1">
      <c r="G21770" s="3336"/>
      <c r="P21770" s="3337"/>
    </row>
    <row r="21771" spans="7:16" s="1634" customFormat="1">
      <c r="G21771" s="3336"/>
      <c r="P21771" s="3337"/>
    </row>
    <row r="21772" spans="7:16" s="1634" customFormat="1">
      <c r="G21772" s="3336"/>
      <c r="P21772" s="3337"/>
    </row>
    <row r="21773" spans="7:16" s="1634" customFormat="1">
      <c r="G21773" s="3336"/>
      <c r="P21773" s="3337"/>
    </row>
    <row r="21774" spans="7:16" s="1634" customFormat="1">
      <c r="G21774" s="3336"/>
      <c r="P21774" s="3337"/>
    </row>
    <row r="21775" spans="7:16" s="1634" customFormat="1">
      <c r="G21775" s="3336"/>
      <c r="P21775" s="3337"/>
    </row>
    <row r="21776" spans="7:16" s="1634" customFormat="1">
      <c r="G21776" s="3336"/>
      <c r="P21776" s="3337"/>
    </row>
    <row r="21777" spans="7:16" s="1634" customFormat="1">
      <c r="G21777" s="3336"/>
      <c r="P21777" s="3337"/>
    </row>
    <row r="21778" spans="7:16" s="1634" customFormat="1">
      <c r="G21778" s="3336"/>
      <c r="P21778" s="3337"/>
    </row>
    <row r="21779" spans="7:16" s="1634" customFormat="1">
      <c r="G21779" s="3336"/>
      <c r="P21779" s="3337"/>
    </row>
    <row r="21780" spans="7:16" s="1634" customFormat="1">
      <c r="G21780" s="3336"/>
      <c r="P21780" s="3337"/>
    </row>
    <row r="21781" spans="7:16" s="1634" customFormat="1">
      <c r="G21781" s="3336"/>
      <c r="P21781" s="3337"/>
    </row>
    <row r="21782" spans="7:16" s="1634" customFormat="1">
      <c r="G21782" s="3336"/>
      <c r="P21782" s="3337"/>
    </row>
    <row r="21783" spans="7:16" s="1634" customFormat="1">
      <c r="G21783" s="3336"/>
      <c r="P21783" s="3337"/>
    </row>
    <row r="21784" spans="7:16" s="1634" customFormat="1">
      <c r="G21784" s="3336"/>
      <c r="P21784" s="3337"/>
    </row>
    <row r="21785" spans="7:16" s="1634" customFormat="1">
      <c r="G21785" s="3336"/>
      <c r="P21785" s="3337"/>
    </row>
    <row r="21786" spans="7:16" s="1634" customFormat="1">
      <c r="G21786" s="3336"/>
      <c r="P21786" s="3337"/>
    </row>
    <row r="21787" spans="7:16" s="1634" customFormat="1">
      <c r="G21787" s="3336"/>
      <c r="P21787" s="3337"/>
    </row>
    <row r="21788" spans="7:16" s="1634" customFormat="1">
      <c r="G21788" s="3336"/>
      <c r="P21788" s="3337"/>
    </row>
    <row r="21789" spans="7:16" s="1634" customFormat="1">
      <c r="G21789" s="3336"/>
      <c r="P21789" s="3337"/>
    </row>
    <row r="21790" spans="7:16" s="1634" customFormat="1">
      <c r="G21790" s="3336"/>
      <c r="P21790" s="3337"/>
    </row>
    <row r="21791" spans="7:16" s="1634" customFormat="1">
      <c r="G21791" s="3336"/>
      <c r="P21791" s="3337"/>
    </row>
    <row r="21792" spans="7:16" s="1634" customFormat="1">
      <c r="G21792" s="3336"/>
      <c r="P21792" s="3337"/>
    </row>
    <row r="21793" spans="7:16" s="1634" customFormat="1">
      <c r="G21793" s="3336"/>
      <c r="P21793" s="3337"/>
    </row>
    <row r="21794" spans="7:16" s="1634" customFormat="1">
      <c r="G21794" s="3336"/>
      <c r="P21794" s="3337"/>
    </row>
    <row r="21795" spans="7:16" s="1634" customFormat="1">
      <c r="G21795" s="3336"/>
      <c r="P21795" s="3337"/>
    </row>
    <row r="21796" spans="7:16" s="1634" customFormat="1">
      <c r="G21796" s="3336"/>
      <c r="P21796" s="3337"/>
    </row>
    <row r="21797" spans="7:16" s="1634" customFormat="1">
      <c r="G21797" s="3336"/>
      <c r="P21797" s="3337"/>
    </row>
    <row r="21798" spans="7:16" s="1634" customFormat="1">
      <c r="G21798" s="3336"/>
      <c r="P21798" s="3337"/>
    </row>
    <row r="21799" spans="7:16" s="1634" customFormat="1">
      <c r="G21799" s="3336"/>
      <c r="P21799" s="3337"/>
    </row>
    <row r="21800" spans="7:16" s="1634" customFormat="1">
      <c r="G21800" s="3336"/>
      <c r="P21800" s="3337"/>
    </row>
    <row r="21801" spans="7:16" s="1634" customFormat="1">
      <c r="G21801" s="3336"/>
      <c r="P21801" s="3337"/>
    </row>
    <row r="21802" spans="7:16" s="1634" customFormat="1">
      <c r="G21802" s="3336"/>
      <c r="P21802" s="3337"/>
    </row>
    <row r="21803" spans="7:16" s="1634" customFormat="1">
      <c r="G21803" s="3336"/>
      <c r="P21803" s="3337"/>
    </row>
    <row r="21804" spans="7:16" s="1634" customFormat="1">
      <c r="G21804" s="3336"/>
      <c r="P21804" s="3337"/>
    </row>
    <row r="21805" spans="7:16" s="1634" customFormat="1">
      <c r="G21805" s="3336"/>
      <c r="P21805" s="3337"/>
    </row>
    <row r="21806" spans="7:16" s="1634" customFormat="1">
      <c r="G21806" s="3336"/>
      <c r="P21806" s="3337"/>
    </row>
    <row r="21807" spans="7:16" s="1634" customFormat="1">
      <c r="G21807" s="3336"/>
      <c r="P21807" s="3337"/>
    </row>
    <row r="21808" spans="7:16" s="1634" customFormat="1">
      <c r="G21808" s="3336"/>
      <c r="P21808" s="3337"/>
    </row>
    <row r="21809" spans="7:16" s="1634" customFormat="1">
      <c r="G21809" s="3336"/>
      <c r="P21809" s="3337"/>
    </row>
    <row r="21810" spans="7:16" s="1634" customFormat="1">
      <c r="G21810" s="3336"/>
      <c r="P21810" s="3337"/>
    </row>
    <row r="21811" spans="7:16" s="1634" customFormat="1">
      <c r="G21811" s="3336"/>
      <c r="P21811" s="3337"/>
    </row>
    <row r="21812" spans="7:16" s="1634" customFormat="1">
      <c r="G21812" s="3336"/>
      <c r="P21812" s="3337"/>
    </row>
    <row r="21813" spans="7:16" s="1634" customFormat="1">
      <c r="G21813" s="3336"/>
      <c r="P21813" s="3337"/>
    </row>
    <row r="21814" spans="7:16" s="1634" customFormat="1">
      <c r="G21814" s="3336"/>
      <c r="P21814" s="3337"/>
    </row>
    <row r="21815" spans="7:16" s="1634" customFormat="1">
      <c r="G21815" s="3336"/>
      <c r="P21815" s="3337"/>
    </row>
    <row r="21816" spans="7:16" s="1634" customFormat="1">
      <c r="G21816" s="3336"/>
      <c r="P21816" s="3337"/>
    </row>
    <row r="21817" spans="7:16" s="1634" customFormat="1">
      <c r="G21817" s="3336"/>
      <c r="P21817" s="3337"/>
    </row>
    <row r="21818" spans="7:16" s="1634" customFormat="1">
      <c r="G21818" s="3336"/>
      <c r="P21818" s="3337"/>
    </row>
    <row r="21819" spans="7:16" s="1634" customFormat="1">
      <c r="G21819" s="3336"/>
      <c r="P21819" s="3337"/>
    </row>
    <row r="21820" spans="7:16" s="1634" customFormat="1">
      <c r="G21820" s="3336"/>
      <c r="P21820" s="3337"/>
    </row>
    <row r="21821" spans="7:16" s="1634" customFormat="1">
      <c r="G21821" s="3336"/>
      <c r="P21821" s="3337"/>
    </row>
    <row r="21822" spans="7:16" s="1634" customFormat="1">
      <c r="G21822" s="3336"/>
      <c r="P21822" s="3337"/>
    </row>
    <row r="21823" spans="7:16" s="1634" customFormat="1">
      <c r="G21823" s="3336"/>
      <c r="P21823" s="3337"/>
    </row>
    <row r="21824" spans="7:16" s="1634" customFormat="1">
      <c r="G21824" s="3336"/>
      <c r="P21824" s="3337"/>
    </row>
    <row r="21825" spans="7:16" s="1634" customFormat="1">
      <c r="G21825" s="3336"/>
      <c r="P21825" s="3337"/>
    </row>
    <row r="21826" spans="7:16" s="1634" customFormat="1">
      <c r="G21826" s="3336"/>
      <c r="P21826" s="3337"/>
    </row>
    <row r="21827" spans="7:16" s="1634" customFormat="1">
      <c r="G21827" s="3336"/>
      <c r="P21827" s="3337"/>
    </row>
    <row r="21828" spans="7:16" s="1634" customFormat="1">
      <c r="G21828" s="3336"/>
      <c r="P21828" s="3337"/>
    </row>
    <row r="21829" spans="7:16" s="1634" customFormat="1">
      <c r="G21829" s="3336"/>
      <c r="P21829" s="3337"/>
    </row>
    <row r="21830" spans="7:16" s="1634" customFormat="1">
      <c r="G21830" s="3336"/>
      <c r="P21830" s="3337"/>
    </row>
    <row r="21831" spans="7:16" s="1634" customFormat="1">
      <c r="G21831" s="3336"/>
      <c r="P21831" s="3337"/>
    </row>
    <row r="21832" spans="7:16" s="1634" customFormat="1">
      <c r="G21832" s="3336"/>
      <c r="P21832" s="3337"/>
    </row>
    <row r="21833" spans="7:16" s="1634" customFormat="1">
      <c r="G21833" s="3336"/>
      <c r="P21833" s="3337"/>
    </row>
    <row r="21834" spans="7:16" s="1634" customFormat="1">
      <c r="G21834" s="3336"/>
      <c r="P21834" s="3337"/>
    </row>
    <row r="21835" spans="7:16" s="1634" customFormat="1">
      <c r="G21835" s="3336"/>
      <c r="P21835" s="3337"/>
    </row>
    <row r="21836" spans="7:16" s="1634" customFormat="1">
      <c r="G21836" s="3336"/>
      <c r="P21836" s="3337"/>
    </row>
    <row r="21837" spans="7:16" s="1634" customFormat="1">
      <c r="G21837" s="3336"/>
      <c r="P21837" s="3337"/>
    </row>
    <row r="21838" spans="7:16" s="1634" customFormat="1">
      <c r="G21838" s="3336"/>
      <c r="P21838" s="3337"/>
    </row>
    <row r="21839" spans="7:16" s="1634" customFormat="1">
      <c r="G21839" s="3336"/>
      <c r="P21839" s="3337"/>
    </row>
    <row r="21840" spans="7:16" s="1634" customFormat="1">
      <c r="G21840" s="3336"/>
      <c r="P21840" s="3337"/>
    </row>
    <row r="21841" spans="7:16" s="1634" customFormat="1">
      <c r="G21841" s="3336"/>
      <c r="P21841" s="3337"/>
    </row>
    <row r="21842" spans="7:16" s="1634" customFormat="1">
      <c r="G21842" s="3336"/>
      <c r="P21842" s="3337"/>
    </row>
    <row r="21843" spans="7:16" s="1634" customFormat="1">
      <c r="G21843" s="3336"/>
      <c r="P21843" s="3337"/>
    </row>
    <row r="21844" spans="7:16" s="1634" customFormat="1">
      <c r="G21844" s="3336"/>
      <c r="P21844" s="3337"/>
    </row>
    <row r="21845" spans="7:16" s="1634" customFormat="1">
      <c r="G21845" s="3336"/>
      <c r="P21845" s="3337"/>
    </row>
    <row r="21846" spans="7:16" s="1634" customFormat="1">
      <c r="G21846" s="3336"/>
      <c r="P21846" s="3337"/>
    </row>
    <row r="21847" spans="7:16" s="1634" customFormat="1">
      <c r="G21847" s="3336"/>
      <c r="P21847" s="3337"/>
    </row>
    <row r="21848" spans="7:16" s="1634" customFormat="1">
      <c r="G21848" s="3336"/>
      <c r="P21848" s="3337"/>
    </row>
    <row r="21849" spans="7:16" s="1634" customFormat="1">
      <c r="G21849" s="3336"/>
      <c r="P21849" s="3337"/>
    </row>
    <row r="21850" spans="7:16" s="1634" customFormat="1">
      <c r="G21850" s="3336"/>
      <c r="P21850" s="3337"/>
    </row>
    <row r="21851" spans="7:16" s="1634" customFormat="1">
      <c r="G21851" s="3336"/>
      <c r="P21851" s="3337"/>
    </row>
    <row r="21852" spans="7:16" s="1634" customFormat="1">
      <c r="G21852" s="3336"/>
      <c r="P21852" s="3337"/>
    </row>
    <row r="21853" spans="7:16" s="1634" customFormat="1">
      <c r="G21853" s="3336"/>
      <c r="P21853" s="3337"/>
    </row>
    <row r="21854" spans="7:16" s="1634" customFormat="1">
      <c r="G21854" s="3336"/>
      <c r="P21854" s="3337"/>
    </row>
    <row r="21855" spans="7:16" s="1634" customFormat="1">
      <c r="G21855" s="3336"/>
      <c r="P21855" s="3337"/>
    </row>
    <row r="21856" spans="7:16" s="1634" customFormat="1">
      <c r="G21856" s="3336"/>
      <c r="P21856" s="3337"/>
    </row>
    <row r="21857" spans="7:16" s="1634" customFormat="1">
      <c r="G21857" s="3336"/>
      <c r="P21857" s="3337"/>
    </row>
    <row r="21858" spans="7:16" s="1634" customFormat="1">
      <c r="G21858" s="3336"/>
      <c r="P21858" s="3337"/>
    </row>
    <row r="21859" spans="7:16" s="1634" customFormat="1">
      <c r="G21859" s="3336"/>
      <c r="P21859" s="3337"/>
    </row>
    <row r="21860" spans="7:16" s="1634" customFormat="1">
      <c r="G21860" s="3336"/>
      <c r="P21860" s="3337"/>
    </row>
    <row r="21861" spans="7:16" s="1634" customFormat="1">
      <c r="G21861" s="3336"/>
      <c r="P21861" s="3337"/>
    </row>
    <row r="21862" spans="7:16" s="1634" customFormat="1">
      <c r="G21862" s="3336"/>
      <c r="P21862" s="3337"/>
    </row>
    <row r="21863" spans="7:16" s="1634" customFormat="1">
      <c r="G21863" s="3336"/>
      <c r="P21863" s="3337"/>
    </row>
    <row r="21864" spans="7:16" s="1634" customFormat="1">
      <c r="G21864" s="3336"/>
      <c r="P21864" s="3337"/>
    </row>
    <row r="21865" spans="7:16" s="1634" customFormat="1">
      <c r="G21865" s="3336"/>
      <c r="P21865" s="3337"/>
    </row>
    <row r="21866" spans="7:16" s="1634" customFormat="1">
      <c r="G21866" s="3336"/>
      <c r="P21866" s="3337"/>
    </row>
    <row r="21867" spans="7:16" s="1634" customFormat="1">
      <c r="G21867" s="3336"/>
      <c r="P21867" s="3337"/>
    </row>
    <row r="21868" spans="7:16" s="1634" customFormat="1">
      <c r="G21868" s="3336"/>
      <c r="P21868" s="3337"/>
    </row>
    <row r="21869" spans="7:16" s="1634" customFormat="1">
      <c r="G21869" s="3336"/>
      <c r="P21869" s="3337"/>
    </row>
    <row r="21870" spans="7:16" s="1634" customFormat="1">
      <c r="G21870" s="3336"/>
      <c r="P21870" s="3337"/>
    </row>
    <row r="21871" spans="7:16" s="1634" customFormat="1">
      <c r="G21871" s="3336"/>
      <c r="P21871" s="3337"/>
    </row>
    <row r="21872" spans="7:16" s="1634" customFormat="1">
      <c r="G21872" s="3336"/>
      <c r="P21872" s="3337"/>
    </row>
    <row r="21873" spans="7:16" s="1634" customFormat="1">
      <c r="G21873" s="3336"/>
      <c r="P21873" s="3337"/>
    </row>
    <row r="21874" spans="7:16" s="1634" customFormat="1">
      <c r="G21874" s="3336"/>
      <c r="P21874" s="3337"/>
    </row>
    <row r="21875" spans="7:16" s="1634" customFormat="1">
      <c r="G21875" s="3336"/>
      <c r="P21875" s="3337"/>
    </row>
    <row r="21876" spans="7:16" s="1634" customFormat="1">
      <c r="G21876" s="3336"/>
      <c r="P21876" s="3337"/>
    </row>
    <row r="21877" spans="7:16" s="1634" customFormat="1">
      <c r="G21877" s="3336"/>
      <c r="P21877" s="3337"/>
    </row>
    <row r="21878" spans="7:16" s="1634" customFormat="1">
      <c r="G21878" s="3336"/>
      <c r="P21878" s="3337"/>
    </row>
    <row r="21879" spans="7:16" s="1634" customFormat="1">
      <c r="G21879" s="3336"/>
      <c r="P21879" s="3337"/>
    </row>
    <row r="21880" spans="7:16" s="1634" customFormat="1">
      <c r="G21880" s="3336"/>
      <c r="P21880" s="3337"/>
    </row>
    <row r="21881" spans="7:16" s="1634" customFormat="1">
      <c r="G21881" s="3336"/>
      <c r="P21881" s="3337"/>
    </row>
    <row r="21882" spans="7:16" s="1634" customFormat="1">
      <c r="G21882" s="3336"/>
      <c r="P21882" s="3337"/>
    </row>
    <row r="21883" spans="7:16" s="1634" customFormat="1">
      <c r="G21883" s="3336"/>
      <c r="P21883" s="3337"/>
    </row>
    <row r="21884" spans="7:16" s="1634" customFormat="1">
      <c r="G21884" s="3336"/>
      <c r="P21884" s="3337"/>
    </row>
    <row r="21885" spans="7:16" s="1634" customFormat="1">
      <c r="G21885" s="3336"/>
      <c r="P21885" s="3337"/>
    </row>
    <row r="21886" spans="7:16" s="1634" customFormat="1">
      <c r="G21886" s="3336"/>
      <c r="P21886" s="3337"/>
    </row>
    <row r="21887" spans="7:16" s="1634" customFormat="1">
      <c r="G21887" s="3336"/>
      <c r="P21887" s="3337"/>
    </row>
    <row r="21888" spans="7:16" s="1634" customFormat="1">
      <c r="G21888" s="3336"/>
      <c r="P21888" s="3337"/>
    </row>
    <row r="21889" spans="7:16" s="1634" customFormat="1">
      <c r="G21889" s="3336"/>
      <c r="P21889" s="3337"/>
    </row>
    <row r="21890" spans="7:16" s="1634" customFormat="1">
      <c r="G21890" s="3336"/>
      <c r="P21890" s="3337"/>
    </row>
    <row r="21891" spans="7:16" s="1634" customFormat="1">
      <c r="G21891" s="3336"/>
      <c r="P21891" s="3337"/>
    </row>
    <row r="21892" spans="7:16" s="1634" customFormat="1">
      <c r="G21892" s="3336"/>
      <c r="P21892" s="3337"/>
    </row>
    <row r="21893" spans="7:16" s="1634" customFormat="1">
      <c r="G21893" s="3336"/>
      <c r="P21893" s="3337"/>
    </row>
    <row r="21894" spans="7:16" s="1634" customFormat="1">
      <c r="G21894" s="3336"/>
      <c r="P21894" s="3337"/>
    </row>
    <row r="21895" spans="7:16" s="1634" customFormat="1">
      <c r="G21895" s="3336"/>
      <c r="P21895" s="3337"/>
    </row>
    <row r="21896" spans="7:16" s="1634" customFormat="1">
      <c r="G21896" s="3336"/>
      <c r="P21896" s="3337"/>
    </row>
    <row r="21897" spans="7:16" s="1634" customFormat="1">
      <c r="G21897" s="3336"/>
      <c r="P21897" s="3337"/>
    </row>
    <row r="21898" spans="7:16" s="1634" customFormat="1">
      <c r="G21898" s="3336"/>
      <c r="P21898" s="3337"/>
    </row>
    <row r="21899" spans="7:16" s="1634" customFormat="1">
      <c r="G21899" s="3336"/>
      <c r="P21899" s="3337"/>
    </row>
    <row r="21900" spans="7:16" s="1634" customFormat="1">
      <c r="G21900" s="3336"/>
      <c r="P21900" s="3337"/>
    </row>
    <row r="21901" spans="7:16" s="1634" customFormat="1">
      <c r="G21901" s="3336"/>
      <c r="P21901" s="3337"/>
    </row>
    <row r="21902" spans="7:16" s="1634" customFormat="1">
      <c r="G21902" s="3336"/>
      <c r="P21902" s="3337"/>
    </row>
    <row r="21903" spans="7:16" s="1634" customFormat="1">
      <c r="G21903" s="3336"/>
      <c r="P21903" s="3337"/>
    </row>
    <row r="21904" spans="7:16" s="1634" customFormat="1">
      <c r="G21904" s="3336"/>
      <c r="P21904" s="3337"/>
    </row>
    <row r="21905" spans="7:16" s="1634" customFormat="1">
      <c r="G21905" s="3336"/>
      <c r="P21905" s="3337"/>
    </row>
    <row r="21906" spans="7:16" s="1634" customFormat="1">
      <c r="G21906" s="3336"/>
      <c r="P21906" s="3337"/>
    </row>
    <row r="21907" spans="7:16" s="1634" customFormat="1">
      <c r="G21907" s="3336"/>
      <c r="P21907" s="3337"/>
    </row>
    <row r="21908" spans="7:16" s="1634" customFormat="1">
      <c r="G21908" s="3336"/>
      <c r="P21908" s="3337"/>
    </row>
    <row r="21909" spans="7:16" s="1634" customFormat="1">
      <c r="G21909" s="3336"/>
      <c r="P21909" s="3337"/>
    </row>
    <row r="21910" spans="7:16" s="1634" customFormat="1">
      <c r="G21910" s="3336"/>
      <c r="P21910" s="3337"/>
    </row>
    <row r="21911" spans="7:16" s="1634" customFormat="1">
      <c r="G21911" s="3336"/>
      <c r="P21911" s="3337"/>
    </row>
    <row r="21912" spans="7:16" s="1634" customFormat="1">
      <c r="G21912" s="3336"/>
      <c r="P21912" s="3337"/>
    </row>
    <row r="21913" spans="7:16" s="1634" customFormat="1">
      <c r="G21913" s="3336"/>
      <c r="P21913" s="3337"/>
    </row>
    <row r="21914" spans="7:16" s="1634" customFormat="1">
      <c r="G21914" s="3336"/>
      <c r="P21914" s="3337"/>
    </row>
    <row r="21915" spans="7:16" s="1634" customFormat="1">
      <c r="G21915" s="3336"/>
      <c r="P21915" s="3337"/>
    </row>
    <row r="21916" spans="7:16" s="1634" customFormat="1">
      <c r="G21916" s="3336"/>
      <c r="P21916" s="3337"/>
    </row>
    <row r="21917" spans="7:16" s="1634" customFormat="1">
      <c r="G21917" s="3336"/>
      <c r="P21917" s="3337"/>
    </row>
    <row r="21918" spans="7:16" s="1634" customFormat="1">
      <c r="G21918" s="3336"/>
      <c r="P21918" s="3337"/>
    </row>
    <row r="21919" spans="7:16" s="1634" customFormat="1">
      <c r="G21919" s="3336"/>
      <c r="P21919" s="3337"/>
    </row>
    <row r="21920" spans="7:16" s="1634" customFormat="1">
      <c r="G21920" s="3336"/>
      <c r="P21920" s="3337"/>
    </row>
    <row r="21921" spans="7:16" s="1634" customFormat="1">
      <c r="G21921" s="3336"/>
      <c r="P21921" s="3337"/>
    </row>
    <row r="21922" spans="7:16" s="1634" customFormat="1">
      <c r="G21922" s="3336"/>
      <c r="P21922" s="3337"/>
    </row>
    <row r="21923" spans="7:16" s="1634" customFormat="1">
      <c r="G21923" s="3336"/>
      <c r="P21923" s="3337"/>
    </row>
    <row r="21924" spans="7:16" s="1634" customFormat="1">
      <c r="G21924" s="3336"/>
      <c r="P21924" s="3337"/>
    </row>
    <row r="21925" spans="7:16" s="1634" customFormat="1">
      <c r="G21925" s="3336"/>
      <c r="P21925" s="3337"/>
    </row>
    <row r="21926" spans="7:16" s="1634" customFormat="1">
      <c r="G21926" s="3336"/>
      <c r="P21926" s="3337"/>
    </row>
    <row r="21927" spans="7:16" s="1634" customFormat="1">
      <c r="G21927" s="3336"/>
      <c r="P21927" s="3337"/>
    </row>
    <row r="21928" spans="7:16" s="1634" customFormat="1">
      <c r="G21928" s="3336"/>
      <c r="P21928" s="3337"/>
    </row>
    <row r="21929" spans="7:16" s="1634" customFormat="1">
      <c r="G21929" s="3336"/>
      <c r="P21929" s="3337"/>
    </row>
    <row r="21930" spans="7:16" s="1634" customFormat="1">
      <c r="G21930" s="3336"/>
      <c r="P21930" s="3337"/>
    </row>
    <row r="21931" spans="7:16" s="1634" customFormat="1">
      <c r="G21931" s="3336"/>
      <c r="P21931" s="3337"/>
    </row>
    <row r="21932" spans="7:16" s="1634" customFormat="1">
      <c r="G21932" s="3336"/>
      <c r="P21932" s="3337"/>
    </row>
    <row r="21933" spans="7:16" s="1634" customFormat="1">
      <c r="G21933" s="3336"/>
      <c r="P21933" s="3337"/>
    </row>
    <row r="21934" spans="7:16" s="1634" customFormat="1">
      <c r="G21934" s="3336"/>
      <c r="P21934" s="3337"/>
    </row>
    <row r="21935" spans="7:16" s="1634" customFormat="1">
      <c r="G21935" s="3336"/>
      <c r="P21935" s="3337"/>
    </row>
    <row r="21936" spans="7:16" s="1634" customFormat="1">
      <c r="G21936" s="3336"/>
      <c r="P21936" s="3337"/>
    </row>
    <row r="21937" spans="7:16" s="1634" customFormat="1">
      <c r="G21937" s="3336"/>
      <c r="P21937" s="3337"/>
    </row>
    <row r="21938" spans="7:16" s="1634" customFormat="1">
      <c r="G21938" s="3336"/>
      <c r="P21938" s="3337"/>
    </row>
    <row r="21939" spans="7:16" s="1634" customFormat="1">
      <c r="G21939" s="3336"/>
      <c r="P21939" s="3337"/>
    </row>
    <row r="21940" spans="7:16" s="1634" customFormat="1">
      <c r="G21940" s="3336"/>
      <c r="P21940" s="3337"/>
    </row>
    <row r="21941" spans="7:16" s="1634" customFormat="1">
      <c r="G21941" s="3336"/>
      <c r="P21941" s="3337"/>
    </row>
    <row r="21942" spans="7:16" s="1634" customFormat="1">
      <c r="G21942" s="3336"/>
      <c r="P21942" s="3337"/>
    </row>
    <row r="21943" spans="7:16" s="1634" customFormat="1">
      <c r="G21943" s="3336"/>
      <c r="P21943" s="3337"/>
    </row>
    <row r="21944" spans="7:16" s="1634" customFormat="1">
      <c r="G21944" s="3336"/>
      <c r="P21944" s="3337"/>
    </row>
    <row r="21945" spans="7:16" s="1634" customFormat="1">
      <c r="G21945" s="3336"/>
      <c r="P21945" s="3337"/>
    </row>
    <row r="21946" spans="7:16" s="1634" customFormat="1">
      <c r="G21946" s="3336"/>
      <c r="P21946" s="3337"/>
    </row>
    <row r="21947" spans="7:16" s="1634" customFormat="1">
      <c r="G21947" s="3336"/>
      <c r="P21947" s="3337"/>
    </row>
    <row r="21948" spans="7:16" s="1634" customFormat="1">
      <c r="G21948" s="3336"/>
      <c r="P21948" s="3337"/>
    </row>
    <row r="21949" spans="7:16" s="1634" customFormat="1">
      <c r="G21949" s="3336"/>
      <c r="P21949" s="3337"/>
    </row>
    <row r="21950" spans="7:16" s="1634" customFormat="1">
      <c r="G21950" s="3336"/>
      <c r="P21950" s="3337"/>
    </row>
    <row r="21951" spans="7:16" s="1634" customFormat="1">
      <c r="G21951" s="3336"/>
      <c r="P21951" s="3337"/>
    </row>
    <row r="21952" spans="7:16" s="1634" customFormat="1">
      <c r="G21952" s="3336"/>
      <c r="P21952" s="3337"/>
    </row>
    <row r="21953" spans="7:16" s="1634" customFormat="1">
      <c r="G21953" s="3336"/>
      <c r="P21953" s="3337"/>
    </row>
    <row r="21954" spans="7:16" s="1634" customFormat="1">
      <c r="G21954" s="3336"/>
      <c r="P21954" s="3337"/>
    </row>
    <row r="21955" spans="7:16" s="1634" customFormat="1">
      <c r="G21955" s="3336"/>
      <c r="P21955" s="3337"/>
    </row>
    <row r="21956" spans="7:16" s="1634" customFormat="1">
      <c r="G21956" s="3336"/>
      <c r="P21956" s="3337"/>
    </row>
    <row r="21957" spans="7:16" s="1634" customFormat="1">
      <c r="G21957" s="3336"/>
      <c r="P21957" s="3337"/>
    </row>
    <row r="21958" spans="7:16" s="1634" customFormat="1">
      <c r="G21958" s="3336"/>
      <c r="P21958" s="3337"/>
    </row>
    <row r="21959" spans="7:16" s="1634" customFormat="1">
      <c r="G21959" s="3336"/>
      <c r="P21959" s="3337"/>
    </row>
    <row r="21960" spans="7:16" s="1634" customFormat="1">
      <c r="G21960" s="3336"/>
      <c r="P21960" s="3337"/>
    </row>
    <row r="21961" spans="7:16" s="1634" customFormat="1">
      <c r="G21961" s="3336"/>
      <c r="P21961" s="3337"/>
    </row>
    <row r="21962" spans="7:16" s="1634" customFormat="1">
      <c r="G21962" s="3336"/>
      <c r="P21962" s="3337"/>
    </row>
    <row r="21963" spans="7:16" s="1634" customFormat="1">
      <c r="G21963" s="3336"/>
      <c r="P21963" s="3337"/>
    </row>
    <row r="21964" spans="7:16" s="1634" customFormat="1">
      <c r="G21964" s="3336"/>
      <c r="P21964" s="3337"/>
    </row>
    <row r="21965" spans="7:16" s="1634" customFormat="1">
      <c r="G21965" s="3336"/>
      <c r="P21965" s="3337"/>
    </row>
    <row r="21966" spans="7:16" s="1634" customFormat="1">
      <c r="G21966" s="3336"/>
      <c r="P21966" s="3337"/>
    </row>
    <row r="21967" spans="7:16" s="1634" customFormat="1">
      <c r="G21967" s="3336"/>
      <c r="P21967" s="3337"/>
    </row>
    <row r="21968" spans="7:16" s="1634" customFormat="1">
      <c r="G21968" s="3336"/>
      <c r="P21968" s="3337"/>
    </row>
    <row r="21969" spans="7:16" s="1634" customFormat="1">
      <c r="G21969" s="3336"/>
      <c r="P21969" s="3337"/>
    </row>
    <row r="21970" spans="7:16" s="1634" customFormat="1">
      <c r="G21970" s="3336"/>
      <c r="P21970" s="3337"/>
    </row>
    <row r="21971" spans="7:16" s="1634" customFormat="1">
      <c r="G21971" s="3336"/>
      <c r="P21971" s="3337"/>
    </row>
    <row r="21972" spans="7:16" s="1634" customFormat="1">
      <c r="G21972" s="3336"/>
      <c r="P21972" s="3337"/>
    </row>
    <row r="21973" spans="7:16" s="1634" customFormat="1">
      <c r="G21973" s="3336"/>
      <c r="P21973" s="3337"/>
    </row>
    <row r="21974" spans="7:16" s="1634" customFormat="1">
      <c r="G21974" s="3336"/>
      <c r="P21974" s="3337"/>
    </row>
    <row r="21975" spans="7:16" s="1634" customFormat="1">
      <c r="G21975" s="3336"/>
      <c r="P21975" s="3337"/>
    </row>
    <row r="21976" spans="7:16" s="1634" customFormat="1">
      <c r="G21976" s="3336"/>
      <c r="P21976" s="3337"/>
    </row>
    <row r="21977" spans="7:16" s="1634" customFormat="1">
      <c r="G21977" s="3336"/>
      <c r="P21977" s="3337"/>
    </row>
    <row r="21978" spans="7:16" s="1634" customFormat="1">
      <c r="G21978" s="3336"/>
      <c r="P21978" s="3337"/>
    </row>
    <row r="21979" spans="7:16" s="1634" customFormat="1">
      <c r="G21979" s="3336"/>
      <c r="P21979" s="3337"/>
    </row>
    <row r="21980" spans="7:16" s="1634" customFormat="1">
      <c r="G21980" s="3336"/>
      <c r="P21980" s="3337"/>
    </row>
    <row r="21981" spans="7:16" s="1634" customFormat="1">
      <c r="G21981" s="3336"/>
      <c r="P21981" s="3337"/>
    </row>
    <row r="21982" spans="7:16" s="1634" customFormat="1">
      <c r="G21982" s="3336"/>
      <c r="P21982" s="3337"/>
    </row>
    <row r="21983" spans="7:16" s="1634" customFormat="1">
      <c r="G21983" s="3336"/>
      <c r="P21983" s="3337"/>
    </row>
    <row r="21984" spans="7:16" s="1634" customFormat="1">
      <c r="G21984" s="3336"/>
      <c r="P21984" s="3337"/>
    </row>
    <row r="21985" spans="7:16" s="1634" customFormat="1">
      <c r="G21985" s="3336"/>
      <c r="P21985" s="3337"/>
    </row>
    <row r="21986" spans="7:16" s="1634" customFormat="1">
      <c r="G21986" s="3336"/>
      <c r="P21986" s="3337"/>
    </row>
    <row r="21987" spans="7:16" s="1634" customFormat="1">
      <c r="G21987" s="3336"/>
      <c r="P21987" s="3337"/>
    </row>
    <row r="21988" spans="7:16" s="1634" customFormat="1">
      <c r="G21988" s="3336"/>
      <c r="P21988" s="3337"/>
    </row>
    <row r="21989" spans="7:16" s="1634" customFormat="1">
      <c r="G21989" s="3336"/>
      <c r="P21989" s="3337"/>
    </row>
    <row r="21990" spans="7:16" s="1634" customFormat="1">
      <c r="G21990" s="3336"/>
      <c r="P21990" s="3337"/>
    </row>
    <row r="21991" spans="7:16" s="1634" customFormat="1">
      <c r="G21991" s="3336"/>
      <c r="P21991" s="3337"/>
    </row>
    <row r="21992" spans="7:16" s="1634" customFormat="1">
      <c r="G21992" s="3336"/>
      <c r="P21992" s="3337"/>
    </row>
    <row r="21993" spans="7:16" s="1634" customFormat="1">
      <c r="G21993" s="3336"/>
      <c r="P21993" s="3337"/>
    </row>
    <row r="21994" spans="7:16" s="1634" customFormat="1">
      <c r="G21994" s="3336"/>
      <c r="P21994" s="3337"/>
    </row>
    <row r="21995" spans="7:16" s="1634" customFormat="1">
      <c r="G21995" s="3336"/>
      <c r="P21995" s="3337"/>
    </row>
    <row r="21996" spans="7:16" s="1634" customFormat="1">
      <c r="G21996" s="3336"/>
      <c r="P21996" s="3337"/>
    </row>
    <row r="21997" spans="7:16" s="1634" customFormat="1">
      <c r="G21997" s="3336"/>
      <c r="P21997" s="3337"/>
    </row>
    <row r="21998" spans="7:16" s="1634" customFormat="1">
      <c r="G21998" s="3336"/>
      <c r="P21998" s="3337"/>
    </row>
    <row r="21999" spans="7:16" s="1634" customFormat="1">
      <c r="G21999" s="3336"/>
      <c r="P21999" s="3337"/>
    </row>
    <row r="22000" spans="7:16" s="1634" customFormat="1">
      <c r="G22000" s="3336"/>
      <c r="P22000" s="3337"/>
    </row>
    <row r="22001" spans="7:16" s="1634" customFormat="1">
      <c r="G22001" s="3336"/>
      <c r="P22001" s="3337"/>
    </row>
    <row r="22002" spans="7:16" s="1634" customFormat="1">
      <c r="G22002" s="3336"/>
      <c r="P22002" s="3337"/>
    </row>
    <row r="22003" spans="7:16" s="1634" customFormat="1">
      <c r="G22003" s="3336"/>
      <c r="P22003" s="3337"/>
    </row>
    <row r="22004" spans="7:16" s="1634" customFormat="1">
      <c r="G22004" s="3336"/>
      <c r="P22004" s="3337"/>
    </row>
    <row r="22005" spans="7:16" s="1634" customFormat="1">
      <c r="G22005" s="3336"/>
      <c r="P22005" s="3337"/>
    </row>
    <row r="22006" spans="7:16" s="1634" customFormat="1">
      <c r="G22006" s="3336"/>
      <c r="P22006" s="3337"/>
    </row>
    <row r="22007" spans="7:16" s="1634" customFormat="1">
      <c r="G22007" s="3336"/>
      <c r="P22007" s="3337"/>
    </row>
    <row r="22008" spans="7:16" s="1634" customFormat="1">
      <c r="G22008" s="3336"/>
      <c r="P22008" s="3337"/>
    </row>
    <row r="22009" spans="7:16" s="1634" customFormat="1">
      <c r="G22009" s="3336"/>
      <c r="P22009" s="3337"/>
    </row>
    <row r="22010" spans="7:16" s="1634" customFormat="1">
      <c r="G22010" s="3336"/>
      <c r="P22010" s="3337"/>
    </row>
    <row r="22011" spans="7:16" s="1634" customFormat="1">
      <c r="G22011" s="3336"/>
      <c r="P22011" s="3337"/>
    </row>
    <row r="22012" spans="7:16" s="1634" customFormat="1">
      <c r="G22012" s="3336"/>
      <c r="P22012" s="3337"/>
    </row>
    <row r="22013" spans="7:16" s="1634" customFormat="1">
      <c r="G22013" s="3336"/>
      <c r="P22013" s="3337"/>
    </row>
    <row r="22014" spans="7:16" s="1634" customFormat="1">
      <c r="G22014" s="3336"/>
      <c r="P22014" s="3337"/>
    </row>
    <row r="22015" spans="7:16" s="1634" customFormat="1">
      <c r="G22015" s="3336"/>
      <c r="P22015" s="3337"/>
    </row>
    <row r="22016" spans="7:16" s="1634" customFormat="1">
      <c r="G22016" s="3336"/>
      <c r="P22016" s="3337"/>
    </row>
    <row r="22017" spans="7:16" s="1634" customFormat="1">
      <c r="G22017" s="3336"/>
      <c r="P22017" s="3337"/>
    </row>
    <row r="22018" spans="7:16" s="1634" customFormat="1">
      <c r="G22018" s="3336"/>
      <c r="P22018" s="3337"/>
    </row>
    <row r="22019" spans="7:16" s="1634" customFormat="1">
      <c r="G22019" s="3336"/>
      <c r="P22019" s="3337"/>
    </row>
    <row r="22020" spans="7:16" s="1634" customFormat="1">
      <c r="G22020" s="3336"/>
      <c r="P22020" s="3337"/>
    </row>
    <row r="22021" spans="7:16" s="1634" customFormat="1">
      <c r="G22021" s="3336"/>
      <c r="P22021" s="3337"/>
    </row>
    <row r="22022" spans="7:16" s="1634" customFormat="1">
      <c r="G22022" s="3336"/>
      <c r="P22022" s="3337"/>
    </row>
    <row r="22023" spans="7:16" s="1634" customFormat="1">
      <c r="G22023" s="3336"/>
      <c r="P22023" s="3337"/>
    </row>
    <row r="22024" spans="7:16" s="1634" customFormat="1">
      <c r="G22024" s="3336"/>
      <c r="P22024" s="3337"/>
    </row>
    <row r="22025" spans="7:16" s="1634" customFormat="1">
      <c r="G22025" s="3336"/>
      <c r="P22025" s="3337"/>
    </row>
    <row r="22026" spans="7:16" s="1634" customFormat="1">
      <c r="G22026" s="3336"/>
      <c r="P22026" s="3337"/>
    </row>
    <row r="22027" spans="7:16" s="1634" customFormat="1">
      <c r="G22027" s="3336"/>
      <c r="P22027" s="3337"/>
    </row>
    <row r="22028" spans="7:16" s="1634" customFormat="1">
      <c r="G22028" s="3336"/>
      <c r="P22028" s="3337"/>
    </row>
    <row r="22029" spans="7:16" s="1634" customFormat="1">
      <c r="G22029" s="3336"/>
      <c r="P22029" s="3337"/>
    </row>
    <row r="22030" spans="7:16" s="1634" customFormat="1">
      <c r="G22030" s="3336"/>
      <c r="P22030" s="3337"/>
    </row>
    <row r="22031" spans="7:16" s="1634" customFormat="1">
      <c r="G22031" s="3336"/>
      <c r="P22031" s="3337"/>
    </row>
    <row r="22032" spans="7:16" s="1634" customFormat="1">
      <c r="G22032" s="3336"/>
      <c r="P22032" s="3337"/>
    </row>
    <row r="22033" spans="7:16" s="1634" customFormat="1">
      <c r="G22033" s="3336"/>
      <c r="P22033" s="3337"/>
    </row>
    <row r="22034" spans="7:16" s="1634" customFormat="1">
      <c r="G22034" s="3336"/>
      <c r="P22034" s="3337"/>
    </row>
    <row r="22035" spans="7:16" s="1634" customFormat="1">
      <c r="G22035" s="3336"/>
      <c r="P22035" s="3337"/>
    </row>
    <row r="22036" spans="7:16" s="1634" customFormat="1">
      <c r="G22036" s="3336"/>
      <c r="P22036" s="3337"/>
    </row>
    <row r="22037" spans="7:16" s="1634" customFormat="1">
      <c r="G22037" s="3336"/>
      <c r="P22037" s="3337"/>
    </row>
    <row r="22038" spans="7:16" s="1634" customFormat="1">
      <c r="G22038" s="3336"/>
      <c r="P22038" s="3337"/>
    </row>
    <row r="22039" spans="7:16" s="1634" customFormat="1">
      <c r="G22039" s="3336"/>
      <c r="P22039" s="3337"/>
    </row>
    <row r="22040" spans="7:16" s="1634" customFormat="1">
      <c r="G22040" s="3336"/>
      <c r="P22040" s="3337"/>
    </row>
    <row r="22041" spans="7:16" s="1634" customFormat="1">
      <c r="G22041" s="3336"/>
      <c r="P22041" s="3337"/>
    </row>
    <row r="22042" spans="7:16" s="1634" customFormat="1">
      <c r="G22042" s="3336"/>
      <c r="P22042" s="3337"/>
    </row>
    <row r="22043" spans="7:16" s="1634" customFormat="1">
      <c r="G22043" s="3336"/>
      <c r="P22043" s="3337"/>
    </row>
    <row r="22044" spans="7:16" s="1634" customFormat="1">
      <c r="G22044" s="3336"/>
      <c r="P22044" s="3337"/>
    </row>
    <row r="22045" spans="7:16" s="1634" customFormat="1">
      <c r="G22045" s="3336"/>
      <c r="P22045" s="3337"/>
    </row>
    <row r="22046" spans="7:16" s="1634" customFormat="1">
      <c r="G22046" s="3336"/>
      <c r="P22046" s="3337"/>
    </row>
    <row r="22047" spans="7:16" s="1634" customFormat="1">
      <c r="G22047" s="3336"/>
      <c r="P22047" s="3337"/>
    </row>
    <row r="22048" spans="7:16" s="1634" customFormat="1">
      <c r="G22048" s="3336"/>
      <c r="P22048" s="3337"/>
    </row>
    <row r="22049" spans="7:16" s="1634" customFormat="1">
      <c r="G22049" s="3336"/>
      <c r="P22049" s="3337"/>
    </row>
    <row r="22050" spans="7:16" s="1634" customFormat="1">
      <c r="G22050" s="3336"/>
      <c r="P22050" s="3337"/>
    </row>
    <row r="22051" spans="7:16" s="1634" customFormat="1">
      <c r="G22051" s="3336"/>
      <c r="P22051" s="3337"/>
    </row>
    <row r="22052" spans="7:16" s="1634" customFormat="1">
      <c r="G22052" s="3336"/>
      <c r="P22052" s="3337"/>
    </row>
    <row r="22053" spans="7:16" s="1634" customFormat="1">
      <c r="G22053" s="3336"/>
      <c r="P22053" s="3337"/>
    </row>
    <row r="22054" spans="7:16" s="1634" customFormat="1">
      <c r="G22054" s="3336"/>
      <c r="P22054" s="3337"/>
    </row>
    <row r="22055" spans="7:16" s="1634" customFormat="1">
      <c r="G22055" s="3336"/>
      <c r="P22055" s="3337"/>
    </row>
    <row r="22056" spans="7:16" s="1634" customFormat="1">
      <c r="G22056" s="3336"/>
      <c r="P22056" s="3337"/>
    </row>
    <row r="22057" spans="7:16" s="1634" customFormat="1">
      <c r="G22057" s="3336"/>
      <c r="P22057" s="3337"/>
    </row>
    <row r="22058" spans="7:16" s="1634" customFormat="1">
      <c r="G22058" s="3336"/>
      <c r="P22058" s="3337"/>
    </row>
    <row r="22059" spans="7:16" s="1634" customFormat="1">
      <c r="G22059" s="3336"/>
      <c r="P22059" s="3337"/>
    </row>
    <row r="22060" spans="7:16" s="1634" customFormat="1">
      <c r="G22060" s="3336"/>
      <c r="P22060" s="3337"/>
    </row>
    <row r="22061" spans="7:16" s="1634" customFormat="1">
      <c r="G22061" s="3336"/>
      <c r="P22061" s="3337"/>
    </row>
    <row r="22062" spans="7:16" s="1634" customFormat="1">
      <c r="G22062" s="3336"/>
      <c r="P22062" s="3337"/>
    </row>
    <row r="22063" spans="7:16" s="1634" customFormat="1">
      <c r="G22063" s="3336"/>
      <c r="P22063" s="3337"/>
    </row>
    <row r="22064" spans="7:16" s="1634" customFormat="1">
      <c r="G22064" s="3336"/>
      <c r="P22064" s="3337"/>
    </row>
    <row r="22065" spans="7:16" s="1634" customFormat="1">
      <c r="G22065" s="3336"/>
      <c r="P22065" s="3337"/>
    </row>
    <row r="22066" spans="7:16" s="1634" customFormat="1">
      <c r="G22066" s="3336"/>
      <c r="P22066" s="3337"/>
    </row>
    <row r="22067" spans="7:16" s="1634" customFormat="1">
      <c r="G22067" s="3336"/>
      <c r="P22067" s="3337"/>
    </row>
    <row r="22068" spans="7:16" s="1634" customFormat="1">
      <c r="G22068" s="3336"/>
      <c r="P22068" s="3337"/>
    </row>
    <row r="22069" spans="7:16" s="1634" customFormat="1">
      <c r="G22069" s="3336"/>
      <c r="P22069" s="3337"/>
    </row>
    <row r="22070" spans="7:16" s="1634" customFormat="1">
      <c r="G22070" s="3336"/>
      <c r="P22070" s="3337"/>
    </row>
    <row r="22071" spans="7:16" s="1634" customFormat="1">
      <c r="G22071" s="3336"/>
      <c r="P22071" s="3337"/>
    </row>
    <row r="22072" spans="7:16" s="1634" customFormat="1">
      <c r="G22072" s="3336"/>
      <c r="P22072" s="3337"/>
    </row>
    <row r="22073" spans="7:16" s="1634" customFormat="1">
      <c r="G22073" s="3336"/>
      <c r="P22073" s="3337"/>
    </row>
    <row r="22074" spans="7:16" s="1634" customFormat="1">
      <c r="G22074" s="3336"/>
      <c r="P22074" s="3337"/>
    </row>
    <row r="22075" spans="7:16" s="1634" customFormat="1">
      <c r="G22075" s="3336"/>
      <c r="P22075" s="3337"/>
    </row>
    <row r="22076" spans="7:16" s="1634" customFormat="1">
      <c r="G22076" s="3336"/>
      <c r="P22076" s="3337"/>
    </row>
    <row r="22077" spans="7:16" s="1634" customFormat="1">
      <c r="G22077" s="3336"/>
      <c r="P22077" s="3337"/>
    </row>
    <row r="22078" spans="7:16" s="1634" customFormat="1">
      <c r="G22078" s="3336"/>
      <c r="P22078" s="3337"/>
    </row>
    <row r="22079" spans="7:16" s="1634" customFormat="1">
      <c r="G22079" s="3336"/>
      <c r="P22079" s="3337"/>
    </row>
    <row r="22080" spans="7:16" s="1634" customFormat="1">
      <c r="G22080" s="3336"/>
      <c r="P22080" s="3337"/>
    </row>
    <row r="22081" spans="7:16" s="1634" customFormat="1">
      <c r="G22081" s="3336"/>
      <c r="P22081" s="3337"/>
    </row>
    <row r="22082" spans="7:16" s="1634" customFormat="1">
      <c r="G22082" s="3336"/>
      <c r="P22082" s="3337"/>
    </row>
    <row r="22083" spans="7:16" s="1634" customFormat="1">
      <c r="G22083" s="3336"/>
      <c r="P22083" s="3337"/>
    </row>
    <row r="22084" spans="7:16" s="1634" customFormat="1">
      <c r="G22084" s="3336"/>
      <c r="P22084" s="3337"/>
    </row>
    <row r="22085" spans="7:16" s="1634" customFormat="1">
      <c r="G22085" s="3336"/>
      <c r="P22085" s="3337"/>
    </row>
    <row r="22086" spans="7:16" s="1634" customFormat="1">
      <c r="G22086" s="3336"/>
      <c r="P22086" s="3337"/>
    </row>
    <row r="22087" spans="7:16" s="1634" customFormat="1">
      <c r="G22087" s="3336"/>
      <c r="P22087" s="3337"/>
    </row>
    <row r="22088" spans="7:16" s="1634" customFormat="1">
      <c r="G22088" s="3336"/>
      <c r="P22088" s="3337"/>
    </row>
    <row r="22089" spans="7:16" s="1634" customFormat="1">
      <c r="G22089" s="3336"/>
      <c r="P22089" s="3337"/>
    </row>
    <row r="22090" spans="7:16" s="1634" customFormat="1">
      <c r="G22090" s="3336"/>
      <c r="P22090" s="3337"/>
    </row>
    <row r="22091" spans="7:16" s="1634" customFormat="1">
      <c r="G22091" s="3336"/>
      <c r="P22091" s="3337"/>
    </row>
    <row r="22092" spans="7:16" s="1634" customFormat="1">
      <c r="G22092" s="3336"/>
      <c r="P22092" s="3337"/>
    </row>
    <row r="22093" spans="7:16" s="1634" customFormat="1">
      <c r="G22093" s="3336"/>
      <c r="P22093" s="3337"/>
    </row>
    <row r="22094" spans="7:16" s="1634" customFormat="1">
      <c r="G22094" s="3336"/>
      <c r="P22094" s="3337"/>
    </row>
    <row r="22095" spans="7:16" s="1634" customFormat="1">
      <c r="G22095" s="3336"/>
      <c r="P22095" s="3337"/>
    </row>
    <row r="22096" spans="7:16" s="1634" customFormat="1">
      <c r="G22096" s="3336"/>
      <c r="P22096" s="3337"/>
    </row>
    <row r="22097" spans="7:16" s="1634" customFormat="1">
      <c r="G22097" s="3336"/>
      <c r="P22097" s="3337"/>
    </row>
    <row r="22098" spans="7:16" s="1634" customFormat="1">
      <c r="G22098" s="3336"/>
      <c r="P22098" s="3337"/>
    </row>
    <row r="22099" spans="7:16" s="1634" customFormat="1">
      <c r="G22099" s="3336"/>
      <c r="P22099" s="3337"/>
    </row>
    <row r="22100" spans="7:16" s="1634" customFormat="1">
      <c r="G22100" s="3336"/>
      <c r="P22100" s="3337"/>
    </row>
    <row r="22101" spans="7:16" s="1634" customFormat="1">
      <c r="G22101" s="3336"/>
      <c r="P22101" s="3337"/>
    </row>
    <row r="22102" spans="7:16" s="1634" customFormat="1">
      <c r="G22102" s="3336"/>
      <c r="P22102" s="3337"/>
    </row>
    <row r="22103" spans="7:16" s="1634" customFormat="1">
      <c r="G22103" s="3336"/>
      <c r="P22103" s="3337"/>
    </row>
    <row r="22104" spans="7:16" s="1634" customFormat="1">
      <c r="G22104" s="3336"/>
      <c r="P22104" s="3337"/>
    </row>
    <row r="22105" spans="7:16" s="1634" customFormat="1">
      <c r="G22105" s="3336"/>
      <c r="P22105" s="3337"/>
    </row>
    <row r="22106" spans="7:16" s="1634" customFormat="1">
      <c r="G22106" s="3336"/>
      <c r="P22106" s="3337"/>
    </row>
    <row r="22107" spans="7:16" s="1634" customFormat="1">
      <c r="G22107" s="3336"/>
      <c r="P22107" s="3337"/>
    </row>
    <row r="22108" spans="7:16" s="1634" customFormat="1">
      <c r="G22108" s="3336"/>
      <c r="P22108" s="3337"/>
    </row>
    <row r="22109" spans="7:16" s="1634" customFormat="1">
      <c r="G22109" s="3336"/>
      <c r="P22109" s="3337"/>
    </row>
    <row r="22110" spans="7:16" s="1634" customFormat="1">
      <c r="G22110" s="3336"/>
      <c r="P22110" s="3337"/>
    </row>
    <row r="22111" spans="7:16" s="1634" customFormat="1">
      <c r="G22111" s="3336"/>
      <c r="P22111" s="3337"/>
    </row>
    <row r="22112" spans="7:16" s="1634" customFormat="1">
      <c r="G22112" s="3336"/>
      <c r="P22112" s="3337"/>
    </row>
    <row r="22113" spans="7:16" s="1634" customFormat="1">
      <c r="G22113" s="3336"/>
      <c r="P22113" s="3337"/>
    </row>
    <row r="22114" spans="7:16" s="1634" customFormat="1">
      <c r="G22114" s="3336"/>
      <c r="P22114" s="3337"/>
    </row>
    <row r="22115" spans="7:16" s="1634" customFormat="1">
      <c r="G22115" s="3336"/>
      <c r="P22115" s="3337"/>
    </row>
    <row r="22116" spans="7:16" s="1634" customFormat="1">
      <c r="G22116" s="3336"/>
      <c r="P22116" s="3337"/>
    </row>
    <row r="22117" spans="7:16" s="1634" customFormat="1">
      <c r="G22117" s="3336"/>
      <c r="P22117" s="3337"/>
    </row>
    <row r="22118" spans="7:16" s="1634" customFormat="1">
      <c r="G22118" s="3336"/>
      <c r="P22118" s="3337"/>
    </row>
    <row r="22119" spans="7:16" s="1634" customFormat="1">
      <c r="G22119" s="3336"/>
      <c r="P22119" s="3337"/>
    </row>
    <row r="22120" spans="7:16" s="1634" customFormat="1">
      <c r="G22120" s="3336"/>
      <c r="P22120" s="3337"/>
    </row>
    <row r="22121" spans="7:16" s="1634" customFormat="1">
      <c r="G22121" s="3336"/>
      <c r="P22121" s="3337"/>
    </row>
    <row r="22122" spans="7:16" s="1634" customFormat="1">
      <c r="G22122" s="3336"/>
      <c r="P22122" s="3337"/>
    </row>
    <row r="22123" spans="7:16" s="1634" customFormat="1">
      <c r="G22123" s="3336"/>
      <c r="P22123" s="3337"/>
    </row>
    <row r="22124" spans="7:16" s="1634" customFormat="1">
      <c r="G22124" s="3336"/>
      <c r="P22124" s="3337"/>
    </row>
    <row r="22125" spans="7:16" s="1634" customFormat="1">
      <c r="G22125" s="3336"/>
      <c r="P22125" s="3337"/>
    </row>
    <row r="22126" spans="7:16" s="1634" customFormat="1">
      <c r="G22126" s="3336"/>
      <c r="P22126" s="3337"/>
    </row>
    <row r="22127" spans="7:16" s="1634" customFormat="1">
      <c r="G22127" s="3336"/>
      <c r="P22127" s="3337"/>
    </row>
    <row r="22128" spans="7:16" s="1634" customFormat="1">
      <c r="G22128" s="3336"/>
      <c r="P22128" s="3337"/>
    </row>
    <row r="22129" spans="7:16" s="1634" customFormat="1">
      <c r="G22129" s="3336"/>
      <c r="P22129" s="3337"/>
    </row>
    <row r="22130" spans="7:16" s="1634" customFormat="1">
      <c r="G22130" s="3336"/>
      <c r="P22130" s="3337"/>
    </row>
    <row r="22131" spans="7:16" s="1634" customFormat="1">
      <c r="G22131" s="3336"/>
      <c r="P22131" s="3337"/>
    </row>
    <row r="22132" spans="7:16" s="1634" customFormat="1">
      <c r="G22132" s="3336"/>
      <c r="P22132" s="3337"/>
    </row>
    <row r="22133" spans="7:16" s="1634" customFormat="1">
      <c r="G22133" s="3336"/>
      <c r="P22133" s="3337"/>
    </row>
    <row r="22134" spans="7:16" s="1634" customFormat="1">
      <c r="G22134" s="3336"/>
      <c r="P22134" s="3337"/>
    </row>
    <row r="22135" spans="7:16" s="1634" customFormat="1">
      <c r="G22135" s="3336"/>
      <c r="P22135" s="3337"/>
    </row>
    <row r="22136" spans="7:16" s="1634" customFormat="1">
      <c r="G22136" s="3336"/>
      <c r="P22136" s="3337"/>
    </row>
    <row r="22137" spans="7:16" s="1634" customFormat="1">
      <c r="G22137" s="3336"/>
      <c r="P22137" s="3337"/>
    </row>
    <row r="22138" spans="7:16" s="1634" customFormat="1">
      <c r="G22138" s="3336"/>
      <c r="P22138" s="3337"/>
    </row>
    <row r="22139" spans="7:16" s="1634" customFormat="1">
      <c r="G22139" s="3336"/>
      <c r="P22139" s="3337"/>
    </row>
    <row r="22140" spans="7:16" s="1634" customFormat="1">
      <c r="G22140" s="3336"/>
      <c r="P22140" s="3337"/>
    </row>
    <row r="22141" spans="7:16" s="1634" customFormat="1">
      <c r="G22141" s="3336"/>
      <c r="P22141" s="3337"/>
    </row>
    <row r="22142" spans="7:16" s="1634" customFormat="1">
      <c r="G22142" s="3336"/>
      <c r="P22142" s="3337"/>
    </row>
    <row r="22143" spans="7:16" s="1634" customFormat="1">
      <c r="G22143" s="3336"/>
      <c r="P22143" s="3337"/>
    </row>
    <row r="22144" spans="7:16" s="1634" customFormat="1">
      <c r="G22144" s="3336"/>
      <c r="P22144" s="3337"/>
    </row>
    <row r="22145" spans="7:16" s="1634" customFormat="1">
      <c r="G22145" s="3336"/>
      <c r="P22145" s="3337"/>
    </row>
    <row r="22146" spans="7:16" s="1634" customFormat="1">
      <c r="G22146" s="3336"/>
      <c r="P22146" s="3337"/>
    </row>
    <row r="22147" spans="7:16" s="1634" customFormat="1">
      <c r="G22147" s="3336"/>
      <c r="P22147" s="3337"/>
    </row>
    <row r="22148" spans="7:16" s="1634" customFormat="1">
      <c r="G22148" s="3336"/>
      <c r="P22148" s="3337"/>
    </row>
    <row r="22149" spans="7:16" s="1634" customFormat="1">
      <c r="G22149" s="3336"/>
      <c r="P22149" s="3337"/>
    </row>
    <row r="22150" spans="7:16" s="1634" customFormat="1">
      <c r="G22150" s="3336"/>
      <c r="P22150" s="3337"/>
    </row>
    <row r="22151" spans="7:16" s="1634" customFormat="1">
      <c r="G22151" s="3336"/>
      <c r="P22151" s="3337"/>
    </row>
    <row r="22152" spans="7:16" s="1634" customFormat="1">
      <c r="G22152" s="3336"/>
      <c r="P22152" s="3337"/>
    </row>
    <row r="22153" spans="7:16" s="1634" customFormat="1">
      <c r="G22153" s="3336"/>
      <c r="P22153" s="3337"/>
    </row>
    <row r="22154" spans="7:16" s="1634" customFormat="1">
      <c r="G22154" s="3336"/>
      <c r="P22154" s="3337"/>
    </row>
    <row r="22155" spans="7:16" s="1634" customFormat="1">
      <c r="G22155" s="3336"/>
      <c r="P22155" s="3337"/>
    </row>
    <row r="22156" spans="7:16" s="1634" customFormat="1">
      <c r="G22156" s="3336"/>
      <c r="P22156" s="3337"/>
    </row>
    <row r="22157" spans="7:16" s="1634" customFormat="1">
      <c r="G22157" s="3336"/>
      <c r="P22157" s="3337"/>
    </row>
    <row r="22158" spans="7:16" s="1634" customFormat="1">
      <c r="G22158" s="3336"/>
      <c r="P22158" s="3337"/>
    </row>
    <row r="22159" spans="7:16" s="1634" customFormat="1">
      <c r="G22159" s="3336"/>
      <c r="P22159" s="3337"/>
    </row>
    <row r="22160" spans="7:16" s="1634" customFormat="1">
      <c r="G22160" s="3336"/>
      <c r="P22160" s="3337"/>
    </row>
    <row r="22161" spans="7:16" s="1634" customFormat="1">
      <c r="G22161" s="3336"/>
      <c r="P22161" s="3337"/>
    </row>
    <row r="22162" spans="7:16" s="1634" customFormat="1">
      <c r="G22162" s="3336"/>
      <c r="P22162" s="3337"/>
    </row>
    <row r="22163" spans="7:16" s="1634" customFormat="1">
      <c r="G22163" s="3336"/>
      <c r="P22163" s="3337"/>
    </row>
    <row r="22164" spans="7:16" s="1634" customFormat="1">
      <c r="G22164" s="3336"/>
      <c r="P22164" s="3337"/>
    </row>
    <row r="22165" spans="7:16" s="1634" customFormat="1">
      <c r="G22165" s="3336"/>
      <c r="P22165" s="3337"/>
    </row>
    <row r="22166" spans="7:16" s="1634" customFormat="1">
      <c r="G22166" s="3336"/>
      <c r="P22166" s="3337"/>
    </row>
    <row r="22167" spans="7:16" s="1634" customFormat="1">
      <c r="G22167" s="3336"/>
      <c r="P22167" s="3337"/>
    </row>
    <row r="22168" spans="7:16" s="1634" customFormat="1">
      <c r="G22168" s="3336"/>
      <c r="P22168" s="3337"/>
    </row>
    <row r="22169" spans="7:16" s="1634" customFormat="1">
      <c r="G22169" s="3336"/>
      <c r="P22169" s="3337"/>
    </row>
    <row r="22170" spans="7:16" s="1634" customFormat="1">
      <c r="G22170" s="3336"/>
      <c r="P22170" s="3337"/>
    </row>
    <row r="22171" spans="7:16" s="1634" customFormat="1">
      <c r="G22171" s="3336"/>
      <c r="P22171" s="3337"/>
    </row>
    <row r="22172" spans="7:16" s="1634" customFormat="1">
      <c r="G22172" s="3336"/>
      <c r="P22172" s="3337"/>
    </row>
    <row r="22173" spans="7:16" s="1634" customFormat="1">
      <c r="G22173" s="3336"/>
      <c r="P22173" s="3337"/>
    </row>
    <row r="22174" spans="7:16" s="1634" customFormat="1">
      <c r="G22174" s="3336"/>
      <c r="P22174" s="3337"/>
    </row>
    <row r="22175" spans="7:16" s="1634" customFormat="1">
      <c r="G22175" s="3336"/>
      <c r="P22175" s="3337"/>
    </row>
    <row r="22176" spans="7:16" s="1634" customFormat="1">
      <c r="G22176" s="3336"/>
      <c r="P22176" s="3337"/>
    </row>
    <row r="22177" spans="7:16" s="1634" customFormat="1">
      <c r="G22177" s="3336"/>
      <c r="P22177" s="3337"/>
    </row>
    <row r="22178" spans="7:16" s="1634" customFormat="1">
      <c r="G22178" s="3336"/>
      <c r="P22178" s="3337"/>
    </row>
    <row r="22179" spans="7:16" s="1634" customFormat="1">
      <c r="G22179" s="3336"/>
      <c r="P22179" s="3337"/>
    </row>
    <row r="22180" spans="7:16" s="1634" customFormat="1">
      <c r="G22180" s="3336"/>
      <c r="P22180" s="3337"/>
    </row>
    <row r="22181" spans="7:16" s="1634" customFormat="1">
      <c r="G22181" s="3336"/>
      <c r="P22181" s="3337"/>
    </row>
    <row r="22182" spans="7:16" s="1634" customFormat="1">
      <c r="G22182" s="3336"/>
      <c r="P22182" s="3337"/>
    </row>
    <row r="22183" spans="7:16" s="1634" customFormat="1">
      <c r="G22183" s="3336"/>
      <c r="P22183" s="3337"/>
    </row>
    <row r="22184" spans="7:16" s="1634" customFormat="1">
      <c r="G22184" s="3336"/>
      <c r="P22184" s="3337"/>
    </row>
    <row r="22185" spans="7:16" s="1634" customFormat="1">
      <c r="G22185" s="3336"/>
      <c r="P22185" s="3337"/>
    </row>
    <row r="22186" spans="7:16" s="1634" customFormat="1">
      <c r="G22186" s="3336"/>
      <c r="P22186" s="3337"/>
    </row>
    <row r="22187" spans="7:16" s="1634" customFormat="1">
      <c r="G22187" s="3336"/>
      <c r="P22187" s="3337"/>
    </row>
    <row r="22188" spans="7:16" s="1634" customFormat="1">
      <c r="G22188" s="3336"/>
      <c r="P22188" s="3337"/>
    </row>
    <row r="22189" spans="7:16" s="1634" customFormat="1">
      <c r="G22189" s="3336"/>
      <c r="P22189" s="3337"/>
    </row>
    <row r="22190" spans="7:16" s="1634" customFormat="1">
      <c r="G22190" s="3336"/>
      <c r="P22190" s="3337"/>
    </row>
    <row r="22191" spans="7:16" s="1634" customFormat="1">
      <c r="G22191" s="3336"/>
      <c r="P22191" s="3337"/>
    </row>
    <row r="22192" spans="7:16" s="1634" customFormat="1">
      <c r="G22192" s="3336"/>
      <c r="P22192" s="3337"/>
    </row>
    <row r="22193" spans="7:16" s="1634" customFormat="1">
      <c r="G22193" s="3336"/>
      <c r="P22193" s="3337"/>
    </row>
    <row r="22194" spans="7:16" s="1634" customFormat="1">
      <c r="G22194" s="3336"/>
      <c r="P22194" s="3337"/>
    </row>
    <row r="22195" spans="7:16" s="1634" customFormat="1">
      <c r="G22195" s="3336"/>
      <c r="P22195" s="3337"/>
    </row>
    <row r="22196" spans="7:16" s="1634" customFormat="1">
      <c r="G22196" s="3336"/>
      <c r="P22196" s="3337"/>
    </row>
    <row r="22197" spans="7:16" s="1634" customFormat="1">
      <c r="G22197" s="3336"/>
      <c r="P22197" s="3337"/>
    </row>
    <row r="22198" spans="7:16" s="1634" customFormat="1">
      <c r="G22198" s="3336"/>
      <c r="P22198" s="3337"/>
    </row>
    <row r="22199" spans="7:16" s="1634" customFormat="1">
      <c r="G22199" s="3336"/>
      <c r="P22199" s="3337"/>
    </row>
    <row r="22200" spans="7:16" s="1634" customFormat="1">
      <c r="G22200" s="3336"/>
      <c r="P22200" s="3337"/>
    </row>
    <row r="22201" spans="7:16" s="1634" customFormat="1">
      <c r="G22201" s="3336"/>
      <c r="P22201" s="3337"/>
    </row>
    <row r="22202" spans="7:16" s="1634" customFormat="1">
      <c r="G22202" s="3336"/>
      <c r="P22202" s="3337"/>
    </row>
    <row r="22203" spans="7:16" s="1634" customFormat="1">
      <c r="G22203" s="3336"/>
      <c r="P22203" s="3337"/>
    </row>
    <row r="22204" spans="7:16" s="1634" customFormat="1">
      <c r="G22204" s="3336"/>
      <c r="P22204" s="3337"/>
    </row>
    <row r="22205" spans="7:16" s="1634" customFormat="1">
      <c r="G22205" s="3336"/>
      <c r="P22205" s="3337"/>
    </row>
    <row r="22206" spans="7:16" s="1634" customFormat="1">
      <c r="G22206" s="3336"/>
      <c r="P22206" s="3337"/>
    </row>
    <row r="22207" spans="7:16" s="1634" customFormat="1">
      <c r="G22207" s="3336"/>
      <c r="P22207" s="3337"/>
    </row>
    <row r="22208" spans="7:16" s="1634" customFormat="1">
      <c r="G22208" s="3336"/>
      <c r="P22208" s="3337"/>
    </row>
    <row r="22209" spans="7:16" s="1634" customFormat="1">
      <c r="G22209" s="3336"/>
      <c r="P22209" s="3337"/>
    </row>
    <row r="22210" spans="7:16" s="1634" customFormat="1">
      <c r="G22210" s="3336"/>
      <c r="P22210" s="3337"/>
    </row>
    <row r="22211" spans="7:16" s="1634" customFormat="1">
      <c r="G22211" s="3336"/>
      <c r="P22211" s="3337"/>
    </row>
    <row r="22212" spans="7:16" s="1634" customFormat="1">
      <c r="G22212" s="3336"/>
      <c r="P22212" s="3337"/>
    </row>
    <row r="22213" spans="7:16" s="1634" customFormat="1">
      <c r="G22213" s="3336"/>
      <c r="P22213" s="3337"/>
    </row>
    <row r="22214" spans="7:16" s="1634" customFormat="1">
      <c r="G22214" s="3336"/>
      <c r="P22214" s="3337"/>
    </row>
    <row r="22215" spans="7:16" s="1634" customFormat="1">
      <c r="G22215" s="3336"/>
      <c r="P22215" s="3337"/>
    </row>
    <row r="22216" spans="7:16" s="1634" customFormat="1">
      <c r="G22216" s="3336"/>
      <c r="P22216" s="3337"/>
    </row>
    <row r="22217" spans="7:16" s="1634" customFormat="1">
      <c r="G22217" s="3336"/>
      <c r="P22217" s="3337"/>
    </row>
    <row r="22218" spans="7:16" s="1634" customFormat="1">
      <c r="G22218" s="3336"/>
      <c r="P22218" s="3337"/>
    </row>
    <row r="22219" spans="7:16" s="1634" customFormat="1">
      <c r="G22219" s="3336"/>
      <c r="P22219" s="3337"/>
    </row>
    <row r="22220" spans="7:16" s="1634" customFormat="1">
      <c r="G22220" s="3336"/>
      <c r="P22220" s="3337"/>
    </row>
    <row r="22221" spans="7:16" s="1634" customFormat="1">
      <c r="G22221" s="3336"/>
      <c r="P22221" s="3337"/>
    </row>
    <row r="22222" spans="7:16" s="1634" customFormat="1">
      <c r="G22222" s="3336"/>
      <c r="P22222" s="3337"/>
    </row>
    <row r="22223" spans="7:16" s="1634" customFormat="1">
      <c r="G22223" s="3336"/>
      <c r="P22223" s="3337"/>
    </row>
    <row r="22224" spans="7:16" s="1634" customFormat="1">
      <c r="G22224" s="3336"/>
      <c r="P22224" s="3337"/>
    </row>
    <row r="22225" spans="7:16" s="1634" customFormat="1">
      <c r="G22225" s="3336"/>
      <c r="P22225" s="3337"/>
    </row>
    <row r="22226" spans="7:16" s="1634" customFormat="1">
      <c r="G22226" s="3336"/>
      <c r="P22226" s="3337"/>
    </row>
    <row r="22227" spans="7:16" s="1634" customFormat="1">
      <c r="G22227" s="3336"/>
      <c r="P22227" s="3337"/>
    </row>
    <row r="22228" spans="7:16" s="1634" customFormat="1">
      <c r="G22228" s="3336"/>
      <c r="P22228" s="3337"/>
    </row>
    <row r="22229" spans="7:16" s="1634" customFormat="1">
      <c r="G22229" s="3336"/>
      <c r="P22229" s="3337"/>
    </row>
    <row r="22230" spans="7:16" s="1634" customFormat="1">
      <c r="G22230" s="3336"/>
      <c r="P22230" s="3337"/>
    </row>
    <row r="22231" spans="7:16" s="1634" customFormat="1">
      <c r="G22231" s="3336"/>
      <c r="P22231" s="3337"/>
    </row>
    <row r="22232" spans="7:16" s="1634" customFormat="1">
      <c r="G22232" s="3336"/>
      <c r="P22232" s="3337"/>
    </row>
    <row r="22233" spans="7:16" s="1634" customFormat="1">
      <c r="G22233" s="3336"/>
      <c r="P22233" s="3337"/>
    </row>
    <row r="22234" spans="7:16" s="1634" customFormat="1">
      <c r="G22234" s="3336"/>
      <c r="P22234" s="3337"/>
    </row>
    <row r="22235" spans="7:16" s="1634" customFormat="1">
      <c r="G22235" s="3336"/>
      <c r="P22235" s="3337"/>
    </row>
    <row r="22236" spans="7:16" s="1634" customFormat="1">
      <c r="G22236" s="3336"/>
      <c r="P22236" s="3337"/>
    </row>
    <row r="22237" spans="7:16" s="1634" customFormat="1">
      <c r="G22237" s="3336"/>
      <c r="P22237" s="3337"/>
    </row>
    <row r="22238" spans="7:16" s="1634" customFormat="1">
      <c r="G22238" s="3336"/>
      <c r="P22238" s="3337"/>
    </row>
    <row r="22239" spans="7:16" s="1634" customFormat="1">
      <c r="G22239" s="3336"/>
      <c r="P22239" s="3337"/>
    </row>
    <row r="22240" spans="7:16" s="1634" customFormat="1">
      <c r="G22240" s="3336"/>
      <c r="P22240" s="3337"/>
    </row>
    <row r="22241" spans="7:16" s="1634" customFormat="1">
      <c r="G22241" s="3336"/>
      <c r="P22241" s="3337"/>
    </row>
    <row r="22242" spans="7:16" s="1634" customFormat="1">
      <c r="G22242" s="3336"/>
      <c r="P22242" s="3337"/>
    </row>
    <row r="22243" spans="7:16" s="1634" customFormat="1">
      <c r="G22243" s="3336"/>
      <c r="P22243" s="3337"/>
    </row>
    <row r="22244" spans="7:16" s="1634" customFormat="1">
      <c r="G22244" s="3336"/>
      <c r="P22244" s="3337"/>
    </row>
    <row r="22245" spans="7:16" s="1634" customFormat="1">
      <c r="G22245" s="3336"/>
      <c r="P22245" s="3337"/>
    </row>
    <row r="22246" spans="7:16" s="1634" customFormat="1">
      <c r="G22246" s="3336"/>
      <c r="P22246" s="3337"/>
    </row>
    <row r="22247" spans="7:16" s="1634" customFormat="1">
      <c r="G22247" s="3336"/>
      <c r="P22247" s="3337"/>
    </row>
    <row r="22248" spans="7:16" s="1634" customFormat="1">
      <c r="G22248" s="3336"/>
      <c r="P22248" s="3337"/>
    </row>
    <row r="22249" spans="7:16" s="1634" customFormat="1">
      <c r="G22249" s="3336"/>
      <c r="P22249" s="3337"/>
    </row>
    <row r="22250" spans="7:16" s="1634" customFormat="1">
      <c r="G22250" s="3336"/>
      <c r="P22250" s="3337"/>
    </row>
    <row r="22251" spans="7:16" s="1634" customFormat="1">
      <c r="G22251" s="3336"/>
      <c r="P22251" s="3337"/>
    </row>
    <row r="22252" spans="7:16" s="1634" customFormat="1">
      <c r="G22252" s="3336"/>
      <c r="P22252" s="3337"/>
    </row>
    <row r="22253" spans="7:16" s="1634" customFormat="1">
      <c r="G22253" s="3336"/>
      <c r="P22253" s="3337"/>
    </row>
    <row r="22254" spans="7:16" s="1634" customFormat="1">
      <c r="G22254" s="3336"/>
      <c r="P22254" s="3337"/>
    </row>
    <row r="22255" spans="7:16" s="1634" customFormat="1">
      <c r="G22255" s="3336"/>
      <c r="P22255" s="3337"/>
    </row>
    <row r="22256" spans="7:16" s="1634" customFormat="1">
      <c r="G22256" s="3336"/>
      <c r="P22256" s="3337"/>
    </row>
    <row r="22257" spans="7:16" s="1634" customFormat="1">
      <c r="G22257" s="3336"/>
      <c r="P22257" s="3337"/>
    </row>
    <row r="22258" spans="7:16" s="1634" customFormat="1">
      <c r="G22258" s="3336"/>
      <c r="P22258" s="3337"/>
    </row>
    <row r="22259" spans="7:16" s="1634" customFormat="1">
      <c r="G22259" s="3336"/>
      <c r="P22259" s="3337"/>
    </row>
    <row r="22260" spans="7:16" s="1634" customFormat="1">
      <c r="G22260" s="3336"/>
      <c r="P22260" s="3337"/>
    </row>
    <row r="22261" spans="7:16" s="1634" customFormat="1">
      <c r="G22261" s="3336"/>
      <c r="P22261" s="3337"/>
    </row>
    <row r="22262" spans="7:16" s="1634" customFormat="1">
      <c r="G22262" s="3336"/>
      <c r="P22262" s="3337"/>
    </row>
    <row r="22263" spans="7:16" s="1634" customFormat="1">
      <c r="G22263" s="3336"/>
      <c r="P22263" s="3337"/>
    </row>
    <row r="22264" spans="7:16" s="1634" customFormat="1">
      <c r="G22264" s="3336"/>
      <c r="P22264" s="3337"/>
    </row>
    <row r="22265" spans="7:16" s="1634" customFormat="1">
      <c r="G22265" s="3336"/>
      <c r="P22265" s="3337"/>
    </row>
    <row r="22266" spans="7:16" s="1634" customFormat="1">
      <c r="G22266" s="3336"/>
      <c r="P22266" s="3337"/>
    </row>
    <row r="22267" spans="7:16" s="1634" customFormat="1">
      <c r="G22267" s="3336"/>
      <c r="P22267" s="3337"/>
    </row>
    <row r="22268" spans="7:16" s="1634" customFormat="1">
      <c r="G22268" s="3336"/>
      <c r="P22268" s="3337"/>
    </row>
    <row r="22269" spans="7:16" s="1634" customFormat="1">
      <c r="G22269" s="3336"/>
      <c r="P22269" s="3337"/>
    </row>
    <row r="22270" spans="7:16" s="1634" customFormat="1">
      <c r="G22270" s="3336"/>
      <c r="P22270" s="3337"/>
    </row>
    <row r="22271" spans="7:16" s="1634" customFormat="1">
      <c r="G22271" s="3336"/>
      <c r="P22271" s="3337"/>
    </row>
    <row r="22272" spans="7:16" s="1634" customFormat="1">
      <c r="G22272" s="3336"/>
      <c r="P22272" s="3337"/>
    </row>
    <row r="22273" spans="7:16" s="1634" customFormat="1">
      <c r="G22273" s="3336"/>
      <c r="P22273" s="3337"/>
    </row>
    <row r="22274" spans="7:16" s="1634" customFormat="1">
      <c r="G22274" s="3336"/>
      <c r="P22274" s="3337"/>
    </row>
    <row r="22275" spans="7:16" s="1634" customFormat="1">
      <c r="G22275" s="3336"/>
      <c r="P22275" s="3337"/>
    </row>
    <row r="22276" spans="7:16" s="1634" customFormat="1">
      <c r="G22276" s="3336"/>
      <c r="P22276" s="3337"/>
    </row>
    <row r="22277" spans="7:16" s="1634" customFormat="1">
      <c r="G22277" s="3336"/>
      <c r="P22277" s="3337"/>
    </row>
    <row r="22278" spans="7:16" s="1634" customFormat="1">
      <c r="G22278" s="3336"/>
      <c r="P22278" s="3337"/>
    </row>
    <row r="22279" spans="7:16" s="1634" customFormat="1">
      <c r="G22279" s="3336"/>
      <c r="P22279" s="3337"/>
    </row>
    <row r="22280" spans="7:16" s="1634" customFormat="1">
      <c r="G22280" s="3336"/>
      <c r="P22280" s="3337"/>
    </row>
    <row r="22281" spans="7:16" s="1634" customFormat="1">
      <c r="G22281" s="3336"/>
      <c r="P22281" s="3337"/>
    </row>
    <row r="22282" spans="7:16" s="1634" customFormat="1">
      <c r="G22282" s="3336"/>
      <c r="P22282" s="3337"/>
    </row>
    <row r="22283" spans="7:16" s="1634" customFormat="1">
      <c r="G22283" s="3336"/>
      <c r="P22283" s="3337"/>
    </row>
    <row r="22284" spans="7:16" s="1634" customFormat="1">
      <c r="G22284" s="3336"/>
      <c r="P22284" s="3337"/>
    </row>
    <row r="22285" spans="7:16" s="1634" customFormat="1">
      <c r="G22285" s="3336"/>
      <c r="P22285" s="3337"/>
    </row>
    <row r="22286" spans="7:16" s="1634" customFormat="1">
      <c r="G22286" s="3336"/>
      <c r="P22286" s="3337"/>
    </row>
    <row r="22287" spans="7:16" s="1634" customFormat="1">
      <c r="G22287" s="3336"/>
      <c r="P22287" s="3337"/>
    </row>
    <row r="22288" spans="7:16" s="1634" customFormat="1">
      <c r="G22288" s="3336"/>
      <c r="P22288" s="3337"/>
    </row>
    <row r="22289" spans="7:16" s="1634" customFormat="1">
      <c r="G22289" s="3336"/>
      <c r="P22289" s="3337"/>
    </row>
    <row r="22290" spans="7:16" s="1634" customFormat="1">
      <c r="G22290" s="3336"/>
      <c r="P22290" s="3337"/>
    </row>
    <row r="22291" spans="7:16" s="1634" customFormat="1">
      <c r="G22291" s="3336"/>
      <c r="P22291" s="3337"/>
    </row>
    <row r="22292" spans="7:16" s="1634" customFormat="1">
      <c r="G22292" s="3336"/>
      <c r="P22292" s="3337"/>
    </row>
    <row r="22293" spans="7:16" s="1634" customFormat="1">
      <c r="G22293" s="3336"/>
      <c r="P22293" s="3337"/>
    </row>
    <row r="22294" spans="7:16" s="1634" customFormat="1">
      <c r="G22294" s="3336"/>
      <c r="P22294" s="3337"/>
    </row>
    <row r="22295" spans="7:16" s="1634" customFormat="1">
      <c r="G22295" s="3336"/>
      <c r="P22295" s="3337"/>
    </row>
    <row r="22296" spans="7:16" s="1634" customFormat="1">
      <c r="G22296" s="3336"/>
      <c r="P22296" s="3337"/>
    </row>
    <row r="22297" spans="7:16" s="1634" customFormat="1">
      <c r="G22297" s="3336"/>
      <c r="P22297" s="3337"/>
    </row>
    <row r="22298" spans="7:16" s="1634" customFormat="1">
      <c r="G22298" s="3336"/>
      <c r="P22298" s="3337"/>
    </row>
    <row r="22299" spans="7:16" s="1634" customFormat="1">
      <c r="G22299" s="3336"/>
      <c r="P22299" s="3337"/>
    </row>
    <row r="22300" spans="7:16" s="1634" customFormat="1">
      <c r="G22300" s="3336"/>
      <c r="P22300" s="3337"/>
    </row>
    <row r="22301" spans="7:16" s="1634" customFormat="1">
      <c r="G22301" s="3336"/>
      <c r="P22301" s="3337"/>
    </row>
    <row r="22302" spans="7:16" s="1634" customFormat="1">
      <c r="G22302" s="3336"/>
      <c r="P22302" s="3337"/>
    </row>
    <row r="22303" spans="7:16" s="1634" customFormat="1">
      <c r="G22303" s="3336"/>
      <c r="P22303" s="3337"/>
    </row>
    <row r="22304" spans="7:16" s="1634" customFormat="1">
      <c r="G22304" s="3336"/>
      <c r="P22304" s="3337"/>
    </row>
    <row r="22305" spans="7:16" s="1634" customFormat="1">
      <c r="G22305" s="3336"/>
      <c r="P22305" s="3337"/>
    </row>
    <row r="22306" spans="7:16" s="1634" customFormat="1">
      <c r="G22306" s="3336"/>
      <c r="P22306" s="3337"/>
    </row>
    <row r="22307" spans="7:16" s="1634" customFormat="1">
      <c r="G22307" s="3336"/>
      <c r="P22307" s="3337"/>
    </row>
    <row r="22308" spans="7:16" s="1634" customFormat="1">
      <c r="G22308" s="3336"/>
      <c r="P22308" s="3337"/>
    </row>
    <row r="22309" spans="7:16" s="1634" customFormat="1">
      <c r="G22309" s="3336"/>
      <c r="P22309" s="3337"/>
    </row>
    <row r="22310" spans="7:16" s="1634" customFormat="1">
      <c r="G22310" s="3336"/>
      <c r="P22310" s="3337"/>
    </row>
    <row r="22311" spans="7:16" s="1634" customFormat="1">
      <c r="G22311" s="3336"/>
      <c r="P22311" s="3337"/>
    </row>
    <row r="22312" spans="7:16" s="1634" customFormat="1">
      <c r="G22312" s="3336"/>
      <c r="P22312" s="3337"/>
    </row>
    <row r="22313" spans="7:16" s="1634" customFormat="1">
      <c r="G22313" s="3336"/>
      <c r="P22313" s="3337"/>
    </row>
    <row r="22314" spans="7:16" s="1634" customFormat="1">
      <c r="G22314" s="3336"/>
      <c r="P22314" s="3337"/>
    </row>
    <row r="22315" spans="7:16" s="1634" customFormat="1">
      <c r="G22315" s="3336"/>
      <c r="P22315" s="3337"/>
    </row>
    <row r="22316" spans="7:16" s="1634" customFormat="1">
      <c r="G22316" s="3336"/>
      <c r="P22316" s="3337"/>
    </row>
    <row r="22317" spans="7:16" s="1634" customFormat="1">
      <c r="G22317" s="3336"/>
      <c r="P22317" s="3337"/>
    </row>
    <row r="22318" spans="7:16" s="1634" customFormat="1">
      <c r="G22318" s="3336"/>
      <c r="P22318" s="3337"/>
    </row>
    <row r="22319" spans="7:16" s="1634" customFormat="1">
      <c r="G22319" s="3336"/>
      <c r="P22319" s="3337"/>
    </row>
    <row r="22320" spans="7:16" s="1634" customFormat="1">
      <c r="G22320" s="3336"/>
      <c r="P22320" s="3337"/>
    </row>
    <row r="22321" spans="7:16" s="1634" customFormat="1">
      <c r="G22321" s="3336"/>
      <c r="P22321" s="3337"/>
    </row>
    <row r="22322" spans="7:16" s="1634" customFormat="1">
      <c r="G22322" s="3336"/>
      <c r="P22322" s="3337"/>
    </row>
    <row r="22323" spans="7:16" s="1634" customFormat="1">
      <c r="G22323" s="3336"/>
      <c r="P22323" s="3337"/>
    </row>
    <row r="22324" spans="7:16" s="1634" customFormat="1">
      <c r="G22324" s="3336"/>
      <c r="P22324" s="3337"/>
    </row>
    <row r="22325" spans="7:16" s="1634" customFormat="1">
      <c r="G22325" s="3336"/>
      <c r="P22325" s="3337"/>
    </row>
    <row r="22326" spans="7:16" s="1634" customFormat="1">
      <c r="G22326" s="3336"/>
      <c r="P22326" s="3337"/>
    </row>
    <row r="22327" spans="7:16" s="1634" customFormat="1">
      <c r="G22327" s="3336"/>
      <c r="P22327" s="3337"/>
    </row>
    <row r="22328" spans="7:16" s="1634" customFormat="1">
      <c r="G22328" s="3336"/>
      <c r="P22328" s="3337"/>
    </row>
    <row r="22329" spans="7:16" s="1634" customFormat="1">
      <c r="G22329" s="3336"/>
      <c r="P22329" s="3337"/>
    </row>
    <row r="22330" spans="7:16" s="1634" customFormat="1">
      <c r="G22330" s="3336"/>
      <c r="P22330" s="3337"/>
    </row>
    <row r="22331" spans="7:16" s="1634" customFormat="1">
      <c r="G22331" s="3336"/>
      <c r="P22331" s="3337"/>
    </row>
    <row r="22332" spans="7:16" s="1634" customFormat="1">
      <c r="G22332" s="3336"/>
      <c r="P22332" s="3337"/>
    </row>
    <row r="22333" spans="7:16" s="1634" customFormat="1">
      <c r="G22333" s="3336"/>
      <c r="P22333" s="3337"/>
    </row>
    <row r="22334" spans="7:16" s="1634" customFormat="1">
      <c r="G22334" s="3336"/>
      <c r="P22334" s="3337"/>
    </row>
    <row r="22335" spans="7:16" s="1634" customFormat="1">
      <c r="G22335" s="3336"/>
      <c r="P22335" s="3337"/>
    </row>
    <row r="22336" spans="7:16" s="1634" customFormat="1">
      <c r="G22336" s="3336"/>
      <c r="P22336" s="3337"/>
    </row>
    <row r="22337" spans="7:16" s="1634" customFormat="1">
      <c r="G22337" s="3336"/>
      <c r="P22337" s="3337"/>
    </row>
    <row r="22338" spans="7:16" s="1634" customFormat="1">
      <c r="G22338" s="3336"/>
      <c r="P22338" s="3337"/>
    </row>
    <row r="22339" spans="7:16" s="1634" customFormat="1">
      <c r="G22339" s="3336"/>
      <c r="P22339" s="3337"/>
    </row>
    <row r="22340" spans="7:16" s="1634" customFormat="1">
      <c r="G22340" s="3336"/>
      <c r="P22340" s="3337"/>
    </row>
    <row r="22341" spans="7:16" s="1634" customFormat="1">
      <c r="G22341" s="3336"/>
      <c r="P22341" s="3337"/>
    </row>
    <row r="22342" spans="7:16" s="1634" customFormat="1">
      <c r="G22342" s="3336"/>
      <c r="P22342" s="3337"/>
    </row>
    <row r="22343" spans="7:16" s="1634" customFormat="1">
      <c r="G22343" s="3336"/>
      <c r="P22343" s="3337"/>
    </row>
    <row r="22344" spans="7:16" s="1634" customFormat="1">
      <c r="G22344" s="3336"/>
      <c r="P22344" s="3337"/>
    </row>
    <row r="22345" spans="7:16" s="1634" customFormat="1">
      <c r="G22345" s="3336"/>
      <c r="P22345" s="3337"/>
    </row>
    <row r="22346" spans="7:16" s="1634" customFormat="1">
      <c r="G22346" s="3336"/>
      <c r="P22346" s="3337"/>
    </row>
    <row r="22347" spans="7:16" s="1634" customFormat="1">
      <c r="G22347" s="3336"/>
      <c r="P22347" s="3337"/>
    </row>
    <row r="22348" spans="7:16" s="1634" customFormat="1">
      <c r="G22348" s="3336"/>
      <c r="P22348" s="3337"/>
    </row>
    <row r="22349" spans="7:16" s="1634" customFormat="1">
      <c r="G22349" s="3336"/>
      <c r="P22349" s="3337"/>
    </row>
    <row r="22350" spans="7:16" s="1634" customFormat="1">
      <c r="G22350" s="3336"/>
      <c r="P22350" s="3337"/>
    </row>
    <row r="22351" spans="7:16" s="1634" customFormat="1">
      <c r="G22351" s="3336"/>
      <c r="P22351" s="3337"/>
    </row>
    <row r="22352" spans="7:16" s="1634" customFormat="1">
      <c r="G22352" s="3336"/>
      <c r="P22352" s="3337"/>
    </row>
    <row r="22353" spans="7:16" s="1634" customFormat="1">
      <c r="G22353" s="3336"/>
      <c r="P22353" s="3337"/>
    </row>
    <row r="22354" spans="7:16" s="1634" customFormat="1">
      <c r="G22354" s="3336"/>
      <c r="P22354" s="3337"/>
    </row>
    <row r="22355" spans="7:16" s="1634" customFormat="1">
      <c r="G22355" s="3336"/>
      <c r="P22355" s="3337"/>
    </row>
    <row r="22356" spans="7:16" s="1634" customFormat="1">
      <c r="G22356" s="3336"/>
      <c r="P22356" s="3337"/>
    </row>
    <row r="22357" spans="7:16" s="1634" customFormat="1">
      <c r="G22357" s="3336"/>
      <c r="P22357" s="3337"/>
    </row>
    <row r="22358" spans="7:16" s="1634" customFormat="1">
      <c r="G22358" s="3336"/>
      <c r="P22358" s="3337"/>
    </row>
    <row r="22359" spans="7:16" s="1634" customFormat="1">
      <c r="G22359" s="3336"/>
      <c r="P22359" s="3337"/>
    </row>
    <row r="22360" spans="7:16" s="1634" customFormat="1">
      <c r="G22360" s="3336"/>
      <c r="P22360" s="3337"/>
    </row>
    <row r="22361" spans="7:16" s="1634" customFormat="1">
      <c r="G22361" s="3336"/>
      <c r="P22361" s="3337"/>
    </row>
    <row r="22362" spans="7:16" s="1634" customFormat="1">
      <c r="G22362" s="3336"/>
      <c r="P22362" s="3337"/>
    </row>
    <row r="22363" spans="7:16" s="1634" customFormat="1">
      <c r="G22363" s="3336"/>
      <c r="P22363" s="3337"/>
    </row>
    <row r="22364" spans="7:16" s="1634" customFormat="1">
      <c r="G22364" s="3336"/>
      <c r="P22364" s="3337"/>
    </row>
    <row r="22365" spans="7:16" s="1634" customFormat="1">
      <c r="G22365" s="3336"/>
      <c r="P22365" s="3337"/>
    </row>
    <row r="22366" spans="7:16" s="1634" customFormat="1">
      <c r="G22366" s="3336"/>
      <c r="P22366" s="3337"/>
    </row>
    <row r="22367" spans="7:16" s="1634" customFormat="1">
      <c r="G22367" s="3336"/>
      <c r="P22367" s="3337"/>
    </row>
    <row r="22368" spans="7:16" s="1634" customFormat="1">
      <c r="G22368" s="3336"/>
      <c r="P22368" s="3337"/>
    </row>
    <row r="22369" spans="7:16" s="1634" customFormat="1">
      <c r="G22369" s="3336"/>
      <c r="P22369" s="3337"/>
    </row>
    <row r="22370" spans="7:16" s="1634" customFormat="1">
      <c r="G22370" s="3336"/>
      <c r="P22370" s="3337"/>
    </row>
    <row r="22371" spans="7:16" s="1634" customFormat="1">
      <c r="G22371" s="3336"/>
      <c r="P22371" s="3337"/>
    </row>
    <row r="22372" spans="7:16" s="1634" customFormat="1">
      <c r="G22372" s="3336"/>
      <c r="P22372" s="3337"/>
    </row>
    <row r="22373" spans="7:16" s="1634" customFormat="1">
      <c r="G22373" s="3336"/>
      <c r="P22373" s="3337"/>
    </row>
    <row r="22374" spans="7:16" s="1634" customFormat="1">
      <c r="G22374" s="3336"/>
      <c r="P22374" s="3337"/>
    </row>
    <row r="22375" spans="7:16" s="1634" customFormat="1">
      <c r="G22375" s="3336"/>
      <c r="P22375" s="3337"/>
    </row>
    <row r="22376" spans="7:16" s="1634" customFormat="1">
      <c r="G22376" s="3336"/>
      <c r="P22376" s="3337"/>
    </row>
    <row r="22377" spans="7:16" s="1634" customFormat="1">
      <c r="G22377" s="3336"/>
      <c r="P22377" s="3337"/>
    </row>
    <row r="22378" spans="7:16" s="1634" customFormat="1">
      <c r="G22378" s="3336"/>
      <c r="P22378" s="3337"/>
    </row>
    <row r="22379" spans="7:16" s="1634" customFormat="1">
      <c r="G22379" s="3336"/>
      <c r="P22379" s="3337"/>
    </row>
    <row r="22380" spans="7:16" s="1634" customFormat="1">
      <c r="G22380" s="3336"/>
      <c r="P22380" s="3337"/>
    </row>
    <row r="22381" spans="7:16" s="1634" customFormat="1">
      <c r="G22381" s="3336"/>
      <c r="P22381" s="3337"/>
    </row>
    <row r="22382" spans="7:16" s="1634" customFormat="1">
      <c r="G22382" s="3336"/>
      <c r="P22382" s="3337"/>
    </row>
    <row r="22383" spans="7:16" s="1634" customFormat="1">
      <c r="G22383" s="3336"/>
      <c r="P22383" s="3337"/>
    </row>
    <row r="22384" spans="7:16" s="1634" customFormat="1">
      <c r="G22384" s="3336"/>
      <c r="P22384" s="3337"/>
    </row>
    <row r="22385" spans="7:16" s="1634" customFormat="1">
      <c r="G22385" s="3336"/>
      <c r="P22385" s="3337"/>
    </row>
    <row r="22386" spans="7:16" s="1634" customFormat="1">
      <c r="G22386" s="3336"/>
      <c r="P22386" s="3337"/>
    </row>
    <row r="22387" spans="7:16" s="1634" customFormat="1">
      <c r="G22387" s="3336"/>
      <c r="P22387" s="3337"/>
    </row>
    <row r="22388" spans="7:16" s="1634" customFormat="1">
      <c r="G22388" s="3336"/>
      <c r="P22388" s="3337"/>
    </row>
    <row r="22389" spans="7:16" s="1634" customFormat="1">
      <c r="G22389" s="3336"/>
      <c r="P22389" s="3337"/>
    </row>
    <row r="22390" spans="7:16" s="1634" customFormat="1">
      <c r="G22390" s="3336"/>
      <c r="P22390" s="3337"/>
    </row>
    <row r="22391" spans="7:16" s="1634" customFormat="1">
      <c r="G22391" s="3336"/>
      <c r="P22391" s="3337"/>
    </row>
    <row r="22392" spans="7:16" s="1634" customFormat="1">
      <c r="G22392" s="3336"/>
      <c r="P22392" s="3337"/>
    </row>
    <row r="22393" spans="7:16" s="1634" customFormat="1">
      <c r="G22393" s="3336"/>
      <c r="P22393" s="3337"/>
    </row>
    <row r="22394" spans="7:16" s="1634" customFormat="1">
      <c r="G22394" s="3336"/>
      <c r="P22394" s="3337"/>
    </row>
    <row r="22395" spans="7:16" s="1634" customFormat="1">
      <c r="G22395" s="3336"/>
      <c r="P22395" s="3337"/>
    </row>
    <row r="22396" spans="7:16" s="1634" customFormat="1">
      <c r="G22396" s="3336"/>
      <c r="P22396" s="3337"/>
    </row>
    <row r="22397" spans="7:16" s="1634" customFormat="1">
      <c r="G22397" s="3336"/>
      <c r="P22397" s="3337"/>
    </row>
    <row r="22398" spans="7:16" s="1634" customFormat="1">
      <c r="G22398" s="3336"/>
      <c r="P22398" s="3337"/>
    </row>
    <row r="22399" spans="7:16" s="1634" customFormat="1">
      <c r="G22399" s="3336"/>
      <c r="P22399" s="3337"/>
    </row>
    <row r="22400" spans="7:16" s="1634" customFormat="1">
      <c r="G22400" s="3336"/>
      <c r="P22400" s="3337"/>
    </row>
    <row r="22401" spans="7:16" s="1634" customFormat="1">
      <c r="G22401" s="3336"/>
      <c r="P22401" s="3337"/>
    </row>
    <row r="22402" spans="7:16" s="1634" customFormat="1">
      <c r="G22402" s="3336"/>
      <c r="P22402" s="3337"/>
    </row>
    <row r="22403" spans="7:16" s="1634" customFormat="1">
      <c r="G22403" s="3336"/>
      <c r="P22403" s="3337"/>
    </row>
    <row r="22404" spans="7:16" s="1634" customFormat="1">
      <c r="G22404" s="3336"/>
      <c r="P22404" s="3337"/>
    </row>
    <row r="22405" spans="7:16" s="1634" customFormat="1">
      <c r="G22405" s="3336"/>
      <c r="P22405" s="3337"/>
    </row>
    <row r="22406" spans="7:16" s="1634" customFormat="1">
      <c r="G22406" s="3336"/>
      <c r="P22406" s="3337"/>
    </row>
    <row r="22407" spans="7:16" s="1634" customFormat="1">
      <c r="G22407" s="3336"/>
      <c r="P22407" s="3337"/>
    </row>
    <row r="22408" spans="7:16" s="1634" customFormat="1">
      <c r="G22408" s="3336"/>
      <c r="P22408" s="3337"/>
    </row>
    <row r="22409" spans="7:16" s="1634" customFormat="1">
      <c r="G22409" s="3336"/>
      <c r="P22409" s="3337"/>
    </row>
    <row r="22410" spans="7:16" s="1634" customFormat="1">
      <c r="G22410" s="3336"/>
      <c r="P22410" s="3337"/>
    </row>
    <row r="22411" spans="7:16" s="1634" customFormat="1">
      <c r="G22411" s="3336"/>
      <c r="P22411" s="3337"/>
    </row>
    <row r="22412" spans="7:16" s="1634" customFormat="1">
      <c r="G22412" s="3336"/>
      <c r="P22412" s="3337"/>
    </row>
    <row r="22413" spans="7:16" s="1634" customFormat="1">
      <c r="G22413" s="3336"/>
      <c r="P22413" s="3337"/>
    </row>
    <row r="22414" spans="7:16" s="1634" customFormat="1">
      <c r="G22414" s="3336"/>
      <c r="P22414" s="3337"/>
    </row>
    <row r="22415" spans="7:16" s="1634" customFormat="1">
      <c r="G22415" s="3336"/>
      <c r="P22415" s="3337"/>
    </row>
    <row r="22416" spans="7:16" s="1634" customFormat="1">
      <c r="G22416" s="3336"/>
      <c r="P22416" s="3337"/>
    </row>
    <row r="22417" spans="7:16" s="1634" customFormat="1">
      <c r="G22417" s="3336"/>
      <c r="P22417" s="3337"/>
    </row>
    <row r="22418" spans="7:16" s="1634" customFormat="1">
      <c r="G22418" s="3336"/>
      <c r="P22418" s="3337"/>
    </row>
    <row r="22419" spans="7:16" s="1634" customFormat="1">
      <c r="G22419" s="3336"/>
      <c r="P22419" s="3337"/>
    </row>
    <row r="22420" spans="7:16" s="1634" customFormat="1">
      <c r="G22420" s="3336"/>
      <c r="P22420" s="3337"/>
    </row>
    <row r="22421" spans="7:16" s="1634" customFormat="1">
      <c r="G22421" s="3336"/>
      <c r="P22421" s="3337"/>
    </row>
    <row r="22422" spans="7:16" s="1634" customFormat="1">
      <c r="G22422" s="3336"/>
      <c r="P22422" s="3337"/>
    </row>
    <row r="22423" spans="7:16" s="1634" customFormat="1">
      <c r="G22423" s="3336"/>
      <c r="P22423" s="3337"/>
    </row>
    <row r="22424" spans="7:16" s="1634" customFormat="1">
      <c r="G22424" s="3336"/>
      <c r="P22424" s="3337"/>
    </row>
    <row r="22425" spans="7:16" s="1634" customFormat="1">
      <c r="G22425" s="3336"/>
      <c r="P22425" s="3337"/>
    </row>
    <row r="22426" spans="7:16" s="1634" customFormat="1">
      <c r="G22426" s="3336"/>
      <c r="P22426" s="3337"/>
    </row>
    <row r="22427" spans="7:16" s="1634" customFormat="1">
      <c r="G22427" s="3336"/>
      <c r="P22427" s="3337"/>
    </row>
    <row r="22428" spans="7:16" s="1634" customFormat="1">
      <c r="G22428" s="3336"/>
      <c r="P22428" s="3337"/>
    </row>
    <row r="22429" spans="7:16" s="1634" customFormat="1">
      <c r="G22429" s="3336"/>
      <c r="P22429" s="3337"/>
    </row>
    <row r="22430" spans="7:16" s="1634" customFormat="1">
      <c r="G22430" s="3336"/>
      <c r="P22430" s="3337"/>
    </row>
    <row r="22431" spans="7:16" s="1634" customFormat="1">
      <c r="G22431" s="3336"/>
      <c r="P22431" s="3337"/>
    </row>
    <row r="22432" spans="7:16" s="1634" customFormat="1">
      <c r="G22432" s="3336"/>
      <c r="P22432" s="3337"/>
    </row>
    <row r="22433" spans="7:16" s="1634" customFormat="1">
      <c r="G22433" s="3336"/>
      <c r="P22433" s="3337"/>
    </row>
    <row r="22434" spans="7:16" s="1634" customFormat="1">
      <c r="G22434" s="3336"/>
      <c r="P22434" s="3337"/>
    </row>
    <row r="22435" spans="7:16" s="1634" customFormat="1">
      <c r="G22435" s="3336"/>
      <c r="P22435" s="3337"/>
    </row>
    <row r="22436" spans="7:16" s="1634" customFormat="1">
      <c r="G22436" s="3336"/>
      <c r="P22436" s="3337"/>
    </row>
    <row r="22437" spans="7:16" s="1634" customFormat="1">
      <c r="G22437" s="3336"/>
      <c r="P22437" s="3337"/>
    </row>
    <row r="22438" spans="7:16" s="1634" customFormat="1">
      <c r="G22438" s="3336"/>
      <c r="P22438" s="3337"/>
    </row>
    <row r="22439" spans="7:16" s="1634" customFormat="1">
      <c r="G22439" s="3336"/>
      <c r="P22439" s="3337"/>
    </row>
    <row r="22440" spans="7:16" s="1634" customFormat="1">
      <c r="G22440" s="3336"/>
      <c r="P22440" s="3337"/>
    </row>
    <row r="22441" spans="7:16" s="1634" customFormat="1">
      <c r="G22441" s="3336"/>
      <c r="P22441" s="3337"/>
    </row>
    <row r="22442" spans="7:16" s="1634" customFormat="1">
      <c r="G22442" s="3336"/>
      <c r="P22442" s="3337"/>
    </row>
    <row r="22443" spans="7:16" s="1634" customFormat="1">
      <c r="G22443" s="3336"/>
      <c r="P22443" s="3337"/>
    </row>
    <row r="22444" spans="7:16" s="1634" customFormat="1">
      <c r="G22444" s="3336"/>
      <c r="P22444" s="3337"/>
    </row>
    <row r="22445" spans="7:16" s="1634" customFormat="1">
      <c r="G22445" s="3336"/>
      <c r="P22445" s="3337"/>
    </row>
    <row r="22446" spans="7:16" s="1634" customFormat="1">
      <c r="G22446" s="3336"/>
      <c r="P22446" s="3337"/>
    </row>
    <row r="22447" spans="7:16" s="1634" customFormat="1">
      <c r="G22447" s="3336"/>
      <c r="P22447" s="3337"/>
    </row>
    <row r="22448" spans="7:16" s="1634" customFormat="1">
      <c r="G22448" s="3336"/>
      <c r="P22448" s="3337"/>
    </row>
    <row r="22449" spans="7:16" s="1634" customFormat="1">
      <c r="G22449" s="3336"/>
      <c r="P22449" s="3337"/>
    </row>
    <row r="22450" spans="7:16" s="1634" customFormat="1">
      <c r="G22450" s="3336"/>
      <c r="P22450" s="3337"/>
    </row>
    <row r="22451" spans="7:16" s="1634" customFormat="1">
      <c r="G22451" s="3336"/>
      <c r="P22451" s="3337"/>
    </row>
    <row r="22452" spans="7:16" s="1634" customFormat="1">
      <c r="G22452" s="3336"/>
      <c r="P22452" s="3337"/>
    </row>
    <row r="22453" spans="7:16" s="1634" customFormat="1">
      <c r="G22453" s="3336"/>
      <c r="P22453" s="3337"/>
    </row>
    <row r="22454" spans="7:16" s="1634" customFormat="1">
      <c r="G22454" s="3336"/>
      <c r="P22454" s="3337"/>
    </row>
    <row r="22455" spans="7:16" s="1634" customFormat="1">
      <c r="G22455" s="3336"/>
      <c r="P22455" s="3337"/>
    </row>
    <row r="22456" spans="7:16" s="1634" customFormat="1">
      <c r="G22456" s="3336"/>
      <c r="P22456" s="3337"/>
    </row>
    <row r="22457" spans="7:16" s="1634" customFormat="1">
      <c r="G22457" s="3336"/>
      <c r="P22457" s="3337"/>
    </row>
    <row r="22458" spans="7:16" s="1634" customFormat="1">
      <c r="G22458" s="3336"/>
      <c r="P22458" s="3337"/>
    </row>
    <row r="22459" spans="7:16" s="1634" customFormat="1">
      <c r="G22459" s="3336"/>
      <c r="P22459" s="3337"/>
    </row>
    <row r="22460" spans="7:16" s="1634" customFormat="1">
      <c r="G22460" s="3336"/>
      <c r="P22460" s="3337"/>
    </row>
    <row r="22461" spans="7:16" s="1634" customFormat="1">
      <c r="G22461" s="3336"/>
      <c r="P22461" s="3337"/>
    </row>
    <row r="22462" spans="7:16" s="1634" customFormat="1">
      <c r="G22462" s="3336"/>
      <c r="P22462" s="3337"/>
    </row>
    <row r="22463" spans="7:16" s="1634" customFormat="1">
      <c r="G22463" s="3336"/>
      <c r="P22463" s="3337"/>
    </row>
    <row r="22464" spans="7:16" s="1634" customFormat="1">
      <c r="G22464" s="3336"/>
      <c r="P22464" s="3337"/>
    </row>
    <row r="22465" spans="7:16" s="1634" customFormat="1">
      <c r="G22465" s="3336"/>
      <c r="P22465" s="3337"/>
    </row>
    <row r="22466" spans="7:16" s="1634" customFormat="1">
      <c r="G22466" s="3336"/>
      <c r="P22466" s="3337"/>
    </row>
    <row r="22467" spans="7:16" s="1634" customFormat="1">
      <c r="G22467" s="3336"/>
      <c r="P22467" s="3337"/>
    </row>
    <row r="22468" spans="7:16" s="1634" customFormat="1">
      <c r="G22468" s="3336"/>
      <c r="P22468" s="3337"/>
    </row>
    <row r="22469" spans="7:16" s="1634" customFormat="1">
      <c r="G22469" s="3336"/>
      <c r="P22469" s="3337"/>
    </row>
    <row r="22470" spans="7:16" s="1634" customFormat="1">
      <c r="G22470" s="3336"/>
      <c r="P22470" s="3337"/>
    </row>
    <row r="22471" spans="7:16" s="1634" customFormat="1">
      <c r="G22471" s="3336"/>
      <c r="P22471" s="3337"/>
    </row>
    <row r="22472" spans="7:16" s="1634" customFormat="1">
      <c r="G22472" s="3336"/>
      <c r="P22472" s="3337"/>
    </row>
    <row r="22473" spans="7:16" s="1634" customFormat="1">
      <c r="G22473" s="3336"/>
      <c r="P22473" s="3337"/>
    </row>
    <row r="22474" spans="7:16" s="1634" customFormat="1">
      <c r="G22474" s="3336"/>
      <c r="P22474" s="3337"/>
    </row>
    <row r="22475" spans="7:16" s="1634" customFormat="1">
      <c r="G22475" s="3336"/>
      <c r="P22475" s="3337"/>
    </row>
    <row r="22476" spans="7:16" s="1634" customFormat="1">
      <c r="G22476" s="3336"/>
      <c r="P22476" s="3337"/>
    </row>
    <row r="22477" spans="7:16" s="1634" customFormat="1">
      <c r="G22477" s="3336"/>
      <c r="P22477" s="3337"/>
    </row>
    <row r="22478" spans="7:16" s="1634" customFormat="1">
      <c r="G22478" s="3336"/>
      <c r="P22478" s="3337"/>
    </row>
    <row r="22479" spans="7:16" s="1634" customFormat="1">
      <c r="G22479" s="3336"/>
      <c r="P22479" s="3337"/>
    </row>
    <row r="22480" spans="7:16" s="1634" customFormat="1">
      <c r="G22480" s="3336"/>
      <c r="P22480" s="3337"/>
    </row>
    <row r="22481" spans="7:16" s="1634" customFormat="1">
      <c r="G22481" s="3336"/>
      <c r="P22481" s="3337"/>
    </row>
    <row r="22482" spans="7:16" s="1634" customFormat="1">
      <c r="G22482" s="3336"/>
      <c r="P22482" s="3337"/>
    </row>
    <row r="22483" spans="7:16" s="1634" customFormat="1">
      <c r="G22483" s="3336"/>
      <c r="P22483" s="3337"/>
    </row>
    <row r="22484" spans="7:16" s="1634" customFormat="1">
      <c r="G22484" s="3336"/>
      <c r="P22484" s="3337"/>
    </row>
    <row r="22485" spans="7:16" s="1634" customFormat="1">
      <c r="G22485" s="3336"/>
      <c r="P22485" s="3337"/>
    </row>
    <row r="22486" spans="7:16" s="1634" customFormat="1">
      <c r="G22486" s="3336"/>
      <c r="P22486" s="3337"/>
    </row>
    <row r="22487" spans="7:16" s="1634" customFormat="1">
      <c r="G22487" s="3336"/>
      <c r="P22487" s="3337"/>
    </row>
    <row r="22488" spans="7:16" s="1634" customFormat="1">
      <c r="G22488" s="3336"/>
      <c r="P22488" s="3337"/>
    </row>
    <row r="22489" spans="7:16" s="1634" customFormat="1">
      <c r="G22489" s="3336"/>
      <c r="P22489" s="3337"/>
    </row>
    <row r="22490" spans="7:16" s="1634" customFormat="1">
      <c r="G22490" s="3336"/>
      <c r="P22490" s="3337"/>
    </row>
    <row r="22491" spans="7:16" s="1634" customFormat="1">
      <c r="G22491" s="3336"/>
      <c r="P22491" s="3337"/>
    </row>
    <row r="22492" spans="7:16" s="1634" customFormat="1">
      <c r="G22492" s="3336"/>
      <c r="P22492" s="3337"/>
    </row>
    <row r="22493" spans="7:16" s="1634" customFormat="1">
      <c r="G22493" s="3336"/>
      <c r="P22493" s="3337"/>
    </row>
    <row r="22494" spans="7:16" s="1634" customFormat="1">
      <c r="G22494" s="3336"/>
      <c r="P22494" s="3337"/>
    </row>
    <row r="22495" spans="7:16" s="1634" customFormat="1">
      <c r="G22495" s="3336"/>
      <c r="P22495" s="3337"/>
    </row>
    <row r="22496" spans="7:16" s="1634" customFormat="1">
      <c r="G22496" s="3336"/>
      <c r="P22496" s="3337"/>
    </row>
    <row r="22497" spans="7:16" s="1634" customFormat="1">
      <c r="G22497" s="3336"/>
      <c r="P22497" s="3337"/>
    </row>
    <row r="22498" spans="7:16" s="1634" customFormat="1">
      <c r="G22498" s="3336"/>
      <c r="P22498" s="3337"/>
    </row>
    <row r="22499" spans="7:16" s="1634" customFormat="1">
      <c r="G22499" s="3336"/>
      <c r="P22499" s="3337"/>
    </row>
    <row r="22500" spans="7:16" s="1634" customFormat="1">
      <c r="G22500" s="3336"/>
      <c r="P22500" s="3337"/>
    </row>
    <row r="22501" spans="7:16" s="1634" customFormat="1">
      <c r="G22501" s="3336"/>
      <c r="P22501" s="3337"/>
    </row>
    <row r="22502" spans="7:16" s="1634" customFormat="1">
      <c r="G22502" s="3336"/>
      <c r="P22502" s="3337"/>
    </row>
    <row r="22503" spans="7:16" s="1634" customFormat="1">
      <c r="G22503" s="3336"/>
      <c r="P22503" s="3337"/>
    </row>
    <row r="22504" spans="7:16" s="1634" customFormat="1">
      <c r="G22504" s="3336"/>
      <c r="P22504" s="3337"/>
    </row>
    <row r="22505" spans="7:16" s="1634" customFormat="1">
      <c r="G22505" s="3336"/>
      <c r="P22505" s="3337"/>
    </row>
    <row r="22506" spans="7:16" s="1634" customFormat="1">
      <c r="G22506" s="3336"/>
      <c r="P22506" s="3337"/>
    </row>
    <row r="22507" spans="7:16" s="1634" customFormat="1">
      <c r="G22507" s="3336"/>
      <c r="P22507" s="3337"/>
    </row>
    <row r="22508" spans="7:16" s="1634" customFormat="1">
      <c r="G22508" s="3336"/>
      <c r="P22508" s="3337"/>
    </row>
    <row r="22509" spans="7:16" s="1634" customFormat="1">
      <c r="G22509" s="3336"/>
      <c r="P22509" s="3337"/>
    </row>
    <row r="22510" spans="7:16" s="1634" customFormat="1">
      <c r="G22510" s="3336"/>
      <c r="P22510" s="3337"/>
    </row>
    <row r="22511" spans="7:16" s="1634" customFormat="1">
      <c r="G22511" s="3336"/>
      <c r="P22511" s="3337"/>
    </row>
    <row r="22512" spans="7:16" s="1634" customFormat="1">
      <c r="G22512" s="3336"/>
      <c r="P22512" s="3337"/>
    </row>
    <row r="22513" spans="7:16" s="1634" customFormat="1">
      <c r="G22513" s="3336"/>
      <c r="P22513" s="3337"/>
    </row>
    <row r="22514" spans="7:16" s="1634" customFormat="1">
      <c r="G22514" s="3336"/>
      <c r="P22514" s="3337"/>
    </row>
    <row r="22515" spans="7:16" s="1634" customFormat="1">
      <c r="G22515" s="3336"/>
      <c r="P22515" s="3337"/>
    </row>
    <row r="22516" spans="7:16" s="1634" customFormat="1">
      <c r="G22516" s="3336"/>
      <c r="P22516" s="3337"/>
    </row>
    <row r="22517" spans="7:16" s="1634" customFormat="1">
      <c r="G22517" s="3336"/>
      <c r="P22517" s="3337"/>
    </row>
    <row r="22518" spans="7:16" s="1634" customFormat="1">
      <c r="G22518" s="3336"/>
      <c r="P22518" s="3337"/>
    </row>
    <row r="22519" spans="7:16" s="1634" customFormat="1">
      <c r="G22519" s="3336"/>
      <c r="P22519" s="3337"/>
    </row>
    <row r="22520" spans="7:16" s="1634" customFormat="1">
      <c r="G22520" s="3336"/>
      <c r="P22520" s="3337"/>
    </row>
    <row r="22521" spans="7:16" s="1634" customFormat="1">
      <c r="G22521" s="3336"/>
      <c r="P22521" s="3337"/>
    </row>
    <row r="22522" spans="7:16" s="1634" customFormat="1">
      <c r="G22522" s="3336"/>
      <c r="P22522" s="3337"/>
    </row>
    <row r="22523" spans="7:16" s="1634" customFormat="1">
      <c r="G22523" s="3336"/>
      <c r="P22523" s="3337"/>
    </row>
    <row r="22524" spans="7:16" s="1634" customFormat="1">
      <c r="G22524" s="3336"/>
      <c r="P22524" s="3337"/>
    </row>
    <row r="22525" spans="7:16" s="1634" customFormat="1">
      <c r="G22525" s="3336"/>
      <c r="P22525" s="3337"/>
    </row>
    <row r="22526" spans="7:16" s="1634" customFormat="1">
      <c r="G22526" s="3336"/>
      <c r="P22526" s="3337"/>
    </row>
    <row r="22527" spans="7:16" s="1634" customFormat="1">
      <c r="G22527" s="3336"/>
      <c r="P22527" s="3337"/>
    </row>
    <row r="22528" spans="7:16" s="1634" customFormat="1">
      <c r="G22528" s="3336"/>
      <c r="P22528" s="3337"/>
    </row>
    <row r="22529" spans="7:16" s="1634" customFormat="1">
      <c r="G22529" s="3336"/>
      <c r="P22529" s="3337"/>
    </row>
    <row r="22530" spans="7:16" s="1634" customFormat="1">
      <c r="G22530" s="3336"/>
      <c r="P22530" s="3337"/>
    </row>
    <row r="22531" spans="7:16" s="1634" customFormat="1">
      <c r="G22531" s="3336"/>
      <c r="P22531" s="3337"/>
    </row>
    <row r="22532" spans="7:16" s="1634" customFormat="1">
      <c r="G22532" s="3336"/>
      <c r="P22532" s="3337"/>
    </row>
    <row r="22533" spans="7:16" s="1634" customFormat="1">
      <c r="G22533" s="3336"/>
      <c r="P22533" s="3337"/>
    </row>
    <row r="22534" spans="7:16" s="1634" customFormat="1">
      <c r="G22534" s="3336"/>
      <c r="P22534" s="3337"/>
    </row>
    <row r="22535" spans="7:16" s="1634" customFormat="1">
      <c r="G22535" s="3336"/>
      <c r="P22535" s="3337"/>
    </row>
    <row r="22536" spans="7:16" s="1634" customFormat="1">
      <c r="G22536" s="3336"/>
      <c r="P22536" s="3337"/>
    </row>
    <row r="22537" spans="7:16" s="1634" customFormat="1">
      <c r="G22537" s="3336"/>
      <c r="P22537" s="3337"/>
    </row>
    <row r="22538" spans="7:16" s="1634" customFormat="1">
      <c r="G22538" s="3336"/>
      <c r="P22538" s="3337"/>
    </row>
    <row r="22539" spans="7:16" s="1634" customFormat="1">
      <c r="G22539" s="3336"/>
      <c r="P22539" s="3337"/>
    </row>
    <row r="22540" spans="7:16" s="1634" customFormat="1">
      <c r="G22540" s="3336"/>
      <c r="P22540" s="3337"/>
    </row>
    <row r="22541" spans="7:16" s="1634" customFormat="1">
      <c r="G22541" s="3336"/>
      <c r="P22541" s="3337"/>
    </row>
    <row r="22542" spans="7:16" s="1634" customFormat="1">
      <c r="G22542" s="3336"/>
      <c r="P22542" s="3337"/>
    </row>
    <row r="22543" spans="7:16" s="1634" customFormat="1">
      <c r="G22543" s="3336"/>
      <c r="P22543" s="3337"/>
    </row>
    <row r="22544" spans="7:16" s="1634" customFormat="1">
      <c r="G22544" s="3336"/>
      <c r="P22544" s="3337"/>
    </row>
    <row r="22545" spans="7:16" s="1634" customFormat="1">
      <c r="G22545" s="3336"/>
      <c r="P22545" s="3337"/>
    </row>
    <row r="22546" spans="7:16" s="1634" customFormat="1">
      <c r="G22546" s="3336"/>
      <c r="P22546" s="3337"/>
    </row>
    <row r="22547" spans="7:16" s="1634" customFormat="1">
      <c r="G22547" s="3336"/>
      <c r="P22547" s="3337"/>
    </row>
    <row r="22548" spans="7:16" s="1634" customFormat="1">
      <c r="G22548" s="3336"/>
      <c r="P22548" s="3337"/>
    </row>
    <row r="22549" spans="7:16" s="1634" customFormat="1">
      <c r="G22549" s="3336"/>
      <c r="P22549" s="3337"/>
    </row>
    <row r="22550" spans="7:16" s="1634" customFormat="1">
      <c r="G22550" s="3336"/>
      <c r="P22550" s="3337"/>
    </row>
    <row r="22551" spans="7:16" s="1634" customFormat="1">
      <c r="G22551" s="3336"/>
      <c r="P22551" s="3337"/>
    </row>
    <row r="22552" spans="7:16" s="1634" customFormat="1">
      <c r="G22552" s="3336"/>
      <c r="P22552" s="3337"/>
    </row>
    <row r="22553" spans="7:16" s="1634" customFormat="1">
      <c r="G22553" s="3336"/>
      <c r="P22553" s="3337"/>
    </row>
    <row r="22554" spans="7:16" s="1634" customFormat="1">
      <c r="G22554" s="3336"/>
      <c r="P22554" s="3337"/>
    </row>
    <row r="22555" spans="7:16" s="1634" customFormat="1">
      <c r="G22555" s="3336"/>
      <c r="P22555" s="3337"/>
    </row>
    <row r="22556" spans="7:16" s="1634" customFormat="1">
      <c r="G22556" s="3336"/>
      <c r="P22556" s="3337"/>
    </row>
    <row r="22557" spans="7:16" s="1634" customFormat="1">
      <c r="G22557" s="3336"/>
      <c r="P22557" s="3337"/>
    </row>
    <row r="22558" spans="7:16" s="1634" customFormat="1">
      <c r="G22558" s="3336"/>
      <c r="P22558" s="3337"/>
    </row>
    <row r="22559" spans="7:16" s="1634" customFormat="1">
      <c r="G22559" s="3336"/>
      <c r="P22559" s="3337"/>
    </row>
    <row r="22560" spans="7:16" s="1634" customFormat="1">
      <c r="G22560" s="3336"/>
      <c r="P22560" s="3337"/>
    </row>
    <row r="22561" spans="7:16" s="1634" customFormat="1">
      <c r="G22561" s="3336"/>
      <c r="P22561" s="3337"/>
    </row>
    <row r="22562" spans="7:16" s="1634" customFormat="1">
      <c r="G22562" s="3336"/>
      <c r="P22562" s="3337"/>
    </row>
    <row r="22563" spans="7:16" s="1634" customFormat="1">
      <c r="G22563" s="3336"/>
      <c r="P22563" s="3337"/>
    </row>
    <row r="22564" spans="7:16" s="1634" customFormat="1">
      <c r="G22564" s="3336"/>
      <c r="P22564" s="3337"/>
    </row>
    <row r="22565" spans="7:16" s="1634" customFormat="1">
      <c r="G22565" s="3336"/>
      <c r="P22565" s="3337"/>
    </row>
    <row r="22566" spans="7:16" s="1634" customFormat="1">
      <c r="G22566" s="3336"/>
      <c r="P22566" s="3337"/>
    </row>
    <row r="22567" spans="7:16" s="1634" customFormat="1">
      <c r="G22567" s="3336"/>
      <c r="P22567" s="3337"/>
    </row>
    <row r="22568" spans="7:16" s="1634" customFormat="1">
      <c r="G22568" s="3336"/>
      <c r="P22568" s="3337"/>
    </row>
    <row r="22569" spans="7:16" s="1634" customFormat="1">
      <c r="G22569" s="3336"/>
      <c r="P22569" s="3337"/>
    </row>
    <row r="22570" spans="7:16" s="1634" customFormat="1">
      <c r="G22570" s="3336"/>
      <c r="P22570" s="3337"/>
    </row>
    <row r="22571" spans="7:16" s="1634" customFormat="1">
      <c r="G22571" s="3336"/>
      <c r="P22571" s="3337"/>
    </row>
    <row r="22572" spans="7:16" s="1634" customFormat="1">
      <c r="G22572" s="3336"/>
      <c r="P22572" s="3337"/>
    </row>
    <row r="22573" spans="7:16" s="1634" customFormat="1">
      <c r="G22573" s="3336"/>
      <c r="P22573" s="3337"/>
    </row>
    <row r="22574" spans="7:16" s="1634" customFormat="1">
      <c r="G22574" s="3336"/>
      <c r="P22574" s="3337"/>
    </row>
    <row r="22575" spans="7:16" s="1634" customFormat="1">
      <c r="G22575" s="3336"/>
      <c r="P22575" s="3337"/>
    </row>
    <row r="22576" spans="7:16" s="1634" customFormat="1">
      <c r="G22576" s="3336"/>
      <c r="P22576" s="3337"/>
    </row>
    <row r="22577" spans="7:16" s="1634" customFormat="1">
      <c r="G22577" s="3336"/>
      <c r="P22577" s="3337"/>
    </row>
    <row r="22578" spans="7:16" s="1634" customFormat="1">
      <c r="G22578" s="3336"/>
      <c r="P22578" s="3337"/>
    </row>
    <row r="22579" spans="7:16" s="1634" customFormat="1">
      <c r="G22579" s="3336"/>
      <c r="P22579" s="3337"/>
    </row>
    <row r="22580" spans="7:16" s="1634" customFormat="1">
      <c r="G22580" s="3336"/>
      <c r="P22580" s="3337"/>
    </row>
    <row r="22581" spans="7:16" s="1634" customFormat="1">
      <c r="G22581" s="3336"/>
      <c r="P22581" s="3337"/>
    </row>
    <row r="22582" spans="7:16" s="1634" customFormat="1">
      <c r="G22582" s="3336"/>
      <c r="P22582" s="3337"/>
    </row>
    <row r="22583" spans="7:16" s="1634" customFormat="1">
      <c r="G22583" s="3336"/>
      <c r="P22583" s="3337"/>
    </row>
    <row r="22584" spans="7:16" s="1634" customFormat="1">
      <c r="G22584" s="3336"/>
      <c r="P22584" s="3337"/>
    </row>
    <row r="22585" spans="7:16" s="1634" customFormat="1">
      <c r="G22585" s="3336"/>
      <c r="P22585" s="3337"/>
    </row>
    <row r="22586" spans="7:16" s="1634" customFormat="1">
      <c r="G22586" s="3336"/>
      <c r="P22586" s="3337"/>
    </row>
    <row r="22587" spans="7:16" s="1634" customFormat="1">
      <c r="G22587" s="3336"/>
      <c r="P22587" s="3337"/>
    </row>
    <row r="22588" spans="7:16" s="1634" customFormat="1">
      <c r="G22588" s="3336"/>
      <c r="P22588" s="3337"/>
    </row>
    <row r="22589" spans="7:16" s="1634" customFormat="1">
      <c r="G22589" s="3336"/>
      <c r="P22589" s="3337"/>
    </row>
    <row r="22590" spans="7:16" s="1634" customFormat="1">
      <c r="G22590" s="3336"/>
      <c r="P22590" s="3337"/>
    </row>
    <row r="22591" spans="7:16" s="1634" customFormat="1">
      <c r="G22591" s="3336"/>
      <c r="P22591" s="3337"/>
    </row>
    <row r="22592" spans="7:16" s="1634" customFormat="1">
      <c r="G22592" s="3336"/>
      <c r="P22592" s="3337"/>
    </row>
    <row r="22593" spans="7:16" s="1634" customFormat="1">
      <c r="G22593" s="3336"/>
      <c r="P22593" s="3337"/>
    </row>
    <row r="22594" spans="7:16" s="1634" customFormat="1">
      <c r="G22594" s="3336"/>
      <c r="P22594" s="3337"/>
    </row>
    <row r="22595" spans="7:16" s="1634" customFormat="1">
      <c r="G22595" s="3336"/>
      <c r="P22595" s="3337"/>
    </row>
    <row r="22596" spans="7:16" s="1634" customFormat="1">
      <c r="G22596" s="3336"/>
      <c r="P22596" s="3337"/>
    </row>
    <row r="22597" spans="7:16" s="1634" customFormat="1">
      <c r="G22597" s="3336"/>
      <c r="P22597" s="3337"/>
    </row>
    <row r="22598" spans="7:16" s="1634" customFormat="1">
      <c r="G22598" s="3336"/>
      <c r="P22598" s="3337"/>
    </row>
    <row r="22599" spans="7:16" s="1634" customFormat="1">
      <c r="G22599" s="3336"/>
      <c r="P22599" s="3337"/>
    </row>
    <row r="22600" spans="7:16" s="1634" customFormat="1">
      <c r="G22600" s="3336"/>
      <c r="P22600" s="3337"/>
    </row>
    <row r="22601" spans="7:16" s="1634" customFormat="1">
      <c r="G22601" s="3336"/>
      <c r="P22601" s="3337"/>
    </row>
    <row r="22602" spans="7:16" s="1634" customFormat="1">
      <c r="G22602" s="3336"/>
      <c r="P22602" s="3337"/>
    </row>
    <row r="22603" spans="7:16" s="1634" customFormat="1">
      <c r="G22603" s="3336"/>
      <c r="P22603" s="3337"/>
    </row>
    <row r="22604" spans="7:16" s="1634" customFormat="1">
      <c r="G22604" s="3336"/>
      <c r="P22604" s="3337"/>
    </row>
    <row r="22605" spans="7:16" s="1634" customFormat="1">
      <c r="G22605" s="3336"/>
      <c r="P22605" s="3337"/>
    </row>
    <row r="22606" spans="7:16" s="1634" customFormat="1">
      <c r="G22606" s="3336"/>
      <c r="P22606" s="3337"/>
    </row>
    <row r="22607" spans="7:16" s="1634" customFormat="1">
      <c r="G22607" s="3336"/>
      <c r="P22607" s="3337"/>
    </row>
    <row r="22608" spans="7:16" s="1634" customFormat="1">
      <c r="G22608" s="3336"/>
      <c r="P22608" s="3337"/>
    </row>
    <row r="22609" spans="7:16" s="1634" customFormat="1">
      <c r="G22609" s="3336"/>
      <c r="P22609" s="3337"/>
    </row>
    <row r="22610" spans="7:16" s="1634" customFormat="1">
      <c r="G22610" s="3336"/>
      <c r="P22610" s="3337"/>
    </row>
    <row r="22611" spans="7:16" s="1634" customFormat="1">
      <c r="G22611" s="3336"/>
      <c r="P22611" s="3337"/>
    </row>
    <row r="22612" spans="7:16" s="1634" customFormat="1">
      <c r="G22612" s="3336"/>
      <c r="P22612" s="3337"/>
    </row>
    <row r="22613" spans="7:16" s="1634" customFormat="1">
      <c r="G22613" s="3336"/>
      <c r="P22613" s="3337"/>
    </row>
    <row r="22614" spans="7:16" s="1634" customFormat="1">
      <c r="G22614" s="3336"/>
      <c r="P22614" s="3337"/>
    </row>
    <row r="22615" spans="7:16" s="1634" customFormat="1">
      <c r="G22615" s="3336"/>
      <c r="P22615" s="3337"/>
    </row>
    <row r="22616" spans="7:16" s="1634" customFormat="1">
      <c r="G22616" s="3336"/>
      <c r="P22616" s="3337"/>
    </row>
    <row r="22617" spans="7:16" s="1634" customFormat="1">
      <c r="G22617" s="3336"/>
      <c r="P22617" s="3337"/>
    </row>
    <row r="22618" spans="7:16" s="1634" customFormat="1">
      <c r="G22618" s="3336"/>
      <c r="P22618" s="3337"/>
    </row>
    <row r="22619" spans="7:16" s="1634" customFormat="1">
      <c r="G22619" s="3336"/>
      <c r="P22619" s="3337"/>
    </row>
    <row r="22620" spans="7:16" s="1634" customFormat="1">
      <c r="G22620" s="3336"/>
      <c r="P22620" s="3337"/>
    </row>
    <row r="22621" spans="7:16" s="1634" customFormat="1">
      <c r="G22621" s="3336"/>
      <c r="P22621" s="3337"/>
    </row>
    <row r="22622" spans="7:16" s="1634" customFormat="1">
      <c r="G22622" s="3336"/>
      <c r="P22622" s="3337"/>
    </row>
    <row r="22623" spans="7:16" s="1634" customFormat="1">
      <c r="G22623" s="3336"/>
      <c r="P22623" s="3337"/>
    </row>
    <row r="22624" spans="7:16" s="1634" customFormat="1">
      <c r="G22624" s="3336"/>
      <c r="P22624" s="3337"/>
    </row>
    <row r="22625" spans="7:16" s="1634" customFormat="1">
      <c r="G22625" s="3336"/>
      <c r="P22625" s="3337"/>
    </row>
    <row r="22626" spans="7:16" s="1634" customFormat="1">
      <c r="G22626" s="3336"/>
      <c r="P22626" s="3337"/>
    </row>
    <row r="22627" spans="7:16" s="1634" customFormat="1">
      <c r="G22627" s="3336"/>
      <c r="P22627" s="3337"/>
    </row>
    <row r="22628" spans="7:16" s="1634" customFormat="1">
      <c r="G22628" s="3336"/>
      <c r="P22628" s="3337"/>
    </row>
    <row r="22629" spans="7:16" s="1634" customFormat="1">
      <c r="G22629" s="3336"/>
      <c r="P22629" s="3337"/>
    </row>
    <row r="22630" spans="7:16" s="1634" customFormat="1">
      <c r="G22630" s="3336"/>
      <c r="P22630" s="3337"/>
    </row>
    <row r="22631" spans="7:16" s="1634" customFormat="1">
      <c r="G22631" s="3336"/>
      <c r="P22631" s="3337"/>
    </row>
    <row r="22632" spans="7:16" s="1634" customFormat="1">
      <c r="G22632" s="3336"/>
      <c r="P22632" s="3337"/>
    </row>
    <row r="22633" spans="7:16" s="1634" customFormat="1">
      <c r="G22633" s="3336"/>
      <c r="P22633" s="3337"/>
    </row>
    <row r="22634" spans="7:16" s="1634" customFormat="1">
      <c r="G22634" s="3336"/>
      <c r="P22634" s="3337"/>
    </row>
    <row r="22635" spans="7:16" s="1634" customFormat="1">
      <c r="G22635" s="3336"/>
      <c r="P22635" s="3337"/>
    </row>
    <row r="22636" spans="7:16" s="1634" customFormat="1">
      <c r="G22636" s="3336"/>
      <c r="P22636" s="3337"/>
    </row>
    <row r="22637" spans="7:16" s="1634" customFormat="1">
      <c r="G22637" s="3336"/>
      <c r="P22637" s="3337"/>
    </row>
    <row r="22638" spans="7:16" s="1634" customFormat="1">
      <c r="G22638" s="3336"/>
      <c r="P22638" s="3337"/>
    </row>
    <row r="22639" spans="7:16" s="1634" customFormat="1">
      <c r="G22639" s="3336"/>
      <c r="P22639" s="3337"/>
    </row>
    <row r="22640" spans="7:16" s="1634" customFormat="1">
      <c r="G22640" s="3336"/>
      <c r="P22640" s="3337"/>
    </row>
    <row r="22641" spans="7:16" s="1634" customFormat="1">
      <c r="G22641" s="3336"/>
      <c r="P22641" s="3337"/>
    </row>
    <row r="22642" spans="7:16" s="1634" customFormat="1">
      <c r="G22642" s="3336"/>
      <c r="P22642" s="3337"/>
    </row>
    <row r="22643" spans="7:16" s="1634" customFormat="1">
      <c r="G22643" s="3336"/>
      <c r="P22643" s="3337"/>
    </row>
    <row r="22644" spans="7:16" s="1634" customFormat="1">
      <c r="G22644" s="3336"/>
      <c r="P22644" s="3337"/>
    </row>
    <row r="22645" spans="7:16" s="1634" customFormat="1">
      <c r="G22645" s="3336"/>
      <c r="P22645" s="3337"/>
    </row>
    <row r="22646" spans="7:16" s="1634" customFormat="1">
      <c r="G22646" s="3336"/>
      <c r="P22646" s="3337"/>
    </row>
    <row r="22647" spans="7:16" s="1634" customFormat="1">
      <c r="G22647" s="3336"/>
      <c r="P22647" s="3337"/>
    </row>
    <row r="22648" spans="7:16" s="1634" customFormat="1">
      <c r="G22648" s="3336"/>
      <c r="P22648" s="3337"/>
    </row>
    <row r="22649" spans="7:16" s="1634" customFormat="1">
      <c r="G22649" s="3336"/>
      <c r="P22649" s="3337"/>
    </row>
    <row r="22650" spans="7:16" s="1634" customFormat="1">
      <c r="G22650" s="3336"/>
      <c r="P22650" s="3337"/>
    </row>
    <row r="22651" spans="7:16" s="1634" customFormat="1">
      <c r="G22651" s="3336"/>
      <c r="P22651" s="3337"/>
    </row>
    <row r="22652" spans="7:16" s="1634" customFormat="1">
      <c r="G22652" s="3336"/>
      <c r="P22652" s="3337"/>
    </row>
    <row r="22653" spans="7:16" s="1634" customFormat="1">
      <c r="G22653" s="3336"/>
      <c r="P22653" s="3337"/>
    </row>
    <row r="22654" spans="7:16" s="1634" customFormat="1">
      <c r="G22654" s="3336"/>
      <c r="P22654" s="3337"/>
    </row>
    <row r="22655" spans="7:16" s="1634" customFormat="1">
      <c r="G22655" s="3336"/>
      <c r="P22655" s="3337"/>
    </row>
    <row r="22656" spans="7:16" s="1634" customFormat="1">
      <c r="G22656" s="3336"/>
      <c r="P22656" s="3337"/>
    </row>
    <row r="22657" spans="7:16" s="1634" customFormat="1">
      <c r="G22657" s="3336"/>
      <c r="P22657" s="3337"/>
    </row>
    <row r="22658" spans="7:16" s="1634" customFormat="1">
      <c r="G22658" s="3336"/>
      <c r="P22658" s="3337"/>
    </row>
    <row r="22659" spans="7:16" s="1634" customFormat="1">
      <c r="G22659" s="3336"/>
      <c r="P22659" s="3337"/>
    </row>
    <row r="22660" spans="7:16" s="1634" customFormat="1">
      <c r="G22660" s="3336"/>
      <c r="P22660" s="3337"/>
    </row>
    <row r="22661" spans="7:16" s="1634" customFormat="1">
      <c r="G22661" s="3336"/>
      <c r="P22661" s="3337"/>
    </row>
    <row r="22662" spans="7:16" s="1634" customFormat="1">
      <c r="G22662" s="3336"/>
      <c r="P22662" s="3337"/>
    </row>
    <row r="22663" spans="7:16" s="1634" customFormat="1">
      <c r="G22663" s="3336"/>
      <c r="P22663" s="3337"/>
    </row>
    <row r="22664" spans="7:16" s="1634" customFormat="1">
      <c r="G22664" s="3336"/>
      <c r="P22664" s="3337"/>
    </row>
    <row r="22665" spans="7:16" s="1634" customFormat="1">
      <c r="G22665" s="3336"/>
      <c r="P22665" s="3337"/>
    </row>
    <row r="22666" spans="7:16" s="1634" customFormat="1">
      <c r="G22666" s="3336"/>
      <c r="P22666" s="3337"/>
    </row>
    <row r="22667" spans="7:16" s="1634" customFormat="1">
      <c r="G22667" s="3336"/>
      <c r="P22667" s="3337"/>
    </row>
    <row r="22668" spans="7:16" s="1634" customFormat="1">
      <c r="G22668" s="3336"/>
      <c r="P22668" s="3337"/>
    </row>
    <row r="22669" spans="7:16" s="1634" customFormat="1">
      <c r="G22669" s="3336"/>
      <c r="P22669" s="3337"/>
    </row>
    <row r="22670" spans="7:16" s="1634" customFormat="1">
      <c r="G22670" s="3336"/>
      <c r="P22670" s="3337"/>
    </row>
    <row r="22671" spans="7:16" s="1634" customFormat="1">
      <c r="G22671" s="3336"/>
      <c r="P22671" s="3337"/>
    </row>
    <row r="22672" spans="7:16" s="1634" customFormat="1">
      <c r="G22672" s="3336"/>
      <c r="P22672" s="3337"/>
    </row>
    <row r="22673" spans="7:16" s="1634" customFormat="1">
      <c r="G22673" s="3336"/>
      <c r="P22673" s="3337"/>
    </row>
    <row r="22674" spans="7:16" s="1634" customFormat="1">
      <c r="G22674" s="3336"/>
      <c r="P22674" s="3337"/>
    </row>
    <row r="22675" spans="7:16" s="1634" customFormat="1">
      <c r="G22675" s="3336"/>
      <c r="P22675" s="3337"/>
    </row>
    <row r="22676" spans="7:16" s="1634" customFormat="1">
      <c r="G22676" s="3336"/>
      <c r="P22676" s="3337"/>
    </row>
    <row r="22677" spans="7:16" s="1634" customFormat="1">
      <c r="G22677" s="3336"/>
      <c r="P22677" s="3337"/>
    </row>
    <row r="22678" spans="7:16" s="1634" customFormat="1">
      <c r="G22678" s="3336"/>
      <c r="P22678" s="3337"/>
    </row>
    <row r="22679" spans="7:16" s="1634" customFormat="1">
      <c r="G22679" s="3336"/>
      <c r="P22679" s="3337"/>
    </row>
    <row r="22680" spans="7:16" s="1634" customFormat="1">
      <c r="G22680" s="3336"/>
      <c r="P22680" s="3337"/>
    </row>
    <row r="22681" spans="7:16" s="1634" customFormat="1">
      <c r="G22681" s="3336"/>
      <c r="P22681" s="3337"/>
    </row>
    <row r="22682" spans="7:16" s="1634" customFormat="1">
      <c r="G22682" s="3336"/>
      <c r="P22682" s="3337"/>
    </row>
    <row r="22683" spans="7:16" s="1634" customFormat="1">
      <c r="G22683" s="3336"/>
      <c r="P22683" s="3337"/>
    </row>
    <row r="22684" spans="7:16" s="1634" customFormat="1">
      <c r="G22684" s="3336"/>
      <c r="P22684" s="3337"/>
    </row>
    <row r="22685" spans="7:16" s="1634" customFormat="1">
      <c r="G22685" s="3336"/>
      <c r="P22685" s="3337"/>
    </row>
    <row r="22686" spans="7:16" s="1634" customFormat="1">
      <c r="G22686" s="3336"/>
      <c r="P22686" s="3337"/>
    </row>
    <row r="22687" spans="7:16" s="1634" customFormat="1">
      <c r="G22687" s="3336"/>
      <c r="P22687" s="3337"/>
    </row>
    <row r="22688" spans="7:16" s="1634" customFormat="1">
      <c r="G22688" s="3336"/>
      <c r="P22688" s="3337"/>
    </row>
    <row r="22689" spans="7:16" s="1634" customFormat="1">
      <c r="G22689" s="3336"/>
      <c r="P22689" s="3337"/>
    </row>
    <row r="22690" spans="7:16" s="1634" customFormat="1">
      <c r="G22690" s="3336"/>
      <c r="P22690" s="3337"/>
    </row>
    <row r="22691" spans="7:16" s="1634" customFormat="1">
      <c r="G22691" s="3336"/>
      <c r="P22691" s="3337"/>
    </row>
    <row r="22692" spans="7:16" s="1634" customFormat="1">
      <c r="G22692" s="3336"/>
      <c r="P22692" s="3337"/>
    </row>
    <row r="22693" spans="7:16" s="1634" customFormat="1">
      <c r="G22693" s="3336"/>
      <c r="P22693" s="3337"/>
    </row>
    <row r="22694" spans="7:16" s="1634" customFormat="1">
      <c r="G22694" s="3336"/>
      <c r="P22694" s="3337"/>
    </row>
    <row r="22695" spans="7:16" s="1634" customFormat="1">
      <c r="G22695" s="3336"/>
      <c r="P22695" s="3337"/>
    </row>
    <row r="22696" spans="7:16" s="1634" customFormat="1">
      <c r="G22696" s="3336"/>
      <c r="P22696" s="3337"/>
    </row>
    <row r="22697" spans="7:16" s="1634" customFormat="1">
      <c r="G22697" s="3336"/>
      <c r="P22697" s="3337"/>
    </row>
    <row r="22698" spans="7:16" s="1634" customFormat="1">
      <c r="G22698" s="3336"/>
      <c r="P22698" s="3337"/>
    </row>
    <row r="22699" spans="7:16" s="1634" customFormat="1">
      <c r="G22699" s="3336"/>
      <c r="P22699" s="3337"/>
    </row>
    <row r="22700" spans="7:16" s="1634" customFormat="1">
      <c r="G22700" s="3336"/>
      <c r="P22700" s="3337"/>
    </row>
    <row r="22701" spans="7:16" s="1634" customFormat="1">
      <c r="G22701" s="3336"/>
      <c r="P22701" s="3337"/>
    </row>
    <row r="22702" spans="7:16" s="1634" customFormat="1">
      <c r="G22702" s="3336"/>
      <c r="P22702" s="3337"/>
    </row>
    <row r="22703" spans="7:16" s="1634" customFormat="1">
      <c r="G22703" s="3336"/>
      <c r="P22703" s="3337"/>
    </row>
    <row r="22704" spans="7:16" s="1634" customFormat="1">
      <c r="G22704" s="3336"/>
      <c r="P22704" s="3337"/>
    </row>
    <row r="22705" spans="7:16" s="1634" customFormat="1">
      <c r="G22705" s="3336"/>
      <c r="P22705" s="3337"/>
    </row>
    <row r="22706" spans="7:16" s="1634" customFormat="1">
      <c r="G22706" s="3336"/>
      <c r="P22706" s="3337"/>
    </row>
    <row r="22707" spans="7:16" s="1634" customFormat="1">
      <c r="G22707" s="3336"/>
      <c r="P22707" s="3337"/>
    </row>
    <row r="22708" spans="7:16" s="1634" customFormat="1">
      <c r="G22708" s="3336"/>
      <c r="P22708" s="3337"/>
    </row>
    <row r="22709" spans="7:16" s="1634" customFormat="1">
      <c r="G22709" s="3336"/>
      <c r="P22709" s="3337"/>
    </row>
    <row r="22710" spans="7:16" s="1634" customFormat="1">
      <c r="G22710" s="3336"/>
      <c r="P22710" s="3337"/>
    </row>
    <row r="22711" spans="7:16" s="1634" customFormat="1">
      <c r="G22711" s="3336"/>
      <c r="P22711" s="3337"/>
    </row>
    <row r="22712" spans="7:16" s="1634" customFormat="1">
      <c r="G22712" s="3336"/>
      <c r="P22712" s="3337"/>
    </row>
    <row r="22713" spans="7:16" s="1634" customFormat="1">
      <c r="G22713" s="3336"/>
      <c r="P22713" s="3337"/>
    </row>
    <row r="22714" spans="7:16" s="1634" customFormat="1">
      <c r="G22714" s="3336"/>
      <c r="P22714" s="3337"/>
    </row>
    <row r="22715" spans="7:16" s="1634" customFormat="1">
      <c r="G22715" s="3336"/>
      <c r="P22715" s="3337"/>
    </row>
    <row r="22716" spans="7:16" s="1634" customFormat="1">
      <c r="G22716" s="3336"/>
      <c r="P22716" s="3337"/>
    </row>
    <row r="22717" spans="7:16" s="1634" customFormat="1">
      <c r="G22717" s="3336"/>
      <c r="P22717" s="3337"/>
    </row>
    <row r="22718" spans="7:16" s="1634" customFormat="1">
      <c r="G22718" s="3336"/>
      <c r="P22718" s="3337"/>
    </row>
    <row r="22719" spans="7:16" s="1634" customFormat="1">
      <c r="G22719" s="3336"/>
      <c r="P22719" s="3337"/>
    </row>
    <row r="22720" spans="7:16" s="1634" customFormat="1">
      <c r="G22720" s="3336"/>
      <c r="P22720" s="3337"/>
    </row>
    <row r="22721" spans="7:16" s="1634" customFormat="1">
      <c r="G22721" s="3336"/>
      <c r="P22721" s="3337"/>
    </row>
    <row r="22722" spans="7:16" s="1634" customFormat="1">
      <c r="G22722" s="3336"/>
      <c r="P22722" s="3337"/>
    </row>
    <row r="22723" spans="7:16" s="1634" customFormat="1">
      <c r="G22723" s="3336"/>
      <c r="P22723" s="3337"/>
    </row>
    <row r="22724" spans="7:16" s="1634" customFormat="1">
      <c r="G22724" s="3336"/>
      <c r="P22724" s="3337"/>
    </row>
    <row r="22725" spans="7:16" s="1634" customFormat="1">
      <c r="G22725" s="3336"/>
      <c r="P22725" s="3337"/>
    </row>
    <row r="22726" spans="7:16" s="1634" customFormat="1">
      <c r="G22726" s="3336"/>
      <c r="P22726" s="3337"/>
    </row>
    <row r="22727" spans="7:16" s="1634" customFormat="1">
      <c r="G22727" s="3336"/>
      <c r="P22727" s="3337"/>
    </row>
    <row r="22728" spans="7:16" s="1634" customFormat="1">
      <c r="G22728" s="3336"/>
      <c r="P22728" s="3337"/>
    </row>
    <row r="22729" spans="7:16" s="1634" customFormat="1">
      <c r="G22729" s="3336"/>
      <c r="P22729" s="3337"/>
    </row>
    <row r="22730" spans="7:16" s="1634" customFormat="1">
      <c r="G22730" s="3336"/>
      <c r="P22730" s="3337"/>
    </row>
    <row r="22731" spans="7:16" s="1634" customFormat="1">
      <c r="G22731" s="3336"/>
      <c r="P22731" s="3337"/>
    </row>
    <row r="22732" spans="7:16" s="1634" customFormat="1">
      <c r="G22732" s="3336"/>
      <c r="P22732" s="3337"/>
    </row>
    <row r="22733" spans="7:16" s="1634" customFormat="1">
      <c r="G22733" s="3336"/>
      <c r="P22733" s="3337"/>
    </row>
    <row r="22734" spans="7:16" s="1634" customFormat="1">
      <c r="G22734" s="3336"/>
      <c r="P22734" s="3337"/>
    </row>
    <row r="22735" spans="7:16" s="1634" customFormat="1">
      <c r="G22735" s="3336"/>
      <c r="P22735" s="3337"/>
    </row>
    <row r="22736" spans="7:16" s="1634" customFormat="1">
      <c r="G22736" s="3336"/>
      <c r="P22736" s="3337"/>
    </row>
    <row r="22737" spans="7:16" s="1634" customFormat="1">
      <c r="G22737" s="3336"/>
      <c r="P22737" s="3337"/>
    </row>
    <row r="22738" spans="7:16" s="1634" customFormat="1">
      <c r="G22738" s="3336"/>
      <c r="P22738" s="3337"/>
    </row>
    <row r="22739" spans="7:16" s="1634" customFormat="1">
      <c r="G22739" s="3336"/>
      <c r="P22739" s="3337"/>
    </row>
    <row r="22740" spans="7:16" s="1634" customFormat="1">
      <c r="G22740" s="3336"/>
      <c r="P22740" s="3337"/>
    </row>
    <row r="22741" spans="7:16" s="1634" customFormat="1">
      <c r="G22741" s="3336"/>
      <c r="P22741" s="3337"/>
    </row>
    <row r="22742" spans="7:16" s="1634" customFormat="1">
      <c r="G22742" s="3336"/>
      <c r="P22742" s="3337"/>
    </row>
    <row r="22743" spans="7:16" s="1634" customFormat="1">
      <c r="G22743" s="3336"/>
      <c r="P22743" s="3337"/>
    </row>
    <row r="22744" spans="7:16" s="1634" customFormat="1">
      <c r="G22744" s="3336"/>
      <c r="P22744" s="3337"/>
    </row>
    <row r="22745" spans="7:16" s="1634" customFormat="1">
      <c r="G22745" s="3336"/>
      <c r="P22745" s="3337"/>
    </row>
    <row r="22746" spans="7:16" s="1634" customFormat="1">
      <c r="G22746" s="3336"/>
      <c r="P22746" s="3337"/>
    </row>
    <row r="22747" spans="7:16" s="1634" customFormat="1">
      <c r="G22747" s="3336"/>
      <c r="P22747" s="3337"/>
    </row>
    <row r="22748" spans="7:16" s="1634" customFormat="1">
      <c r="G22748" s="3336"/>
      <c r="P22748" s="3337"/>
    </row>
    <row r="22749" spans="7:16" s="1634" customFormat="1">
      <c r="G22749" s="3336"/>
      <c r="P22749" s="3337"/>
    </row>
    <row r="22750" spans="7:16" s="1634" customFormat="1">
      <c r="G22750" s="3336"/>
      <c r="P22750" s="3337"/>
    </row>
    <row r="22751" spans="7:16" s="1634" customFormat="1">
      <c r="G22751" s="3336"/>
      <c r="P22751" s="3337"/>
    </row>
    <row r="22752" spans="7:16" s="1634" customFormat="1">
      <c r="G22752" s="3336"/>
      <c r="P22752" s="3337"/>
    </row>
    <row r="22753" spans="7:16" s="1634" customFormat="1">
      <c r="G22753" s="3336"/>
      <c r="P22753" s="3337"/>
    </row>
    <row r="22754" spans="7:16" s="1634" customFormat="1">
      <c r="G22754" s="3336"/>
      <c r="P22754" s="3337"/>
    </row>
    <row r="22755" spans="7:16" s="1634" customFormat="1">
      <c r="G22755" s="3336"/>
      <c r="P22755" s="3337"/>
    </row>
    <row r="22756" spans="7:16" s="1634" customFormat="1">
      <c r="G22756" s="3336"/>
      <c r="P22756" s="3337"/>
    </row>
    <row r="22757" spans="7:16" s="1634" customFormat="1">
      <c r="G22757" s="3336"/>
      <c r="P22757" s="3337"/>
    </row>
    <row r="22758" spans="7:16" s="1634" customFormat="1">
      <c r="G22758" s="3336"/>
      <c r="P22758" s="3337"/>
    </row>
    <row r="22759" spans="7:16" s="1634" customFormat="1">
      <c r="G22759" s="3336"/>
      <c r="P22759" s="3337"/>
    </row>
    <row r="22760" spans="7:16" s="1634" customFormat="1">
      <c r="G22760" s="3336"/>
      <c r="P22760" s="3337"/>
    </row>
    <row r="22761" spans="7:16" s="1634" customFormat="1">
      <c r="G22761" s="3336"/>
      <c r="P22761" s="3337"/>
    </row>
    <row r="22762" spans="7:16" s="1634" customFormat="1">
      <c r="G22762" s="3336"/>
      <c r="P22762" s="3337"/>
    </row>
    <row r="22763" spans="7:16" s="1634" customFormat="1">
      <c r="G22763" s="3336"/>
      <c r="P22763" s="3337"/>
    </row>
    <row r="22764" spans="7:16" s="1634" customFormat="1">
      <c r="G22764" s="3336"/>
      <c r="P22764" s="3337"/>
    </row>
    <row r="22765" spans="7:16" s="1634" customFormat="1">
      <c r="G22765" s="3336"/>
      <c r="P22765" s="3337"/>
    </row>
    <row r="22766" spans="7:16" s="1634" customFormat="1">
      <c r="G22766" s="3336"/>
      <c r="P22766" s="3337"/>
    </row>
    <row r="22767" spans="7:16" s="1634" customFormat="1">
      <c r="G22767" s="3336"/>
      <c r="P22767" s="3337"/>
    </row>
    <row r="22768" spans="7:16" s="1634" customFormat="1">
      <c r="G22768" s="3336"/>
      <c r="P22768" s="3337"/>
    </row>
    <row r="22769" spans="7:16" s="1634" customFormat="1">
      <c r="G22769" s="3336"/>
      <c r="P22769" s="3337"/>
    </row>
    <row r="22770" spans="7:16" s="1634" customFormat="1">
      <c r="G22770" s="3336"/>
      <c r="P22770" s="3337"/>
    </row>
    <row r="22771" spans="7:16" s="1634" customFormat="1">
      <c r="G22771" s="3336"/>
      <c r="P22771" s="3337"/>
    </row>
    <row r="22772" spans="7:16" s="1634" customFormat="1">
      <c r="G22772" s="3336"/>
      <c r="P22772" s="3337"/>
    </row>
    <row r="22773" spans="7:16" s="1634" customFormat="1">
      <c r="G22773" s="3336"/>
      <c r="P22773" s="3337"/>
    </row>
    <row r="22774" spans="7:16" s="1634" customFormat="1">
      <c r="G22774" s="3336"/>
      <c r="P22774" s="3337"/>
    </row>
    <row r="22775" spans="7:16" s="1634" customFormat="1">
      <c r="G22775" s="3336"/>
      <c r="P22775" s="3337"/>
    </row>
    <row r="22776" spans="7:16" s="1634" customFormat="1">
      <c r="G22776" s="3336"/>
      <c r="P22776" s="3337"/>
    </row>
    <row r="22777" spans="7:16" s="1634" customFormat="1">
      <c r="G22777" s="3336"/>
      <c r="P22777" s="3337"/>
    </row>
    <row r="22778" spans="7:16" s="1634" customFormat="1">
      <c r="G22778" s="3336"/>
      <c r="P22778" s="3337"/>
    </row>
    <row r="22779" spans="7:16" s="1634" customFormat="1">
      <c r="G22779" s="3336"/>
      <c r="P22779" s="3337"/>
    </row>
    <row r="22780" spans="7:16" s="1634" customFormat="1">
      <c r="G22780" s="3336"/>
      <c r="P22780" s="3337"/>
    </row>
    <row r="22781" spans="7:16" s="1634" customFormat="1">
      <c r="G22781" s="3336"/>
      <c r="P22781" s="3337"/>
    </row>
    <row r="22782" spans="7:16" s="1634" customFormat="1">
      <c r="G22782" s="3336"/>
      <c r="P22782" s="3337"/>
    </row>
    <row r="22783" spans="7:16" s="1634" customFormat="1">
      <c r="G22783" s="3336"/>
      <c r="P22783" s="3337"/>
    </row>
    <row r="22784" spans="7:16" s="1634" customFormat="1">
      <c r="G22784" s="3336"/>
      <c r="P22784" s="3337"/>
    </row>
    <row r="22785" spans="7:16" s="1634" customFormat="1">
      <c r="G22785" s="3336"/>
      <c r="P22785" s="3337"/>
    </row>
    <row r="22786" spans="7:16" s="1634" customFormat="1">
      <c r="G22786" s="3336"/>
      <c r="P22786" s="3337"/>
    </row>
    <row r="22787" spans="7:16" s="1634" customFormat="1">
      <c r="G22787" s="3336"/>
      <c r="P22787" s="3337"/>
    </row>
    <row r="22788" spans="7:16" s="1634" customFormat="1">
      <c r="G22788" s="3336"/>
      <c r="P22788" s="3337"/>
    </row>
    <row r="22789" spans="7:16" s="1634" customFormat="1">
      <c r="G22789" s="3336"/>
      <c r="P22789" s="3337"/>
    </row>
    <row r="22790" spans="7:16" s="1634" customFormat="1">
      <c r="G22790" s="3336"/>
      <c r="P22790" s="3337"/>
    </row>
    <row r="22791" spans="7:16" s="1634" customFormat="1">
      <c r="G22791" s="3336"/>
      <c r="P22791" s="3337"/>
    </row>
    <row r="22792" spans="7:16" s="1634" customFormat="1">
      <c r="G22792" s="3336"/>
      <c r="P22792" s="3337"/>
    </row>
    <row r="22793" spans="7:16" s="1634" customFormat="1">
      <c r="G22793" s="3336"/>
      <c r="P22793" s="3337"/>
    </row>
    <row r="22794" spans="7:16" s="1634" customFormat="1">
      <c r="G22794" s="3336"/>
      <c r="P22794" s="3337"/>
    </row>
    <row r="22795" spans="7:16" s="1634" customFormat="1">
      <c r="G22795" s="3336"/>
      <c r="P22795" s="3337"/>
    </row>
    <row r="22796" spans="7:16" s="1634" customFormat="1">
      <c r="G22796" s="3336"/>
      <c r="P22796" s="3337"/>
    </row>
    <row r="22797" spans="7:16" s="1634" customFormat="1">
      <c r="G22797" s="3336"/>
      <c r="P22797" s="3337"/>
    </row>
    <row r="22798" spans="7:16" s="1634" customFormat="1">
      <c r="G22798" s="3336"/>
      <c r="P22798" s="3337"/>
    </row>
    <row r="22799" spans="7:16" s="1634" customFormat="1">
      <c r="G22799" s="3336"/>
      <c r="P22799" s="3337"/>
    </row>
    <row r="22800" spans="7:16" s="1634" customFormat="1">
      <c r="G22800" s="3336"/>
      <c r="P22800" s="3337"/>
    </row>
    <row r="22801" spans="7:16" s="1634" customFormat="1">
      <c r="G22801" s="3336"/>
      <c r="P22801" s="3337"/>
    </row>
    <row r="22802" spans="7:16" s="1634" customFormat="1">
      <c r="G22802" s="3336"/>
      <c r="P22802" s="3337"/>
    </row>
    <row r="22803" spans="7:16" s="1634" customFormat="1">
      <c r="G22803" s="3336"/>
      <c r="P22803" s="3337"/>
    </row>
    <row r="22804" spans="7:16" s="1634" customFormat="1">
      <c r="G22804" s="3336"/>
      <c r="P22804" s="3337"/>
    </row>
    <row r="22805" spans="7:16" s="1634" customFormat="1">
      <c r="G22805" s="3336"/>
      <c r="P22805" s="3337"/>
    </row>
    <row r="22806" spans="7:16" s="1634" customFormat="1">
      <c r="G22806" s="3336"/>
      <c r="P22806" s="3337"/>
    </row>
    <row r="22807" spans="7:16" s="1634" customFormat="1">
      <c r="G22807" s="3336"/>
      <c r="P22807" s="3337"/>
    </row>
    <row r="22808" spans="7:16" s="1634" customFormat="1">
      <c r="G22808" s="3336"/>
      <c r="P22808" s="3337"/>
    </row>
    <row r="22809" spans="7:16" s="1634" customFormat="1">
      <c r="G22809" s="3336"/>
      <c r="P22809" s="3337"/>
    </row>
    <row r="22810" spans="7:16" s="1634" customFormat="1">
      <c r="G22810" s="3336"/>
      <c r="P22810" s="3337"/>
    </row>
    <row r="22811" spans="7:16" s="1634" customFormat="1">
      <c r="G22811" s="3336"/>
      <c r="P22811" s="3337"/>
    </row>
    <row r="22812" spans="7:16" s="1634" customFormat="1">
      <c r="G22812" s="3336"/>
      <c r="P22812" s="3337"/>
    </row>
    <row r="22813" spans="7:16" s="1634" customFormat="1">
      <c r="G22813" s="3336"/>
      <c r="P22813" s="3337"/>
    </row>
    <row r="22814" spans="7:16" s="1634" customFormat="1">
      <c r="G22814" s="3336"/>
      <c r="P22814" s="3337"/>
    </row>
    <row r="22815" spans="7:16" s="1634" customFormat="1">
      <c r="G22815" s="3336"/>
      <c r="P22815" s="3337"/>
    </row>
    <row r="22816" spans="7:16" s="1634" customFormat="1">
      <c r="G22816" s="3336"/>
      <c r="P22816" s="3337"/>
    </row>
    <row r="22817" spans="7:16" s="1634" customFormat="1">
      <c r="G22817" s="3336"/>
      <c r="P22817" s="3337"/>
    </row>
    <row r="22818" spans="7:16" s="1634" customFormat="1">
      <c r="G22818" s="3336"/>
      <c r="P22818" s="3337"/>
    </row>
    <row r="22819" spans="7:16" s="1634" customFormat="1">
      <c r="G22819" s="3336"/>
      <c r="P22819" s="3337"/>
    </row>
    <row r="22820" spans="7:16" s="1634" customFormat="1">
      <c r="G22820" s="3336"/>
      <c r="P22820" s="3337"/>
    </row>
    <row r="22821" spans="7:16" s="1634" customFormat="1">
      <c r="G22821" s="3336"/>
      <c r="P22821" s="3337"/>
    </row>
    <row r="22822" spans="7:16" s="1634" customFormat="1">
      <c r="G22822" s="3336"/>
      <c r="P22822" s="3337"/>
    </row>
    <row r="22823" spans="7:16" s="1634" customFormat="1">
      <c r="G22823" s="3336"/>
      <c r="P22823" s="3337"/>
    </row>
    <row r="22824" spans="7:16" s="1634" customFormat="1">
      <c r="G22824" s="3336"/>
      <c r="P22824" s="3337"/>
    </row>
    <row r="22825" spans="7:16" s="1634" customFormat="1">
      <c r="G22825" s="3336"/>
      <c r="P22825" s="3337"/>
    </row>
    <row r="22826" spans="7:16" s="1634" customFormat="1">
      <c r="G22826" s="3336"/>
      <c r="P22826" s="3337"/>
    </row>
    <row r="22827" spans="7:16" s="1634" customFormat="1">
      <c r="G22827" s="3336"/>
      <c r="P22827" s="3337"/>
    </row>
    <row r="22828" spans="7:16" s="1634" customFormat="1">
      <c r="G22828" s="3336"/>
      <c r="P22828" s="3337"/>
    </row>
    <row r="22829" spans="7:16" s="1634" customFormat="1">
      <c r="G22829" s="3336"/>
      <c r="P22829" s="3337"/>
    </row>
    <row r="22830" spans="7:16" s="1634" customFormat="1">
      <c r="G22830" s="3336"/>
      <c r="P22830" s="3337"/>
    </row>
    <row r="22831" spans="7:16" s="1634" customFormat="1">
      <c r="G22831" s="3336"/>
      <c r="P22831" s="3337"/>
    </row>
    <row r="22832" spans="7:16" s="1634" customFormat="1">
      <c r="G22832" s="3336"/>
      <c r="P22832" s="3337"/>
    </row>
    <row r="22833" spans="7:16" s="1634" customFormat="1">
      <c r="G22833" s="3336"/>
      <c r="P22833" s="3337"/>
    </row>
    <row r="22834" spans="7:16" s="1634" customFormat="1">
      <c r="G22834" s="3336"/>
      <c r="P22834" s="3337"/>
    </row>
    <row r="22835" spans="7:16" s="1634" customFormat="1">
      <c r="G22835" s="3336"/>
      <c r="P22835" s="3337"/>
    </row>
    <row r="22836" spans="7:16" s="1634" customFormat="1">
      <c r="G22836" s="3336"/>
      <c r="P22836" s="3337"/>
    </row>
    <row r="22837" spans="7:16" s="1634" customFormat="1">
      <c r="G22837" s="3336"/>
      <c r="P22837" s="3337"/>
    </row>
    <row r="22838" spans="7:16" s="1634" customFormat="1">
      <c r="G22838" s="3336"/>
      <c r="P22838" s="3337"/>
    </row>
    <row r="22839" spans="7:16" s="1634" customFormat="1">
      <c r="G22839" s="3336"/>
      <c r="P22839" s="3337"/>
    </row>
    <row r="22840" spans="7:16" s="1634" customFormat="1">
      <c r="G22840" s="3336"/>
      <c r="P22840" s="3337"/>
    </row>
    <row r="22841" spans="7:16" s="1634" customFormat="1">
      <c r="G22841" s="3336"/>
      <c r="P22841" s="3337"/>
    </row>
    <row r="22842" spans="7:16" s="1634" customFormat="1">
      <c r="G22842" s="3336"/>
      <c r="P22842" s="3337"/>
    </row>
    <row r="22843" spans="7:16" s="1634" customFormat="1">
      <c r="G22843" s="3336"/>
      <c r="P22843" s="3337"/>
    </row>
    <row r="22844" spans="7:16" s="1634" customFormat="1">
      <c r="G22844" s="3336"/>
      <c r="P22844" s="3337"/>
    </row>
    <row r="22845" spans="7:16" s="1634" customFormat="1">
      <c r="G22845" s="3336"/>
      <c r="P22845" s="3337"/>
    </row>
    <row r="22846" spans="7:16" s="1634" customFormat="1">
      <c r="G22846" s="3336"/>
      <c r="P22846" s="3337"/>
    </row>
    <row r="22847" spans="7:16" s="1634" customFormat="1">
      <c r="G22847" s="3336"/>
      <c r="P22847" s="3337"/>
    </row>
    <row r="22848" spans="7:16" s="1634" customFormat="1">
      <c r="G22848" s="3336"/>
      <c r="P22848" s="3337"/>
    </row>
    <row r="22849" spans="7:16" s="1634" customFormat="1">
      <c r="G22849" s="3336"/>
      <c r="P22849" s="3337"/>
    </row>
    <row r="22850" spans="7:16" s="1634" customFormat="1">
      <c r="G22850" s="3336"/>
      <c r="P22850" s="3337"/>
    </row>
    <row r="22851" spans="7:16" s="1634" customFormat="1">
      <c r="G22851" s="3336"/>
      <c r="P22851" s="3337"/>
    </row>
    <row r="22852" spans="7:16" s="1634" customFormat="1">
      <c r="G22852" s="3336"/>
      <c r="P22852" s="3337"/>
    </row>
    <row r="22853" spans="7:16" s="1634" customFormat="1">
      <c r="G22853" s="3336"/>
      <c r="P22853" s="3337"/>
    </row>
    <row r="22854" spans="7:16" s="1634" customFormat="1">
      <c r="G22854" s="3336"/>
      <c r="P22854" s="3337"/>
    </row>
    <row r="22855" spans="7:16" s="1634" customFormat="1">
      <c r="G22855" s="3336"/>
      <c r="P22855" s="3337"/>
    </row>
    <row r="22856" spans="7:16" s="1634" customFormat="1">
      <c r="G22856" s="3336"/>
      <c r="P22856" s="3337"/>
    </row>
    <row r="22857" spans="7:16" s="1634" customFormat="1">
      <c r="G22857" s="3336"/>
      <c r="P22857" s="3337"/>
    </row>
    <row r="22858" spans="7:16" s="1634" customFormat="1">
      <c r="G22858" s="3336"/>
      <c r="P22858" s="3337"/>
    </row>
    <row r="22859" spans="7:16" s="1634" customFormat="1">
      <c r="G22859" s="3336"/>
      <c r="P22859" s="3337"/>
    </row>
    <row r="22860" spans="7:16" s="1634" customFormat="1">
      <c r="G22860" s="3336"/>
      <c r="P22860" s="3337"/>
    </row>
    <row r="22861" spans="7:16" s="1634" customFormat="1">
      <c r="G22861" s="3336"/>
      <c r="P22861" s="3337"/>
    </row>
    <row r="22862" spans="7:16" s="1634" customFormat="1">
      <c r="G22862" s="3336"/>
      <c r="P22862" s="3337"/>
    </row>
    <row r="22863" spans="7:16" s="1634" customFormat="1">
      <c r="G22863" s="3336"/>
      <c r="P22863" s="3337"/>
    </row>
    <row r="22864" spans="7:16" s="1634" customFormat="1">
      <c r="G22864" s="3336"/>
      <c r="P22864" s="3337"/>
    </row>
    <row r="22865" spans="7:16" s="1634" customFormat="1">
      <c r="G22865" s="3336"/>
      <c r="P22865" s="3337"/>
    </row>
    <row r="22866" spans="7:16" s="1634" customFormat="1">
      <c r="G22866" s="3336"/>
      <c r="P22866" s="3337"/>
    </row>
    <row r="22867" spans="7:16" s="1634" customFormat="1">
      <c r="G22867" s="3336"/>
      <c r="P22867" s="3337"/>
    </row>
    <row r="22868" spans="7:16" s="1634" customFormat="1">
      <c r="G22868" s="3336"/>
      <c r="P22868" s="3337"/>
    </row>
    <row r="22869" spans="7:16" s="1634" customFormat="1">
      <c r="G22869" s="3336"/>
      <c r="P22869" s="3337"/>
    </row>
    <row r="22870" spans="7:16" s="1634" customFormat="1">
      <c r="G22870" s="3336"/>
      <c r="P22870" s="3337"/>
    </row>
    <row r="22871" spans="7:16" s="1634" customFormat="1">
      <c r="G22871" s="3336"/>
      <c r="P22871" s="3337"/>
    </row>
    <row r="22872" spans="7:16" s="1634" customFormat="1">
      <c r="G22872" s="3336"/>
      <c r="P22872" s="3337"/>
    </row>
    <row r="22873" spans="7:16" s="1634" customFormat="1">
      <c r="G22873" s="3336"/>
      <c r="P22873" s="3337"/>
    </row>
    <row r="22874" spans="7:16" s="1634" customFormat="1">
      <c r="G22874" s="3336"/>
      <c r="P22874" s="3337"/>
    </row>
    <row r="22875" spans="7:16" s="1634" customFormat="1">
      <c r="G22875" s="3336"/>
      <c r="P22875" s="3337"/>
    </row>
    <row r="22876" spans="7:16" s="1634" customFormat="1">
      <c r="G22876" s="3336"/>
      <c r="P22876" s="3337"/>
    </row>
    <row r="22877" spans="7:16" s="1634" customFormat="1">
      <c r="G22877" s="3336"/>
      <c r="P22877" s="3337"/>
    </row>
    <row r="22878" spans="7:16" s="1634" customFormat="1">
      <c r="G22878" s="3336"/>
      <c r="P22878" s="3337"/>
    </row>
    <row r="22879" spans="7:16" s="1634" customFormat="1">
      <c r="G22879" s="3336"/>
      <c r="P22879" s="3337"/>
    </row>
    <row r="22880" spans="7:16" s="1634" customFormat="1">
      <c r="G22880" s="3336"/>
      <c r="P22880" s="3337"/>
    </row>
    <row r="22881" spans="7:16" s="1634" customFormat="1">
      <c r="G22881" s="3336"/>
      <c r="P22881" s="3337"/>
    </row>
    <row r="22882" spans="7:16" s="1634" customFormat="1">
      <c r="G22882" s="3336"/>
      <c r="P22882" s="3337"/>
    </row>
    <row r="22883" spans="7:16" s="1634" customFormat="1">
      <c r="G22883" s="3336"/>
      <c r="P22883" s="3337"/>
    </row>
    <row r="22884" spans="7:16" s="1634" customFormat="1">
      <c r="G22884" s="3336"/>
      <c r="P22884" s="3337"/>
    </row>
    <row r="22885" spans="7:16" s="1634" customFormat="1">
      <c r="G22885" s="3336"/>
      <c r="P22885" s="3337"/>
    </row>
    <row r="22886" spans="7:16" s="1634" customFormat="1">
      <c r="G22886" s="3336"/>
      <c r="P22886" s="3337"/>
    </row>
    <row r="22887" spans="7:16" s="1634" customFormat="1">
      <c r="G22887" s="3336"/>
      <c r="P22887" s="3337"/>
    </row>
    <row r="22888" spans="7:16" s="1634" customFormat="1">
      <c r="G22888" s="3336"/>
      <c r="P22888" s="3337"/>
    </row>
    <row r="22889" spans="7:16" s="1634" customFormat="1">
      <c r="G22889" s="3336"/>
      <c r="P22889" s="3337"/>
    </row>
    <row r="22890" spans="7:16" s="1634" customFormat="1">
      <c r="G22890" s="3336"/>
      <c r="P22890" s="3337"/>
    </row>
    <row r="22891" spans="7:16" s="1634" customFormat="1">
      <c r="G22891" s="3336"/>
      <c r="P22891" s="3337"/>
    </row>
    <row r="22892" spans="7:16" s="1634" customFormat="1">
      <c r="G22892" s="3336"/>
      <c r="P22892" s="3337"/>
    </row>
    <row r="22893" spans="7:16" s="1634" customFormat="1">
      <c r="G22893" s="3336"/>
      <c r="P22893" s="3337"/>
    </row>
    <row r="22894" spans="7:16" s="1634" customFormat="1">
      <c r="G22894" s="3336"/>
      <c r="P22894" s="3337"/>
    </row>
    <row r="22895" spans="7:16" s="1634" customFormat="1">
      <c r="G22895" s="3336"/>
      <c r="P22895" s="3337"/>
    </row>
    <row r="22896" spans="7:16" s="1634" customFormat="1">
      <c r="G22896" s="3336"/>
      <c r="P22896" s="3337"/>
    </row>
    <row r="22897" spans="7:16" s="1634" customFormat="1">
      <c r="G22897" s="3336"/>
      <c r="P22897" s="3337"/>
    </row>
    <row r="22898" spans="7:16" s="1634" customFormat="1">
      <c r="G22898" s="3336"/>
      <c r="P22898" s="3337"/>
    </row>
    <row r="22899" spans="7:16" s="1634" customFormat="1">
      <c r="G22899" s="3336"/>
      <c r="P22899" s="3337"/>
    </row>
    <row r="22900" spans="7:16" s="1634" customFormat="1">
      <c r="G22900" s="3336"/>
      <c r="P22900" s="3337"/>
    </row>
    <row r="22901" spans="7:16" s="1634" customFormat="1">
      <c r="G22901" s="3336"/>
      <c r="P22901" s="3337"/>
    </row>
    <row r="22902" spans="7:16" s="1634" customFormat="1">
      <c r="G22902" s="3336"/>
      <c r="P22902" s="3337"/>
    </row>
    <row r="22903" spans="7:16" s="1634" customFormat="1">
      <c r="G22903" s="3336"/>
      <c r="P22903" s="3337"/>
    </row>
    <row r="22904" spans="7:16" s="1634" customFormat="1">
      <c r="G22904" s="3336"/>
      <c r="P22904" s="3337"/>
    </row>
    <row r="22905" spans="7:16" s="1634" customFormat="1">
      <c r="G22905" s="3336"/>
      <c r="P22905" s="3337"/>
    </row>
    <row r="22906" spans="7:16" s="1634" customFormat="1">
      <c r="G22906" s="3336"/>
      <c r="P22906" s="3337"/>
    </row>
    <row r="22907" spans="7:16" s="1634" customFormat="1">
      <c r="G22907" s="3336"/>
      <c r="P22907" s="3337"/>
    </row>
    <row r="22908" spans="7:16" s="1634" customFormat="1">
      <c r="G22908" s="3336"/>
      <c r="P22908" s="3337"/>
    </row>
    <row r="22909" spans="7:16" s="1634" customFormat="1">
      <c r="G22909" s="3336"/>
      <c r="P22909" s="3337"/>
    </row>
    <row r="22910" spans="7:16" s="1634" customFormat="1">
      <c r="G22910" s="3336"/>
      <c r="P22910" s="3337"/>
    </row>
    <row r="22911" spans="7:16" s="1634" customFormat="1">
      <c r="G22911" s="3336"/>
      <c r="P22911" s="3337"/>
    </row>
    <row r="22912" spans="7:16" s="1634" customFormat="1">
      <c r="G22912" s="3336"/>
      <c r="P22912" s="3337"/>
    </row>
    <row r="22913" spans="7:16" s="1634" customFormat="1">
      <c r="G22913" s="3336"/>
      <c r="P22913" s="3337"/>
    </row>
    <row r="22914" spans="7:16" s="1634" customFormat="1">
      <c r="G22914" s="3336"/>
      <c r="P22914" s="3337"/>
    </row>
    <row r="22915" spans="7:16" s="1634" customFormat="1">
      <c r="G22915" s="3336"/>
      <c r="P22915" s="3337"/>
    </row>
    <row r="22916" spans="7:16" s="1634" customFormat="1">
      <c r="G22916" s="3336"/>
      <c r="P22916" s="3337"/>
    </row>
    <row r="22917" spans="7:16" s="1634" customFormat="1">
      <c r="G22917" s="3336"/>
      <c r="P22917" s="3337"/>
    </row>
    <row r="22918" spans="7:16" s="1634" customFormat="1">
      <c r="G22918" s="3336"/>
      <c r="P22918" s="3337"/>
    </row>
    <row r="22919" spans="7:16" s="1634" customFormat="1">
      <c r="G22919" s="3336"/>
      <c r="P22919" s="3337"/>
    </row>
    <row r="22920" spans="7:16" s="1634" customFormat="1">
      <c r="G22920" s="3336"/>
      <c r="P22920" s="3337"/>
    </row>
    <row r="22921" spans="7:16" s="1634" customFormat="1">
      <c r="G22921" s="3336"/>
      <c r="P22921" s="3337"/>
    </row>
    <row r="22922" spans="7:16" s="1634" customFormat="1">
      <c r="G22922" s="3336"/>
      <c r="P22922" s="3337"/>
    </row>
    <row r="22923" spans="7:16" s="1634" customFormat="1">
      <c r="G22923" s="3336"/>
      <c r="P22923" s="3337"/>
    </row>
    <row r="22924" spans="7:16" s="1634" customFormat="1">
      <c r="G22924" s="3336"/>
      <c r="P22924" s="3337"/>
    </row>
    <row r="22925" spans="7:16" s="1634" customFormat="1">
      <c r="G22925" s="3336"/>
      <c r="P22925" s="3337"/>
    </row>
    <row r="22926" spans="7:16" s="1634" customFormat="1">
      <c r="G22926" s="3336"/>
      <c r="P22926" s="3337"/>
    </row>
    <row r="22927" spans="7:16" s="1634" customFormat="1">
      <c r="G22927" s="3336"/>
      <c r="P22927" s="3337"/>
    </row>
    <row r="22928" spans="7:16" s="1634" customFormat="1">
      <c r="G22928" s="3336"/>
      <c r="P22928" s="3337"/>
    </row>
    <row r="22929" spans="7:16" s="1634" customFormat="1">
      <c r="G22929" s="3336"/>
      <c r="P22929" s="3337"/>
    </row>
    <row r="22930" spans="7:16" s="1634" customFormat="1">
      <c r="G22930" s="3336"/>
      <c r="P22930" s="3337"/>
    </row>
    <row r="22931" spans="7:16" s="1634" customFormat="1">
      <c r="G22931" s="3336"/>
      <c r="P22931" s="3337"/>
    </row>
    <row r="22932" spans="7:16" s="1634" customFormat="1">
      <c r="G22932" s="3336"/>
      <c r="P22932" s="3337"/>
    </row>
    <row r="22933" spans="7:16" s="1634" customFormat="1">
      <c r="G22933" s="3336"/>
      <c r="P22933" s="3337"/>
    </row>
    <row r="22934" spans="7:16" s="1634" customFormat="1">
      <c r="G22934" s="3336"/>
      <c r="P22934" s="3337"/>
    </row>
    <row r="22935" spans="7:16" s="1634" customFormat="1">
      <c r="G22935" s="3336"/>
      <c r="P22935" s="3337"/>
    </row>
    <row r="22936" spans="7:16" s="1634" customFormat="1">
      <c r="G22936" s="3336"/>
      <c r="P22936" s="3337"/>
    </row>
    <row r="22937" spans="7:16" s="1634" customFormat="1">
      <c r="G22937" s="3336"/>
      <c r="P22937" s="3337"/>
    </row>
    <row r="22938" spans="7:16" s="1634" customFormat="1">
      <c r="G22938" s="3336"/>
      <c r="P22938" s="3337"/>
    </row>
    <row r="22939" spans="7:16" s="1634" customFormat="1">
      <c r="G22939" s="3336"/>
      <c r="P22939" s="3337"/>
    </row>
    <row r="22940" spans="7:16" s="1634" customFormat="1">
      <c r="G22940" s="3336"/>
      <c r="P22940" s="3337"/>
    </row>
    <row r="22941" spans="7:16" s="1634" customFormat="1">
      <c r="G22941" s="3336"/>
      <c r="P22941" s="3337"/>
    </row>
    <row r="22942" spans="7:16" s="1634" customFormat="1">
      <c r="G22942" s="3336"/>
      <c r="P22942" s="3337"/>
    </row>
    <row r="22943" spans="7:16" s="1634" customFormat="1">
      <c r="G22943" s="3336"/>
      <c r="P22943" s="3337"/>
    </row>
    <row r="22944" spans="7:16" s="1634" customFormat="1">
      <c r="G22944" s="3336"/>
      <c r="P22944" s="3337"/>
    </row>
    <row r="22945" spans="7:16" s="1634" customFormat="1">
      <c r="G22945" s="3336"/>
      <c r="P22945" s="3337"/>
    </row>
    <row r="22946" spans="7:16" s="1634" customFormat="1">
      <c r="G22946" s="3336"/>
      <c r="P22946" s="3337"/>
    </row>
    <row r="22947" spans="7:16" s="1634" customFormat="1">
      <c r="G22947" s="3336"/>
      <c r="P22947" s="3337"/>
    </row>
    <row r="22948" spans="7:16" s="1634" customFormat="1">
      <c r="G22948" s="3336"/>
      <c r="P22948" s="3337"/>
    </row>
    <row r="22949" spans="7:16" s="1634" customFormat="1">
      <c r="G22949" s="3336"/>
      <c r="P22949" s="3337"/>
    </row>
    <row r="22950" spans="7:16" s="1634" customFormat="1">
      <c r="G22950" s="3336"/>
      <c r="P22950" s="3337"/>
    </row>
    <row r="22951" spans="7:16" s="1634" customFormat="1">
      <c r="G22951" s="3336"/>
      <c r="P22951" s="3337"/>
    </row>
    <row r="22952" spans="7:16" s="1634" customFormat="1">
      <c r="G22952" s="3336"/>
      <c r="P22952" s="3337"/>
    </row>
    <row r="22953" spans="7:16" s="1634" customFormat="1">
      <c r="G22953" s="3336"/>
      <c r="P22953" s="3337"/>
    </row>
    <row r="22954" spans="7:16" s="1634" customFormat="1">
      <c r="G22954" s="3336"/>
      <c r="P22954" s="3337"/>
    </row>
    <row r="22955" spans="7:16" s="1634" customFormat="1">
      <c r="G22955" s="3336"/>
      <c r="P22955" s="3337"/>
    </row>
    <row r="22956" spans="7:16" s="1634" customFormat="1">
      <c r="G22956" s="3336"/>
      <c r="P22956" s="3337"/>
    </row>
    <row r="22957" spans="7:16" s="1634" customFormat="1">
      <c r="G22957" s="3336"/>
      <c r="P22957" s="3337"/>
    </row>
    <row r="22958" spans="7:16" s="1634" customFormat="1">
      <c r="G22958" s="3336"/>
      <c r="P22958" s="3337"/>
    </row>
    <row r="22959" spans="7:16" s="1634" customFormat="1">
      <c r="G22959" s="3336"/>
      <c r="P22959" s="3337"/>
    </row>
    <row r="22960" spans="7:16" s="1634" customFormat="1">
      <c r="G22960" s="3336"/>
      <c r="P22960" s="3337"/>
    </row>
    <row r="22961" spans="7:16" s="1634" customFormat="1">
      <c r="G22961" s="3336"/>
      <c r="P22961" s="3337"/>
    </row>
    <row r="22962" spans="7:16" s="1634" customFormat="1">
      <c r="G22962" s="3336"/>
      <c r="P22962" s="3337"/>
    </row>
    <row r="22963" spans="7:16" s="1634" customFormat="1">
      <c r="G22963" s="3336"/>
      <c r="P22963" s="3337"/>
    </row>
    <row r="22964" spans="7:16" s="1634" customFormat="1">
      <c r="G22964" s="3336"/>
      <c r="P22964" s="3337"/>
    </row>
    <row r="22965" spans="7:16" s="1634" customFormat="1">
      <c r="G22965" s="3336"/>
      <c r="P22965" s="3337"/>
    </row>
    <row r="22966" spans="7:16" s="1634" customFormat="1">
      <c r="G22966" s="3336"/>
      <c r="P22966" s="3337"/>
    </row>
    <row r="22967" spans="7:16" s="1634" customFormat="1">
      <c r="G22967" s="3336"/>
      <c r="P22967" s="3337"/>
    </row>
    <row r="22968" spans="7:16" s="1634" customFormat="1">
      <c r="G22968" s="3336"/>
      <c r="P22968" s="3337"/>
    </row>
    <row r="22969" spans="7:16" s="1634" customFormat="1">
      <c r="G22969" s="3336"/>
      <c r="P22969" s="3337"/>
    </row>
    <row r="22970" spans="7:16" s="1634" customFormat="1">
      <c r="G22970" s="3336"/>
      <c r="P22970" s="3337"/>
    </row>
    <row r="22971" spans="7:16" s="1634" customFormat="1">
      <c r="G22971" s="3336"/>
      <c r="P22971" s="3337"/>
    </row>
    <row r="22972" spans="7:16" s="1634" customFormat="1">
      <c r="G22972" s="3336"/>
      <c r="P22972" s="3337"/>
    </row>
    <row r="22973" spans="7:16" s="1634" customFormat="1">
      <c r="G22973" s="3336"/>
      <c r="P22973" s="3337"/>
    </row>
    <row r="22974" spans="7:16" s="1634" customFormat="1">
      <c r="G22974" s="3336"/>
      <c r="P22974" s="3337"/>
    </row>
    <row r="22975" spans="7:16" s="1634" customFormat="1">
      <c r="G22975" s="3336"/>
      <c r="P22975" s="3337"/>
    </row>
    <row r="22976" spans="7:16" s="1634" customFormat="1">
      <c r="G22976" s="3336"/>
      <c r="P22976" s="3337"/>
    </row>
    <row r="22977" spans="7:16" s="1634" customFormat="1">
      <c r="G22977" s="3336"/>
      <c r="P22977" s="3337"/>
    </row>
    <row r="22978" spans="7:16" s="1634" customFormat="1">
      <c r="G22978" s="3336"/>
      <c r="P22978" s="3337"/>
    </row>
    <row r="22979" spans="7:16" s="1634" customFormat="1">
      <c r="G22979" s="3336"/>
      <c r="P22979" s="3337"/>
    </row>
    <row r="22980" spans="7:16" s="1634" customFormat="1">
      <c r="G22980" s="3336"/>
      <c r="P22980" s="3337"/>
    </row>
    <row r="22981" spans="7:16" s="1634" customFormat="1">
      <c r="G22981" s="3336"/>
      <c r="P22981" s="3337"/>
    </row>
    <row r="22982" spans="7:16" s="1634" customFormat="1">
      <c r="G22982" s="3336"/>
      <c r="P22982" s="3337"/>
    </row>
    <row r="22983" spans="7:16" s="1634" customFormat="1">
      <c r="G22983" s="3336"/>
      <c r="P22983" s="3337"/>
    </row>
    <row r="22984" spans="7:16" s="1634" customFormat="1">
      <c r="G22984" s="3336"/>
      <c r="P22984" s="3337"/>
    </row>
    <row r="22985" spans="7:16" s="1634" customFormat="1">
      <c r="G22985" s="3336"/>
      <c r="P22985" s="3337"/>
    </row>
    <row r="22986" spans="7:16" s="1634" customFormat="1">
      <c r="G22986" s="3336"/>
      <c r="P22986" s="3337"/>
    </row>
    <row r="22987" spans="7:16" s="1634" customFormat="1">
      <c r="G22987" s="3336"/>
      <c r="P22987" s="3337"/>
    </row>
    <row r="22988" spans="7:16" s="1634" customFormat="1">
      <c r="G22988" s="3336"/>
      <c r="P22988" s="3337"/>
    </row>
    <row r="22989" spans="7:16" s="1634" customFormat="1">
      <c r="G22989" s="3336"/>
      <c r="P22989" s="3337"/>
    </row>
    <row r="22990" spans="7:16" s="1634" customFormat="1">
      <c r="G22990" s="3336"/>
      <c r="P22990" s="3337"/>
    </row>
    <row r="22991" spans="7:16" s="1634" customFormat="1">
      <c r="G22991" s="3336"/>
      <c r="P22991" s="3337"/>
    </row>
    <row r="22992" spans="7:16" s="1634" customFormat="1">
      <c r="G22992" s="3336"/>
      <c r="P22992" s="3337"/>
    </row>
    <row r="22993" spans="7:16" s="1634" customFormat="1">
      <c r="G22993" s="3336"/>
      <c r="P22993" s="3337"/>
    </row>
    <row r="22994" spans="7:16" s="1634" customFormat="1">
      <c r="G22994" s="3336"/>
      <c r="P22994" s="3337"/>
    </row>
    <row r="22995" spans="7:16" s="1634" customFormat="1">
      <c r="G22995" s="3336"/>
      <c r="P22995" s="3337"/>
    </row>
    <row r="22996" spans="7:16" s="1634" customFormat="1">
      <c r="G22996" s="3336"/>
      <c r="P22996" s="3337"/>
    </row>
    <row r="22997" spans="7:16" s="1634" customFormat="1">
      <c r="G22997" s="3336"/>
      <c r="P22997" s="3337"/>
    </row>
    <row r="22998" spans="7:16" s="1634" customFormat="1">
      <c r="G22998" s="3336"/>
      <c r="P22998" s="3337"/>
    </row>
    <row r="22999" spans="7:16" s="1634" customFormat="1">
      <c r="G22999" s="3336"/>
      <c r="P22999" s="3337"/>
    </row>
    <row r="23000" spans="7:16" s="1634" customFormat="1">
      <c r="G23000" s="3336"/>
      <c r="P23000" s="3337"/>
    </row>
    <row r="23001" spans="7:16" s="1634" customFormat="1">
      <c r="G23001" s="3336"/>
      <c r="P23001" s="3337"/>
    </row>
    <row r="23002" spans="7:16" s="1634" customFormat="1">
      <c r="G23002" s="3336"/>
      <c r="P23002" s="3337"/>
    </row>
    <row r="23003" spans="7:16" s="1634" customFormat="1">
      <c r="G23003" s="3336"/>
      <c r="P23003" s="3337"/>
    </row>
    <row r="23004" spans="7:16" s="1634" customFormat="1">
      <c r="G23004" s="3336"/>
      <c r="P23004" s="3337"/>
    </row>
    <row r="23005" spans="7:16" s="1634" customFormat="1">
      <c r="G23005" s="3336"/>
      <c r="P23005" s="3337"/>
    </row>
    <row r="23006" spans="7:16" s="1634" customFormat="1">
      <c r="G23006" s="3336"/>
      <c r="P23006" s="3337"/>
    </row>
    <row r="23007" spans="7:16" s="1634" customFormat="1">
      <c r="G23007" s="3336"/>
      <c r="P23007" s="3337"/>
    </row>
    <row r="23008" spans="7:16" s="1634" customFormat="1">
      <c r="G23008" s="3336"/>
      <c r="P23008" s="3337"/>
    </row>
    <row r="23009" spans="7:16" s="1634" customFormat="1">
      <c r="G23009" s="3336"/>
      <c r="P23009" s="3337"/>
    </row>
    <row r="23010" spans="7:16" s="1634" customFormat="1">
      <c r="G23010" s="3336"/>
      <c r="P23010" s="3337"/>
    </row>
    <row r="23011" spans="7:16" s="1634" customFormat="1">
      <c r="G23011" s="3336"/>
      <c r="P23011" s="3337"/>
    </row>
    <row r="23012" spans="7:16" s="1634" customFormat="1">
      <c r="G23012" s="3336"/>
      <c r="P23012" s="3337"/>
    </row>
    <row r="23013" spans="7:16" s="1634" customFormat="1">
      <c r="G23013" s="3336"/>
      <c r="P23013" s="3337"/>
    </row>
    <row r="23014" spans="7:16" s="1634" customFormat="1">
      <c r="G23014" s="3336"/>
      <c r="P23014" s="3337"/>
    </row>
    <row r="23015" spans="7:16" s="1634" customFormat="1">
      <c r="G23015" s="3336"/>
      <c r="P23015" s="3337"/>
    </row>
    <row r="23016" spans="7:16" s="1634" customFormat="1">
      <c r="G23016" s="3336"/>
      <c r="P23016" s="3337"/>
    </row>
    <row r="23017" spans="7:16" s="1634" customFormat="1">
      <c r="G23017" s="3336"/>
      <c r="P23017" s="3337"/>
    </row>
    <row r="23018" spans="7:16" s="1634" customFormat="1">
      <c r="G23018" s="3336"/>
      <c r="P23018" s="3337"/>
    </row>
    <row r="23019" spans="7:16" s="1634" customFormat="1">
      <c r="G23019" s="3336"/>
      <c r="P23019" s="3337"/>
    </row>
    <row r="23020" spans="7:16" s="1634" customFormat="1">
      <c r="G23020" s="3336"/>
      <c r="P23020" s="3337"/>
    </row>
    <row r="23021" spans="7:16" s="1634" customFormat="1">
      <c r="G23021" s="3336"/>
      <c r="P23021" s="3337"/>
    </row>
    <row r="23022" spans="7:16" s="1634" customFormat="1">
      <c r="G23022" s="3336"/>
      <c r="P23022" s="3337"/>
    </row>
    <row r="23023" spans="7:16" s="1634" customFormat="1">
      <c r="G23023" s="3336"/>
      <c r="P23023" s="3337"/>
    </row>
    <row r="23024" spans="7:16" s="1634" customFormat="1">
      <c r="G23024" s="3336"/>
      <c r="P23024" s="3337"/>
    </row>
    <row r="23025" spans="7:16" s="1634" customFormat="1">
      <c r="G23025" s="3336"/>
      <c r="P23025" s="3337"/>
    </row>
    <row r="23026" spans="7:16" s="1634" customFormat="1">
      <c r="G23026" s="3336"/>
      <c r="P23026" s="3337"/>
    </row>
    <row r="23027" spans="7:16" s="1634" customFormat="1">
      <c r="G23027" s="3336"/>
      <c r="P23027" s="3337"/>
    </row>
    <row r="23028" spans="7:16" s="1634" customFormat="1">
      <c r="G23028" s="3336"/>
      <c r="P23028" s="3337"/>
    </row>
    <row r="23029" spans="7:16" s="1634" customFormat="1">
      <c r="G23029" s="3336"/>
      <c r="P23029" s="3337"/>
    </row>
    <row r="23030" spans="7:16" s="1634" customFormat="1">
      <c r="G23030" s="3336"/>
      <c r="P23030" s="3337"/>
    </row>
    <row r="23031" spans="7:16" s="1634" customFormat="1">
      <c r="G23031" s="3336"/>
      <c r="P23031" s="3337"/>
    </row>
    <row r="23032" spans="7:16" s="1634" customFormat="1">
      <c r="G23032" s="3336"/>
      <c r="P23032" s="3337"/>
    </row>
    <row r="23033" spans="7:16" s="1634" customFormat="1">
      <c r="G23033" s="3336"/>
      <c r="P23033" s="3337"/>
    </row>
    <row r="23034" spans="7:16" s="1634" customFormat="1">
      <c r="G23034" s="3336"/>
      <c r="P23034" s="3337"/>
    </row>
    <row r="23035" spans="7:16" s="1634" customFormat="1">
      <c r="G23035" s="3336"/>
      <c r="P23035" s="3337"/>
    </row>
    <row r="23036" spans="7:16" s="1634" customFormat="1">
      <c r="G23036" s="3336"/>
      <c r="P23036" s="3337"/>
    </row>
    <row r="23037" spans="7:16" s="1634" customFormat="1">
      <c r="G23037" s="3336"/>
      <c r="P23037" s="3337"/>
    </row>
    <row r="23038" spans="7:16" s="1634" customFormat="1">
      <c r="G23038" s="3336"/>
      <c r="P23038" s="3337"/>
    </row>
    <row r="23039" spans="7:16" s="1634" customFormat="1">
      <c r="G23039" s="3336"/>
      <c r="P23039" s="3337"/>
    </row>
    <row r="23040" spans="7:16" s="1634" customFormat="1">
      <c r="G23040" s="3336"/>
      <c r="P23040" s="3337"/>
    </row>
    <row r="23041" spans="7:16" s="1634" customFormat="1">
      <c r="G23041" s="3336"/>
      <c r="P23041" s="3337"/>
    </row>
    <row r="23042" spans="7:16" s="1634" customFormat="1">
      <c r="G23042" s="3336"/>
      <c r="P23042" s="3337"/>
    </row>
    <row r="23043" spans="7:16" s="1634" customFormat="1">
      <c r="G23043" s="3336"/>
      <c r="P23043" s="3337"/>
    </row>
    <row r="23044" spans="7:16" s="1634" customFormat="1">
      <c r="G23044" s="3336"/>
      <c r="P23044" s="3337"/>
    </row>
    <row r="23045" spans="7:16" s="1634" customFormat="1">
      <c r="G23045" s="3336"/>
      <c r="P23045" s="3337"/>
    </row>
    <row r="23046" spans="7:16" s="1634" customFormat="1">
      <c r="G23046" s="3336"/>
      <c r="P23046" s="3337"/>
    </row>
    <row r="23047" spans="7:16" s="1634" customFormat="1">
      <c r="G23047" s="3336"/>
      <c r="P23047" s="3337"/>
    </row>
    <row r="23048" spans="7:16" s="1634" customFormat="1">
      <c r="G23048" s="3336"/>
      <c r="P23048" s="3337"/>
    </row>
    <row r="23049" spans="7:16" s="1634" customFormat="1">
      <c r="G23049" s="3336"/>
      <c r="P23049" s="3337"/>
    </row>
    <row r="23050" spans="7:16" s="1634" customFormat="1">
      <c r="G23050" s="3336"/>
      <c r="P23050" s="3337"/>
    </row>
    <row r="23051" spans="7:16" s="1634" customFormat="1">
      <c r="G23051" s="3336"/>
      <c r="P23051" s="3337"/>
    </row>
    <row r="23052" spans="7:16" s="1634" customFormat="1">
      <c r="G23052" s="3336"/>
      <c r="P23052" s="3337"/>
    </row>
    <row r="23053" spans="7:16" s="1634" customFormat="1">
      <c r="G23053" s="3336"/>
      <c r="P23053" s="3337"/>
    </row>
    <row r="23054" spans="7:16" s="1634" customFormat="1">
      <c r="G23054" s="3336"/>
      <c r="P23054" s="3337"/>
    </row>
    <row r="23055" spans="7:16" s="1634" customFormat="1">
      <c r="G23055" s="3336"/>
      <c r="P23055" s="3337"/>
    </row>
    <row r="23056" spans="7:16" s="1634" customFormat="1">
      <c r="G23056" s="3336"/>
      <c r="P23056" s="3337"/>
    </row>
    <row r="23057" spans="7:16" s="1634" customFormat="1">
      <c r="G23057" s="3336"/>
      <c r="P23057" s="3337"/>
    </row>
    <row r="23058" spans="7:16" s="1634" customFormat="1">
      <c r="G23058" s="3336"/>
      <c r="P23058" s="3337"/>
    </row>
    <row r="23059" spans="7:16" s="1634" customFormat="1">
      <c r="G23059" s="3336"/>
      <c r="P23059" s="3337"/>
    </row>
    <row r="23060" spans="7:16" s="1634" customFormat="1">
      <c r="G23060" s="3336"/>
      <c r="P23060" s="3337"/>
    </row>
    <row r="23061" spans="7:16" s="1634" customFormat="1">
      <c r="G23061" s="3336"/>
      <c r="P23061" s="3337"/>
    </row>
    <row r="23062" spans="7:16" s="1634" customFormat="1">
      <c r="G23062" s="3336"/>
      <c r="P23062" s="3337"/>
    </row>
    <row r="23063" spans="7:16" s="1634" customFormat="1">
      <c r="G23063" s="3336"/>
      <c r="P23063" s="3337"/>
    </row>
    <row r="23064" spans="7:16" s="1634" customFormat="1">
      <c r="G23064" s="3336"/>
      <c r="P23064" s="3337"/>
    </row>
    <row r="23065" spans="7:16" s="1634" customFormat="1">
      <c r="G23065" s="3336"/>
      <c r="P23065" s="3337"/>
    </row>
    <row r="23066" spans="7:16" s="1634" customFormat="1">
      <c r="G23066" s="3336"/>
      <c r="P23066" s="3337"/>
    </row>
    <row r="23067" spans="7:16" s="1634" customFormat="1">
      <c r="G23067" s="3336"/>
      <c r="P23067" s="3337"/>
    </row>
    <row r="23068" spans="7:16" s="1634" customFormat="1">
      <c r="G23068" s="3336"/>
      <c r="P23068" s="3337"/>
    </row>
    <row r="23069" spans="7:16" s="1634" customFormat="1">
      <c r="G23069" s="3336"/>
      <c r="P23069" s="3337"/>
    </row>
    <row r="23070" spans="7:16" s="1634" customFormat="1">
      <c r="G23070" s="3336"/>
      <c r="P23070" s="3337"/>
    </row>
    <row r="23071" spans="7:16" s="1634" customFormat="1">
      <c r="G23071" s="3336"/>
      <c r="P23071" s="3337"/>
    </row>
    <row r="23072" spans="7:16" s="1634" customFormat="1">
      <c r="G23072" s="3336"/>
      <c r="P23072" s="3337"/>
    </row>
    <row r="23073" spans="7:16" s="1634" customFormat="1">
      <c r="G23073" s="3336"/>
      <c r="P23073" s="3337"/>
    </row>
    <row r="23074" spans="7:16" s="1634" customFormat="1">
      <c r="G23074" s="3336"/>
      <c r="P23074" s="3337"/>
    </row>
    <row r="23075" spans="7:16" s="1634" customFormat="1">
      <c r="G23075" s="3336"/>
      <c r="P23075" s="3337"/>
    </row>
    <row r="23076" spans="7:16" s="1634" customFormat="1">
      <c r="G23076" s="3336"/>
      <c r="P23076" s="3337"/>
    </row>
    <row r="23077" spans="7:16" s="1634" customFormat="1">
      <c r="G23077" s="3336"/>
      <c r="P23077" s="3337"/>
    </row>
    <row r="23078" spans="7:16" s="1634" customFormat="1">
      <c r="G23078" s="3336"/>
      <c r="P23078" s="3337"/>
    </row>
    <row r="23079" spans="7:16" s="1634" customFormat="1">
      <c r="G23079" s="3336"/>
      <c r="P23079" s="3337"/>
    </row>
    <row r="23080" spans="7:16" s="1634" customFormat="1">
      <c r="G23080" s="3336"/>
      <c r="P23080" s="3337"/>
    </row>
    <row r="23081" spans="7:16" s="1634" customFormat="1">
      <c r="G23081" s="3336"/>
      <c r="P23081" s="3337"/>
    </row>
    <row r="23082" spans="7:16" s="1634" customFormat="1">
      <c r="G23082" s="3336"/>
      <c r="P23082" s="3337"/>
    </row>
    <row r="23083" spans="7:16" s="1634" customFormat="1">
      <c r="G23083" s="3336"/>
      <c r="P23083" s="3337"/>
    </row>
    <row r="23084" spans="7:16" s="1634" customFormat="1">
      <c r="G23084" s="3336"/>
      <c r="P23084" s="3337"/>
    </row>
    <row r="23085" spans="7:16" s="1634" customFormat="1">
      <c r="G23085" s="3336"/>
      <c r="P23085" s="3337"/>
    </row>
    <row r="23086" spans="7:16" s="1634" customFormat="1">
      <c r="G23086" s="3336"/>
      <c r="P23086" s="3337"/>
    </row>
    <row r="23087" spans="7:16" s="1634" customFormat="1">
      <c r="G23087" s="3336"/>
      <c r="P23087" s="3337"/>
    </row>
    <row r="23088" spans="7:16" s="1634" customFormat="1">
      <c r="G23088" s="3336"/>
      <c r="P23088" s="3337"/>
    </row>
    <row r="23089" spans="7:16" s="1634" customFormat="1">
      <c r="G23089" s="3336"/>
      <c r="P23089" s="3337"/>
    </row>
    <row r="23090" spans="7:16" s="1634" customFormat="1">
      <c r="G23090" s="3336"/>
      <c r="P23090" s="3337"/>
    </row>
    <row r="23091" spans="7:16" s="1634" customFormat="1">
      <c r="G23091" s="3336"/>
      <c r="P23091" s="3337"/>
    </row>
    <row r="23092" spans="7:16" s="1634" customFormat="1">
      <c r="G23092" s="3336"/>
      <c r="P23092" s="3337"/>
    </row>
    <row r="23093" spans="7:16" s="1634" customFormat="1">
      <c r="G23093" s="3336"/>
      <c r="P23093" s="3337"/>
    </row>
    <row r="23094" spans="7:16" s="1634" customFormat="1">
      <c r="G23094" s="3336"/>
      <c r="P23094" s="3337"/>
    </row>
    <row r="23095" spans="7:16" s="1634" customFormat="1">
      <c r="G23095" s="3336"/>
      <c r="P23095" s="3337"/>
    </row>
    <row r="23096" spans="7:16" s="1634" customFormat="1">
      <c r="G23096" s="3336"/>
      <c r="P23096" s="3337"/>
    </row>
    <row r="23097" spans="7:16" s="1634" customFormat="1">
      <c r="G23097" s="3336"/>
      <c r="P23097" s="3337"/>
    </row>
    <row r="23098" spans="7:16" s="1634" customFormat="1">
      <c r="G23098" s="3336"/>
      <c r="P23098" s="3337"/>
    </row>
    <row r="23099" spans="7:16" s="1634" customFormat="1">
      <c r="G23099" s="3336"/>
      <c r="P23099" s="3337"/>
    </row>
    <row r="23100" spans="7:16" s="1634" customFormat="1">
      <c r="G23100" s="3336"/>
      <c r="P23100" s="3337"/>
    </row>
    <row r="23101" spans="7:16" s="1634" customFormat="1">
      <c r="G23101" s="3336"/>
      <c r="P23101" s="3337"/>
    </row>
    <row r="23102" spans="7:16" s="1634" customFormat="1">
      <c r="G23102" s="3336"/>
      <c r="P23102" s="3337"/>
    </row>
    <row r="23103" spans="7:16" s="1634" customFormat="1">
      <c r="G23103" s="3336"/>
      <c r="P23103" s="3337"/>
    </row>
    <row r="23104" spans="7:16" s="1634" customFormat="1">
      <c r="G23104" s="3336"/>
      <c r="P23104" s="3337"/>
    </row>
    <row r="23105" spans="7:16" s="1634" customFormat="1">
      <c r="G23105" s="3336"/>
      <c r="P23105" s="3337"/>
    </row>
    <row r="23106" spans="7:16" s="1634" customFormat="1">
      <c r="G23106" s="3336"/>
      <c r="P23106" s="3337"/>
    </row>
    <row r="23107" spans="7:16" s="1634" customFormat="1">
      <c r="G23107" s="3336"/>
      <c r="P23107" s="3337"/>
    </row>
    <row r="23108" spans="7:16" s="1634" customFormat="1">
      <c r="G23108" s="3336"/>
      <c r="P23108" s="3337"/>
    </row>
    <row r="23109" spans="7:16" s="1634" customFormat="1">
      <c r="G23109" s="3336"/>
      <c r="P23109" s="3337"/>
    </row>
    <row r="23110" spans="7:16" s="1634" customFormat="1">
      <c r="G23110" s="3336"/>
      <c r="P23110" s="3337"/>
    </row>
    <row r="23111" spans="7:16" s="1634" customFormat="1">
      <c r="G23111" s="3336"/>
      <c r="P23111" s="3337"/>
    </row>
    <row r="23112" spans="7:16" s="1634" customFormat="1">
      <c r="G23112" s="3336"/>
      <c r="P23112" s="3337"/>
    </row>
    <row r="23113" spans="7:16" s="1634" customFormat="1">
      <c r="G23113" s="3336"/>
      <c r="P23113" s="3337"/>
    </row>
    <row r="23114" spans="7:16" s="1634" customFormat="1">
      <c r="G23114" s="3336"/>
      <c r="P23114" s="3337"/>
    </row>
    <row r="23115" spans="7:16" s="1634" customFormat="1">
      <c r="G23115" s="3336"/>
      <c r="P23115" s="3337"/>
    </row>
    <row r="23116" spans="7:16" s="1634" customFormat="1">
      <c r="G23116" s="3336"/>
      <c r="P23116" s="3337"/>
    </row>
    <row r="23117" spans="7:16" s="1634" customFormat="1">
      <c r="G23117" s="3336"/>
      <c r="P23117" s="3337"/>
    </row>
    <row r="23118" spans="7:16" s="1634" customFormat="1">
      <c r="G23118" s="3336"/>
      <c r="P23118" s="3337"/>
    </row>
    <row r="23119" spans="7:16" s="1634" customFormat="1">
      <c r="G23119" s="3336"/>
      <c r="P23119" s="3337"/>
    </row>
    <row r="23120" spans="7:16" s="1634" customFormat="1">
      <c r="G23120" s="3336"/>
      <c r="P23120" s="3337"/>
    </row>
    <row r="23121" spans="7:16" s="1634" customFormat="1">
      <c r="G23121" s="3336"/>
      <c r="P23121" s="3337"/>
    </row>
    <row r="23122" spans="7:16" s="1634" customFormat="1">
      <c r="G23122" s="3336"/>
      <c r="P23122" s="3337"/>
    </row>
    <row r="23123" spans="7:16" s="1634" customFormat="1">
      <c r="G23123" s="3336"/>
      <c r="P23123" s="3337"/>
    </row>
    <row r="23124" spans="7:16" s="1634" customFormat="1">
      <c r="G23124" s="3336"/>
      <c r="P23124" s="3337"/>
    </row>
    <row r="23125" spans="7:16" s="1634" customFormat="1">
      <c r="G23125" s="3336"/>
      <c r="P23125" s="3337"/>
    </row>
    <row r="23126" spans="7:16" s="1634" customFormat="1">
      <c r="G23126" s="3336"/>
      <c r="P23126" s="3337"/>
    </row>
    <row r="23127" spans="7:16" s="1634" customFormat="1">
      <c r="G23127" s="3336"/>
      <c r="P23127" s="3337"/>
    </row>
    <row r="23128" spans="7:16" s="1634" customFormat="1">
      <c r="G23128" s="3336"/>
      <c r="P23128" s="3337"/>
    </row>
    <row r="23129" spans="7:16" s="1634" customFormat="1">
      <c r="G23129" s="3336"/>
      <c r="P23129" s="3337"/>
    </row>
    <row r="23130" spans="7:16" s="1634" customFormat="1">
      <c r="G23130" s="3336"/>
      <c r="P23130" s="3337"/>
    </row>
    <row r="23131" spans="7:16" s="1634" customFormat="1">
      <c r="G23131" s="3336"/>
      <c r="P23131" s="3337"/>
    </row>
    <row r="23132" spans="7:16" s="1634" customFormat="1">
      <c r="G23132" s="3336"/>
      <c r="P23132" s="3337"/>
    </row>
    <row r="23133" spans="7:16" s="1634" customFormat="1">
      <c r="G23133" s="3336"/>
      <c r="P23133" s="3337"/>
    </row>
    <row r="23134" spans="7:16" s="1634" customFormat="1">
      <c r="G23134" s="3336"/>
      <c r="P23134" s="3337"/>
    </row>
    <row r="23135" spans="7:16" s="1634" customFormat="1">
      <c r="G23135" s="3336"/>
      <c r="P23135" s="3337"/>
    </row>
    <row r="23136" spans="7:16" s="1634" customFormat="1">
      <c r="G23136" s="3336"/>
      <c r="P23136" s="3337"/>
    </row>
    <row r="23137" spans="7:16" s="1634" customFormat="1">
      <c r="G23137" s="3336"/>
      <c r="P23137" s="3337"/>
    </row>
    <row r="23138" spans="7:16" s="1634" customFormat="1">
      <c r="G23138" s="3336"/>
      <c r="P23138" s="3337"/>
    </row>
    <row r="23139" spans="7:16" s="1634" customFormat="1">
      <c r="G23139" s="3336"/>
      <c r="P23139" s="3337"/>
    </row>
    <row r="23140" spans="7:16" s="1634" customFormat="1">
      <c r="G23140" s="3336"/>
      <c r="P23140" s="3337"/>
    </row>
    <row r="23141" spans="7:16" s="1634" customFormat="1">
      <c r="G23141" s="3336"/>
      <c r="P23141" s="3337"/>
    </row>
    <row r="23142" spans="7:16" s="1634" customFormat="1">
      <c r="G23142" s="3336"/>
      <c r="P23142" s="3337"/>
    </row>
    <row r="23143" spans="7:16" s="1634" customFormat="1">
      <c r="G23143" s="3336"/>
      <c r="P23143" s="3337"/>
    </row>
    <row r="23144" spans="7:16" s="1634" customFormat="1">
      <c r="G23144" s="3336"/>
      <c r="P23144" s="3337"/>
    </row>
    <row r="23145" spans="7:16" s="1634" customFormat="1">
      <c r="G23145" s="3336"/>
      <c r="P23145" s="3337"/>
    </row>
    <row r="23146" spans="7:16" s="1634" customFormat="1">
      <c r="G23146" s="3336"/>
      <c r="P23146" s="3337"/>
    </row>
    <row r="23147" spans="7:16" s="1634" customFormat="1">
      <c r="G23147" s="3336"/>
      <c r="P23147" s="3337"/>
    </row>
    <row r="23148" spans="7:16" s="1634" customFormat="1">
      <c r="G23148" s="3336"/>
      <c r="P23148" s="3337"/>
    </row>
    <row r="23149" spans="7:16" s="1634" customFormat="1">
      <c r="G23149" s="3336"/>
      <c r="P23149" s="3337"/>
    </row>
    <row r="23150" spans="7:16" s="1634" customFormat="1">
      <c r="G23150" s="3336"/>
      <c r="P23150" s="3337"/>
    </row>
    <row r="23151" spans="7:16" s="1634" customFormat="1">
      <c r="G23151" s="3336"/>
      <c r="P23151" s="3337"/>
    </row>
    <row r="23152" spans="7:16" s="1634" customFormat="1">
      <c r="G23152" s="3336"/>
      <c r="P23152" s="3337"/>
    </row>
    <row r="23153" spans="7:16" s="1634" customFormat="1">
      <c r="G23153" s="3336"/>
      <c r="P23153" s="3337"/>
    </row>
    <row r="23154" spans="7:16" s="1634" customFormat="1">
      <c r="G23154" s="3336"/>
      <c r="P23154" s="3337"/>
    </row>
    <row r="23155" spans="7:16" s="1634" customFormat="1">
      <c r="G23155" s="3336"/>
      <c r="P23155" s="3337"/>
    </row>
    <row r="23156" spans="7:16" s="1634" customFormat="1">
      <c r="G23156" s="3336"/>
      <c r="P23156" s="3337"/>
    </row>
    <row r="23157" spans="7:16" s="1634" customFormat="1">
      <c r="G23157" s="3336"/>
      <c r="P23157" s="3337"/>
    </row>
    <row r="23158" spans="7:16" s="1634" customFormat="1">
      <c r="G23158" s="3336"/>
      <c r="P23158" s="3337"/>
    </row>
    <row r="23159" spans="7:16" s="1634" customFormat="1">
      <c r="G23159" s="3336"/>
      <c r="P23159" s="3337"/>
    </row>
    <row r="23160" spans="7:16" s="1634" customFormat="1">
      <c r="G23160" s="3336"/>
      <c r="P23160" s="3337"/>
    </row>
    <row r="23161" spans="7:16" s="1634" customFormat="1">
      <c r="G23161" s="3336"/>
      <c r="P23161" s="3337"/>
    </row>
    <row r="23162" spans="7:16" s="1634" customFormat="1">
      <c r="G23162" s="3336"/>
      <c r="P23162" s="3337"/>
    </row>
    <row r="23163" spans="7:16" s="1634" customFormat="1">
      <c r="G23163" s="3336"/>
      <c r="P23163" s="3337"/>
    </row>
    <row r="23164" spans="7:16" s="1634" customFormat="1">
      <c r="G23164" s="3336"/>
      <c r="P23164" s="3337"/>
    </row>
    <row r="23165" spans="7:16" s="1634" customFormat="1">
      <c r="G23165" s="3336"/>
      <c r="P23165" s="3337"/>
    </row>
    <row r="23166" spans="7:16" s="1634" customFormat="1">
      <c r="G23166" s="3336"/>
      <c r="P23166" s="3337"/>
    </row>
    <row r="23167" spans="7:16" s="1634" customFormat="1">
      <c r="G23167" s="3336"/>
      <c r="P23167" s="3337"/>
    </row>
    <row r="23168" spans="7:16" s="1634" customFormat="1">
      <c r="G23168" s="3336"/>
      <c r="P23168" s="3337"/>
    </row>
    <row r="23169" spans="7:16" s="1634" customFormat="1">
      <c r="G23169" s="3336"/>
      <c r="P23169" s="3337"/>
    </row>
    <row r="23170" spans="7:16" s="1634" customFormat="1">
      <c r="G23170" s="3336"/>
      <c r="P23170" s="3337"/>
    </row>
    <row r="23171" spans="7:16" s="1634" customFormat="1">
      <c r="G23171" s="3336"/>
      <c r="P23171" s="3337"/>
    </row>
    <row r="23172" spans="7:16" s="1634" customFormat="1">
      <c r="G23172" s="3336"/>
      <c r="P23172" s="3337"/>
    </row>
    <row r="23173" spans="7:16" s="1634" customFormat="1">
      <c r="G23173" s="3336"/>
      <c r="P23173" s="3337"/>
    </row>
    <row r="23174" spans="7:16" s="1634" customFormat="1">
      <c r="G23174" s="3336"/>
      <c r="P23174" s="3337"/>
    </row>
    <row r="23175" spans="7:16" s="1634" customFormat="1">
      <c r="G23175" s="3336"/>
      <c r="P23175" s="3337"/>
    </row>
    <row r="23176" spans="7:16" s="1634" customFormat="1">
      <c r="G23176" s="3336"/>
      <c r="P23176" s="3337"/>
    </row>
    <row r="23177" spans="7:16" s="1634" customFormat="1">
      <c r="G23177" s="3336"/>
      <c r="P23177" s="3337"/>
    </row>
    <row r="23178" spans="7:16" s="1634" customFormat="1">
      <c r="G23178" s="3336"/>
      <c r="P23178" s="3337"/>
    </row>
    <row r="23179" spans="7:16" s="1634" customFormat="1">
      <c r="G23179" s="3336"/>
      <c r="P23179" s="3337"/>
    </row>
    <row r="23180" spans="7:16" s="1634" customFormat="1">
      <c r="G23180" s="3336"/>
      <c r="P23180" s="3337"/>
    </row>
    <row r="23181" spans="7:16" s="1634" customFormat="1">
      <c r="G23181" s="3336"/>
      <c r="P23181" s="3337"/>
    </row>
    <row r="23182" spans="7:16" s="1634" customFormat="1">
      <c r="G23182" s="3336"/>
      <c r="P23182" s="3337"/>
    </row>
    <row r="23183" spans="7:16" s="1634" customFormat="1">
      <c r="G23183" s="3336"/>
      <c r="P23183" s="3337"/>
    </row>
    <row r="23184" spans="7:16" s="1634" customFormat="1">
      <c r="G23184" s="3336"/>
      <c r="P23184" s="3337"/>
    </row>
    <row r="23185" spans="7:16" s="1634" customFormat="1">
      <c r="G23185" s="3336"/>
      <c r="P23185" s="3337"/>
    </row>
    <row r="23186" spans="7:16" s="1634" customFormat="1">
      <c r="G23186" s="3336"/>
      <c r="P23186" s="3337"/>
    </row>
    <row r="23187" spans="7:16" s="1634" customFormat="1">
      <c r="G23187" s="3336"/>
      <c r="P23187" s="3337"/>
    </row>
    <row r="23188" spans="7:16" s="1634" customFormat="1">
      <c r="G23188" s="3336"/>
      <c r="P23188" s="3337"/>
    </row>
    <row r="23189" spans="7:16" s="1634" customFormat="1">
      <c r="G23189" s="3336"/>
      <c r="P23189" s="3337"/>
    </row>
    <row r="23190" spans="7:16" s="1634" customFormat="1">
      <c r="G23190" s="3336"/>
      <c r="P23190" s="3337"/>
    </row>
    <row r="23191" spans="7:16" s="1634" customFormat="1">
      <c r="G23191" s="3336"/>
      <c r="P23191" s="3337"/>
    </row>
    <row r="23192" spans="7:16" s="1634" customFormat="1">
      <c r="G23192" s="3336"/>
      <c r="P23192" s="3337"/>
    </row>
    <row r="23193" spans="7:16" s="1634" customFormat="1">
      <c r="G23193" s="3336"/>
      <c r="P23193" s="3337"/>
    </row>
    <row r="23194" spans="7:16" s="1634" customFormat="1">
      <c r="G23194" s="3336"/>
      <c r="P23194" s="3337"/>
    </row>
    <row r="23195" spans="7:16" s="1634" customFormat="1">
      <c r="G23195" s="3336"/>
      <c r="P23195" s="3337"/>
    </row>
    <row r="23196" spans="7:16" s="1634" customFormat="1">
      <c r="G23196" s="3336"/>
      <c r="P23196" s="3337"/>
    </row>
    <row r="23197" spans="7:16" s="1634" customFormat="1">
      <c r="G23197" s="3336"/>
      <c r="P23197" s="3337"/>
    </row>
    <row r="23198" spans="7:16" s="1634" customFormat="1">
      <c r="G23198" s="3336"/>
      <c r="P23198" s="3337"/>
    </row>
    <row r="23199" spans="7:16" s="1634" customFormat="1">
      <c r="G23199" s="3336"/>
      <c r="P23199" s="3337"/>
    </row>
    <row r="23200" spans="7:16" s="1634" customFormat="1">
      <c r="G23200" s="3336"/>
      <c r="P23200" s="3337"/>
    </row>
    <row r="23201" spans="7:16" s="1634" customFormat="1">
      <c r="G23201" s="3336"/>
      <c r="P23201" s="3337"/>
    </row>
    <row r="23202" spans="7:16" s="1634" customFormat="1">
      <c r="G23202" s="3336"/>
      <c r="P23202" s="3337"/>
    </row>
    <row r="23203" spans="7:16" s="1634" customFormat="1">
      <c r="G23203" s="3336"/>
      <c r="P23203" s="3337"/>
    </row>
    <row r="23204" spans="7:16" s="1634" customFormat="1">
      <c r="G23204" s="3336"/>
      <c r="P23204" s="3337"/>
    </row>
    <row r="23205" spans="7:16" s="1634" customFormat="1">
      <c r="G23205" s="3336"/>
      <c r="P23205" s="3337"/>
    </row>
    <row r="23206" spans="7:16" s="1634" customFormat="1">
      <c r="G23206" s="3336"/>
      <c r="P23206" s="3337"/>
    </row>
    <row r="23207" spans="7:16" s="1634" customFormat="1">
      <c r="G23207" s="3336"/>
      <c r="P23207" s="3337"/>
    </row>
    <row r="23208" spans="7:16" s="1634" customFormat="1">
      <c r="G23208" s="3336"/>
      <c r="P23208" s="3337"/>
    </row>
    <row r="23209" spans="7:16" s="1634" customFormat="1">
      <c r="G23209" s="3336"/>
      <c r="P23209" s="3337"/>
    </row>
    <row r="23210" spans="7:16" s="1634" customFormat="1">
      <c r="G23210" s="3336"/>
      <c r="P23210" s="3337"/>
    </row>
    <row r="23211" spans="7:16" s="1634" customFormat="1">
      <c r="G23211" s="3336"/>
      <c r="P23211" s="3337"/>
    </row>
    <row r="23212" spans="7:16" s="1634" customFormat="1">
      <c r="G23212" s="3336"/>
      <c r="P23212" s="3337"/>
    </row>
    <row r="23213" spans="7:16" s="1634" customFormat="1">
      <c r="G23213" s="3336"/>
      <c r="P23213" s="3337"/>
    </row>
    <row r="23214" spans="7:16" s="1634" customFormat="1">
      <c r="G23214" s="3336"/>
      <c r="P23214" s="3337"/>
    </row>
    <row r="23215" spans="7:16" s="1634" customFormat="1">
      <c r="G23215" s="3336"/>
      <c r="P23215" s="3337"/>
    </row>
    <row r="23216" spans="7:16" s="1634" customFormat="1">
      <c r="G23216" s="3336"/>
      <c r="P23216" s="3337"/>
    </row>
    <row r="23217" spans="7:16" s="1634" customFormat="1">
      <c r="G23217" s="3336"/>
      <c r="P23217" s="3337"/>
    </row>
    <row r="23218" spans="7:16" s="1634" customFormat="1">
      <c r="G23218" s="3336"/>
      <c r="P23218" s="3337"/>
    </row>
    <row r="23219" spans="7:16" s="1634" customFormat="1">
      <c r="G23219" s="3336"/>
      <c r="P23219" s="3337"/>
    </row>
    <row r="23220" spans="7:16" s="1634" customFormat="1">
      <c r="G23220" s="3336"/>
      <c r="P23220" s="3337"/>
    </row>
    <row r="23221" spans="7:16" s="1634" customFormat="1">
      <c r="G23221" s="3336"/>
      <c r="P23221" s="3337"/>
    </row>
    <row r="23222" spans="7:16" s="1634" customFormat="1">
      <c r="G23222" s="3336"/>
      <c r="P23222" s="3337"/>
    </row>
    <row r="23223" spans="7:16" s="1634" customFormat="1">
      <c r="G23223" s="3336"/>
      <c r="P23223" s="3337"/>
    </row>
    <row r="23224" spans="7:16" s="1634" customFormat="1">
      <c r="G23224" s="3336"/>
      <c r="P23224" s="3337"/>
    </row>
    <row r="23225" spans="7:16" s="1634" customFormat="1">
      <c r="G23225" s="3336"/>
      <c r="P23225" s="3337"/>
    </row>
    <row r="23226" spans="7:16" s="1634" customFormat="1">
      <c r="G23226" s="3336"/>
      <c r="P23226" s="3337"/>
    </row>
    <row r="23227" spans="7:16" s="1634" customFormat="1">
      <c r="G23227" s="3336"/>
      <c r="P23227" s="3337"/>
    </row>
    <row r="23228" spans="7:16" s="1634" customFormat="1">
      <c r="G23228" s="3336"/>
      <c r="P23228" s="3337"/>
    </row>
    <row r="23229" spans="7:16" s="1634" customFormat="1">
      <c r="G23229" s="3336"/>
      <c r="P23229" s="3337"/>
    </row>
    <row r="23230" spans="7:16" s="1634" customFormat="1">
      <c r="G23230" s="3336"/>
      <c r="P23230" s="3337"/>
    </row>
    <row r="23231" spans="7:16" s="1634" customFormat="1">
      <c r="G23231" s="3336"/>
      <c r="P23231" s="3337"/>
    </row>
    <row r="23232" spans="7:16" s="1634" customFormat="1">
      <c r="G23232" s="3336"/>
      <c r="P23232" s="3337"/>
    </row>
    <row r="23233" spans="7:16" s="1634" customFormat="1">
      <c r="G23233" s="3336"/>
      <c r="P23233" s="3337"/>
    </row>
    <row r="23234" spans="7:16" s="1634" customFormat="1">
      <c r="G23234" s="3336"/>
      <c r="P23234" s="3337"/>
    </row>
    <row r="23235" spans="7:16" s="1634" customFormat="1">
      <c r="G23235" s="3336"/>
      <c r="P23235" s="3337"/>
    </row>
    <row r="23236" spans="7:16" s="1634" customFormat="1">
      <c r="G23236" s="3336"/>
      <c r="P23236" s="3337"/>
    </row>
    <row r="23237" spans="7:16" s="1634" customFormat="1">
      <c r="G23237" s="3336"/>
      <c r="P23237" s="3337"/>
    </row>
    <row r="23238" spans="7:16" s="1634" customFormat="1">
      <c r="G23238" s="3336"/>
      <c r="P23238" s="3337"/>
    </row>
    <row r="23239" spans="7:16" s="1634" customFormat="1">
      <c r="G23239" s="3336"/>
      <c r="P23239" s="3337"/>
    </row>
    <row r="23240" spans="7:16" s="1634" customFormat="1">
      <c r="G23240" s="3336"/>
      <c r="P23240" s="3337"/>
    </row>
    <row r="23241" spans="7:16" s="1634" customFormat="1">
      <c r="G23241" s="3336"/>
      <c r="P23241" s="3337"/>
    </row>
    <row r="23242" spans="7:16" s="1634" customFormat="1">
      <c r="G23242" s="3336"/>
      <c r="P23242" s="3337"/>
    </row>
    <row r="23243" spans="7:16" s="1634" customFormat="1">
      <c r="G23243" s="3336"/>
      <c r="P23243" s="3337"/>
    </row>
    <row r="23244" spans="7:16" s="1634" customFormat="1">
      <c r="G23244" s="3336"/>
      <c r="P23244" s="3337"/>
    </row>
    <row r="23245" spans="7:16" s="1634" customFormat="1">
      <c r="G23245" s="3336"/>
      <c r="P23245" s="3337"/>
    </row>
    <row r="23246" spans="7:16" s="1634" customFormat="1">
      <c r="G23246" s="3336"/>
      <c r="P23246" s="3337"/>
    </row>
    <row r="23247" spans="7:16" s="1634" customFormat="1">
      <c r="G23247" s="3336"/>
      <c r="P23247" s="3337"/>
    </row>
    <row r="23248" spans="7:16" s="1634" customFormat="1">
      <c r="G23248" s="3336"/>
      <c r="P23248" s="3337"/>
    </row>
    <row r="23249" spans="7:16" s="1634" customFormat="1">
      <c r="G23249" s="3336"/>
      <c r="P23249" s="3337"/>
    </row>
    <row r="23250" spans="7:16" s="1634" customFormat="1">
      <c r="G23250" s="3336"/>
      <c r="P23250" s="3337"/>
    </row>
    <row r="23251" spans="7:16" s="1634" customFormat="1">
      <c r="G23251" s="3336"/>
      <c r="P23251" s="3337"/>
    </row>
    <row r="23252" spans="7:16" s="1634" customFormat="1">
      <c r="G23252" s="3336"/>
      <c r="P23252" s="3337"/>
    </row>
    <row r="23253" spans="7:16" s="1634" customFormat="1">
      <c r="G23253" s="3336"/>
      <c r="P23253" s="3337"/>
    </row>
    <row r="23254" spans="7:16" s="1634" customFormat="1">
      <c r="G23254" s="3336"/>
      <c r="P23254" s="3337"/>
    </row>
    <row r="23255" spans="7:16" s="1634" customFormat="1">
      <c r="G23255" s="3336"/>
      <c r="P23255" s="3337"/>
    </row>
    <row r="23256" spans="7:16" s="1634" customFormat="1">
      <c r="G23256" s="3336"/>
      <c r="P23256" s="3337"/>
    </row>
    <row r="23257" spans="7:16" s="1634" customFormat="1">
      <c r="G23257" s="3336"/>
      <c r="P23257" s="3337"/>
    </row>
    <row r="23258" spans="7:16" s="1634" customFormat="1">
      <c r="G23258" s="3336"/>
      <c r="P23258" s="3337"/>
    </row>
    <row r="23259" spans="7:16" s="1634" customFormat="1">
      <c r="G23259" s="3336"/>
      <c r="P23259" s="3337"/>
    </row>
    <row r="23260" spans="7:16" s="1634" customFormat="1">
      <c r="G23260" s="3336"/>
      <c r="P23260" s="3337"/>
    </row>
    <row r="23261" spans="7:16" s="1634" customFormat="1">
      <c r="G23261" s="3336"/>
      <c r="P23261" s="3337"/>
    </row>
    <row r="23262" spans="7:16" s="1634" customFormat="1">
      <c r="G23262" s="3336"/>
      <c r="P23262" s="3337"/>
    </row>
    <row r="23263" spans="7:16" s="1634" customFormat="1">
      <c r="G23263" s="3336"/>
      <c r="P23263" s="3337"/>
    </row>
    <row r="23264" spans="7:16" s="1634" customFormat="1">
      <c r="G23264" s="3336"/>
      <c r="P23264" s="3337"/>
    </row>
    <row r="23265" spans="7:16" s="1634" customFormat="1">
      <c r="G23265" s="3336"/>
      <c r="P23265" s="3337"/>
    </row>
    <row r="23266" spans="7:16" s="1634" customFormat="1">
      <c r="G23266" s="3336"/>
      <c r="P23266" s="3337"/>
    </row>
    <row r="23267" spans="7:16" s="1634" customFormat="1">
      <c r="G23267" s="3336"/>
      <c r="P23267" s="3337"/>
    </row>
    <row r="23268" spans="7:16" s="1634" customFormat="1">
      <c r="G23268" s="3336"/>
      <c r="P23268" s="3337"/>
    </row>
    <row r="23269" spans="7:16" s="1634" customFormat="1">
      <c r="G23269" s="3336"/>
      <c r="P23269" s="3337"/>
    </row>
    <row r="23270" spans="7:16" s="1634" customFormat="1">
      <c r="G23270" s="3336"/>
      <c r="P23270" s="3337"/>
    </row>
    <row r="23271" spans="7:16" s="1634" customFormat="1">
      <c r="G23271" s="3336"/>
      <c r="P23271" s="3337"/>
    </row>
    <row r="23272" spans="7:16" s="1634" customFormat="1">
      <c r="G23272" s="3336"/>
      <c r="P23272" s="3337"/>
    </row>
    <row r="23273" spans="7:16" s="1634" customFormat="1">
      <c r="G23273" s="3336"/>
      <c r="P23273" s="3337"/>
    </row>
    <row r="23274" spans="7:16" s="1634" customFormat="1">
      <c r="G23274" s="3336"/>
      <c r="P23274" s="3337"/>
    </row>
    <row r="23275" spans="7:16" s="1634" customFormat="1">
      <c r="G23275" s="3336"/>
      <c r="P23275" s="3337"/>
    </row>
    <row r="23276" spans="7:16" s="1634" customFormat="1">
      <c r="G23276" s="3336"/>
      <c r="P23276" s="3337"/>
    </row>
    <row r="23277" spans="7:16" s="1634" customFormat="1">
      <c r="G23277" s="3336"/>
      <c r="P23277" s="3337"/>
    </row>
    <row r="23278" spans="7:16" s="1634" customFormat="1">
      <c r="G23278" s="3336"/>
      <c r="P23278" s="3337"/>
    </row>
    <row r="23279" spans="7:16" s="1634" customFormat="1">
      <c r="G23279" s="3336"/>
      <c r="P23279" s="3337"/>
    </row>
    <row r="23280" spans="7:16" s="1634" customFormat="1">
      <c r="G23280" s="3336"/>
      <c r="P23280" s="3337"/>
    </row>
    <row r="23281" spans="7:16" s="1634" customFormat="1">
      <c r="G23281" s="3336"/>
      <c r="P23281" s="3337"/>
    </row>
    <row r="23282" spans="7:16" s="1634" customFormat="1">
      <c r="G23282" s="3336"/>
      <c r="P23282" s="3337"/>
    </row>
    <row r="23283" spans="7:16" s="1634" customFormat="1">
      <c r="G23283" s="3336"/>
      <c r="P23283" s="3337"/>
    </row>
    <row r="23284" spans="7:16" s="1634" customFormat="1">
      <c r="G23284" s="3336"/>
      <c r="P23284" s="3337"/>
    </row>
    <row r="23285" spans="7:16" s="1634" customFormat="1">
      <c r="G23285" s="3336"/>
      <c r="P23285" s="3337"/>
    </row>
    <row r="23286" spans="7:16" s="1634" customFormat="1">
      <c r="G23286" s="3336"/>
      <c r="P23286" s="3337"/>
    </row>
    <row r="23287" spans="7:16" s="1634" customFormat="1">
      <c r="G23287" s="3336"/>
      <c r="P23287" s="3337"/>
    </row>
    <row r="23288" spans="7:16" s="1634" customFormat="1">
      <c r="G23288" s="3336"/>
      <c r="P23288" s="3337"/>
    </row>
    <row r="23289" spans="7:16" s="1634" customFormat="1">
      <c r="G23289" s="3336"/>
      <c r="P23289" s="3337"/>
    </row>
    <row r="23290" spans="7:16" s="1634" customFormat="1">
      <c r="G23290" s="3336"/>
      <c r="P23290" s="3337"/>
    </row>
    <row r="23291" spans="7:16" s="1634" customFormat="1">
      <c r="G23291" s="3336"/>
      <c r="P23291" s="3337"/>
    </row>
    <row r="23292" spans="7:16" s="1634" customFormat="1">
      <c r="G23292" s="3336"/>
      <c r="P23292" s="3337"/>
    </row>
    <row r="23293" spans="7:16" s="1634" customFormat="1">
      <c r="G23293" s="3336"/>
      <c r="P23293" s="3337"/>
    </row>
    <row r="23294" spans="7:16" s="1634" customFormat="1">
      <c r="G23294" s="3336"/>
      <c r="P23294" s="3337"/>
    </row>
    <row r="23295" spans="7:16" s="1634" customFormat="1">
      <c r="G23295" s="3336"/>
      <c r="P23295" s="3337"/>
    </row>
    <row r="23296" spans="7:16" s="1634" customFormat="1">
      <c r="G23296" s="3336"/>
      <c r="P23296" s="3337"/>
    </row>
    <row r="23297" spans="7:16" s="1634" customFormat="1">
      <c r="G23297" s="3336"/>
      <c r="P23297" s="3337"/>
    </row>
    <row r="23298" spans="7:16" s="1634" customFormat="1">
      <c r="G23298" s="3336"/>
      <c r="P23298" s="3337"/>
    </row>
    <row r="23299" spans="7:16" s="1634" customFormat="1">
      <c r="G23299" s="3336"/>
      <c r="P23299" s="3337"/>
    </row>
    <row r="23300" spans="7:16" s="1634" customFormat="1">
      <c r="G23300" s="3336"/>
      <c r="P23300" s="3337"/>
    </row>
    <row r="23301" spans="7:16" s="1634" customFormat="1">
      <c r="G23301" s="3336"/>
      <c r="P23301" s="3337"/>
    </row>
    <row r="23302" spans="7:16" s="1634" customFormat="1">
      <c r="G23302" s="3336"/>
      <c r="P23302" s="3337"/>
    </row>
    <row r="23303" spans="7:16" s="1634" customFormat="1">
      <c r="G23303" s="3336"/>
      <c r="P23303" s="3337"/>
    </row>
    <row r="23304" spans="7:16" s="1634" customFormat="1">
      <c r="G23304" s="3336"/>
      <c r="P23304" s="3337"/>
    </row>
    <row r="23305" spans="7:16" s="1634" customFormat="1">
      <c r="G23305" s="3336"/>
      <c r="P23305" s="3337"/>
    </row>
    <row r="23306" spans="7:16" s="1634" customFormat="1">
      <c r="G23306" s="3336"/>
      <c r="P23306" s="3337"/>
    </row>
    <row r="23307" spans="7:16" s="1634" customFormat="1">
      <c r="G23307" s="3336"/>
      <c r="P23307" s="3337"/>
    </row>
    <row r="23308" spans="7:16" s="1634" customFormat="1">
      <c r="G23308" s="3336"/>
      <c r="P23308" s="3337"/>
    </row>
    <row r="23309" spans="7:16" s="1634" customFormat="1">
      <c r="G23309" s="3336"/>
      <c r="P23309" s="3337"/>
    </row>
    <row r="23310" spans="7:16" s="1634" customFormat="1">
      <c r="G23310" s="3336"/>
      <c r="P23310" s="3337"/>
    </row>
    <row r="23311" spans="7:16" s="1634" customFormat="1">
      <c r="G23311" s="3336"/>
      <c r="P23311" s="3337"/>
    </row>
    <row r="23312" spans="7:16" s="1634" customFormat="1">
      <c r="G23312" s="3336"/>
      <c r="P23312" s="3337"/>
    </row>
    <row r="23313" spans="7:16" s="1634" customFormat="1">
      <c r="G23313" s="3336"/>
      <c r="P23313" s="3337"/>
    </row>
    <row r="23314" spans="7:16" s="1634" customFormat="1">
      <c r="G23314" s="3336"/>
      <c r="P23314" s="3337"/>
    </row>
    <row r="23315" spans="7:16" s="1634" customFormat="1">
      <c r="G23315" s="3336"/>
      <c r="P23315" s="3337"/>
    </row>
    <row r="23316" spans="7:16" s="1634" customFormat="1">
      <c r="G23316" s="3336"/>
      <c r="P23316" s="3337"/>
    </row>
    <row r="23317" spans="7:16" s="1634" customFormat="1">
      <c r="G23317" s="3336"/>
      <c r="P23317" s="3337"/>
    </row>
    <row r="23318" spans="7:16" s="1634" customFormat="1">
      <c r="G23318" s="3336"/>
      <c r="P23318" s="3337"/>
    </row>
    <row r="23319" spans="7:16" s="1634" customFormat="1">
      <c r="G23319" s="3336"/>
      <c r="P23319" s="3337"/>
    </row>
    <row r="23320" spans="7:16" s="1634" customFormat="1">
      <c r="G23320" s="3336"/>
      <c r="P23320" s="3337"/>
    </row>
    <row r="23321" spans="7:16" s="1634" customFormat="1">
      <c r="G23321" s="3336"/>
      <c r="P23321" s="3337"/>
    </row>
    <row r="23322" spans="7:16" s="1634" customFormat="1">
      <c r="G23322" s="3336"/>
      <c r="P23322" s="3337"/>
    </row>
    <row r="23323" spans="7:16" s="1634" customFormat="1">
      <c r="G23323" s="3336"/>
      <c r="P23323" s="3337"/>
    </row>
    <row r="23324" spans="7:16" s="1634" customFormat="1">
      <c r="G23324" s="3336"/>
      <c r="P23324" s="3337"/>
    </row>
    <row r="23325" spans="7:16" s="1634" customFormat="1">
      <c r="G23325" s="3336"/>
      <c r="P23325" s="3337"/>
    </row>
    <row r="23326" spans="7:16" s="1634" customFormat="1">
      <c r="G23326" s="3336"/>
      <c r="P23326" s="3337"/>
    </row>
    <row r="23327" spans="7:16" s="1634" customFormat="1">
      <c r="G23327" s="3336"/>
      <c r="P23327" s="3337"/>
    </row>
    <row r="23328" spans="7:16" s="1634" customFormat="1">
      <c r="G23328" s="3336"/>
      <c r="P23328" s="3337"/>
    </row>
    <row r="23329" spans="7:16" s="1634" customFormat="1">
      <c r="G23329" s="3336"/>
      <c r="P23329" s="3337"/>
    </row>
    <row r="23330" spans="7:16" s="1634" customFormat="1">
      <c r="G23330" s="3336"/>
      <c r="P23330" s="3337"/>
    </row>
    <row r="23331" spans="7:16" s="1634" customFormat="1">
      <c r="G23331" s="3336"/>
      <c r="P23331" s="3337"/>
    </row>
    <row r="23332" spans="7:16" s="1634" customFormat="1">
      <c r="G23332" s="3336"/>
      <c r="P23332" s="3337"/>
    </row>
    <row r="23333" spans="7:16" s="1634" customFormat="1">
      <c r="G23333" s="3336"/>
      <c r="P23333" s="3337"/>
    </row>
    <row r="23334" spans="7:16" s="1634" customFormat="1">
      <c r="G23334" s="3336"/>
      <c r="P23334" s="3337"/>
    </row>
    <row r="23335" spans="7:16" s="1634" customFormat="1">
      <c r="G23335" s="3336"/>
      <c r="P23335" s="3337"/>
    </row>
    <row r="23336" spans="7:16" s="1634" customFormat="1">
      <c r="G23336" s="3336"/>
      <c r="P23336" s="3337"/>
    </row>
    <row r="23337" spans="7:16" s="1634" customFormat="1">
      <c r="G23337" s="3336"/>
      <c r="P23337" s="3337"/>
    </row>
    <row r="23338" spans="7:16" s="1634" customFormat="1">
      <c r="G23338" s="3336"/>
      <c r="P23338" s="3337"/>
    </row>
    <row r="23339" spans="7:16" s="1634" customFormat="1">
      <c r="G23339" s="3336"/>
      <c r="P23339" s="3337"/>
    </row>
    <row r="23340" spans="7:16" s="1634" customFormat="1">
      <c r="G23340" s="3336"/>
      <c r="P23340" s="3337"/>
    </row>
    <row r="23341" spans="7:16" s="1634" customFormat="1">
      <c r="G23341" s="3336"/>
      <c r="P23341" s="3337"/>
    </row>
    <row r="23342" spans="7:16" s="1634" customFormat="1">
      <c r="G23342" s="3336"/>
      <c r="P23342" s="3337"/>
    </row>
    <row r="23343" spans="7:16" s="1634" customFormat="1">
      <c r="G23343" s="3336"/>
      <c r="P23343" s="3337"/>
    </row>
    <row r="23344" spans="7:16" s="1634" customFormat="1">
      <c r="G23344" s="3336"/>
      <c r="P23344" s="3337"/>
    </row>
    <row r="23345" spans="7:16" s="1634" customFormat="1">
      <c r="G23345" s="3336"/>
      <c r="P23345" s="3337"/>
    </row>
    <row r="23346" spans="7:16" s="1634" customFormat="1">
      <c r="G23346" s="3336"/>
      <c r="P23346" s="3337"/>
    </row>
    <row r="23347" spans="7:16" s="1634" customFormat="1">
      <c r="G23347" s="3336"/>
      <c r="P23347" s="3337"/>
    </row>
    <row r="23348" spans="7:16" s="1634" customFormat="1">
      <c r="G23348" s="3336"/>
      <c r="P23348" s="3337"/>
    </row>
    <row r="23349" spans="7:16" s="1634" customFormat="1">
      <c r="G23349" s="3336"/>
      <c r="P23349" s="3337"/>
    </row>
    <row r="23350" spans="7:16" s="1634" customFormat="1">
      <c r="G23350" s="3336"/>
      <c r="P23350" s="3337"/>
    </row>
    <row r="23351" spans="7:16" s="1634" customFormat="1">
      <c r="G23351" s="3336"/>
      <c r="P23351" s="3337"/>
    </row>
    <row r="23352" spans="7:16" s="1634" customFormat="1">
      <c r="G23352" s="3336"/>
      <c r="P23352" s="3337"/>
    </row>
    <row r="23353" spans="7:16" s="1634" customFormat="1">
      <c r="G23353" s="3336"/>
      <c r="P23353" s="3337"/>
    </row>
    <row r="23354" spans="7:16" s="1634" customFormat="1">
      <c r="G23354" s="3336"/>
      <c r="P23354" s="3337"/>
    </row>
    <row r="23355" spans="7:16" s="1634" customFormat="1">
      <c r="G23355" s="3336"/>
      <c r="P23355" s="3337"/>
    </row>
    <row r="23356" spans="7:16" s="1634" customFormat="1">
      <c r="G23356" s="3336"/>
      <c r="P23356" s="3337"/>
    </row>
    <row r="23357" spans="7:16" s="1634" customFormat="1">
      <c r="G23357" s="3336"/>
      <c r="P23357" s="3337"/>
    </row>
    <row r="23358" spans="7:16" s="1634" customFormat="1">
      <c r="G23358" s="3336"/>
      <c r="P23358" s="3337"/>
    </row>
    <row r="23359" spans="7:16" s="1634" customFormat="1">
      <c r="G23359" s="3336"/>
      <c r="P23359" s="3337"/>
    </row>
    <row r="23360" spans="7:16" s="1634" customFormat="1">
      <c r="G23360" s="3336"/>
      <c r="P23360" s="3337"/>
    </row>
    <row r="23361" spans="7:16" s="1634" customFormat="1">
      <c r="G23361" s="3336"/>
      <c r="P23361" s="3337"/>
    </row>
    <row r="23362" spans="7:16" s="1634" customFormat="1">
      <c r="G23362" s="3336"/>
      <c r="P23362" s="3337"/>
    </row>
    <row r="23363" spans="7:16" s="1634" customFormat="1">
      <c r="G23363" s="3336"/>
      <c r="P23363" s="3337"/>
    </row>
    <row r="23364" spans="7:16" s="1634" customFormat="1">
      <c r="G23364" s="3336"/>
      <c r="P23364" s="3337"/>
    </row>
    <row r="23365" spans="7:16" s="1634" customFormat="1">
      <c r="G23365" s="3336"/>
      <c r="P23365" s="3337"/>
    </row>
    <row r="23366" spans="7:16" s="1634" customFormat="1">
      <c r="G23366" s="3336"/>
      <c r="P23366" s="3337"/>
    </row>
    <row r="23367" spans="7:16" s="1634" customFormat="1">
      <c r="G23367" s="3336"/>
      <c r="P23367" s="3337"/>
    </row>
    <row r="23368" spans="7:16" s="1634" customFormat="1">
      <c r="G23368" s="3336"/>
      <c r="P23368" s="3337"/>
    </row>
    <row r="23369" spans="7:16" s="1634" customFormat="1">
      <c r="G23369" s="3336"/>
      <c r="P23369" s="3337"/>
    </row>
    <row r="23370" spans="7:16" s="1634" customFormat="1">
      <c r="G23370" s="3336"/>
      <c r="P23370" s="3337"/>
    </row>
    <row r="23371" spans="7:16" s="1634" customFormat="1">
      <c r="G23371" s="3336"/>
      <c r="P23371" s="3337"/>
    </row>
    <row r="23372" spans="7:16" s="1634" customFormat="1">
      <c r="G23372" s="3336"/>
      <c r="P23372" s="3337"/>
    </row>
    <row r="23373" spans="7:16" s="1634" customFormat="1">
      <c r="G23373" s="3336"/>
      <c r="P23373" s="3337"/>
    </row>
    <row r="23374" spans="7:16" s="1634" customFormat="1">
      <c r="G23374" s="3336"/>
      <c r="P23374" s="3337"/>
    </row>
    <row r="23375" spans="7:16" s="1634" customFormat="1">
      <c r="G23375" s="3336"/>
      <c r="P23375" s="3337"/>
    </row>
    <row r="23376" spans="7:16" s="1634" customFormat="1">
      <c r="G23376" s="3336"/>
      <c r="P23376" s="3337"/>
    </row>
    <row r="23377" spans="7:16" s="1634" customFormat="1">
      <c r="G23377" s="3336"/>
      <c r="P23377" s="3337"/>
    </row>
    <row r="23378" spans="7:16" s="1634" customFormat="1">
      <c r="G23378" s="3336"/>
      <c r="P23378" s="3337"/>
    </row>
    <row r="23379" spans="7:16" s="1634" customFormat="1">
      <c r="G23379" s="3336"/>
      <c r="P23379" s="3337"/>
    </row>
    <row r="23380" spans="7:16" s="1634" customFormat="1">
      <c r="G23380" s="3336"/>
      <c r="P23380" s="3337"/>
    </row>
    <row r="23381" spans="7:16" s="1634" customFormat="1">
      <c r="G23381" s="3336"/>
      <c r="P23381" s="3337"/>
    </row>
    <row r="23382" spans="7:16" s="1634" customFormat="1">
      <c r="G23382" s="3336"/>
      <c r="P23382" s="3337"/>
    </row>
    <row r="23383" spans="7:16" s="1634" customFormat="1">
      <c r="G23383" s="3336"/>
      <c r="P23383" s="3337"/>
    </row>
    <row r="23384" spans="7:16" s="1634" customFormat="1">
      <c r="G23384" s="3336"/>
      <c r="P23384" s="3337"/>
    </row>
    <row r="23385" spans="7:16" s="1634" customFormat="1">
      <c r="G23385" s="3336"/>
      <c r="P23385" s="3337"/>
    </row>
    <row r="23386" spans="7:16" s="1634" customFormat="1">
      <c r="G23386" s="3336"/>
      <c r="P23386" s="3337"/>
    </row>
    <row r="23387" spans="7:16" s="1634" customFormat="1">
      <c r="G23387" s="3336"/>
      <c r="P23387" s="3337"/>
    </row>
    <row r="23388" spans="7:16" s="1634" customFormat="1">
      <c r="G23388" s="3336"/>
      <c r="P23388" s="3337"/>
    </row>
    <row r="23389" spans="7:16" s="1634" customFormat="1">
      <c r="G23389" s="3336"/>
      <c r="P23389" s="3337"/>
    </row>
    <row r="23390" spans="7:16" s="1634" customFormat="1">
      <c r="G23390" s="3336"/>
      <c r="P23390" s="3337"/>
    </row>
    <row r="23391" spans="7:16" s="1634" customFormat="1">
      <c r="G23391" s="3336"/>
      <c r="P23391" s="3337"/>
    </row>
    <row r="23392" spans="7:16" s="1634" customFormat="1">
      <c r="G23392" s="3336"/>
      <c r="P23392" s="3337"/>
    </row>
    <row r="23393" spans="7:16" s="1634" customFormat="1">
      <c r="G23393" s="3336"/>
      <c r="P23393" s="3337"/>
    </row>
    <row r="23394" spans="7:16" s="1634" customFormat="1">
      <c r="G23394" s="3336"/>
      <c r="P23394" s="3337"/>
    </row>
    <row r="23395" spans="7:16" s="1634" customFormat="1">
      <c r="G23395" s="3336"/>
      <c r="P23395" s="3337"/>
    </row>
    <row r="23396" spans="7:16" s="1634" customFormat="1">
      <c r="G23396" s="3336"/>
      <c r="P23396" s="3337"/>
    </row>
    <row r="23397" spans="7:16" s="1634" customFormat="1">
      <c r="G23397" s="3336"/>
      <c r="P23397" s="3337"/>
    </row>
    <row r="23398" spans="7:16" s="1634" customFormat="1">
      <c r="G23398" s="3336"/>
      <c r="P23398" s="3337"/>
    </row>
    <row r="23399" spans="7:16" s="1634" customFormat="1">
      <c r="G23399" s="3336"/>
      <c r="P23399" s="3337"/>
    </row>
    <row r="23400" spans="7:16" s="1634" customFormat="1">
      <c r="G23400" s="3336"/>
      <c r="P23400" s="3337"/>
    </row>
    <row r="23401" spans="7:16" s="1634" customFormat="1">
      <c r="G23401" s="3336"/>
      <c r="P23401" s="3337"/>
    </row>
    <row r="23402" spans="7:16" s="1634" customFormat="1">
      <c r="G23402" s="3336"/>
      <c r="P23402" s="3337"/>
    </row>
    <row r="23403" spans="7:16" s="1634" customFormat="1">
      <c r="G23403" s="3336"/>
      <c r="P23403" s="3337"/>
    </row>
    <row r="23404" spans="7:16" s="1634" customFormat="1">
      <c r="G23404" s="3336"/>
      <c r="P23404" s="3337"/>
    </row>
    <row r="23405" spans="7:16" s="1634" customFormat="1">
      <c r="G23405" s="3336"/>
      <c r="P23405" s="3337"/>
    </row>
    <row r="23406" spans="7:16" s="1634" customFormat="1">
      <c r="G23406" s="3336"/>
      <c r="P23406" s="3337"/>
    </row>
    <row r="23407" spans="7:16" s="1634" customFormat="1">
      <c r="G23407" s="3336"/>
      <c r="P23407" s="3337"/>
    </row>
    <row r="23408" spans="7:16" s="1634" customFormat="1">
      <c r="G23408" s="3336"/>
      <c r="P23408" s="3337"/>
    </row>
    <row r="23409" spans="7:16" s="1634" customFormat="1">
      <c r="G23409" s="3336"/>
      <c r="P23409" s="3337"/>
    </row>
    <row r="23410" spans="7:16" s="1634" customFormat="1">
      <c r="G23410" s="3336"/>
      <c r="P23410" s="3337"/>
    </row>
    <row r="23411" spans="7:16" s="1634" customFormat="1">
      <c r="G23411" s="3336"/>
      <c r="P23411" s="3337"/>
    </row>
    <row r="23412" spans="7:16" s="1634" customFormat="1">
      <c r="G23412" s="3336"/>
      <c r="P23412" s="3337"/>
    </row>
    <row r="23413" spans="7:16" s="1634" customFormat="1">
      <c r="G23413" s="3336"/>
      <c r="P23413" s="3337"/>
    </row>
    <row r="23414" spans="7:16" s="1634" customFormat="1">
      <c r="G23414" s="3336"/>
      <c r="P23414" s="3337"/>
    </row>
    <row r="23415" spans="7:16" s="1634" customFormat="1">
      <c r="G23415" s="3336"/>
      <c r="P23415" s="3337"/>
    </row>
    <row r="23416" spans="7:16" s="1634" customFormat="1">
      <c r="G23416" s="3336"/>
      <c r="P23416" s="3337"/>
    </row>
    <row r="23417" spans="7:16" s="1634" customFormat="1">
      <c r="G23417" s="3336"/>
      <c r="P23417" s="3337"/>
    </row>
    <row r="23418" spans="7:16" s="1634" customFormat="1">
      <c r="G23418" s="3336"/>
      <c r="P23418" s="3337"/>
    </row>
    <row r="23419" spans="7:16" s="1634" customFormat="1">
      <c r="G23419" s="3336"/>
      <c r="P23419" s="3337"/>
    </row>
    <row r="23420" spans="7:16" s="1634" customFormat="1">
      <c r="G23420" s="3336"/>
      <c r="P23420" s="3337"/>
    </row>
    <row r="23421" spans="7:16" s="1634" customFormat="1">
      <c r="G23421" s="3336"/>
      <c r="P23421" s="3337"/>
    </row>
    <row r="23422" spans="7:16" s="1634" customFormat="1">
      <c r="G23422" s="3336"/>
      <c r="P23422" s="3337"/>
    </row>
    <row r="23423" spans="7:16" s="1634" customFormat="1">
      <c r="G23423" s="3336"/>
      <c r="P23423" s="3337"/>
    </row>
    <row r="23424" spans="7:16" s="1634" customFormat="1">
      <c r="G23424" s="3336"/>
      <c r="P23424" s="3337"/>
    </row>
    <row r="23425" spans="7:16" s="1634" customFormat="1">
      <c r="G23425" s="3336"/>
      <c r="P23425" s="3337"/>
    </row>
    <row r="23426" spans="7:16" s="1634" customFormat="1">
      <c r="G23426" s="3336"/>
      <c r="P23426" s="3337"/>
    </row>
    <row r="23427" spans="7:16" s="1634" customFormat="1">
      <c r="G23427" s="3336"/>
      <c r="P23427" s="3337"/>
    </row>
    <row r="23428" spans="7:16" s="1634" customFormat="1">
      <c r="G23428" s="3336"/>
      <c r="P23428" s="3337"/>
    </row>
    <row r="23429" spans="7:16" s="1634" customFormat="1">
      <c r="G23429" s="3336"/>
      <c r="P23429" s="3337"/>
    </row>
    <row r="23430" spans="7:16" s="1634" customFormat="1">
      <c r="G23430" s="3336"/>
      <c r="P23430" s="3337"/>
    </row>
    <row r="23431" spans="7:16" s="1634" customFormat="1">
      <c r="G23431" s="3336"/>
      <c r="P23431" s="3337"/>
    </row>
    <row r="23432" spans="7:16" s="1634" customFormat="1">
      <c r="G23432" s="3336"/>
      <c r="P23432" s="3337"/>
    </row>
    <row r="23433" spans="7:16" s="1634" customFormat="1">
      <c r="G23433" s="3336"/>
      <c r="P23433" s="3337"/>
    </row>
    <row r="23434" spans="7:16" s="1634" customFormat="1">
      <c r="G23434" s="3336"/>
      <c r="P23434" s="3337"/>
    </row>
    <row r="23435" spans="7:16" s="1634" customFormat="1">
      <c r="G23435" s="3336"/>
      <c r="P23435" s="3337"/>
    </row>
    <row r="23436" spans="7:16" s="1634" customFormat="1">
      <c r="G23436" s="3336"/>
      <c r="P23436" s="3337"/>
    </row>
    <row r="23437" spans="7:16" s="1634" customFormat="1">
      <c r="G23437" s="3336"/>
      <c r="P23437" s="3337"/>
    </row>
    <row r="23438" spans="7:16" s="1634" customFormat="1">
      <c r="G23438" s="3336"/>
      <c r="P23438" s="3337"/>
    </row>
    <row r="23439" spans="7:16" s="1634" customFormat="1">
      <c r="G23439" s="3336"/>
      <c r="P23439" s="3337"/>
    </row>
    <row r="23440" spans="7:16" s="1634" customFormat="1">
      <c r="G23440" s="3336"/>
      <c r="P23440" s="3337"/>
    </row>
    <row r="23441" spans="7:16" s="1634" customFormat="1">
      <c r="G23441" s="3336"/>
      <c r="P23441" s="3337"/>
    </row>
    <row r="23442" spans="7:16" s="1634" customFormat="1">
      <c r="G23442" s="3336"/>
      <c r="P23442" s="3337"/>
    </row>
    <row r="23443" spans="7:16" s="1634" customFormat="1">
      <c r="G23443" s="3336"/>
      <c r="P23443" s="3337"/>
    </row>
    <row r="23444" spans="7:16" s="1634" customFormat="1">
      <c r="G23444" s="3336"/>
      <c r="P23444" s="3337"/>
    </row>
    <row r="23445" spans="7:16" s="1634" customFormat="1">
      <c r="G23445" s="3336"/>
      <c r="P23445" s="3337"/>
    </row>
    <row r="23446" spans="7:16" s="1634" customFormat="1">
      <c r="G23446" s="3336"/>
      <c r="P23446" s="3337"/>
    </row>
    <row r="23447" spans="7:16" s="1634" customFormat="1">
      <c r="G23447" s="3336"/>
      <c r="P23447" s="3337"/>
    </row>
    <row r="23448" spans="7:16" s="1634" customFormat="1">
      <c r="G23448" s="3336"/>
      <c r="P23448" s="3337"/>
    </row>
    <row r="23449" spans="7:16" s="1634" customFormat="1">
      <c r="G23449" s="3336"/>
      <c r="P23449" s="3337"/>
    </row>
    <row r="23450" spans="7:16" s="1634" customFormat="1">
      <c r="G23450" s="3336"/>
      <c r="P23450" s="3337"/>
    </row>
    <row r="23451" spans="7:16" s="1634" customFormat="1">
      <c r="G23451" s="3336"/>
      <c r="P23451" s="3337"/>
    </row>
    <row r="23452" spans="7:16" s="1634" customFormat="1">
      <c r="G23452" s="3336"/>
      <c r="P23452" s="3337"/>
    </row>
    <row r="23453" spans="7:16" s="1634" customFormat="1">
      <c r="G23453" s="3336"/>
      <c r="P23453" s="3337"/>
    </row>
    <row r="23454" spans="7:16" s="1634" customFormat="1">
      <c r="G23454" s="3336"/>
      <c r="P23454" s="3337"/>
    </row>
    <row r="23455" spans="7:16" s="1634" customFormat="1">
      <c r="G23455" s="3336"/>
      <c r="P23455" s="3337"/>
    </row>
    <row r="23456" spans="7:16" s="1634" customFormat="1">
      <c r="G23456" s="3336"/>
      <c r="P23456" s="3337"/>
    </row>
    <row r="23457" spans="7:16" s="1634" customFormat="1">
      <c r="G23457" s="3336"/>
      <c r="P23457" s="3337"/>
    </row>
    <row r="23458" spans="7:16" s="1634" customFormat="1">
      <c r="G23458" s="3336"/>
      <c r="P23458" s="3337"/>
    </row>
    <row r="23459" spans="7:16" s="1634" customFormat="1">
      <c r="G23459" s="3336"/>
      <c r="P23459" s="3337"/>
    </row>
    <row r="23460" spans="7:16" s="1634" customFormat="1">
      <c r="G23460" s="3336"/>
      <c r="P23460" s="3337"/>
    </row>
    <row r="23461" spans="7:16" s="1634" customFormat="1">
      <c r="G23461" s="3336"/>
      <c r="P23461" s="3337"/>
    </row>
    <row r="23462" spans="7:16" s="1634" customFormat="1">
      <c r="G23462" s="3336"/>
      <c r="P23462" s="3337"/>
    </row>
    <row r="23463" spans="7:16" s="1634" customFormat="1">
      <c r="G23463" s="3336"/>
      <c r="P23463" s="3337"/>
    </row>
    <row r="23464" spans="7:16" s="1634" customFormat="1">
      <c r="G23464" s="3336"/>
      <c r="P23464" s="3337"/>
    </row>
    <row r="23465" spans="7:16" s="1634" customFormat="1">
      <c r="G23465" s="3336"/>
      <c r="P23465" s="3337"/>
    </row>
    <row r="23466" spans="7:16" s="1634" customFormat="1">
      <c r="G23466" s="3336"/>
      <c r="P23466" s="3337"/>
    </row>
    <row r="23467" spans="7:16" s="1634" customFormat="1">
      <c r="G23467" s="3336"/>
      <c r="P23467" s="3337"/>
    </row>
    <row r="23468" spans="7:16" s="1634" customFormat="1">
      <c r="G23468" s="3336"/>
      <c r="P23468" s="3337"/>
    </row>
    <row r="23469" spans="7:16" s="1634" customFormat="1">
      <c r="G23469" s="3336"/>
      <c r="P23469" s="3337"/>
    </row>
    <row r="23470" spans="7:16" s="1634" customFormat="1">
      <c r="G23470" s="3336"/>
      <c r="P23470" s="3337"/>
    </row>
    <row r="23471" spans="7:16" s="1634" customFormat="1">
      <c r="G23471" s="3336"/>
      <c r="P23471" s="3337"/>
    </row>
    <row r="23472" spans="7:16" s="1634" customFormat="1">
      <c r="G23472" s="3336"/>
      <c r="P23472" s="3337"/>
    </row>
    <row r="23473" spans="7:16" s="1634" customFormat="1">
      <c r="G23473" s="3336"/>
      <c r="P23473" s="3337"/>
    </row>
    <row r="23474" spans="7:16" s="1634" customFormat="1">
      <c r="G23474" s="3336"/>
      <c r="P23474" s="3337"/>
    </row>
    <row r="23475" spans="7:16" s="1634" customFormat="1">
      <c r="G23475" s="3336"/>
      <c r="P23475" s="3337"/>
    </row>
    <row r="23476" spans="7:16" s="1634" customFormat="1">
      <c r="G23476" s="3336"/>
      <c r="P23476" s="3337"/>
    </row>
    <row r="23477" spans="7:16" s="1634" customFormat="1">
      <c r="G23477" s="3336"/>
      <c r="P23477" s="3337"/>
    </row>
    <row r="23478" spans="7:16" s="1634" customFormat="1">
      <c r="G23478" s="3336"/>
      <c r="P23478" s="3337"/>
    </row>
    <row r="23479" spans="7:16" s="1634" customFormat="1">
      <c r="G23479" s="3336"/>
      <c r="P23479" s="3337"/>
    </row>
    <row r="23480" spans="7:16" s="1634" customFormat="1">
      <c r="G23480" s="3336"/>
      <c r="P23480" s="3337"/>
    </row>
    <row r="23481" spans="7:16" s="1634" customFormat="1">
      <c r="G23481" s="3336"/>
      <c r="P23481" s="3337"/>
    </row>
    <row r="23482" spans="7:16" s="1634" customFormat="1">
      <c r="G23482" s="3336"/>
      <c r="P23482" s="3337"/>
    </row>
    <row r="23483" spans="7:16" s="1634" customFormat="1">
      <c r="G23483" s="3336"/>
      <c r="P23483" s="3337"/>
    </row>
    <row r="23484" spans="7:16" s="1634" customFormat="1">
      <c r="G23484" s="3336"/>
      <c r="P23484" s="3337"/>
    </row>
    <row r="23485" spans="7:16" s="1634" customFormat="1">
      <c r="G23485" s="3336"/>
      <c r="P23485" s="3337"/>
    </row>
    <row r="23486" spans="7:16" s="1634" customFormat="1">
      <c r="G23486" s="3336"/>
      <c r="P23486" s="3337"/>
    </row>
    <row r="23487" spans="7:16" s="1634" customFormat="1">
      <c r="G23487" s="3336"/>
      <c r="P23487" s="3337"/>
    </row>
    <row r="23488" spans="7:16" s="1634" customFormat="1">
      <c r="G23488" s="3336"/>
      <c r="P23488" s="3337"/>
    </row>
    <row r="23489" spans="7:16" s="1634" customFormat="1">
      <c r="G23489" s="3336"/>
      <c r="P23489" s="3337"/>
    </row>
    <row r="23490" spans="7:16" s="1634" customFormat="1">
      <c r="G23490" s="3336"/>
      <c r="P23490" s="3337"/>
    </row>
    <row r="23491" spans="7:16" s="1634" customFormat="1">
      <c r="G23491" s="3336"/>
      <c r="P23491" s="3337"/>
    </row>
    <row r="23492" spans="7:16" s="1634" customFormat="1">
      <c r="G23492" s="3336"/>
      <c r="P23492" s="3337"/>
    </row>
    <row r="23493" spans="7:16" s="1634" customFormat="1">
      <c r="G23493" s="3336"/>
      <c r="P23493" s="3337"/>
    </row>
    <row r="23494" spans="7:16" s="1634" customFormat="1">
      <c r="G23494" s="3336"/>
      <c r="P23494" s="3337"/>
    </row>
    <row r="23495" spans="7:16" s="1634" customFormat="1">
      <c r="G23495" s="3336"/>
      <c r="P23495" s="3337"/>
    </row>
    <row r="23496" spans="7:16" s="1634" customFormat="1">
      <c r="G23496" s="3336"/>
      <c r="P23496" s="3337"/>
    </row>
    <row r="23497" spans="7:16" s="1634" customFormat="1">
      <c r="G23497" s="3336"/>
      <c r="P23497" s="3337"/>
    </row>
    <row r="23498" spans="7:16" s="1634" customFormat="1">
      <c r="G23498" s="3336"/>
      <c r="P23498" s="3337"/>
    </row>
    <row r="23499" spans="7:16" s="1634" customFormat="1">
      <c r="G23499" s="3336"/>
      <c r="P23499" s="3337"/>
    </row>
    <row r="23500" spans="7:16" s="1634" customFormat="1">
      <c r="G23500" s="3336"/>
      <c r="P23500" s="3337"/>
    </row>
    <row r="23501" spans="7:16" s="1634" customFormat="1">
      <c r="G23501" s="3336"/>
      <c r="P23501" s="3337"/>
    </row>
    <row r="23502" spans="7:16" s="1634" customFormat="1">
      <c r="G23502" s="3336"/>
      <c r="P23502" s="3337"/>
    </row>
    <row r="23503" spans="7:16" s="1634" customFormat="1">
      <c r="G23503" s="3336"/>
      <c r="P23503" s="3337"/>
    </row>
    <row r="23504" spans="7:16" s="1634" customFormat="1">
      <c r="G23504" s="3336"/>
      <c r="P23504" s="3337"/>
    </row>
    <row r="23505" spans="7:16" s="1634" customFormat="1">
      <c r="G23505" s="3336"/>
      <c r="P23505" s="3337"/>
    </row>
    <row r="23506" spans="7:16" s="1634" customFormat="1">
      <c r="G23506" s="3336"/>
      <c r="P23506" s="3337"/>
    </row>
    <row r="23507" spans="7:16" s="1634" customFormat="1">
      <c r="G23507" s="3336"/>
      <c r="P23507" s="3337"/>
    </row>
    <row r="23508" spans="7:16" s="1634" customFormat="1">
      <c r="G23508" s="3336"/>
      <c r="P23508" s="3337"/>
    </row>
    <row r="23509" spans="7:16" s="1634" customFormat="1">
      <c r="G23509" s="3336"/>
      <c r="P23509" s="3337"/>
    </row>
    <row r="23510" spans="7:16" s="1634" customFormat="1">
      <c r="G23510" s="3336"/>
      <c r="P23510" s="3337"/>
    </row>
    <row r="23511" spans="7:16" s="1634" customFormat="1">
      <c r="G23511" s="3336"/>
      <c r="P23511" s="3337"/>
    </row>
    <row r="23512" spans="7:16" s="1634" customFormat="1">
      <c r="G23512" s="3336"/>
      <c r="P23512" s="3337"/>
    </row>
    <row r="23513" spans="7:16" s="1634" customFormat="1">
      <c r="G23513" s="3336"/>
      <c r="P23513" s="3337"/>
    </row>
    <row r="23514" spans="7:16" s="1634" customFormat="1">
      <c r="G23514" s="3336"/>
      <c r="P23514" s="3337"/>
    </row>
    <row r="23515" spans="7:16" s="1634" customFormat="1">
      <c r="G23515" s="3336"/>
      <c r="P23515" s="3337"/>
    </row>
    <row r="23516" spans="7:16" s="1634" customFormat="1">
      <c r="G23516" s="3336"/>
      <c r="P23516" s="3337"/>
    </row>
    <row r="23517" spans="7:16" s="1634" customFormat="1">
      <c r="G23517" s="3336"/>
      <c r="P23517" s="3337"/>
    </row>
    <row r="23518" spans="7:16" s="1634" customFormat="1">
      <c r="G23518" s="3336"/>
      <c r="P23518" s="3337"/>
    </row>
    <row r="23519" spans="7:16" s="1634" customFormat="1">
      <c r="G23519" s="3336"/>
      <c r="P23519" s="3337"/>
    </row>
    <row r="23520" spans="7:16" s="1634" customFormat="1">
      <c r="G23520" s="3336"/>
      <c r="P23520" s="3337"/>
    </row>
    <row r="23521" spans="7:16" s="1634" customFormat="1">
      <c r="G23521" s="3336"/>
      <c r="P23521" s="3337"/>
    </row>
    <row r="23522" spans="7:16" s="1634" customFormat="1">
      <c r="G23522" s="3336"/>
      <c r="P23522" s="3337"/>
    </row>
    <row r="23523" spans="7:16" s="1634" customFormat="1">
      <c r="G23523" s="3336"/>
      <c r="P23523" s="3337"/>
    </row>
    <row r="23524" spans="7:16" s="1634" customFormat="1">
      <c r="G23524" s="3336"/>
      <c r="P23524" s="3337"/>
    </row>
    <row r="23525" spans="7:16" s="1634" customFormat="1">
      <c r="G23525" s="3336"/>
      <c r="P23525" s="3337"/>
    </row>
    <row r="23526" spans="7:16" s="1634" customFormat="1">
      <c r="G23526" s="3336"/>
      <c r="P23526" s="3337"/>
    </row>
    <row r="23527" spans="7:16" s="1634" customFormat="1">
      <c r="G23527" s="3336"/>
      <c r="P23527" s="3337"/>
    </row>
    <row r="23528" spans="7:16" s="1634" customFormat="1">
      <c r="G23528" s="3336"/>
      <c r="P23528" s="3337"/>
    </row>
    <row r="23529" spans="7:16" s="1634" customFormat="1">
      <c r="G23529" s="3336"/>
      <c r="P23529" s="3337"/>
    </row>
    <row r="23530" spans="7:16" s="1634" customFormat="1">
      <c r="G23530" s="3336"/>
      <c r="P23530" s="3337"/>
    </row>
    <row r="23531" spans="7:16" s="1634" customFormat="1">
      <c r="G23531" s="3336"/>
      <c r="P23531" s="3337"/>
    </row>
    <row r="23532" spans="7:16" s="1634" customFormat="1">
      <c r="G23532" s="3336"/>
      <c r="P23532" s="3337"/>
    </row>
    <row r="23533" spans="7:16" s="1634" customFormat="1">
      <c r="G23533" s="3336"/>
      <c r="P23533" s="3337"/>
    </row>
    <row r="23534" spans="7:16" s="1634" customFormat="1">
      <c r="G23534" s="3336"/>
      <c r="P23534" s="3337"/>
    </row>
    <row r="23535" spans="7:16" s="1634" customFormat="1">
      <c r="G23535" s="3336"/>
      <c r="P23535" s="3337"/>
    </row>
    <row r="23536" spans="7:16" s="1634" customFormat="1">
      <c r="G23536" s="3336"/>
      <c r="P23536" s="3337"/>
    </row>
    <row r="23537" spans="7:16" s="1634" customFormat="1">
      <c r="G23537" s="3336"/>
      <c r="P23537" s="3337"/>
    </row>
    <row r="23538" spans="7:16" s="1634" customFormat="1">
      <c r="G23538" s="3336"/>
      <c r="P23538" s="3337"/>
    </row>
    <row r="23539" spans="7:16" s="1634" customFormat="1">
      <c r="G23539" s="3336"/>
      <c r="P23539" s="3337"/>
    </row>
    <row r="23540" spans="7:16" s="1634" customFormat="1">
      <c r="G23540" s="3336"/>
      <c r="P23540" s="3337"/>
    </row>
    <row r="23541" spans="7:16" s="1634" customFormat="1">
      <c r="G23541" s="3336"/>
      <c r="P23541" s="3337"/>
    </row>
    <row r="23542" spans="7:16" s="1634" customFormat="1">
      <c r="G23542" s="3336"/>
      <c r="P23542" s="3337"/>
    </row>
    <row r="23543" spans="7:16" s="1634" customFormat="1">
      <c r="G23543" s="3336"/>
      <c r="P23543" s="3337"/>
    </row>
    <row r="23544" spans="7:16" s="1634" customFormat="1">
      <c r="G23544" s="3336"/>
      <c r="P23544" s="3337"/>
    </row>
    <row r="23545" spans="7:16" s="1634" customFormat="1">
      <c r="G23545" s="3336"/>
      <c r="P23545" s="3337"/>
    </row>
    <row r="23546" spans="7:16" s="1634" customFormat="1">
      <c r="G23546" s="3336"/>
      <c r="P23546" s="3337"/>
    </row>
    <row r="23547" spans="7:16" s="1634" customFormat="1">
      <c r="G23547" s="3336"/>
      <c r="P23547" s="3337"/>
    </row>
    <row r="23548" spans="7:16" s="1634" customFormat="1">
      <c r="G23548" s="3336"/>
      <c r="P23548" s="3337"/>
    </row>
    <row r="23549" spans="7:16" s="1634" customFormat="1">
      <c r="G23549" s="3336"/>
      <c r="P23549" s="3337"/>
    </row>
    <row r="23550" spans="7:16" s="1634" customFormat="1">
      <c r="G23550" s="3336"/>
      <c r="P23550" s="3337"/>
    </row>
    <row r="23551" spans="7:16" s="1634" customFormat="1">
      <c r="G23551" s="3336"/>
      <c r="P23551" s="3337"/>
    </row>
    <row r="23552" spans="7:16" s="1634" customFormat="1">
      <c r="G23552" s="3336"/>
      <c r="P23552" s="3337"/>
    </row>
    <row r="23553" spans="7:16" s="1634" customFormat="1">
      <c r="G23553" s="3336"/>
      <c r="P23553" s="3337"/>
    </row>
    <row r="23554" spans="7:16" s="1634" customFormat="1">
      <c r="G23554" s="3336"/>
      <c r="P23554" s="3337"/>
    </row>
    <row r="23555" spans="7:16" s="1634" customFormat="1">
      <c r="G23555" s="3336"/>
      <c r="P23555" s="3337"/>
    </row>
    <row r="23556" spans="7:16" s="1634" customFormat="1">
      <c r="G23556" s="3336"/>
      <c r="P23556" s="3337"/>
    </row>
    <row r="23557" spans="7:16" s="1634" customFormat="1">
      <c r="G23557" s="3336"/>
      <c r="P23557" s="3337"/>
    </row>
    <row r="23558" spans="7:16" s="1634" customFormat="1">
      <c r="G23558" s="3336"/>
      <c r="P23558" s="3337"/>
    </row>
    <row r="23559" spans="7:16" s="1634" customFormat="1">
      <c r="G23559" s="3336"/>
      <c r="P23559" s="3337"/>
    </row>
    <row r="23560" spans="7:16" s="1634" customFormat="1">
      <c r="G23560" s="3336"/>
      <c r="P23560" s="3337"/>
    </row>
    <row r="23561" spans="7:16" s="1634" customFormat="1">
      <c r="G23561" s="3336"/>
      <c r="P23561" s="3337"/>
    </row>
    <row r="23562" spans="7:16" s="1634" customFormat="1">
      <c r="G23562" s="3336"/>
      <c r="P23562" s="3337"/>
    </row>
    <row r="23563" spans="7:16" s="1634" customFormat="1">
      <c r="G23563" s="3336"/>
      <c r="P23563" s="3337"/>
    </row>
    <row r="23564" spans="7:16" s="1634" customFormat="1">
      <c r="G23564" s="3336"/>
      <c r="P23564" s="3337"/>
    </row>
    <row r="23565" spans="7:16" s="1634" customFormat="1">
      <c r="G23565" s="3336"/>
      <c r="P23565" s="3337"/>
    </row>
    <row r="23566" spans="7:16" s="1634" customFormat="1">
      <c r="G23566" s="3336"/>
      <c r="P23566" s="3337"/>
    </row>
    <row r="23567" spans="7:16" s="1634" customFormat="1">
      <c r="G23567" s="3336"/>
      <c r="P23567" s="3337"/>
    </row>
    <row r="23568" spans="7:16" s="1634" customFormat="1">
      <c r="G23568" s="3336"/>
      <c r="P23568" s="3337"/>
    </row>
    <row r="23569" spans="7:16" s="1634" customFormat="1">
      <c r="G23569" s="3336"/>
      <c r="P23569" s="3337"/>
    </row>
    <row r="23570" spans="7:16" s="1634" customFormat="1">
      <c r="G23570" s="3336"/>
      <c r="P23570" s="3337"/>
    </row>
    <row r="23571" spans="7:16" s="1634" customFormat="1">
      <c r="G23571" s="3336"/>
      <c r="P23571" s="3337"/>
    </row>
    <row r="23572" spans="7:16" s="1634" customFormat="1">
      <c r="G23572" s="3336"/>
      <c r="P23572" s="3337"/>
    </row>
    <row r="23573" spans="7:16" s="1634" customFormat="1">
      <c r="G23573" s="3336"/>
      <c r="P23573" s="3337"/>
    </row>
    <row r="23574" spans="7:16" s="1634" customFormat="1">
      <c r="G23574" s="3336"/>
      <c r="P23574" s="3337"/>
    </row>
    <row r="23575" spans="7:16" s="1634" customFormat="1">
      <c r="G23575" s="3336"/>
      <c r="P23575" s="3337"/>
    </row>
    <row r="23576" spans="7:16" s="1634" customFormat="1">
      <c r="G23576" s="3336"/>
      <c r="P23576" s="3337"/>
    </row>
    <row r="23577" spans="7:16" s="1634" customFormat="1">
      <c r="G23577" s="3336"/>
      <c r="P23577" s="3337"/>
    </row>
    <row r="23578" spans="7:16" s="1634" customFormat="1">
      <c r="G23578" s="3336"/>
      <c r="P23578" s="3337"/>
    </row>
    <row r="23579" spans="7:16" s="1634" customFormat="1">
      <c r="G23579" s="3336"/>
      <c r="P23579" s="3337"/>
    </row>
    <row r="23580" spans="7:16" s="1634" customFormat="1">
      <c r="G23580" s="3336"/>
      <c r="P23580" s="3337"/>
    </row>
    <row r="23581" spans="7:16" s="1634" customFormat="1">
      <c r="G23581" s="3336"/>
      <c r="P23581" s="3337"/>
    </row>
    <row r="23582" spans="7:16" s="1634" customFormat="1">
      <c r="G23582" s="3336"/>
      <c r="P23582" s="3337"/>
    </row>
    <row r="23583" spans="7:16" s="1634" customFormat="1">
      <c r="G23583" s="3336"/>
      <c r="P23583" s="3337"/>
    </row>
    <row r="23584" spans="7:16" s="1634" customFormat="1">
      <c r="G23584" s="3336"/>
      <c r="P23584" s="3337"/>
    </row>
    <row r="23585" spans="7:16" s="1634" customFormat="1">
      <c r="G23585" s="3336"/>
      <c r="P23585" s="3337"/>
    </row>
    <row r="23586" spans="7:16" s="1634" customFormat="1">
      <c r="G23586" s="3336"/>
      <c r="P23586" s="3337"/>
    </row>
    <row r="23587" spans="7:16" s="1634" customFormat="1">
      <c r="G23587" s="3336"/>
      <c r="P23587" s="3337"/>
    </row>
    <row r="23588" spans="7:16" s="1634" customFormat="1">
      <c r="G23588" s="3336"/>
      <c r="P23588" s="3337"/>
    </row>
    <row r="23589" spans="7:16" s="1634" customFormat="1">
      <c r="G23589" s="3336"/>
      <c r="P23589" s="3337"/>
    </row>
    <row r="23590" spans="7:16" s="1634" customFormat="1">
      <c r="G23590" s="3336"/>
      <c r="P23590" s="3337"/>
    </row>
    <row r="23591" spans="7:16" s="1634" customFormat="1">
      <c r="G23591" s="3336"/>
      <c r="P23591" s="3337"/>
    </row>
    <row r="23592" spans="7:16" s="1634" customFormat="1">
      <c r="G23592" s="3336"/>
      <c r="P23592" s="3337"/>
    </row>
    <row r="23593" spans="7:16" s="1634" customFormat="1">
      <c r="G23593" s="3336"/>
      <c r="P23593" s="3337"/>
    </row>
    <row r="23594" spans="7:16" s="1634" customFormat="1">
      <c r="G23594" s="3336"/>
      <c r="P23594" s="3337"/>
    </row>
    <row r="23595" spans="7:16" s="1634" customFormat="1">
      <c r="G23595" s="3336"/>
      <c r="P23595" s="3337"/>
    </row>
    <row r="23596" spans="7:16" s="1634" customFormat="1">
      <c r="G23596" s="3336"/>
      <c r="P23596" s="3337"/>
    </row>
    <row r="23597" spans="7:16" s="1634" customFormat="1">
      <c r="G23597" s="3336"/>
      <c r="P23597" s="3337"/>
    </row>
    <row r="23598" spans="7:16" s="1634" customFormat="1">
      <c r="G23598" s="3336"/>
      <c r="P23598" s="3337"/>
    </row>
    <row r="23599" spans="7:16" s="1634" customFormat="1">
      <c r="G23599" s="3336"/>
      <c r="P23599" s="3337"/>
    </row>
    <row r="23600" spans="7:16" s="1634" customFormat="1">
      <c r="G23600" s="3336"/>
      <c r="P23600" s="3337"/>
    </row>
    <row r="23601" spans="7:16" s="1634" customFormat="1">
      <c r="G23601" s="3336"/>
      <c r="P23601" s="3337"/>
    </row>
    <row r="23602" spans="7:16" s="1634" customFormat="1">
      <c r="G23602" s="3336"/>
      <c r="P23602" s="3337"/>
    </row>
    <row r="23603" spans="7:16" s="1634" customFormat="1">
      <c r="G23603" s="3336"/>
      <c r="P23603" s="3337"/>
    </row>
    <row r="23604" spans="7:16" s="1634" customFormat="1">
      <c r="G23604" s="3336"/>
      <c r="P23604" s="3337"/>
    </row>
    <row r="23605" spans="7:16" s="1634" customFormat="1">
      <c r="G23605" s="3336"/>
      <c r="P23605" s="3337"/>
    </row>
    <row r="23606" spans="7:16" s="1634" customFormat="1">
      <c r="G23606" s="3336"/>
      <c r="P23606" s="3337"/>
    </row>
    <row r="23607" spans="7:16" s="1634" customFormat="1">
      <c r="G23607" s="3336"/>
      <c r="P23607" s="3337"/>
    </row>
    <row r="23608" spans="7:16" s="1634" customFormat="1">
      <c r="G23608" s="3336"/>
      <c r="P23608" s="3337"/>
    </row>
    <row r="23609" spans="7:16" s="1634" customFormat="1">
      <c r="G23609" s="3336"/>
      <c r="P23609" s="3337"/>
    </row>
    <row r="23610" spans="7:16" s="1634" customFormat="1">
      <c r="G23610" s="3336"/>
      <c r="P23610" s="3337"/>
    </row>
    <row r="23611" spans="7:16" s="1634" customFormat="1">
      <c r="G23611" s="3336"/>
      <c r="P23611" s="3337"/>
    </row>
    <row r="23612" spans="7:16" s="1634" customFormat="1">
      <c r="G23612" s="3336"/>
      <c r="P23612" s="3337"/>
    </row>
    <row r="23613" spans="7:16" s="1634" customFormat="1">
      <c r="G23613" s="3336"/>
      <c r="P23613" s="3337"/>
    </row>
    <row r="23614" spans="7:16" s="1634" customFormat="1">
      <c r="G23614" s="3336"/>
      <c r="P23614" s="3337"/>
    </row>
    <row r="23615" spans="7:16" s="1634" customFormat="1">
      <c r="G23615" s="3336"/>
      <c r="P23615" s="3337"/>
    </row>
    <row r="23616" spans="7:16" s="1634" customFormat="1">
      <c r="G23616" s="3336"/>
      <c r="P23616" s="3337"/>
    </row>
    <row r="23617" spans="7:16" s="1634" customFormat="1">
      <c r="G23617" s="3336"/>
      <c r="P23617" s="3337"/>
    </row>
    <row r="23618" spans="7:16" s="1634" customFormat="1">
      <c r="G23618" s="3336"/>
      <c r="P23618" s="3337"/>
    </row>
    <row r="23619" spans="7:16" s="1634" customFormat="1">
      <c r="G23619" s="3336"/>
      <c r="P23619" s="3337"/>
    </row>
    <row r="23620" spans="7:16" s="1634" customFormat="1">
      <c r="G23620" s="3336"/>
      <c r="P23620" s="3337"/>
    </row>
    <row r="23621" spans="7:16" s="1634" customFormat="1">
      <c r="G23621" s="3336"/>
      <c r="P23621" s="3337"/>
    </row>
    <row r="23622" spans="7:16" s="1634" customFormat="1">
      <c r="G23622" s="3336"/>
      <c r="P23622" s="3337"/>
    </row>
    <row r="23623" spans="7:16" s="1634" customFormat="1">
      <c r="G23623" s="3336"/>
      <c r="P23623" s="3337"/>
    </row>
    <row r="23624" spans="7:16" s="1634" customFormat="1">
      <c r="G23624" s="3336"/>
      <c r="P23624" s="3337"/>
    </row>
    <row r="23625" spans="7:16" s="1634" customFormat="1">
      <c r="G23625" s="3336"/>
      <c r="P23625" s="3337"/>
    </row>
    <row r="23626" spans="7:16" s="1634" customFormat="1">
      <c r="G23626" s="3336"/>
      <c r="P23626" s="3337"/>
    </row>
    <row r="23627" spans="7:16" s="1634" customFormat="1">
      <c r="G23627" s="3336"/>
      <c r="P23627" s="3337"/>
    </row>
    <row r="23628" spans="7:16" s="1634" customFormat="1">
      <c r="G23628" s="3336"/>
      <c r="P23628" s="3337"/>
    </row>
    <row r="23629" spans="7:16" s="1634" customFormat="1">
      <c r="G23629" s="3336"/>
      <c r="P23629" s="3337"/>
    </row>
    <row r="23630" spans="7:16" s="1634" customFormat="1">
      <c r="G23630" s="3336"/>
      <c r="P23630" s="3337"/>
    </row>
    <row r="23631" spans="7:16" s="1634" customFormat="1">
      <c r="G23631" s="3336"/>
      <c r="P23631" s="3337"/>
    </row>
    <row r="23632" spans="7:16" s="1634" customFormat="1">
      <c r="G23632" s="3336"/>
      <c r="P23632" s="3337"/>
    </row>
    <row r="23633" spans="7:16" s="1634" customFormat="1">
      <c r="G23633" s="3336"/>
      <c r="P23633" s="3337"/>
    </row>
    <row r="23634" spans="7:16" s="1634" customFormat="1">
      <c r="G23634" s="3336"/>
      <c r="P23634" s="3337"/>
    </row>
    <row r="23635" spans="7:16" s="1634" customFormat="1">
      <c r="G23635" s="3336"/>
      <c r="P23635" s="3337"/>
    </row>
    <row r="23636" spans="7:16" s="1634" customFormat="1">
      <c r="G23636" s="3336"/>
      <c r="P23636" s="3337"/>
    </row>
    <row r="23637" spans="7:16" s="1634" customFormat="1">
      <c r="G23637" s="3336"/>
      <c r="P23637" s="3337"/>
    </row>
    <row r="23638" spans="7:16" s="1634" customFormat="1">
      <c r="G23638" s="3336"/>
      <c r="P23638" s="3337"/>
    </row>
    <row r="23639" spans="7:16" s="1634" customFormat="1">
      <c r="G23639" s="3336"/>
      <c r="P23639" s="3337"/>
    </row>
    <row r="23640" spans="7:16" s="1634" customFormat="1">
      <c r="G23640" s="3336"/>
      <c r="P23640" s="3337"/>
    </row>
    <row r="23641" spans="7:16" s="1634" customFormat="1">
      <c r="G23641" s="3336"/>
      <c r="P23641" s="3337"/>
    </row>
    <row r="23642" spans="7:16" s="1634" customFormat="1">
      <c r="G23642" s="3336"/>
      <c r="P23642" s="3337"/>
    </row>
    <row r="23643" spans="7:16" s="1634" customFormat="1">
      <c r="G23643" s="3336"/>
      <c r="P23643" s="3337"/>
    </row>
    <row r="23644" spans="7:16" s="1634" customFormat="1">
      <c r="G23644" s="3336"/>
      <c r="P23644" s="3337"/>
    </row>
    <row r="23645" spans="7:16" s="1634" customFormat="1">
      <c r="G23645" s="3336"/>
      <c r="P23645" s="3337"/>
    </row>
    <row r="23646" spans="7:16" s="1634" customFormat="1">
      <c r="G23646" s="3336"/>
      <c r="P23646" s="3337"/>
    </row>
    <row r="23647" spans="7:16" s="1634" customFormat="1">
      <c r="G23647" s="3336"/>
      <c r="P23647" s="3337"/>
    </row>
    <row r="23648" spans="7:16" s="1634" customFormat="1">
      <c r="G23648" s="3336"/>
      <c r="P23648" s="3337"/>
    </row>
    <row r="23649" spans="7:16" s="1634" customFormat="1">
      <c r="G23649" s="3336"/>
      <c r="P23649" s="3337"/>
    </row>
    <row r="23650" spans="7:16" s="1634" customFormat="1">
      <c r="G23650" s="3336"/>
      <c r="P23650" s="3337"/>
    </row>
    <row r="23651" spans="7:16" s="1634" customFormat="1">
      <c r="G23651" s="3336"/>
      <c r="P23651" s="3337"/>
    </row>
    <row r="23652" spans="7:16" s="1634" customFormat="1">
      <c r="G23652" s="3336"/>
      <c r="P23652" s="3337"/>
    </row>
    <row r="23653" spans="7:16" s="1634" customFormat="1">
      <c r="G23653" s="3336"/>
      <c r="P23653" s="3337"/>
    </row>
    <row r="23654" spans="7:16" s="1634" customFormat="1">
      <c r="G23654" s="3336"/>
      <c r="P23654" s="3337"/>
    </row>
    <row r="23655" spans="7:16" s="1634" customFormat="1">
      <c r="G23655" s="3336"/>
      <c r="P23655" s="3337"/>
    </row>
    <row r="23656" spans="7:16" s="1634" customFormat="1">
      <c r="G23656" s="3336"/>
      <c r="P23656" s="3337"/>
    </row>
    <row r="23657" spans="7:16" s="1634" customFormat="1">
      <c r="G23657" s="3336"/>
      <c r="P23657" s="3337"/>
    </row>
    <row r="23658" spans="7:16" s="1634" customFormat="1">
      <c r="G23658" s="3336"/>
      <c r="P23658" s="3337"/>
    </row>
    <row r="23659" spans="7:16" s="1634" customFormat="1">
      <c r="G23659" s="3336"/>
      <c r="P23659" s="3337"/>
    </row>
    <row r="23660" spans="7:16" s="1634" customFormat="1">
      <c r="G23660" s="3336"/>
      <c r="P23660" s="3337"/>
    </row>
    <row r="23661" spans="7:16" s="1634" customFormat="1">
      <c r="G23661" s="3336"/>
      <c r="P23661" s="3337"/>
    </row>
    <row r="23662" spans="7:16" s="1634" customFormat="1">
      <c r="G23662" s="3336"/>
      <c r="P23662" s="3337"/>
    </row>
    <row r="23663" spans="7:16" s="1634" customFormat="1">
      <c r="G23663" s="3336"/>
      <c r="P23663" s="3337"/>
    </row>
    <row r="23664" spans="7:16" s="1634" customFormat="1">
      <c r="G23664" s="3336"/>
      <c r="P23664" s="3337"/>
    </row>
    <row r="23665" spans="7:16" s="1634" customFormat="1">
      <c r="G23665" s="3336"/>
      <c r="P23665" s="3337"/>
    </row>
    <row r="23666" spans="7:16" s="1634" customFormat="1">
      <c r="G23666" s="3336"/>
      <c r="P23666" s="3337"/>
    </row>
    <row r="23667" spans="7:16" s="1634" customFormat="1">
      <c r="G23667" s="3336"/>
      <c r="P23667" s="3337"/>
    </row>
    <row r="23668" spans="7:16" s="1634" customFormat="1">
      <c r="G23668" s="3336"/>
      <c r="P23668" s="3337"/>
    </row>
    <row r="23669" spans="7:16" s="1634" customFormat="1">
      <c r="G23669" s="3336"/>
      <c r="P23669" s="3337"/>
    </row>
    <row r="23670" spans="7:16" s="1634" customFormat="1">
      <c r="G23670" s="3336"/>
      <c r="P23670" s="3337"/>
    </row>
    <row r="23671" spans="7:16" s="1634" customFormat="1">
      <c r="G23671" s="3336"/>
      <c r="P23671" s="3337"/>
    </row>
    <row r="23672" spans="7:16" s="1634" customFormat="1">
      <c r="G23672" s="3336"/>
      <c r="P23672" s="3337"/>
    </row>
    <row r="23673" spans="7:16" s="1634" customFormat="1">
      <c r="G23673" s="3336"/>
      <c r="P23673" s="3337"/>
    </row>
    <row r="23674" spans="7:16" s="1634" customFormat="1">
      <c r="G23674" s="3336"/>
      <c r="P23674" s="3337"/>
    </row>
    <row r="23675" spans="7:16" s="1634" customFormat="1">
      <c r="G23675" s="3336"/>
      <c r="P23675" s="3337"/>
    </row>
    <row r="23676" spans="7:16" s="1634" customFormat="1">
      <c r="G23676" s="3336"/>
      <c r="P23676" s="3337"/>
    </row>
    <row r="23677" spans="7:16" s="1634" customFormat="1">
      <c r="G23677" s="3336"/>
      <c r="P23677" s="3337"/>
    </row>
    <row r="23678" spans="7:16" s="1634" customFormat="1">
      <c r="G23678" s="3336"/>
      <c r="P23678" s="3337"/>
    </row>
    <row r="23679" spans="7:16" s="1634" customFormat="1">
      <c r="G23679" s="3336"/>
      <c r="P23679" s="3337"/>
    </row>
    <row r="23680" spans="7:16" s="1634" customFormat="1">
      <c r="G23680" s="3336"/>
      <c r="P23680" s="3337"/>
    </row>
    <row r="23681" spans="7:16" s="1634" customFormat="1">
      <c r="G23681" s="3336"/>
      <c r="P23681" s="3337"/>
    </row>
    <row r="23682" spans="7:16" s="1634" customFormat="1">
      <c r="G23682" s="3336"/>
      <c r="P23682" s="3337"/>
    </row>
    <row r="23683" spans="7:16" s="1634" customFormat="1">
      <c r="G23683" s="3336"/>
      <c r="P23683" s="3337"/>
    </row>
    <row r="23684" spans="7:16" s="1634" customFormat="1">
      <c r="G23684" s="3336"/>
      <c r="P23684" s="3337"/>
    </row>
    <row r="23685" spans="7:16" s="1634" customFormat="1">
      <c r="G23685" s="3336"/>
      <c r="P23685" s="3337"/>
    </row>
    <row r="23686" spans="7:16" s="1634" customFormat="1">
      <c r="G23686" s="3336"/>
      <c r="P23686" s="3337"/>
    </row>
    <row r="23687" spans="7:16" s="1634" customFormat="1">
      <c r="G23687" s="3336"/>
      <c r="P23687" s="3337"/>
    </row>
    <row r="23688" spans="7:16" s="1634" customFormat="1">
      <c r="G23688" s="3336"/>
      <c r="P23688" s="3337"/>
    </row>
    <row r="23689" spans="7:16" s="1634" customFormat="1">
      <c r="G23689" s="3336"/>
      <c r="P23689" s="3337"/>
    </row>
    <row r="23690" spans="7:16" s="1634" customFormat="1">
      <c r="G23690" s="3336"/>
      <c r="P23690" s="3337"/>
    </row>
    <row r="23691" spans="7:16" s="1634" customFormat="1">
      <c r="G23691" s="3336"/>
      <c r="P23691" s="3337"/>
    </row>
    <row r="23692" spans="7:16" s="1634" customFormat="1">
      <c r="G23692" s="3336"/>
      <c r="P23692" s="3337"/>
    </row>
    <row r="23693" spans="7:16" s="1634" customFormat="1">
      <c r="G23693" s="3336"/>
      <c r="P23693" s="3337"/>
    </row>
    <row r="23694" spans="7:16" s="1634" customFormat="1">
      <c r="G23694" s="3336"/>
      <c r="P23694" s="3337"/>
    </row>
    <row r="23695" spans="7:16" s="1634" customFormat="1">
      <c r="G23695" s="3336"/>
      <c r="P23695" s="3337"/>
    </row>
    <row r="23696" spans="7:16" s="1634" customFormat="1">
      <c r="G23696" s="3336"/>
      <c r="P23696" s="3337"/>
    </row>
    <row r="23697" spans="7:16" s="1634" customFormat="1">
      <c r="G23697" s="3336"/>
      <c r="P23697" s="3337"/>
    </row>
    <row r="23698" spans="7:16" s="1634" customFormat="1">
      <c r="G23698" s="3336"/>
      <c r="P23698" s="3337"/>
    </row>
    <row r="23699" spans="7:16" s="1634" customFormat="1">
      <c r="G23699" s="3336"/>
      <c r="P23699" s="3337"/>
    </row>
    <row r="23700" spans="7:16" s="1634" customFormat="1">
      <c r="G23700" s="3336"/>
      <c r="P23700" s="3337"/>
    </row>
    <row r="23701" spans="7:16" s="1634" customFormat="1">
      <c r="G23701" s="3336"/>
      <c r="P23701" s="3337"/>
    </row>
    <row r="23702" spans="7:16" s="1634" customFormat="1">
      <c r="G23702" s="3336"/>
      <c r="P23702" s="3337"/>
    </row>
    <row r="23703" spans="7:16" s="1634" customFormat="1">
      <c r="G23703" s="3336"/>
      <c r="P23703" s="3337"/>
    </row>
    <row r="23704" spans="7:16" s="1634" customFormat="1">
      <c r="G23704" s="3336"/>
      <c r="P23704" s="3337"/>
    </row>
    <row r="23705" spans="7:16" s="1634" customFormat="1">
      <c r="G23705" s="3336"/>
      <c r="P23705" s="3337"/>
    </row>
    <row r="23706" spans="7:16" s="1634" customFormat="1">
      <c r="G23706" s="3336"/>
      <c r="P23706" s="3337"/>
    </row>
    <row r="23707" spans="7:16" s="1634" customFormat="1">
      <c r="G23707" s="3336"/>
      <c r="P23707" s="3337"/>
    </row>
    <row r="23708" spans="7:16" s="1634" customFormat="1">
      <c r="G23708" s="3336"/>
      <c r="P23708" s="3337"/>
    </row>
    <row r="23709" spans="7:16" s="1634" customFormat="1">
      <c r="G23709" s="3336"/>
      <c r="P23709" s="3337"/>
    </row>
    <row r="23710" spans="7:16" s="1634" customFormat="1">
      <c r="G23710" s="3336"/>
      <c r="P23710" s="3337"/>
    </row>
    <row r="23711" spans="7:16" s="1634" customFormat="1">
      <c r="G23711" s="3336"/>
      <c r="P23711" s="3337"/>
    </row>
    <row r="23712" spans="7:16" s="1634" customFormat="1">
      <c r="G23712" s="3336"/>
      <c r="P23712" s="3337"/>
    </row>
    <row r="23713" spans="7:16" s="1634" customFormat="1">
      <c r="G23713" s="3336"/>
      <c r="P23713" s="3337"/>
    </row>
    <row r="23714" spans="7:16" s="1634" customFormat="1">
      <c r="G23714" s="3336"/>
      <c r="P23714" s="3337"/>
    </row>
    <row r="23715" spans="7:16" s="1634" customFormat="1">
      <c r="G23715" s="3336"/>
      <c r="P23715" s="3337"/>
    </row>
    <row r="23716" spans="7:16" s="1634" customFormat="1">
      <c r="G23716" s="3336"/>
      <c r="P23716" s="3337"/>
    </row>
    <row r="23717" spans="7:16" s="1634" customFormat="1">
      <c r="G23717" s="3336"/>
      <c r="P23717" s="3337"/>
    </row>
    <row r="23718" spans="7:16" s="1634" customFormat="1">
      <c r="G23718" s="3336"/>
      <c r="P23718" s="3337"/>
    </row>
    <row r="23719" spans="7:16" s="1634" customFormat="1">
      <c r="G23719" s="3336"/>
      <c r="P23719" s="3337"/>
    </row>
    <row r="23720" spans="7:16" s="1634" customFormat="1">
      <c r="G23720" s="3336"/>
      <c r="P23720" s="3337"/>
    </row>
    <row r="23721" spans="7:16" s="1634" customFormat="1">
      <c r="G23721" s="3336"/>
      <c r="P23721" s="3337"/>
    </row>
    <row r="23722" spans="7:16" s="1634" customFormat="1">
      <c r="G23722" s="3336"/>
      <c r="P23722" s="3337"/>
    </row>
    <row r="23723" spans="7:16" s="1634" customFormat="1">
      <c r="G23723" s="3336"/>
      <c r="P23723" s="3337"/>
    </row>
    <row r="23724" spans="7:16" s="1634" customFormat="1">
      <c r="G23724" s="3336"/>
      <c r="P23724" s="3337"/>
    </row>
    <row r="23725" spans="7:16" s="1634" customFormat="1">
      <c r="G23725" s="3336"/>
      <c r="P23725" s="3337"/>
    </row>
    <row r="23726" spans="7:16" s="1634" customFormat="1">
      <c r="G23726" s="3336"/>
      <c r="P23726" s="3337"/>
    </row>
    <row r="23727" spans="7:16" s="1634" customFormat="1">
      <c r="G23727" s="3336"/>
      <c r="P23727" s="3337"/>
    </row>
    <row r="23728" spans="7:16" s="1634" customFormat="1">
      <c r="G23728" s="3336"/>
      <c r="P23728" s="3337"/>
    </row>
    <row r="23729" spans="7:16" s="1634" customFormat="1">
      <c r="G23729" s="3336"/>
      <c r="P23729" s="3337"/>
    </row>
    <row r="23730" spans="7:16" s="1634" customFormat="1">
      <c r="G23730" s="3336"/>
      <c r="P23730" s="3337"/>
    </row>
    <row r="23731" spans="7:16" s="1634" customFormat="1">
      <c r="G23731" s="3336"/>
      <c r="P23731" s="3337"/>
    </row>
    <row r="23732" spans="7:16" s="1634" customFormat="1">
      <c r="G23732" s="3336"/>
      <c r="P23732" s="3337"/>
    </row>
    <row r="23733" spans="7:16" s="1634" customFormat="1">
      <c r="G23733" s="3336"/>
      <c r="P23733" s="3337"/>
    </row>
    <row r="23734" spans="7:16" s="1634" customFormat="1">
      <c r="G23734" s="3336"/>
      <c r="P23734" s="3337"/>
    </row>
    <row r="23735" spans="7:16" s="1634" customFormat="1">
      <c r="G23735" s="3336"/>
      <c r="P23735" s="3337"/>
    </row>
    <row r="23736" spans="7:16" s="1634" customFormat="1">
      <c r="G23736" s="3336"/>
      <c r="P23736" s="3337"/>
    </row>
    <row r="23737" spans="7:16" s="1634" customFormat="1">
      <c r="G23737" s="3336"/>
      <c r="P23737" s="3337"/>
    </row>
    <row r="23738" spans="7:16" s="1634" customFormat="1">
      <c r="G23738" s="3336"/>
      <c r="P23738" s="3337"/>
    </row>
    <row r="23739" spans="7:16" s="1634" customFormat="1">
      <c r="G23739" s="3336"/>
      <c r="P23739" s="3337"/>
    </row>
    <row r="23740" spans="7:16" s="1634" customFormat="1">
      <c r="G23740" s="3336"/>
      <c r="P23740" s="3337"/>
    </row>
    <row r="23741" spans="7:16" s="1634" customFormat="1">
      <c r="G23741" s="3336"/>
      <c r="P23741" s="3337"/>
    </row>
    <row r="23742" spans="7:16" s="1634" customFormat="1">
      <c r="G23742" s="3336"/>
      <c r="P23742" s="3337"/>
    </row>
    <row r="23743" spans="7:16" s="1634" customFormat="1">
      <c r="G23743" s="3336"/>
      <c r="P23743" s="3337"/>
    </row>
    <row r="23744" spans="7:16" s="1634" customFormat="1">
      <c r="G23744" s="3336"/>
      <c r="P23744" s="3337"/>
    </row>
    <row r="23745" spans="7:16" s="1634" customFormat="1">
      <c r="G23745" s="3336"/>
      <c r="P23745" s="3337"/>
    </row>
    <row r="23746" spans="7:16" s="1634" customFormat="1">
      <c r="G23746" s="3336"/>
      <c r="P23746" s="3337"/>
    </row>
    <row r="23747" spans="7:16" s="1634" customFormat="1">
      <c r="G23747" s="3336"/>
      <c r="P23747" s="3337"/>
    </row>
    <row r="23748" spans="7:16" s="1634" customFormat="1">
      <c r="G23748" s="3336"/>
      <c r="P23748" s="3337"/>
    </row>
    <row r="23749" spans="7:16" s="1634" customFormat="1">
      <c r="G23749" s="3336"/>
      <c r="P23749" s="3337"/>
    </row>
    <row r="23750" spans="7:16" s="1634" customFormat="1">
      <c r="G23750" s="3336"/>
      <c r="P23750" s="3337"/>
    </row>
    <row r="23751" spans="7:16" s="1634" customFormat="1">
      <c r="G23751" s="3336"/>
      <c r="P23751" s="3337"/>
    </row>
    <row r="23752" spans="7:16" s="1634" customFormat="1">
      <c r="G23752" s="3336"/>
      <c r="P23752" s="3337"/>
    </row>
    <row r="23753" spans="7:16" s="1634" customFormat="1">
      <c r="G23753" s="3336"/>
      <c r="P23753" s="3337"/>
    </row>
    <row r="23754" spans="7:16" s="1634" customFormat="1">
      <c r="G23754" s="3336"/>
      <c r="P23754" s="3337"/>
    </row>
    <row r="23755" spans="7:16" s="1634" customFormat="1">
      <c r="G23755" s="3336"/>
      <c r="P23755" s="3337"/>
    </row>
    <row r="23756" spans="7:16" s="1634" customFormat="1">
      <c r="G23756" s="3336"/>
      <c r="P23756" s="3337"/>
    </row>
    <row r="23757" spans="7:16" s="1634" customFormat="1">
      <c r="G23757" s="3336"/>
      <c r="P23757" s="3337"/>
    </row>
    <row r="23758" spans="7:16" s="1634" customFormat="1">
      <c r="G23758" s="3336"/>
      <c r="P23758" s="3337"/>
    </row>
    <row r="23759" spans="7:16" s="1634" customFormat="1">
      <c r="G23759" s="3336"/>
      <c r="P23759" s="3337"/>
    </row>
    <row r="23760" spans="7:16" s="1634" customFormat="1">
      <c r="G23760" s="3336"/>
      <c r="P23760" s="3337"/>
    </row>
    <row r="23761" spans="7:16" s="1634" customFormat="1">
      <c r="G23761" s="3336"/>
      <c r="P23761" s="3337"/>
    </row>
    <row r="23762" spans="7:16" s="1634" customFormat="1">
      <c r="G23762" s="3336"/>
      <c r="P23762" s="3337"/>
    </row>
    <row r="23763" spans="7:16" s="1634" customFormat="1">
      <c r="G23763" s="3336"/>
      <c r="P23763" s="3337"/>
    </row>
    <row r="23764" spans="7:16" s="1634" customFormat="1">
      <c r="G23764" s="3336"/>
      <c r="P23764" s="3337"/>
    </row>
    <row r="23765" spans="7:16" s="1634" customFormat="1">
      <c r="G23765" s="3336"/>
      <c r="P23765" s="3337"/>
    </row>
    <row r="23766" spans="7:16" s="1634" customFormat="1">
      <c r="G23766" s="3336"/>
      <c r="P23766" s="3337"/>
    </row>
    <row r="23767" spans="7:16" s="1634" customFormat="1">
      <c r="G23767" s="3336"/>
      <c r="P23767" s="3337"/>
    </row>
    <row r="23768" spans="7:16" s="1634" customFormat="1">
      <c r="G23768" s="3336"/>
      <c r="P23768" s="3337"/>
    </row>
    <row r="23769" spans="7:16" s="1634" customFormat="1">
      <c r="G23769" s="3336"/>
      <c r="P23769" s="3337"/>
    </row>
    <row r="23770" spans="7:16" s="1634" customFormat="1">
      <c r="G23770" s="3336"/>
      <c r="P23770" s="3337"/>
    </row>
    <row r="23771" spans="7:16" s="1634" customFormat="1">
      <c r="G23771" s="3336"/>
      <c r="P23771" s="3337"/>
    </row>
    <row r="23772" spans="7:16" s="1634" customFormat="1">
      <c r="G23772" s="3336"/>
      <c r="P23772" s="3337"/>
    </row>
    <row r="23773" spans="7:16" s="1634" customFormat="1">
      <c r="G23773" s="3336"/>
      <c r="P23773" s="3337"/>
    </row>
    <row r="23774" spans="7:16" s="1634" customFormat="1">
      <c r="G23774" s="3336"/>
      <c r="P23774" s="3337"/>
    </row>
    <row r="23775" spans="7:16" s="1634" customFormat="1">
      <c r="G23775" s="3336"/>
      <c r="P23775" s="3337"/>
    </row>
    <row r="23776" spans="7:16" s="1634" customFormat="1">
      <c r="G23776" s="3336"/>
      <c r="P23776" s="3337"/>
    </row>
    <row r="23777" spans="7:16" s="1634" customFormat="1">
      <c r="G23777" s="3336"/>
      <c r="P23777" s="3337"/>
    </row>
    <row r="23778" spans="7:16" s="1634" customFormat="1">
      <c r="G23778" s="3336"/>
      <c r="P23778" s="3337"/>
    </row>
    <row r="23779" spans="7:16" s="1634" customFormat="1">
      <c r="G23779" s="3336"/>
      <c r="P23779" s="3337"/>
    </row>
    <row r="23780" spans="7:16" s="1634" customFormat="1">
      <c r="G23780" s="3336"/>
      <c r="P23780" s="3337"/>
    </row>
    <row r="23781" spans="7:16" s="1634" customFormat="1">
      <c r="G23781" s="3336"/>
      <c r="P23781" s="3337"/>
    </row>
    <row r="23782" spans="7:16" s="1634" customFormat="1">
      <c r="G23782" s="3336"/>
      <c r="P23782" s="3337"/>
    </row>
    <row r="23783" spans="7:16" s="1634" customFormat="1">
      <c r="G23783" s="3336"/>
      <c r="P23783" s="3337"/>
    </row>
    <row r="23784" spans="7:16" s="1634" customFormat="1">
      <c r="G23784" s="3336"/>
      <c r="P23784" s="3337"/>
    </row>
    <row r="23785" spans="7:16" s="1634" customFormat="1">
      <c r="G23785" s="3336"/>
      <c r="P23785" s="3337"/>
    </row>
    <row r="23786" spans="7:16" s="1634" customFormat="1">
      <c r="G23786" s="3336"/>
      <c r="P23786" s="3337"/>
    </row>
    <row r="23787" spans="7:16" s="1634" customFormat="1">
      <c r="G23787" s="3336"/>
      <c r="P23787" s="3337"/>
    </row>
    <row r="23788" spans="7:16" s="1634" customFormat="1">
      <c r="G23788" s="3336"/>
      <c r="P23788" s="3337"/>
    </row>
    <row r="23789" spans="7:16" s="1634" customFormat="1">
      <c r="G23789" s="3336"/>
      <c r="P23789" s="3337"/>
    </row>
    <row r="23790" spans="7:16" s="1634" customFormat="1">
      <c r="G23790" s="3336"/>
      <c r="P23790" s="3337"/>
    </row>
    <row r="23791" spans="7:16" s="1634" customFormat="1">
      <c r="G23791" s="3336"/>
      <c r="P23791" s="3337"/>
    </row>
    <row r="23792" spans="7:16" s="1634" customFormat="1">
      <c r="G23792" s="3336"/>
      <c r="P23792" s="3337"/>
    </row>
    <row r="23793" spans="7:16" s="1634" customFormat="1">
      <c r="G23793" s="3336"/>
      <c r="P23793" s="3337"/>
    </row>
    <row r="23794" spans="7:16" s="1634" customFormat="1">
      <c r="G23794" s="3336"/>
      <c r="P23794" s="3337"/>
    </row>
    <row r="23795" spans="7:16" s="1634" customFormat="1">
      <c r="G23795" s="3336"/>
      <c r="P23795" s="3337"/>
    </row>
    <row r="23796" spans="7:16" s="1634" customFormat="1">
      <c r="G23796" s="3336"/>
      <c r="P23796" s="3337"/>
    </row>
    <row r="23797" spans="7:16" s="1634" customFormat="1">
      <c r="G23797" s="3336"/>
      <c r="P23797" s="3337"/>
    </row>
    <row r="23798" spans="7:16" s="1634" customFormat="1">
      <c r="G23798" s="3336"/>
      <c r="P23798" s="3337"/>
    </row>
    <row r="23799" spans="7:16" s="1634" customFormat="1">
      <c r="G23799" s="3336"/>
      <c r="P23799" s="3337"/>
    </row>
    <row r="23800" spans="7:16" s="1634" customFormat="1">
      <c r="G23800" s="3336"/>
      <c r="P23800" s="3337"/>
    </row>
    <row r="23801" spans="7:16" s="1634" customFormat="1">
      <c r="G23801" s="3336"/>
      <c r="P23801" s="3337"/>
    </row>
    <row r="23802" spans="7:16" s="1634" customFormat="1">
      <c r="G23802" s="3336"/>
      <c r="P23802" s="3337"/>
    </row>
    <row r="23803" spans="7:16" s="1634" customFormat="1">
      <c r="G23803" s="3336"/>
      <c r="P23803" s="3337"/>
    </row>
    <row r="23804" spans="7:16" s="1634" customFormat="1">
      <c r="G23804" s="3336"/>
      <c r="P23804" s="3337"/>
    </row>
    <row r="23805" spans="7:16" s="1634" customFormat="1">
      <c r="G23805" s="3336"/>
      <c r="P23805" s="3337"/>
    </row>
    <row r="23806" spans="7:16" s="1634" customFormat="1">
      <c r="G23806" s="3336"/>
      <c r="P23806" s="3337"/>
    </row>
    <row r="23807" spans="7:16" s="1634" customFormat="1">
      <c r="G23807" s="3336"/>
      <c r="P23807" s="3337"/>
    </row>
    <row r="23808" spans="7:16" s="1634" customFormat="1">
      <c r="G23808" s="3336"/>
      <c r="P23808" s="3337"/>
    </row>
    <row r="23809" spans="7:16" s="1634" customFormat="1">
      <c r="G23809" s="3336"/>
      <c r="P23809" s="3337"/>
    </row>
    <row r="23810" spans="7:16" s="1634" customFormat="1">
      <c r="G23810" s="3336"/>
      <c r="P23810" s="3337"/>
    </row>
    <row r="23811" spans="7:16" s="1634" customFormat="1">
      <c r="G23811" s="3336"/>
      <c r="P23811" s="3337"/>
    </row>
    <row r="23812" spans="7:16" s="1634" customFormat="1">
      <c r="G23812" s="3336"/>
      <c r="P23812" s="3337"/>
    </row>
    <row r="23813" spans="7:16" s="1634" customFormat="1">
      <c r="G23813" s="3336"/>
      <c r="P23813" s="3337"/>
    </row>
    <row r="23814" spans="7:16" s="1634" customFormat="1">
      <c r="G23814" s="3336"/>
      <c r="P23814" s="3337"/>
    </row>
    <row r="23815" spans="7:16" s="1634" customFormat="1">
      <c r="G23815" s="3336"/>
      <c r="P23815" s="3337"/>
    </row>
    <row r="23816" spans="7:16" s="1634" customFormat="1">
      <c r="G23816" s="3336"/>
      <c r="P23816" s="3337"/>
    </row>
    <row r="23817" spans="7:16" s="1634" customFormat="1">
      <c r="G23817" s="3336"/>
      <c r="P23817" s="3337"/>
    </row>
    <row r="23818" spans="7:16" s="1634" customFormat="1">
      <c r="G23818" s="3336"/>
      <c r="P23818" s="3337"/>
    </row>
    <row r="23819" spans="7:16" s="1634" customFormat="1">
      <c r="G23819" s="3336"/>
      <c r="P23819" s="3337"/>
    </row>
    <row r="23820" spans="7:16" s="1634" customFormat="1">
      <c r="G23820" s="3336"/>
      <c r="P23820" s="3337"/>
    </row>
    <row r="23821" spans="7:16" s="1634" customFormat="1">
      <c r="G23821" s="3336"/>
      <c r="P23821" s="3337"/>
    </row>
    <row r="23822" spans="7:16" s="1634" customFormat="1">
      <c r="G23822" s="3336"/>
      <c r="P23822" s="3337"/>
    </row>
    <row r="23823" spans="7:16" s="1634" customFormat="1">
      <c r="G23823" s="3336"/>
      <c r="P23823" s="3337"/>
    </row>
    <row r="23824" spans="7:16" s="1634" customFormat="1">
      <c r="G23824" s="3336"/>
      <c r="P23824" s="3337"/>
    </row>
    <row r="23825" spans="7:16" s="1634" customFormat="1">
      <c r="G23825" s="3336"/>
      <c r="P23825" s="3337"/>
    </row>
    <row r="23826" spans="7:16" s="1634" customFormat="1">
      <c r="G23826" s="3336"/>
      <c r="P23826" s="3337"/>
    </row>
    <row r="23827" spans="7:16" s="1634" customFormat="1">
      <c r="G23827" s="3336"/>
      <c r="P23827" s="3337"/>
    </row>
    <row r="23828" spans="7:16" s="1634" customFormat="1">
      <c r="G23828" s="3336"/>
      <c r="P23828" s="3337"/>
    </row>
    <row r="23829" spans="7:16" s="1634" customFormat="1">
      <c r="G23829" s="3336"/>
      <c r="P23829" s="3337"/>
    </row>
    <row r="23830" spans="7:16" s="1634" customFormat="1">
      <c r="G23830" s="3336"/>
      <c r="P23830" s="3337"/>
    </row>
    <row r="23831" spans="7:16" s="1634" customFormat="1">
      <c r="G23831" s="3336"/>
      <c r="P23831" s="3337"/>
    </row>
    <row r="23832" spans="7:16" s="1634" customFormat="1">
      <c r="G23832" s="3336"/>
      <c r="P23832" s="3337"/>
    </row>
    <row r="23833" spans="7:16" s="1634" customFormat="1">
      <c r="G23833" s="3336"/>
      <c r="P23833" s="3337"/>
    </row>
    <row r="23834" spans="7:16" s="1634" customFormat="1">
      <c r="G23834" s="3336"/>
      <c r="P23834" s="3337"/>
    </row>
    <row r="23835" spans="7:16" s="1634" customFormat="1">
      <c r="G23835" s="3336"/>
      <c r="P23835" s="3337"/>
    </row>
    <row r="23836" spans="7:16" s="1634" customFormat="1">
      <c r="G23836" s="3336"/>
      <c r="P23836" s="3337"/>
    </row>
    <row r="23837" spans="7:16" s="1634" customFormat="1">
      <c r="G23837" s="3336"/>
      <c r="P23837" s="3337"/>
    </row>
    <row r="23838" spans="7:16" s="1634" customFormat="1">
      <c r="G23838" s="3336"/>
      <c r="P23838" s="3337"/>
    </row>
    <row r="23839" spans="7:16" s="1634" customFormat="1">
      <c r="G23839" s="3336"/>
      <c r="P23839" s="3337"/>
    </row>
    <row r="23840" spans="7:16" s="1634" customFormat="1">
      <c r="G23840" s="3336"/>
      <c r="P23840" s="3337"/>
    </row>
    <row r="23841" spans="7:16" s="1634" customFormat="1">
      <c r="G23841" s="3336"/>
      <c r="P23841" s="3337"/>
    </row>
    <row r="23842" spans="7:16" s="1634" customFormat="1">
      <c r="G23842" s="3336"/>
      <c r="P23842" s="3337"/>
    </row>
    <row r="23843" spans="7:16" s="1634" customFormat="1">
      <c r="G23843" s="3336"/>
      <c r="P23843" s="3337"/>
    </row>
    <row r="23844" spans="7:16" s="1634" customFormat="1">
      <c r="G23844" s="3336"/>
      <c r="P23844" s="3337"/>
    </row>
    <row r="23845" spans="7:16" s="1634" customFormat="1">
      <c r="G23845" s="3336"/>
      <c r="P23845" s="3337"/>
    </row>
    <row r="23846" spans="7:16" s="1634" customFormat="1">
      <c r="G23846" s="3336"/>
      <c r="P23846" s="3337"/>
    </row>
    <row r="23847" spans="7:16" s="1634" customFormat="1">
      <c r="G23847" s="3336"/>
      <c r="P23847" s="3337"/>
    </row>
    <row r="23848" spans="7:16" s="1634" customFormat="1">
      <c r="G23848" s="3336"/>
      <c r="P23848" s="3337"/>
    </row>
    <row r="23849" spans="7:16" s="1634" customFormat="1">
      <c r="G23849" s="3336"/>
      <c r="P23849" s="3337"/>
    </row>
    <row r="23850" spans="7:16" s="1634" customFormat="1">
      <c r="G23850" s="3336"/>
      <c r="P23850" s="3337"/>
    </row>
    <row r="23851" spans="7:16" s="1634" customFormat="1">
      <c r="G23851" s="3336"/>
      <c r="P23851" s="3337"/>
    </row>
    <row r="23852" spans="7:16" s="1634" customFormat="1">
      <c r="G23852" s="3336"/>
      <c r="P23852" s="3337"/>
    </row>
    <row r="23853" spans="7:16" s="1634" customFormat="1">
      <c r="G23853" s="3336"/>
      <c r="P23853" s="3337"/>
    </row>
    <row r="23854" spans="7:16" s="1634" customFormat="1">
      <c r="G23854" s="3336"/>
      <c r="P23854" s="3337"/>
    </row>
    <row r="23855" spans="7:16" s="1634" customFormat="1">
      <c r="G23855" s="3336"/>
      <c r="P23855" s="3337"/>
    </row>
    <row r="23856" spans="7:16" s="1634" customFormat="1">
      <c r="G23856" s="3336"/>
      <c r="P23856" s="3337"/>
    </row>
    <row r="23857" spans="7:16" s="1634" customFormat="1">
      <c r="G23857" s="3336"/>
      <c r="P23857" s="3337"/>
    </row>
    <row r="23858" spans="7:16" s="1634" customFormat="1">
      <c r="G23858" s="3336"/>
      <c r="P23858" s="3337"/>
    </row>
    <row r="23859" spans="7:16" s="1634" customFormat="1">
      <c r="G23859" s="3336"/>
      <c r="P23859" s="3337"/>
    </row>
    <row r="23860" spans="7:16" s="1634" customFormat="1">
      <c r="G23860" s="3336"/>
      <c r="P23860" s="3337"/>
    </row>
    <row r="23861" spans="7:16" s="1634" customFormat="1">
      <c r="G23861" s="3336"/>
      <c r="P23861" s="3337"/>
    </row>
    <row r="23862" spans="7:16" s="1634" customFormat="1">
      <c r="G23862" s="3336"/>
      <c r="P23862" s="3337"/>
    </row>
    <row r="23863" spans="7:16" s="1634" customFormat="1">
      <c r="G23863" s="3336"/>
      <c r="P23863" s="3337"/>
    </row>
    <row r="23864" spans="7:16" s="1634" customFormat="1">
      <c r="G23864" s="3336"/>
      <c r="P23864" s="3337"/>
    </row>
    <row r="23865" spans="7:16" s="1634" customFormat="1">
      <c r="G23865" s="3336"/>
      <c r="P23865" s="3337"/>
    </row>
    <row r="23866" spans="7:16" s="1634" customFormat="1">
      <c r="G23866" s="3336"/>
      <c r="P23866" s="3337"/>
    </row>
    <row r="23867" spans="7:16" s="1634" customFormat="1">
      <c r="G23867" s="3336"/>
      <c r="P23867" s="3337"/>
    </row>
    <row r="23868" spans="7:16" s="1634" customFormat="1">
      <c r="G23868" s="3336"/>
      <c r="P23868" s="3337"/>
    </row>
    <row r="23869" spans="7:16" s="1634" customFormat="1">
      <c r="G23869" s="3336"/>
      <c r="P23869" s="3337"/>
    </row>
    <row r="23870" spans="7:16" s="1634" customFormat="1">
      <c r="G23870" s="3336"/>
      <c r="P23870" s="3337"/>
    </row>
    <row r="23871" spans="7:16" s="1634" customFormat="1">
      <c r="G23871" s="3336"/>
      <c r="P23871" s="3337"/>
    </row>
    <row r="23872" spans="7:16" s="1634" customFormat="1">
      <c r="G23872" s="3336"/>
      <c r="P23872" s="3337"/>
    </row>
    <row r="23873" spans="7:16" s="1634" customFormat="1">
      <c r="G23873" s="3336"/>
      <c r="P23873" s="3337"/>
    </row>
    <row r="23874" spans="7:16" s="1634" customFormat="1">
      <c r="G23874" s="3336"/>
      <c r="P23874" s="3337"/>
    </row>
    <row r="23875" spans="7:16" s="1634" customFormat="1">
      <c r="G23875" s="3336"/>
      <c r="P23875" s="3337"/>
    </row>
    <row r="23876" spans="7:16" s="1634" customFormat="1">
      <c r="G23876" s="3336"/>
      <c r="P23876" s="3337"/>
    </row>
    <row r="23877" spans="7:16" s="1634" customFormat="1">
      <c r="G23877" s="3336"/>
      <c r="P23877" s="3337"/>
    </row>
    <row r="23878" spans="7:16" s="1634" customFormat="1">
      <c r="G23878" s="3336"/>
      <c r="P23878" s="3337"/>
    </row>
    <row r="23879" spans="7:16" s="1634" customFormat="1">
      <c r="G23879" s="3336"/>
      <c r="P23879" s="3337"/>
    </row>
    <row r="23880" spans="7:16" s="1634" customFormat="1">
      <c r="G23880" s="3336"/>
      <c r="P23880" s="3337"/>
    </row>
    <row r="23881" spans="7:16" s="1634" customFormat="1">
      <c r="G23881" s="3336"/>
      <c r="P23881" s="3337"/>
    </row>
    <row r="23882" spans="7:16" s="1634" customFormat="1">
      <c r="G23882" s="3336"/>
      <c r="P23882" s="3337"/>
    </row>
    <row r="23883" spans="7:16" s="1634" customFormat="1">
      <c r="G23883" s="3336"/>
      <c r="P23883" s="3337"/>
    </row>
    <row r="23884" spans="7:16" s="1634" customFormat="1">
      <c r="G23884" s="3336"/>
      <c r="P23884" s="3337"/>
    </row>
    <row r="23885" spans="7:16" s="1634" customFormat="1">
      <c r="G23885" s="3336"/>
      <c r="P23885" s="3337"/>
    </row>
    <row r="23886" spans="7:16" s="1634" customFormat="1">
      <c r="G23886" s="3336"/>
      <c r="P23886" s="3337"/>
    </row>
    <row r="23887" spans="7:16" s="1634" customFormat="1">
      <c r="G23887" s="3336"/>
      <c r="P23887" s="3337"/>
    </row>
    <row r="23888" spans="7:16" s="1634" customFormat="1">
      <c r="G23888" s="3336"/>
      <c r="P23888" s="3337"/>
    </row>
    <row r="23889" spans="7:16" s="1634" customFormat="1">
      <c r="G23889" s="3336"/>
      <c r="P23889" s="3337"/>
    </row>
    <row r="23890" spans="7:16" s="1634" customFormat="1">
      <c r="G23890" s="3336"/>
      <c r="P23890" s="3337"/>
    </row>
    <row r="23891" spans="7:16" s="1634" customFormat="1">
      <c r="G23891" s="3336"/>
      <c r="P23891" s="3337"/>
    </row>
    <row r="23892" spans="7:16" s="1634" customFormat="1">
      <c r="G23892" s="3336"/>
      <c r="P23892" s="3337"/>
    </row>
    <row r="23893" spans="7:16" s="1634" customFormat="1">
      <c r="G23893" s="3336"/>
      <c r="P23893" s="3337"/>
    </row>
    <row r="23894" spans="7:16" s="1634" customFormat="1">
      <c r="G23894" s="3336"/>
      <c r="P23894" s="3337"/>
    </row>
    <row r="23895" spans="7:16" s="1634" customFormat="1">
      <c r="G23895" s="3336"/>
      <c r="P23895" s="3337"/>
    </row>
    <row r="23896" spans="7:16" s="1634" customFormat="1">
      <c r="G23896" s="3336"/>
      <c r="P23896" s="3337"/>
    </row>
    <row r="23897" spans="7:16" s="1634" customFormat="1">
      <c r="G23897" s="3336"/>
      <c r="P23897" s="3337"/>
    </row>
    <row r="23898" spans="7:16" s="1634" customFormat="1">
      <c r="G23898" s="3336"/>
      <c r="P23898" s="3337"/>
    </row>
    <row r="23899" spans="7:16" s="1634" customFormat="1">
      <c r="G23899" s="3336"/>
      <c r="P23899" s="3337"/>
    </row>
    <row r="23900" spans="7:16" s="1634" customFormat="1">
      <c r="G23900" s="3336"/>
      <c r="P23900" s="3337"/>
    </row>
    <row r="23901" spans="7:16" s="1634" customFormat="1">
      <c r="G23901" s="3336"/>
      <c r="P23901" s="3337"/>
    </row>
    <row r="23902" spans="7:16" s="1634" customFormat="1">
      <c r="G23902" s="3336"/>
      <c r="P23902" s="3337"/>
    </row>
    <row r="23903" spans="7:16" s="1634" customFormat="1">
      <c r="G23903" s="3336"/>
      <c r="P23903" s="3337"/>
    </row>
    <row r="23904" spans="7:16" s="1634" customFormat="1">
      <c r="G23904" s="3336"/>
      <c r="P23904" s="3337"/>
    </row>
    <row r="23905" spans="7:16" s="1634" customFormat="1">
      <c r="G23905" s="3336"/>
      <c r="P23905" s="3337"/>
    </row>
    <row r="23906" spans="7:16" s="1634" customFormat="1">
      <c r="G23906" s="3336"/>
      <c r="P23906" s="3337"/>
    </row>
    <row r="23907" spans="7:16" s="1634" customFormat="1">
      <c r="G23907" s="3336"/>
      <c r="P23907" s="3337"/>
    </row>
    <row r="23908" spans="7:16" s="1634" customFormat="1">
      <c r="G23908" s="3336"/>
      <c r="P23908" s="3337"/>
    </row>
    <row r="23909" spans="7:16" s="1634" customFormat="1">
      <c r="G23909" s="3336"/>
      <c r="P23909" s="3337"/>
    </row>
    <row r="23910" spans="7:16" s="1634" customFormat="1">
      <c r="G23910" s="3336"/>
      <c r="P23910" s="3337"/>
    </row>
    <row r="23911" spans="7:16" s="1634" customFormat="1">
      <c r="G23911" s="3336"/>
      <c r="P23911" s="3337"/>
    </row>
    <row r="23912" spans="7:16" s="1634" customFormat="1">
      <c r="G23912" s="3336"/>
      <c r="P23912" s="3337"/>
    </row>
    <row r="23913" spans="7:16" s="1634" customFormat="1">
      <c r="G23913" s="3336"/>
      <c r="P23913" s="3337"/>
    </row>
    <row r="23914" spans="7:16" s="1634" customFormat="1">
      <c r="G23914" s="3336"/>
      <c r="P23914" s="3337"/>
    </row>
    <row r="23915" spans="7:16" s="1634" customFormat="1">
      <c r="G23915" s="3336"/>
      <c r="P23915" s="3337"/>
    </row>
    <row r="23916" spans="7:16" s="1634" customFormat="1">
      <c r="G23916" s="3336"/>
      <c r="P23916" s="3337"/>
    </row>
    <row r="23917" spans="7:16" s="1634" customFormat="1">
      <c r="G23917" s="3336"/>
      <c r="P23917" s="3337"/>
    </row>
    <row r="23918" spans="7:16" s="1634" customFormat="1">
      <c r="G23918" s="3336"/>
      <c r="P23918" s="3337"/>
    </row>
    <row r="23919" spans="7:16" s="1634" customFormat="1">
      <c r="G23919" s="3336"/>
      <c r="P23919" s="3337"/>
    </row>
    <row r="23920" spans="7:16" s="1634" customFormat="1">
      <c r="G23920" s="3336"/>
      <c r="P23920" s="3337"/>
    </row>
    <row r="23921" spans="7:16" s="1634" customFormat="1">
      <c r="G23921" s="3336"/>
      <c r="P23921" s="3337"/>
    </row>
    <row r="23922" spans="7:16" s="1634" customFormat="1">
      <c r="G23922" s="3336"/>
      <c r="P23922" s="3337"/>
    </row>
    <row r="23923" spans="7:16" s="1634" customFormat="1">
      <c r="G23923" s="3336"/>
      <c r="P23923" s="3337"/>
    </row>
    <row r="23924" spans="7:16" s="1634" customFormat="1">
      <c r="G23924" s="3336"/>
      <c r="P23924" s="3337"/>
    </row>
    <row r="23925" spans="7:16" s="1634" customFormat="1">
      <c r="G23925" s="3336"/>
      <c r="P23925" s="3337"/>
    </row>
    <row r="23926" spans="7:16" s="1634" customFormat="1">
      <c r="G23926" s="3336"/>
      <c r="P23926" s="3337"/>
    </row>
    <row r="23927" spans="7:16" s="1634" customFormat="1">
      <c r="G23927" s="3336"/>
      <c r="P23927" s="3337"/>
    </row>
    <row r="23928" spans="7:16" s="1634" customFormat="1">
      <c r="G23928" s="3336"/>
      <c r="P23928" s="3337"/>
    </row>
    <row r="23929" spans="7:16" s="1634" customFormat="1">
      <c r="G23929" s="3336"/>
      <c r="P23929" s="3337"/>
    </row>
    <row r="23930" spans="7:16" s="1634" customFormat="1">
      <c r="G23930" s="3336"/>
      <c r="P23930" s="3337"/>
    </row>
    <row r="23931" spans="7:16" s="1634" customFormat="1">
      <c r="G23931" s="3336"/>
      <c r="P23931" s="3337"/>
    </row>
    <row r="23932" spans="7:16" s="1634" customFormat="1">
      <c r="G23932" s="3336"/>
      <c r="P23932" s="3337"/>
    </row>
    <row r="23933" spans="7:16" s="1634" customFormat="1">
      <c r="G23933" s="3336"/>
      <c r="P23933" s="3337"/>
    </row>
    <row r="23934" spans="7:16" s="1634" customFormat="1">
      <c r="G23934" s="3336"/>
      <c r="P23934" s="3337"/>
    </row>
    <row r="23935" spans="7:16" s="1634" customFormat="1">
      <c r="G23935" s="3336"/>
      <c r="P23935" s="3337"/>
    </row>
    <row r="23936" spans="7:16" s="1634" customFormat="1">
      <c r="G23936" s="3336"/>
      <c r="P23936" s="3337"/>
    </row>
    <row r="23937" spans="7:16" s="1634" customFormat="1">
      <c r="G23937" s="3336"/>
      <c r="P23937" s="3337"/>
    </row>
    <row r="23938" spans="7:16" s="1634" customFormat="1">
      <c r="G23938" s="3336"/>
      <c r="P23938" s="3337"/>
    </row>
    <row r="23939" spans="7:16" s="1634" customFormat="1">
      <c r="G23939" s="3336"/>
      <c r="P23939" s="3337"/>
    </row>
    <row r="23940" spans="7:16" s="1634" customFormat="1">
      <c r="G23940" s="3336"/>
      <c r="P23940" s="3337"/>
    </row>
    <row r="23941" spans="7:16" s="1634" customFormat="1">
      <c r="G23941" s="3336"/>
      <c r="P23941" s="3337"/>
    </row>
    <row r="23942" spans="7:16" s="1634" customFormat="1">
      <c r="G23942" s="3336"/>
      <c r="P23942" s="3337"/>
    </row>
    <row r="23943" spans="7:16" s="1634" customFormat="1">
      <c r="G23943" s="3336"/>
      <c r="P23943" s="3337"/>
    </row>
    <row r="23944" spans="7:16" s="1634" customFormat="1">
      <c r="G23944" s="3336"/>
      <c r="P23944" s="3337"/>
    </row>
    <row r="23945" spans="7:16" s="1634" customFormat="1">
      <c r="G23945" s="3336"/>
      <c r="P23945" s="3337"/>
    </row>
    <row r="23946" spans="7:16" s="1634" customFormat="1">
      <c r="G23946" s="3336"/>
      <c r="P23946" s="3337"/>
    </row>
    <row r="23947" spans="7:16" s="1634" customFormat="1">
      <c r="G23947" s="3336"/>
      <c r="P23947" s="3337"/>
    </row>
    <row r="23948" spans="7:16" s="1634" customFormat="1">
      <c r="G23948" s="3336"/>
      <c r="P23948" s="3337"/>
    </row>
    <row r="23949" spans="7:16" s="1634" customFormat="1">
      <c r="G23949" s="3336"/>
      <c r="P23949" s="3337"/>
    </row>
    <row r="23950" spans="7:16" s="1634" customFormat="1">
      <c r="G23950" s="3336"/>
      <c r="P23950" s="3337"/>
    </row>
    <row r="23951" spans="7:16" s="1634" customFormat="1">
      <c r="G23951" s="3336"/>
      <c r="P23951" s="3337"/>
    </row>
    <row r="23952" spans="7:16" s="1634" customFormat="1">
      <c r="G23952" s="3336"/>
      <c r="P23952" s="3337"/>
    </row>
    <row r="23953" spans="7:16" s="1634" customFormat="1">
      <c r="G23953" s="3336"/>
      <c r="P23953" s="3337"/>
    </row>
    <row r="23954" spans="7:16" s="1634" customFormat="1">
      <c r="G23954" s="3336"/>
      <c r="P23954" s="3337"/>
    </row>
    <row r="23955" spans="7:16" s="1634" customFormat="1">
      <c r="G23955" s="3336"/>
      <c r="P23955" s="3337"/>
    </row>
    <row r="23956" spans="7:16" s="1634" customFormat="1">
      <c r="G23956" s="3336"/>
      <c r="P23956" s="3337"/>
    </row>
    <row r="23957" spans="7:16" s="1634" customFormat="1">
      <c r="G23957" s="3336"/>
      <c r="P23957" s="3337"/>
    </row>
    <row r="23958" spans="7:16" s="1634" customFormat="1">
      <c r="G23958" s="3336"/>
      <c r="P23958" s="3337"/>
    </row>
    <row r="23959" spans="7:16" s="1634" customFormat="1">
      <c r="G23959" s="3336"/>
      <c r="P23959" s="3337"/>
    </row>
    <row r="23960" spans="7:16" s="1634" customFormat="1">
      <c r="G23960" s="3336"/>
      <c r="P23960" s="3337"/>
    </row>
    <row r="23961" spans="7:16" s="1634" customFormat="1">
      <c r="G23961" s="3336"/>
      <c r="P23961" s="3337"/>
    </row>
    <row r="23962" spans="7:16" s="1634" customFormat="1">
      <c r="G23962" s="3336"/>
      <c r="P23962" s="3337"/>
    </row>
    <row r="23963" spans="7:16" s="1634" customFormat="1">
      <c r="G23963" s="3336"/>
      <c r="P23963" s="3337"/>
    </row>
    <row r="23964" spans="7:16" s="1634" customFormat="1">
      <c r="G23964" s="3336"/>
      <c r="P23964" s="3337"/>
    </row>
    <row r="23965" spans="7:16" s="1634" customFormat="1">
      <c r="G23965" s="3336"/>
      <c r="P23965" s="3337"/>
    </row>
    <row r="23966" spans="7:16" s="1634" customFormat="1">
      <c r="G23966" s="3336"/>
      <c r="P23966" s="3337"/>
    </row>
    <row r="23967" spans="7:16" s="1634" customFormat="1">
      <c r="G23967" s="3336"/>
      <c r="P23967" s="3337"/>
    </row>
    <row r="23968" spans="7:16" s="1634" customFormat="1">
      <c r="G23968" s="3336"/>
      <c r="P23968" s="3337"/>
    </row>
    <row r="23969" spans="7:16" s="1634" customFormat="1">
      <c r="G23969" s="3336"/>
      <c r="P23969" s="3337"/>
    </row>
    <row r="23970" spans="7:16" s="1634" customFormat="1">
      <c r="G23970" s="3336"/>
      <c r="P23970" s="3337"/>
    </row>
    <row r="23971" spans="7:16" s="1634" customFormat="1">
      <c r="G23971" s="3336"/>
      <c r="P23971" s="3337"/>
    </row>
    <row r="23972" spans="7:16" s="1634" customFormat="1">
      <c r="G23972" s="3336"/>
      <c r="P23972" s="3337"/>
    </row>
    <row r="23973" spans="7:16" s="1634" customFormat="1">
      <c r="G23973" s="3336"/>
      <c r="P23973" s="3337"/>
    </row>
    <row r="23974" spans="7:16" s="1634" customFormat="1">
      <c r="G23974" s="3336"/>
      <c r="P23974" s="3337"/>
    </row>
    <row r="23975" spans="7:16" s="1634" customFormat="1">
      <c r="G23975" s="3336"/>
      <c r="P23975" s="3337"/>
    </row>
    <row r="23976" spans="7:16" s="1634" customFormat="1">
      <c r="G23976" s="3336"/>
      <c r="P23976" s="3337"/>
    </row>
    <row r="23977" spans="7:16" s="1634" customFormat="1">
      <c r="G23977" s="3336"/>
      <c r="P23977" s="3337"/>
    </row>
    <row r="23978" spans="7:16" s="1634" customFormat="1">
      <c r="G23978" s="3336"/>
      <c r="P23978" s="3337"/>
    </row>
    <row r="23979" spans="7:16" s="1634" customFormat="1">
      <c r="G23979" s="3336"/>
      <c r="P23979" s="3337"/>
    </row>
    <row r="23980" spans="7:16" s="1634" customFormat="1">
      <c r="G23980" s="3336"/>
      <c r="P23980" s="3337"/>
    </row>
    <row r="23981" spans="7:16" s="1634" customFormat="1">
      <c r="G23981" s="3336"/>
      <c r="P23981" s="3337"/>
    </row>
    <row r="23982" spans="7:16" s="1634" customFormat="1">
      <c r="G23982" s="3336"/>
      <c r="P23982" s="3337"/>
    </row>
    <row r="23983" spans="7:16" s="1634" customFormat="1">
      <c r="G23983" s="3336"/>
      <c r="P23983" s="3337"/>
    </row>
    <row r="23984" spans="7:16" s="1634" customFormat="1">
      <c r="G23984" s="3336"/>
      <c r="P23984" s="3337"/>
    </row>
    <row r="23985" spans="7:16" s="1634" customFormat="1">
      <c r="G23985" s="3336"/>
      <c r="P23985" s="3337"/>
    </row>
    <row r="23986" spans="7:16" s="1634" customFormat="1">
      <c r="G23986" s="3336"/>
      <c r="P23986" s="3337"/>
    </row>
    <row r="23987" spans="7:16" s="1634" customFormat="1">
      <c r="G23987" s="3336"/>
      <c r="P23987" s="3337"/>
    </row>
    <row r="23988" spans="7:16" s="1634" customFormat="1">
      <c r="G23988" s="3336"/>
      <c r="P23988" s="3337"/>
    </row>
    <row r="23989" spans="7:16" s="1634" customFormat="1">
      <c r="G23989" s="3336"/>
      <c r="P23989" s="3337"/>
    </row>
    <row r="23990" spans="7:16" s="1634" customFormat="1">
      <c r="G23990" s="3336"/>
      <c r="P23990" s="3337"/>
    </row>
    <row r="23991" spans="7:16" s="1634" customFormat="1">
      <c r="G23991" s="3336"/>
      <c r="P23991" s="3337"/>
    </row>
    <row r="23992" spans="7:16" s="1634" customFormat="1">
      <c r="G23992" s="3336"/>
      <c r="P23992" s="3337"/>
    </row>
    <row r="23993" spans="7:16" s="1634" customFormat="1">
      <c r="G23993" s="3336"/>
      <c r="P23993" s="3337"/>
    </row>
    <row r="23994" spans="7:16" s="1634" customFormat="1">
      <c r="G23994" s="3336"/>
      <c r="P23994" s="3337"/>
    </row>
    <row r="23995" spans="7:16" s="1634" customFormat="1">
      <c r="G23995" s="3336"/>
      <c r="P23995" s="3337"/>
    </row>
    <row r="23996" spans="7:16" s="1634" customFormat="1">
      <c r="G23996" s="3336"/>
      <c r="P23996" s="3337"/>
    </row>
    <row r="23997" spans="7:16" s="1634" customFormat="1">
      <c r="G23997" s="3336"/>
      <c r="P23997" s="3337"/>
    </row>
    <row r="23998" spans="7:16" s="1634" customFormat="1">
      <c r="G23998" s="3336"/>
      <c r="P23998" s="3337"/>
    </row>
    <row r="23999" spans="7:16" s="1634" customFormat="1">
      <c r="G23999" s="3336"/>
      <c r="P23999" s="3337"/>
    </row>
    <row r="24000" spans="7:16" s="1634" customFormat="1">
      <c r="G24000" s="3336"/>
      <c r="P24000" s="3337"/>
    </row>
    <row r="24001" spans="7:16" s="1634" customFormat="1">
      <c r="G24001" s="3336"/>
      <c r="P24001" s="3337"/>
    </row>
    <row r="24002" spans="7:16" s="1634" customFormat="1">
      <c r="G24002" s="3336"/>
      <c r="P24002" s="3337"/>
    </row>
    <row r="24003" spans="7:16" s="1634" customFormat="1">
      <c r="G24003" s="3336"/>
      <c r="P24003" s="3337"/>
    </row>
    <row r="24004" spans="7:16" s="1634" customFormat="1">
      <c r="G24004" s="3336"/>
      <c r="P24004" s="3337"/>
    </row>
    <row r="24005" spans="7:16" s="1634" customFormat="1">
      <c r="G24005" s="3336"/>
      <c r="P24005" s="3337"/>
    </row>
    <row r="24006" spans="7:16" s="1634" customFormat="1">
      <c r="G24006" s="3336"/>
      <c r="P24006" s="3337"/>
    </row>
    <row r="24007" spans="7:16" s="1634" customFormat="1">
      <c r="G24007" s="3336"/>
      <c r="P24007" s="3337"/>
    </row>
    <row r="24008" spans="7:16" s="1634" customFormat="1">
      <c r="G24008" s="3336"/>
      <c r="P24008" s="3337"/>
    </row>
    <row r="24009" spans="7:16" s="1634" customFormat="1">
      <c r="G24009" s="3336"/>
      <c r="P24009" s="3337"/>
    </row>
    <row r="24010" spans="7:16" s="1634" customFormat="1">
      <c r="G24010" s="3336"/>
      <c r="P24010" s="3337"/>
    </row>
    <row r="24011" spans="7:16" s="1634" customFormat="1">
      <c r="G24011" s="3336"/>
      <c r="P24011" s="3337"/>
    </row>
    <row r="24012" spans="7:16" s="1634" customFormat="1">
      <c r="G24012" s="3336"/>
      <c r="P24012" s="3337"/>
    </row>
    <row r="24013" spans="7:16" s="1634" customFormat="1">
      <c r="G24013" s="3336"/>
      <c r="P24013" s="3337"/>
    </row>
    <row r="24014" spans="7:16" s="1634" customFormat="1">
      <c r="G24014" s="3336"/>
      <c r="P24014" s="3337"/>
    </row>
    <row r="24015" spans="7:16" s="1634" customFormat="1">
      <c r="G24015" s="3336"/>
      <c r="P24015" s="3337"/>
    </row>
    <row r="24016" spans="7:16" s="1634" customFormat="1">
      <c r="G24016" s="3336"/>
      <c r="P24016" s="3337"/>
    </row>
    <row r="24017" spans="7:16" s="1634" customFormat="1">
      <c r="G24017" s="3336"/>
      <c r="P24017" s="3337"/>
    </row>
    <row r="24018" spans="7:16" s="1634" customFormat="1">
      <c r="G24018" s="3336"/>
      <c r="P24018" s="3337"/>
    </row>
    <row r="24019" spans="7:16" s="1634" customFormat="1">
      <c r="G24019" s="3336"/>
      <c r="P24019" s="3337"/>
    </row>
    <row r="24020" spans="7:16" s="1634" customFormat="1">
      <c r="G24020" s="3336"/>
      <c r="P24020" s="3337"/>
    </row>
    <row r="24021" spans="7:16" s="1634" customFormat="1">
      <c r="G24021" s="3336"/>
      <c r="P24021" s="3337"/>
    </row>
    <row r="24022" spans="7:16" s="1634" customFormat="1">
      <c r="G24022" s="3336"/>
      <c r="P24022" s="3337"/>
    </row>
    <row r="24023" spans="7:16" s="1634" customFormat="1">
      <c r="G24023" s="3336"/>
      <c r="P24023" s="3337"/>
    </row>
    <row r="24024" spans="7:16" s="1634" customFormat="1">
      <c r="G24024" s="3336"/>
      <c r="P24024" s="3337"/>
    </row>
    <row r="24025" spans="7:16" s="1634" customFormat="1">
      <c r="G24025" s="3336"/>
      <c r="P24025" s="3337"/>
    </row>
    <row r="24026" spans="7:16" s="1634" customFormat="1">
      <c r="G24026" s="3336"/>
      <c r="P24026" s="3337"/>
    </row>
    <row r="24027" spans="7:16" s="1634" customFormat="1">
      <c r="G24027" s="3336"/>
      <c r="P24027" s="3337"/>
    </row>
    <row r="24028" spans="7:16" s="1634" customFormat="1">
      <c r="G24028" s="3336"/>
      <c r="P24028" s="3337"/>
    </row>
    <row r="24029" spans="7:16" s="1634" customFormat="1">
      <c r="G24029" s="3336"/>
      <c r="P24029" s="3337"/>
    </row>
    <row r="24030" spans="7:16" s="1634" customFormat="1">
      <c r="G24030" s="3336"/>
      <c r="P24030" s="3337"/>
    </row>
    <row r="24031" spans="7:16" s="1634" customFormat="1">
      <c r="G24031" s="3336"/>
      <c r="P24031" s="3337"/>
    </row>
    <row r="24032" spans="7:16" s="1634" customFormat="1">
      <c r="G24032" s="3336"/>
      <c r="P24032" s="3337"/>
    </row>
    <row r="24033" spans="7:16" s="1634" customFormat="1">
      <c r="G24033" s="3336"/>
      <c r="P24033" s="3337"/>
    </row>
    <row r="24034" spans="7:16" s="1634" customFormat="1">
      <c r="G24034" s="3336"/>
      <c r="P24034" s="3337"/>
    </row>
    <row r="24035" spans="7:16" s="1634" customFormat="1">
      <c r="G24035" s="3336"/>
      <c r="P24035" s="3337"/>
    </row>
    <row r="24036" spans="7:16" s="1634" customFormat="1">
      <c r="G24036" s="3336"/>
      <c r="P24036" s="3337"/>
    </row>
    <row r="24037" spans="7:16" s="1634" customFormat="1">
      <c r="G24037" s="3336"/>
      <c r="P24037" s="3337"/>
    </row>
    <row r="24038" spans="7:16" s="1634" customFormat="1">
      <c r="G24038" s="3336"/>
      <c r="P24038" s="3337"/>
    </row>
    <row r="24039" spans="7:16" s="1634" customFormat="1">
      <c r="G24039" s="3336"/>
      <c r="P24039" s="3337"/>
    </row>
    <row r="24040" spans="7:16" s="1634" customFormat="1">
      <c r="G24040" s="3336"/>
      <c r="P24040" s="3337"/>
    </row>
    <row r="24041" spans="7:16" s="1634" customFormat="1">
      <c r="G24041" s="3336"/>
      <c r="P24041" s="3337"/>
    </row>
    <row r="24042" spans="7:16" s="1634" customFormat="1">
      <c r="G24042" s="3336"/>
      <c r="P24042" s="3337"/>
    </row>
    <row r="24043" spans="7:16" s="1634" customFormat="1">
      <c r="G24043" s="3336"/>
      <c r="P24043" s="3337"/>
    </row>
    <row r="24044" spans="7:16" s="1634" customFormat="1">
      <c r="G24044" s="3336"/>
      <c r="P24044" s="3337"/>
    </row>
    <row r="24045" spans="7:16" s="1634" customFormat="1">
      <c r="G24045" s="3336"/>
      <c r="P24045" s="3337"/>
    </row>
    <row r="24046" spans="7:16" s="1634" customFormat="1">
      <c r="G24046" s="3336"/>
      <c r="P24046" s="3337"/>
    </row>
    <row r="24047" spans="7:16" s="1634" customFormat="1">
      <c r="G24047" s="3336"/>
      <c r="P24047" s="3337"/>
    </row>
    <row r="24048" spans="7:16" s="1634" customFormat="1">
      <c r="G24048" s="3336"/>
      <c r="P24048" s="3337"/>
    </row>
    <row r="24049" spans="7:16" s="1634" customFormat="1">
      <c r="G24049" s="3336"/>
      <c r="P24049" s="3337"/>
    </row>
    <row r="24050" spans="7:16" s="1634" customFormat="1">
      <c r="G24050" s="3336"/>
      <c r="P24050" s="3337"/>
    </row>
    <row r="24051" spans="7:16" s="1634" customFormat="1">
      <c r="G24051" s="3336"/>
      <c r="P24051" s="3337"/>
    </row>
    <row r="24052" spans="7:16" s="1634" customFormat="1">
      <c r="G24052" s="3336"/>
      <c r="P24052" s="3337"/>
    </row>
    <row r="24053" spans="7:16" s="1634" customFormat="1">
      <c r="G24053" s="3336"/>
      <c r="P24053" s="3337"/>
    </row>
    <row r="24054" spans="7:16" s="1634" customFormat="1">
      <c r="G24054" s="3336"/>
      <c r="P24054" s="3337"/>
    </row>
    <row r="24055" spans="7:16" s="1634" customFormat="1">
      <c r="G24055" s="3336"/>
      <c r="P24055" s="3337"/>
    </row>
    <row r="24056" spans="7:16" s="1634" customFormat="1">
      <c r="G24056" s="3336"/>
      <c r="P24056" s="3337"/>
    </row>
    <row r="24057" spans="7:16" s="1634" customFormat="1">
      <c r="G24057" s="3336"/>
      <c r="P24057" s="3337"/>
    </row>
    <row r="24058" spans="7:16" s="1634" customFormat="1">
      <c r="G24058" s="3336"/>
      <c r="P24058" s="3337"/>
    </row>
    <row r="24059" spans="7:16" s="1634" customFormat="1">
      <c r="G24059" s="3336"/>
      <c r="P24059" s="3337"/>
    </row>
    <row r="24060" spans="7:16" s="1634" customFormat="1">
      <c r="G24060" s="3336"/>
      <c r="P24060" s="3337"/>
    </row>
    <row r="24061" spans="7:16" s="1634" customFormat="1">
      <c r="G24061" s="3336"/>
      <c r="P24061" s="3337"/>
    </row>
    <row r="24062" spans="7:16" s="1634" customFormat="1">
      <c r="G24062" s="3336"/>
      <c r="P24062" s="3337"/>
    </row>
    <row r="24063" spans="7:16" s="1634" customFormat="1">
      <c r="G24063" s="3336"/>
      <c r="P24063" s="3337"/>
    </row>
    <row r="24064" spans="7:16" s="1634" customFormat="1">
      <c r="G24064" s="3336"/>
      <c r="P24064" s="3337"/>
    </row>
    <row r="24065" spans="7:16" s="1634" customFormat="1">
      <c r="G24065" s="3336"/>
      <c r="P24065" s="3337"/>
    </row>
    <row r="24066" spans="7:16" s="1634" customFormat="1">
      <c r="G24066" s="3336"/>
      <c r="P24066" s="3337"/>
    </row>
    <row r="24067" spans="7:16" s="1634" customFormat="1">
      <c r="G24067" s="3336"/>
      <c r="P24067" s="3337"/>
    </row>
    <row r="24068" spans="7:16" s="1634" customFormat="1">
      <c r="G24068" s="3336"/>
      <c r="P24068" s="3337"/>
    </row>
    <row r="24069" spans="7:16" s="1634" customFormat="1">
      <c r="G24069" s="3336"/>
      <c r="P24069" s="3337"/>
    </row>
    <row r="24070" spans="7:16" s="1634" customFormat="1">
      <c r="G24070" s="3336"/>
      <c r="P24070" s="3337"/>
    </row>
    <row r="24071" spans="7:16" s="1634" customFormat="1">
      <c r="G24071" s="3336"/>
      <c r="P24071" s="3337"/>
    </row>
    <row r="24072" spans="7:16" s="1634" customFormat="1">
      <c r="G24072" s="3336"/>
      <c r="P24072" s="3337"/>
    </row>
    <row r="24073" spans="7:16" s="1634" customFormat="1">
      <c r="G24073" s="3336"/>
      <c r="P24073" s="3337"/>
    </row>
    <row r="24074" spans="7:16" s="1634" customFormat="1">
      <c r="G24074" s="3336"/>
      <c r="P24074" s="3337"/>
    </row>
    <row r="24075" spans="7:16" s="1634" customFormat="1">
      <c r="G24075" s="3336"/>
      <c r="P24075" s="3337"/>
    </row>
    <row r="24076" spans="7:16" s="1634" customFormat="1">
      <c r="G24076" s="3336"/>
      <c r="P24076" s="3337"/>
    </row>
    <row r="24077" spans="7:16" s="1634" customFormat="1">
      <c r="G24077" s="3336"/>
      <c r="P24077" s="3337"/>
    </row>
    <row r="24078" spans="7:16" s="1634" customFormat="1">
      <c r="G24078" s="3336"/>
      <c r="P24078" s="3337"/>
    </row>
    <row r="24079" spans="7:16" s="1634" customFormat="1">
      <c r="G24079" s="3336"/>
      <c r="P24079" s="3337"/>
    </row>
    <row r="24080" spans="7:16" s="1634" customFormat="1">
      <c r="G24080" s="3336"/>
      <c r="P24080" s="3337"/>
    </row>
    <row r="24081" spans="7:16" s="1634" customFormat="1">
      <c r="G24081" s="3336"/>
      <c r="P24081" s="3337"/>
    </row>
    <row r="24082" spans="7:16" s="1634" customFormat="1">
      <c r="G24082" s="3336"/>
      <c r="P24082" s="3337"/>
    </row>
    <row r="24083" spans="7:16" s="1634" customFormat="1">
      <c r="G24083" s="3336"/>
      <c r="P24083" s="3337"/>
    </row>
    <row r="24084" spans="7:16" s="1634" customFormat="1">
      <c r="G24084" s="3336"/>
      <c r="P24084" s="3337"/>
    </row>
    <row r="24085" spans="7:16" s="1634" customFormat="1">
      <c r="G24085" s="3336"/>
      <c r="P24085" s="3337"/>
    </row>
    <row r="24086" spans="7:16" s="1634" customFormat="1">
      <c r="G24086" s="3336"/>
      <c r="P24086" s="3337"/>
    </row>
    <row r="24087" spans="7:16" s="1634" customFormat="1">
      <c r="G24087" s="3336"/>
      <c r="P24087" s="3337"/>
    </row>
    <row r="24088" spans="7:16" s="1634" customFormat="1">
      <c r="G24088" s="3336"/>
      <c r="P24088" s="3337"/>
    </row>
    <row r="24089" spans="7:16" s="1634" customFormat="1">
      <c r="G24089" s="3336"/>
      <c r="P24089" s="3337"/>
    </row>
    <row r="24090" spans="7:16" s="1634" customFormat="1">
      <c r="G24090" s="3336"/>
      <c r="P24090" s="3337"/>
    </row>
    <row r="24091" spans="7:16" s="1634" customFormat="1">
      <c r="G24091" s="3336"/>
      <c r="P24091" s="3337"/>
    </row>
    <row r="24092" spans="7:16" s="1634" customFormat="1">
      <c r="G24092" s="3336"/>
      <c r="P24092" s="3337"/>
    </row>
    <row r="24093" spans="7:16" s="1634" customFormat="1">
      <c r="G24093" s="3336"/>
      <c r="P24093" s="3337"/>
    </row>
    <row r="24094" spans="7:16" s="1634" customFormat="1">
      <c r="G24094" s="3336"/>
      <c r="P24094" s="3337"/>
    </row>
    <row r="24095" spans="7:16" s="1634" customFormat="1">
      <c r="G24095" s="3336"/>
      <c r="P24095" s="3337"/>
    </row>
    <row r="24096" spans="7:16" s="1634" customFormat="1">
      <c r="G24096" s="3336"/>
      <c r="P24096" s="3337"/>
    </row>
    <row r="24097" spans="7:16" s="1634" customFormat="1">
      <c r="G24097" s="3336"/>
      <c r="P24097" s="3337"/>
    </row>
    <row r="24098" spans="7:16" s="1634" customFormat="1">
      <c r="G24098" s="3336"/>
      <c r="P24098" s="3337"/>
    </row>
    <row r="24099" spans="7:16" s="1634" customFormat="1">
      <c r="G24099" s="3336"/>
      <c r="P24099" s="3337"/>
    </row>
    <row r="24100" spans="7:16" s="1634" customFormat="1">
      <c r="G24100" s="3336"/>
      <c r="P24100" s="3337"/>
    </row>
    <row r="24101" spans="7:16" s="1634" customFormat="1">
      <c r="G24101" s="3336"/>
      <c r="P24101" s="3337"/>
    </row>
    <row r="24102" spans="7:16" s="1634" customFormat="1">
      <c r="G24102" s="3336"/>
      <c r="P24102" s="3337"/>
    </row>
    <row r="24103" spans="7:16" s="1634" customFormat="1">
      <c r="G24103" s="3336"/>
      <c r="P24103" s="3337"/>
    </row>
    <row r="24104" spans="7:16" s="1634" customFormat="1">
      <c r="G24104" s="3336"/>
      <c r="P24104" s="3337"/>
    </row>
    <row r="24105" spans="7:16" s="1634" customFormat="1">
      <c r="G24105" s="3336"/>
      <c r="P24105" s="3337"/>
    </row>
    <row r="24106" spans="7:16" s="1634" customFormat="1">
      <c r="G24106" s="3336"/>
      <c r="P24106" s="3337"/>
    </row>
    <row r="24107" spans="7:16" s="1634" customFormat="1">
      <c r="G24107" s="3336"/>
      <c r="P24107" s="3337"/>
    </row>
    <row r="24108" spans="7:16" s="1634" customFormat="1">
      <c r="G24108" s="3336"/>
      <c r="P24108" s="3337"/>
    </row>
    <row r="24109" spans="7:16" s="1634" customFormat="1">
      <c r="G24109" s="3336"/>
      <c r="P24109" s="3337"/>
    </row>
    <row r="24110" spans="7:16" s="1634" customFormat="1">
      <c r="G24110" s="3336"/>
      <c r="P24110" s="3337"/>
    </row>
    <row r="24111" spans="7:16" s="1634" customFormat="1">
      <c r="G24111" s="3336"/>
      <c r="P24111" s="3337"/>
    </row>
    <row r="24112" spans="7:16" s="1634" customFormat="1">
      <c r="G24112" s="3336"/>
      <c r="P24112" s="3337"/>
    </row>
    <row r="24113" spans="7:16" s="1634" customFormat="1">
      <c r="G24113" s="3336"/>
      <c r="P24113" s="3337"/>
    </row>
    <row r="24114" spans="7:16" s="1634" customFormat="1">
      <c r="G24114" s="3336"/>
      <c r="P24114" s="3337"/>
    </row>
    <row r="24115" spans="7:16" s="1634" customFormat="1">
      <c r="G24115" s="3336"/>
      <c r="P24115" s="3337"/>
    </row>
    <row r="24116" spans="7:16" s="1634" customFormat="1">
      <c r="G24116" s="3336"/>
      <c r="P24116" s="3337"/>
    </row>
    <row r="24117" spans="7:16" s="1634" customFormat="1">
      <c r="G24117" s="3336"/>
      <c r="P24117" s="3337"/>
    </row>
    <row r="24118" spans="7:16" s="1634" customFormat="1">
      <c r="G24118" s="3336"/>
      <c r="P24118" s="3337"/>
    </row>
    <row r="24119" spans="7:16" s="1634" customFormat="1">
      <c r="G24119" s="3336"/>
      <c r="P24119" s="3337"/>
    </row>
    <row r="24120" spans="7:16" s="1634" customFormat="1">
      <c r="G24120" s="3336"/>
      <c r="P24120" s="3337"/>
    </row>
    <row r="24121" spans="7:16" s="1634" customFormat="1">
      <c r="G24121" s="3336"/>
      <c r="P24121" s="3337"/>
    </row>
    <row r="24122" spans="7:16" s="1634" customFormat="1">
      <c r="G24122" s="3336"/>
      <c r="P24122" s="3337"/>
    </row>
    <row r="24123" spans="7:16" s="1634" customFormat="1">
      <c r="G24123" s="3336"/>
      <c r="P24123" s="3337"/>
    </row>
    <row r="24124" spans="7:16" s="1634" customFormat="1">
      <c r="G24124" s="3336"/>
      <c r="P24124" s="3337"/>
    </row>
    <row r="24125" spans="7:16" s="1634" customFormat="1">
      <c r="G24125" s="3336"/>
      <c r="P24125" s="3337"/>
    </row>
    <row r="24126" spans="7:16" s="1634" customFormat="1">
      <c r="G24126" s="3336"/>
      <c r="P24126" s="3337"/>
    </row>
    <row r="24127" spans="7:16" s="1634" customFormat="1">
      <c r="G24127" s="3336"/>
      <c r="P24127" s="3337"/>
    </row>
    <row r="24128" spans="7:16" s="1634" customFormat="1">
      <c r="G24128" s="3336"/>
      <c r="P24128" s="3337"/>
    </row>
    <row r="24129" spans="7:16" s="1634" customFormat="1">
      <c r="G24129" s="3336"/>
      <c r="P24129" s="3337"/>
    </row>
    <row r="24130" spans="7:16" s="1634" customFormat="1">
      <c r="G24130" s="3336"/>
      <c r="P24130" s="3337"/>
    </row>
    <row r="24131" spans="7:16" s="1634" customFormat="1">
      <c r="G24131" s="3336"/>
      <c r="P24131" s="3337"/>
    </row>
    <row r="24132" spans="7:16" s="1634" customFormat="1">
      <c r="G24132" s="3336"/>
      <c r="P24132" s="3337"/>
    </row>
    <row r="24133" spans="7:16" s="1634" customFormat="1">
      <c r="G24133" s="3336"/>
      <c r="P24133" s="3337"/>
    </row>
    <row r="24134" spans="7:16" s="1634" customFormat="1">
      <c r="G24134" s="3336"/>
      <c r="P24134" s="3337"/>
    </row>
    <row r="24135" spans="7:16" s="1634" customFormat="1">
      <c r="G24135" s="3336"/>
      <c r="P24135" s="3337"/>
    </row>
    <row r="24136" spans="7:16" s="1634" customFormat="1">
      <c r="G24136" s="3336"/>
      <c r="P24136" s="3337"/>
    </row>
    <row r="24137" spans="7:16" s="1634" customFormat="1">
      <c r="G24137" s="3336"/>
      <c r="P24137" s="3337"/>
    </row>
    <row r="24138" spans="7:16" s="1634" customFormat="1">
      <c r="G24138" s="3336"/>
      <c r="P24138" s="3337"/>
    </row>
    <row r="24139" spans="7:16" s="1634" customFormat="1">
      <c r="G24139" s="3336"/>
      <c r="P24139" s="3337"/>
    </row>
    <row r="24140" spans="7:16" s="1634" customFormat="1">
      <c r="G24140" s="3336"/>
      <c r="P24140" s="3337"/>
    </row>
    <row r="24141" spans="7:16" s="1634" customFormat="1">
      <c r="G24141" s="3336"/>
      <c r="P24141" s="3337"/>
    </row>
    <row r="24142" spans="7:16" s="1634" customFormat="1">
      <c r="G24142" s="3336"/>
      <c r="P24142" s="3337"/>
    </row>
    <row r="24143" spans="7:16" s="1634" customFormat="1">
      <c r="G24143" s="3336"/>
      <c r="P24143" s="3337"/>
    </row>
    <row r="24144" spans="7:16" s="1634" customFormat="1">
      <c r="G24144" s="3336"/>
      <c r="P24144" s="3337"/>
    </row>
    <row r="24145" spans="7:16" s="1634" customFormat="1">
      <c r="G24145" s="3336"/>
      <c r="P24145" s="3337"/>
    </row>
    <row r="24146" spans="7:16" s="1634" customFormat="1">
      <c r="G24146" s="3336"/>
      <c r="P24146" s="3337"/>
    </row>
    <row r="24147" spans="7:16" s="1634" customFormat="1">
      <c r="G24147" s="3336"/>
      <c r="P24147" s="3337"/>
    </row>
    <row r="24148" spans="7:16" s="1634" customFormat="1">
      <c r="G24148" s="3336"/>
      <c r="P24148" s="3337"/>
    </row>
    <row r="24149" spans="7:16" s="1634" customFormat="1">
      <c r="G24149" s="3336"/>
      <c r="P24149" s="3337"/>
    </row>
    <row r="24150" spans="7:16" s="1634" customFormat="1">
      <c r="G24150" s="3336"/>
      <c r="P24150" s="3337"/>
    </row>
    <row r="24151" spans="7:16" s="1634" customFormat="1">
      <c r="G24151" s="3336"/>
      <c r="P24151" s="3337"/>
    </row>
    <row r="24152" spans="7:16" s="1634" customFormat="1">
      <c r="G24152" s="3336"/>
      <c r="P24152" s="3337"/>
    </row>
    <row r="24153" spans="7:16" s="1634" customFormat="1">
      <c r="G24153" s="3336"/>
      <c r="P24153" s="3337"/>
    </row>
    <row r="24154" spans="7:16" s="1634" customFormat="1">
      <c r="G24154" s="3336"/>
      <c r="P24154" s="3337"/>
    </row>
    <row r="24155" spans="7:16" s="1634" customFormat="1">
      <c r="G24155" s="3336"/>
      <c r="P24155" s="3337"/>
    </row>
    <row r="24156" spans="7:16" s="1634" customFormat="1">
      <c r="G24156" s="3336"/>
      <c r="P24156" s="3337"/>
    </row>
    <row r="24157" spans="7:16" s="1634" customFormat="1">
      <c r="G24157" s="3336"/>
      <c r="P24157" s="3337"/>
    </row>
    <row r="24158" spans="7:16" s="1634" customFormat="1">
      <c r="G24158" s="3336"/>
      <c r="P24158" s="3337"/>
    </row>
    <row r="24159" spans="7:16" s="1634" customFormat="1">
      <c r="G24159" s="3336"/>
      <c r="P24159" s="3337"/>
    </row>
    <row r="24160" spans="7:16" s="1634" customFormat="1">
      <c r="G24160" s="3336"/>
      <c r="P24160" s="3337"/>
    </row>
    <row r="24161" spans="7:16" s="1634" customFormat="1">
      <c r="G24161" s="3336"/>
      <c r="P24161" s="3337"/>
    </row>
    <row r="24162" spans="7:16" s="1634" customFormat="1">
      <c r="G24162" s="3336"/>
      <c r="P24162" s="3337"/>
    </row>
    <row r="24163" spans="7:16" s="1634" customFormat="1">
      <c r="G24163" s="3336"/>
      <c r="P24163" s="3337"/>
    </row>
    <row r="24164" spans="7:16" s="1634" customFormat="1">
      <c r="G24164" s="3336"/>
      <c r="P24164" s="3337"/>
    </row>
    <row r="24165" spans="7:16" s="1634" customFormat="1">
      <c r="G24165" s="3336"/>
      <c r="P24165" s="3337"/>
    </row>
    <row r="24166" spans="7:16" s="1634" customFormat="1">
      <c r="G24166" s="3336"/>
      <c r="P24166" s="3337"/>
    </row>
    <row r="24167" spans="7:16" s="1634" customFormat="1">
      <c r="G24167" s="3336"/>
      <c r="P24167" s="3337"/>
    </row>
    <row r="24168" spans="7:16" s="1634" customFormat="1">
      <c r="G24168" s="3336"/>
      <c r="P24168" s="3337"/>
    </row>
    <row r="24169" spans="7:16" s="1634" customFormat="1">
      <c r="G24169" s="3336"/>
      <c r="P24169" s="3337"/>
    </row>
    <row r="24170" spans="7:16" s="1634" customFormat="1">
      <c r="G24170" s="3336"/>
      <c r="P24170" s="3337"/>
    </row>
    <row r="24171" spans="7:16" s="1634" customFormat="1">
      <c r="G24171" s="3336"/>
      <c r="P24171" s="3337"/>
    </row>
    <row r="24172" spans="7:16" s="1634" customFormat="1">
      <c r="G24172" s="3336"/>
      <c r="P24172" s="3337"/>
    </row>
    <row r="24173" spans="7:16" s="1634" customFormat="1">
      <c r="G24173" s="3336"/>
      <c r="P24173" s="3337"/>
    </row>
    <row r="24174" spans="7:16" s="1634" customFormat="1">
      <c r="G24174" s="3336"/>
      <c r="P24174" s="3337"/>
    </row>
    <row r="24175" spans="7:16" s="1634" customFormat="1">
      <c r="G24175" s="3336"/>
      <c r="P24175" s="3337"/>
    </row>
    <row r="24176" spans="7:16" s="1634" customFormat="1">
      <c r="G24176" s="3336"/>
      <c r="P24176" s="3337"/>
    </row>
    <row r="24177" spans="7:16" s="1634" customFormat="1">
      <c r="G24177" s="3336"/>
      <c r="P24177" s="3337"/>
    </row>
    <row r="24178" spans="7:16" s="1634" customFormat="1">
      <c r="G24178" s="3336"/>
      <c r="P24178" s="3337"/>
    </row>
    <row r="24179" spans="7:16" s="1634" customFormat="1">
      <c r="G24179" s="3336"/>
      <c r="P24179" s="3337"/>
    </row>
    <row r="24180" spans="7:16" s="1634" customFormat="1">
      <c r="G24180" s="3336"/>
      <c r="P24180" s="3337"/>
    </row>
    <row r="24181" spans="7:16" s="1634" customFormat="1">
      <c r="G24181" s="3336"/>
      <c r="P24181" s="3337"/>
    </row>
    <row r="24182" spans="7:16" s="1634" customFormat="1">
      <c r="G24182" s="3336"/>
      <c r="P24182" s="3337"/>
    </row>
    <row r="24183" spans="7:16" s="1634" customFormat="1">
      <c r="G24183" s="3336"/>
      <c r="P24183" s="3337"/>
    </row>
    <row r="24184" spans="7:16" s="1634" customFormat="1">
      <c r="G24184" s="3336"/>
      <c r="P24184" s="3337"/>
    </row>
    <row r="24185" spans="7:16" s="1634" customFormat="1">
      <c r="G24185" s="3336"/>
      <c r="P24185" s="3337"/>
    </row>
    <row r="24186" spans="7:16" s="1634" customFormat="1">
      <c r="G24186" s="3336"/>
      <c r="P24186" s="3337"/>
    </row>
    <row r="24187" spans="7:16" s="1634" customFormat="1">
      <c r="G24187" s="3336"/>
      <c r="P24187" s="3337"/>
    </row>
    <row r="24188" spans="7:16" s="1634" customFormat="1">
      <c r="G24188" s="3336"/>
      <c r="P24188" s="3337"/>
    </row>
    <row r="24189" spans="7:16" s="1634" customFormat="1">
      <c r="G24189" s="3336"/>
      <c r="P24189" s="3337"/>
    </row>
    <row r="24190" spans="7:16" s="1634" customFormat="1">
      <c r="G24190" s="3336"/>
      <c r="P24190" s="3337"/>
    </row>
    <row r="24191" spans="7:16" s="1634" customFormat="1">
      <c r="G24191" s="3336"/>
      <c r="P24191" s="3337"/>
    </row>
    <row r="24192" spans="7:16" s="1634" customFormat="1">
      <c r="G24192" s="3336"/>
      <c r="P24192" s="3337"/>
    </row>
    <row r="24193" spans="7:16" s="1634" customFormat="1">
      <c r="G24193" s="3336"/>
      <c r="P24193" s="3337"/>
    </row>
    <row r="24194" spans="7:16" s="1634" customFormat="1">
      <c r="G24194" s="3336"/>
      <c r="P24194" s="3337"/>
    </row>
    <row r="24195" spans="7:16" s="1634" customFormat="1">
      <c r="G24195" s="3336"/>
      <c r="P24195" s="3337"/>
    </row>
    <row r="24196" spans="7:16" s="1634" customFormat="1">
      <c r="G24196" s="3336"/>
      <c r="P24196" s="3337"/>
    </row>
    <row r="24197" spans="7:16" s="1634" customFormat="1">
      <c r="G24197" s="3336"/>
      <c r="P24197" s="3337"/>
    </row>
    <row r="24198" spans="7:16" s="1634" customFormat="1">
      <c r="G24198" s="3336"/>
      <c r="P24198" s="3337"/>
    </row>
    <row r="24199" spans="7:16" s="1634" customFormat="1">
      <c r="G24199" s="3336"/>
      <c r="P24199" s="3337"/>
    </row>
    <row r="24200" spans="7:16" s="1634" customFormat="1">
      <c r="G24200" s="3336"/>
      <c r="P24200" s="3337"/>
    </row>
    <row r="24201" spans="7:16" s="1634" customFormat="1">
      <c r="G24201" s="3336"/>
      <c r="P24201" s="3337"/>
    </row>
    <row r="24202" spans="7:16" s="1634" customFormat="1">
      <c r="G24202" s="3336"/>
      <c r="P24202" s="3337"/>
    </row>
    <row r="24203" spans="7:16" s="1634" customFormat="1">
      <c r="G24203" s="3336"/>
      <c r="P24203" s="3337"/>
    </row>
    <row r="24204" spans="7:16" s="1634" customFormat="1">
      <c r="G24204" s="3336"/>
      <c r="P24204" s="3337"/>
    </row>
    <row r="24205" spans="7:16" s="1634" customFormat="1">
      <c r="G24205" s="3336"/>
      <c r="P24205" s="3337"/>
    </row>
    <row r="24206" spans="7:16" s="1634" customFormat="1">
      <c r="G24206" s="3336"/>
      <c r="P24206" s="3337"/>
    </row>
    <row r="24207" spans="7:16" s="1634" customFormat="1">
      <c r="G24207" s="3336"/>
      <c r="P24207" s="3337"/>
    </row>
    <row r="24208" spans="7:16" s="1634" customFormat="1">
      <c r="G24208" s="3336"/>
      <c r="P24208" s="3337"/>
    </row>
    <row r="24209" spans="7:16" s="1634" customFormat="1">
      <c r="G24209" s="3336"/>
      <c r="P24209" s="3337"/>
    </row>
    <row r="24210" spans="7:16" s="1634" customFormat="1">
      <c r="G24210" s="3336"/>
      <c r="P24210" s="3337"/>
    </row>
    <row r="24211" spans="7:16" s="1634" customFormat="1">
      <c r="G24211" s="3336"/>
      <c r="P24211" s="3337"/>
    </row>
    <row r="24212" spans="7:16" s="1634" customFormat="1">
      <c r="G24212" s="3336"/>
      <c r="P24212" s="3337"/>
    </row>
    <row r="24213" spans="7:16" s="1634" customFormat="1">
      <c r="G24213" s="3336"/>
      <c r="P24213" s="3337"/>
    </row>
    <row r="24214" spans="7:16" s="1634" customFormat="1">
      <c r="G24214" s="3336"/>
      <c r="P24214" s="3337"/>
    </row>
    <row r="24215" spans="7:16" s="1634" customFormat="1">
      <c r="G24215" s="3336"/>
      <c r="P24215" s="3337"/>
    </row>
    <row r="24216" spans="7:16" s="1634" customFormat="1">
      <c r="G24216" s="3336"/>
      <c r="P24216" s="3337"/>
    </row>
    <row r="24217" spans="7:16" s="1634" customFormat="1">
      <c r="G24217" s="3336"/>
      <c r="P24217" s="3337"/>
    </row>
    <row r="24218" spans="7:16" s="1634" customFormat="1">
      <c r="G24218" s="3336"/>
      <c r="P24218" s="3337"/>
    </row>
    <row r="24219" spans="7:16" s="1634" customFormat="1">
      <c r="G24219" s="3336"/>
      <c r="P24219" s="3337"/>
    </row>
    <row r="24220" spans="7:16" s="1634" customFormat="1">
      <c r="G24220" s="3336"/>
      <c r="P24220" s="3337"/>
    </row>
    <row r="24221" spans="7:16" s="1634" customFormat="1">
      <c r="G24221" s="3336"/>
      <c r="P24221" s="3337"/>
    </row>
    <row r="24222" spans="7:16" s="1634" customFormat="1">
      <c r="G24222" s="3336"/>
      <c r="P24222" s="3337"/>
    </row>
    <row r="24223" spans="7:16" s="1634" customFormat="1">
      <c r="G24223" s="3336"/>
      <c r="P24223" s="3337"/>
    </row>
    <row r="24224" spans="7:16" s="1634" customFormat="1">
      <c r="G24224" s="3336"/>
      <c r="P24224" s="3337"/>
    </row>
    <row r="24225" spans="7:16" s="1634" customFormat="1">
      <c r="G24225" s="3336"/>
      <c r="P24225" s="3337"/>
    </row>
    <row r="24226" spans="7:16" s="1634" customFormat="1">
      <c r="G24226" s="3336"/>
      <c r="P24226" s="3337"/>
    </row>
    <row r="24227" spans="7:16" s="1634" customFormat="1">
      <c r="G24227" s="3336"/>
      <c r="P24227" s="3337"/>
    </row>
    <row r="24228" spans="7:16" s="1634" customFormat="1">
      <c r="G24228" s="3336"/>
      <c r="P24228" s="3337"/>
    </row>
    <row r="24229" spans="7:16" s="1634" customFormat="1">
      <c r="G24229" s="3336"/>
      <c r="P24229" s="3337"/>
    </row>
    <row r="24230" spans="7:16" s="1634" customFormat="1">
      <c r="G24230" s="3336"/>
      <c r="P24230" s="3337"/>
    </row>
    <row r="24231" spans="7:16" s="1634" customFormat="1">
      <c r="G24231" s="3336"/>
      <c r="P24231" s="3337"/>
    </row>
    <row r="24232" spans="7:16" s="1634" customFormat="1">
      <c r="G24232" s="3336"/>
      <c r="P24232" s="3337"/>
    </row>
    <row r="24233" spans="7:16" s="1634" customFormat="1">
      <c r="G24233" s="3336"/>
      <c r="P24233" s="3337"/>
    </row>
    <row r="24234" spans="7:16" s="1634" customFormat="1">
      <c r="G24234" s="3336"/>
      <c r="P24234" s="3337"/>
    </row>
    <row r="24235" spans="7:16" s="1634" customFormat="1">
      <c r="G24235" s="3336"/>
      <c r="P24235" s="3337"/>
    </row>
    <row r="24236" spans="7:16" s="1634" customFormat="1">
      <c r="G24236" s="3336"/>
      <c r="P24236" s="3337"/>
    </row>
    <row r="24237" spans="7:16" s="1634" customFormat="1">
      <c r="G24237" s="3336"/>
      <c r="P24237" s="3337"/>
    </row>
    <row r="24238" spans="7:16" s="1634" customFormat="1">
      <c r="G24238" s="3336"/>
      <c r="P24238" s="3337"/>
    </row>
    <row r="24239" spans="7:16" s="1634" customFormat="1">
      <c r="G24239" s="3336"/>
      <c r="P24239" s="3337"/>
    </row>
    <row r="24240" spans="7:16" s="1634" customFormat="1">
      <c r="G24240" s="3336"/>
      <c r="P24240" s="3337"/>
    </row>
    <row r="24241" spans="7:16" s="1634" customFormat="1">
      <c r="G24241" s="3336"/>
      <c r="P24241" s="3337"/>
    </row>
    <row r="24242" spans="7:16" s="1634" customFormat="1">
      <c r="G24242" s="3336"/>
      <c r="P24242" s="3337"/>
    </row>
    <row r="24243" spans="7:16" s="1634" customFormat="1">
      <c r="G24243" s="3336"/>
      <c r="P24243" s="3337"/>
    </row>
    <row r="24244" spans="7:16" s="1634" customFormat="1">
      <c r="G24244" s="3336"/>
      <c r="P24244" s="3337"/>
    </row>
    <row r="24245" spans="7:16" s="1634" customFormat="1">
      <c r="G24245" s="3336"/>
      <c r="P24245" s="3337"/>
    </row>
    <row r="24246" spans="7:16" s="1634" customFormat="1">
      <c r="G24246" s="3336"/>
      <c r="P24246" s="3337"/>
    </row>
    <row r="24247" spans="7:16" s="1634" customFormat="1">
      <c r="G24247" s="3336"/>
      <c r="P24247" s="3337"/>
    </row>
    <row r="24248" spans="7:16" s="1634" customFormat="1">
      <c r="G24248" s="3336"/>
      <c r="P24248" s="3337"/>
    </row>
    <row r="24249" spans="7:16" s="1634" customFormat="1">
      <c r="G24249" s="3336"/>
      <c r="P24249" s="3337"/>
    </row>
    <row r="24250" spans="7:16" s="1634" customFormat="1">
      <c r="G24250" s="3336"/>
      <c r="P24250" s="3337"/>
    </row>
    <row r="24251" spans="7:16" s="1634" customFormat="1">
      <c r="G24251" s="3336"/>
      <c r="P24251" s="3337"/>
    </row>
    <row r="24252" spans="7:16" s="1634" customFormat="1">
      <c r="G24252" s="3336"/>
      <c r="P24252" s="3337"/>
    </row>
    <row r="24253" spans="7:16" s="1634" customFormat="1">
      <c r="G24253" s="3336"/>
      <c r="P24253" s="3337"/>
    </row>
    <row r="24254" spans="7:16" s="1634" customFormat="1">
      <c r="G24254" s="3336"/>
      <c r="P24254" s="3337"/>
    </row>
    <row r="24255" spans="7:16" s="1634" customFormat="1">
      <c r="G24255" s="3336"/>
      <c r="P24255" s="3337"/>
    </row>
    <row r="24256" spans="7:16" s="1634" customFormat="1">
      <c r="G24256" s="3336"/>
      <c r="P24256" s="3337"/>
    </row>
    <row r="24257" spans="7:16" s="1634" customFormat="1">
      <c r="G24257" s="3336"/>
      <c r="P24257" s="3337"/>
    </row>
    <row r="24258" spans="7:16" s="1634" customFormat="1">
      <c r="G24258" s="3336"/>
      <c r="P24258" s="3337"/>
    </row>
    <row r="24259" spans="7:16" s="1634" customFormat="1">
      <c r="G24259" s="3336"/>
      <c r="P24259" s="3337"/>
    </row>
    <row r="24260" spans="7:16" s="1634" customFormat="1">
      <c r="G24260" s="3336"/>
      <c r="P24260" s="3337"/>
    </row>
    <row r="24261" spans="7:16" s="1634" customFormat="1">
      <c r="G24261" s="3336"/>
      <c r="P24261" s="3337"/>
    </row>
    <row r="24262" spans="7:16" s="1634" customFormat="1">
      <c r="G24262" s="3336"/>
      <c r="P24262" s="3337"/>
    </row>
    <row r="24263" spans="7:16" s="1634" customFormat="1">
      <c r="G24263" s="3336"/>
      <c r="P24263" s="3337"/>
    </row>
    <row r="24264" spans="7:16" s="1634" customFormat="1">
      <c r="G24264" s="3336"/>
      <c r="P24264" s="3337"/>
    </row>
    <row r="24265" spans="7:16" s="1634" customFormat="1">
      <c r="G24265" s="3336"/>
      <c r="P24265" s="3337"/>
    </row>
    <row r="24266" spans="7:16" s="1634" customFormat="1">
      <c r="G24266" s="3336"/>
      <c r="P24266" s="3337"/>
    </row>
    <row r="24267" spans="7:16" s="1634" customFormat="1">
      <c r="G24267" s="3336"/>
      <c r="P24267" s="3337"/>
    </row>
    <row r="24268" spans="7:16" s="1634" customFormat="1">
      <c r="G24268" s="3336"/>
      <c r="P24268" s="3337"/>
    </row>
    <row r="24269" spans="7:16" s="1634" customFormat="1">
      <c r="G24269" s="3336"/>
      <c r="P24269" s="3337"/>
    </row>
    <row r="24270" spans="7:16" s="1634" customFormat="1">
      <c r="G24270" s="3336"/>
      <c r="P24270" s="3337"/>
    </row>
    <row r="24271" spans="7:16" s="1634" customFormat="1">
      <c r="G24271" s="3336"/>
      <c r="P24271" s="3337"/>
    </row>
    <row r="24272" spans="7:16" s="1634" customFormat="1">
      <c r="G24272" s="3336"/>
      <c r="P24272" s="3337"/>
    </row>
    <row r="24273" spans="7:16" s="1634" customFormat="1">
      <c r="G24273" s="3336"/>
      <c r="P24273" s="3337"/>
    </row>
    <row r="24274" spans="7:16" s="1634" customFormat="1">
      <c r="G24274" s="3336"/>
      <c r="P24274" s="3337"/>
    </row>
    <row r="24275" spans="7:16" s="1634" customFormat="1">
      <c r="G24275" s="3336"/>
      <c r="P24275" s="3337"/>
    </row>
    <row r="24276" spans="7:16" s="1634" customFormat="1">
      <c r="G24276" s="3336"/>
      <c r="P24276" s="3337"/>
    </row>
    <row r="24277" spans="7:16" s="1634" customFormat="1">
      <c r="G24277" s="3336"/>
      <c r="P24277" s="3337"/>
    </row>
    <row r="24278" spans="7:16" s="1634" customFormat="1">
      <c r="G24278" s="3336"/>
      <c r="P24278" s="3337"/>
    </row>
    <row r="24279" spans="7:16" s="1634" customFormat="1">
      <c r="G24279" s="3336"/>
      <c r="P24279" s="3337"/>
    </row>
    <row r="24280" spans="7:16" s="1634" customFormat="1">
      <c r="G24280" s="3336"/>
      <c r="P24280" s="3337"/>
    </row>
    <row r="24281" spans="7:16" s="1634" customFormat="1">
      <c r="G24281" s="3336"/>
      <c r="P24281" s="3337"/>
    </row>
    <row r="24282" spans="7:16" s="1634" customFormat="1">
      <c r="G24282" s="3336"/>
      <c r="P24282" s="3337"/>
    </row>
    <row r="24283" spans="7:16" s="1634" customFormat="1">
      <c r="G24283" s="3336"/>
      <c r="P24283" s="3337"/>
    </row>
    <row r="24284" spans="7:16" s="1634" customFormat="1">
      <c r="G24284" s="3336"/>
      <c r="P24284" s="3337"/>
    </row>
    <row r="24285" spans="7:16" s="1634" customFormat="1">
      <c r="G24285" s="3336"/>
      <c r="P24285" s="3337"/>
    </row>
    <row r="24286" spans="7:16" s="1634" customFormat="1">
      <c r="G24286" s="3336"/>
      <c r="P24286" s="3337"/>
    </row>
    <row r="24287" spans="7:16" s="1634" customFormat="1">
      <c r="G24287" s="3336"/>
      <c r="P24287" s="3337"/>
    </row>
    <row r="24288" spans="7:16" s="1634" customFormat="1">
      <c r="G24288" s="3336"/>
      <c r="P24288" s="3337"/>
    </row>
    <row r="24289" spans="7:16" s="1634" customFormat="1">
      <c r="G24289" s="3336"/>
      <c r="P24289" s="3337"/>
    </row>
    <row r="24290" spans="7:16" s="1634" customFormat="1">
      <c r="G24290" s="3336"/>
      <c r="P24290" s="3337"/>
    </row>
    <row r="24291" spans="7:16" s="1634" customFormat="1">
      <c r="G24291" s="3336"/>
      <c r="P24291" s="3337"/>
    </row>
    <row r="24292" spans="7:16" s="1634" customFormat="1">
      <c r="G24292" s="3336"/>
      <c r="P24292" s="3337"/>
    </row>
    <row r="24293" spans="7:16" s="1634" customFormat="1">
      <c r="G24293" s="3336"/>
      <c r="P24293" s="3337"/>
    </row>
    <row r="24294" spans="7:16" s="1634" customFormat="1">
      <c r="G24294" s="3336"/>
      <c r="P24294" s="3337"/>
    </row>
    <row r="24295" spans="7:16" s="1634" customFormat="1">
      <c r="G24295" s="3336"/>
      <c r="P24295" s="3337"/>
    </row>
    <row r="24296" spans="7:16" s="1634" customFormat="1">
      <c r="G24296" s="3336"/>
      <c r="P24296" s="3337"/>
    </row>
    <row r="24297" spans="7:16" s="1634" customFormat="1">
      <c r="G24297" s="3336"/>
      <c r="P24297" s="3337"/>
    </row>
    <row r="24298" spans="7:16" s="1634" customFormat="1">
      <c r="G24298" s="3336"/>
      <c r="P24298" s="3337"/>
    </row>
    <row r="24299" spans="7:16" s="1634" customFormat="1">
      <c r="G24299" s="3336"/>
      <c r="P24299" s="3337"/>
    </row>
    <row r="24300" spans="7:16" s="1634" customFormat="1">
      <c r="G24300" s="3336"/>
      <c r="P24300" s="3337"/>
    </row>
    <row r="24301" spans="7:16" s="1634" customFormat="1">
      <c r="G24301" s="3336"/>
      <c r="P24301" s="3337"/>
    </row>
    <row r="24302" spans="7:16" s="1634" customFormat="1">
      <c r="G24302" s="3336"/>
      <c r="P24302" s="3337"/>
    </row>
    <row r="24303" spans="7:16" s="1634" customFormat="1">
      <c r="G24303" s="3336"/>
      <c r="P24303" s="3337"/>
    </row>
    <row r="24304" spans="7:16" s="1634" customFormat="1">
      <c r="G24304" s="3336"/>
      <c r="P24304" s="3337"/>
    </row>
    <row r="24305" spans="7:16" s="1634" customFormat="1">
      <c r="G24305" s="3336"/>
      <c r="P24305" s="3337"/>
    </row>
    <row r="24306" spans="7:16" s="1634" customFormat="1">
      <c r="G24306" s="3336"/>
      <c r="P24306" s="3337"/>
    </row>
    <row r="24307" spans="7:16" s="1634" customFormat="1">
      <c r="G24307" s="3336"/>
      <c r="P24307" s="3337"/>
    </row>
    <row r="24308" spans="7:16" s="1634" customFormat="1">
      <c r="G24308" s="3336"/>
      <c r="P24308" s="3337"/>
    </row>
    <row r="24309" spans="7:16" s="1634" customFormat="1">
      <c r="G24309" s="3336"/>
      <c r="P24309" s="3337"/>
    </row>
    <row r="24310" spans="7:16" s="1634" customFormat="1">
      <c r="G24310" s="3336"/>
      <c r="P24310" s="3337"/>
    </row>
    <row r="24311" spans="7:16" s="1634" customFormat="1">
      <c r="G24311" s="3336"/>
      <c r="P24311" s="3337"/>
    </row>
    <row r="24312" spans="7:16" s="1634" customFormat="1">
      <c r="G24312" s="3336"/>
      <c r="P24312" s="3337"/>
    </row>
    <row r="24313" spans="7:16" s="1634" customFormat="1">
      <c r="G24313" s="3336"/>
      <c r="P24313" s="3337"/>
    </row>
    <row r="24314" spans="7:16" s="1634" customFormat="1">
      <c r="G24314" s="3336"/>
      <c r="P24314" s="3337"/>
    </row>
    <row r="24315" spans="7:16" s="1634" customFormat="1">
      <c r="G24315" s="3336"/>
      <c r="P24315" s="3337"/>
    </row>
    <row r="24316" spans="7:16" s="1634" customFormat="1">
      <c r="G24316" s="3336"/>
      <c r="P24316" s="3337"/>
    </row>
    <row r="24317" spans="7:16" s="1634" customFormat="1">
      <c r="G24317" s="3336"/>
      <c r="P24317" s="3337"/>
    </row>
    <row r="24318" spans="7:16" s="1634" customFormat="1">
      <c r="G24318" s="3336"/>
      <c r="P24318" s="3337"/>
    </row>
    <row r="24319" spans="7:16" s="1634" customFormat="1">
      <c r="G24319" s="3336"/>
      <c r="P24319" s="3337"/>
    </row>
    <row r="24320" spans="7:16" s="1634" customFormat="1">
      <c r="G24320" s="3336"/>
      <c r="P24320" s="3337"/>
    </row>
    <row r="24321" spans="7:16" s="1634" customFormat="1">
      <c r="G24321" s="3336"/>
      <c r="P24321" s="3337"/>
    </row>
    <row r="24322" spans="7:16" s="1634" customFormat="1">
      <c r="G24322" s="3336"/>
      <c r="P24322" s="3337"/>
    </row>
    <row r="24323" spans="7:16" s="1634" customFormat="1">
      <c r="G24323" s="3336"/>
      <c r="P24323" s="3337"/>
    </row>
    <row r="24324" spans="7:16" s="1634" customFormat="1">
      <c r="G24324" s="3336"/>
      <c r="P24324" s="3337"/>
    </row>
    <row r="24325" spans="7:16" s="1634" customFormat="1">
      <c r="G24325" s="3336"/>
      <c r="P24325" s="3337"/>
    </row>
    <row r="24326" spans="7:16" s="1634" customFormat="1">
      <c r="G24326" s="3336"/>
      <c r="P24326" s="3337"/>
    </row>
    <row r="24327" spans="7:16" s="1634" customFormat="1">
      <c r="G24327" s="3336"/>
      <c r="P24327" s="3337"/>
    </row>
    <row r="24328" spans="7:16" s="1634" customFormat="1">
      <c r="G24328" s="3336"/>
      <c r="P24328" s="3337"/>
    </row>
    <row r="24329" spans="7:16" s="1634" customFormat="1">
      <c r="G24329" s="3336"/>
      <c r="P24329" s="3337"/>
    </row>
    <row r="24330" spans="7:16" s="1634" customFormat="1">
      <c r="G24330" s="3336"/>
      <c r="P24330" s="3337"/>
    </row>
    <row r="24331" spans="7:16" s="1634" customFormat="1">
      <c r="G24331" s="3336"/>
      <c r="P24331" s="3337"/>
    </row>
    <row r="24332" spans="7:16" s="1634" customFormat="1">
      <c r="G24332" s="3336"/>
      <c r="P24332" s="3337"/>
    </row>
    <row r="24333" spans="7:16" s="1634" customFormat="1">
      <c r="G24333" s="3336"/>
      <c r="P24333" s="3337"/>
    </row>
    <row r="24334" spans="7:16" s="1634" customFormat="1">
      <c r="G24334" s="3336"/>
      <c r="P24334" s="3337"/>
    </row>
    <row r="24335" spans="7:16" s="1634" customFormat="1">
      <c r="G24335" s="3336"/>
      <c r="P24335" s="3337"/>
    </row>
    <row r="24336" spans="7:16" s="1634" customFormat="1">
      <c r="G24336" s="3336"/>
      <c r="P24336" s="3337"/>
    </row>
    <row r="24337" spans="7:16" s="1634" customFormat="1">
      <c r="G24337" s="3336"/>
      <c r="P24337" s="3337"/>
    </row>
    <row r="24338" spans="7:16" s="1634" customFormat="1">
      <c r="G24338" s="3336"/>
      <c r="P24338" s="3337"/>
    </row>
    <row r="24339" spans="7:16" s="1634" customFormat="1">
      <c r="G24339" s="3336"/>
      <c r="P24339" s="3337"/>
    </row>
    <row r="24340" spans="7:16" s="1634" customFormat="1">
      <c r="G24340" s="3336"/>
      <c r="P24340" s="3337"/>
    </row>
    <row r="24341" spans="7:16" s="1634" customFormat="1">
      <c r="G24341" s="3336"/>
      <c r="P24341" s="3337"/>
    </row>
    <row r="24342" spans="7:16" s="1634" customFormat="1">
      <c r="G24342" s="3336"/>
      <c r="P24342" s="3337"/>
    </row>
    <row r="24343" spans="7:16" s="1634" customFormat="1">
      <c r="G24343" s="3336"/>
      <c r="P24343" s="3337"/>
    </row>
    <row r="24344" spans="7:16" s="1634" customFormat="1">
      <c r="G24344" s="3336"/>
      <c r="P24344" s="3337"/>
    </row>
    <row r="24345" spans="7:16" s="1634" customFormat="1">
      <c r="G24345" s="3336"/>
      <c r="P24345" s="3337"/>
    </row>
    <row r="24346" spans="7:16" s="1634" customFormat="1">
      <c r="G24346" s="3336"/>
      <c r="P24346" s="3337"/>
    </row>
    <row r="24347" spans="7:16" s="1634" customFormat="1">
      <c r="G24347" s="3336"/>
      <c r="P24347" s="3337"/>
    </row>
    <row r="24348" spans="7:16" s="1634" customFormat="1">
      <c r="G24348" s="3336"/>
      <c r="P24348" s="3337"/>
    </row>
    <row r="24349" spans="7:16" s="1634" customFormat="1">
      <c r="G24349" s="3336"/>
      <c r="P24349" s="3337"/>
    </row>
    <row r="24350" spans="7:16" s="1634" customFormat="1">
      <c r="G24350" s="3336"/>
      <c r="P24350" s="3337"/>
    </row>
    <row r="24351" spans="7:16" s="1634" customFormat="1">
      <c r="G24351" s="3336"/>
      <c r="P24351" s="3337"/>
    </row>
    <row r="24352" spans="7:16" s="1634" customFormat="1">
      <c r="G24352" s="3336"/>
      <c r="P24352" s="3337"/>
    </row>
    <row r="24353" spans="7:16" s="1634" customFormat="1">
      <c r="G24353" s="3336"/>
      <c r="P24353" s="3337"/>
    </row>
    <row r="24354" spans="7:16" s="1634" customFormat="1">
      <c r="G24354" s="3336"/>
      <c r="P24354" s="3337"/>
    </row>
    <row r="24355" spans="7:16" s="1634" customFormat="1">
      <c r="G24355" s="3336"/>
      <c r="P24355" s="3337"/>
    </row>
    <row r="24356" spans="7:16" s="1634" customFormat="1">
      <c r="G24356" s="3336"/>
      <c r="P24356" s="3337"/>
    </row>
    <row r="24357" spans="7:16" s="1634" customFormat="1">
      <c r="G24357" s="3336"/>
      <c r="P24357" s="3337"/>
    </row>
    <row r="24358" spans="7:16" s="1634" customFormat="1">
      <c r="G24358" s="3336"/>
      <c r="P24358" s="3337"/>
    </row>
    <row r="24359" spans="7:16" s="1634" customFormat="1">
      <c r="G24359" s="3336"/>
      <c r="P24359" s="3337"/>
    </row>
    <row r="24360" spans="7:16" s="1634" customFormat="1">
      <c r="G24360" s="3336"/>
      <c r="P24360" s="3337"/>
    </row>
    <row r="24361" spans="7:16" s="1634" customFormat="1">
      <c r="G24361" s="3336"/>
      <c r="P24361" s="3337"/>
    </row>
    <row r="24362" spans="7:16" s="1634" customFormat="1">
      <c r="G24362" s="3336"/>
      <c r="P24362" s="3337"/>
    </row>
    <row r="24363" spans="7:16" s="1634" customFormat="1">
      <c r="G24363" s="3336"/>
      <c r="P24363" s="3337"/>
    </row>
    <row r="24364" spans="7:16" s="1634" customFormat="1">
      <c r="G24364" s="3336"/>
      <c r="P24364" s="3337"/>
    </row>
    <row r="24365" spans="7:16" s="1634" customFormat="1">
      <c r="G24365" s="3336"/>
      <c r="P24365" s="3337"/>
    </row>
    <row r="24366" spans="7:16" s="1634" customFormat="1">
      <c r="G24366" s="3336"/>
      <c r="P24366" s="3337"/>
    </row>
    <row r="24367" spans="7:16" s="1634" customFormat="1">
      <c r="G24367" s="3336"/>
      <c r="P24367" s="3337"/>
    </row>
    <row r="24368" spans="7:16" s="1634" customFormat="1">
      <c r="G24368" s="3336"/>
      <c r="P24368" s="3337"/>
    </row>
    <row r="24369" spans="7:16" s="1634" customFormat="1">
      <c r="G24369" s="3336"/>
      <c r="P24369" s="3337"/>
    </row>
    <row r="24370" spans="7:16" s="1634" customFormat="1">
      <c r="G24370" s="3336"/>
      <c r="P24370" s="3337"/>
    </row>
    <row r="24371" spans="7:16" s="1634" customFormat="1">
      <c r="G24371" s="3336"/>
      <c r="P24371" s="3337"/>
    </row>
    <row r="24372" spans="7:16" s="1634" customFormat="1">
      <c r="G24372" s="3336"/>
      <c r="P24372" s="3337"/>
    </row>
    <row r="24373" spans="7:16" s="1634" customFormat="1">
      <c r="G24373" s="3336"/>
      <c r="P24373" s="3337"/>
    </row>
    <row r="24374" spans="7:16" s="1634" customFormat="1">
      <c r="G24374" s="3336"/>
      <c r="P24374" s="3337"/>
    </row>
    <row r="24375" spans="7:16" s="1634" customFormat="1">
      <c r="G24375" s="3336"/>
      <c r="P24375" s="3337"/>
    </row>
    <row r="24376" spans="7:16" s="1634" customFormat="1">
      <c r="G24376" s="3336"/>
      <c r="P24376" s="3337"/>
    </row>
    <row r="24377" spans="7:16" s="1634" customFormat="1">
      <c r="G24377" s="3336"/>
      <c r="P24377" s="3337"/>
    </row>
    <row r="24378" spans="7:16" s="1634" customFormat="1">
      <c r="G24378" s="3336"/>
      <c r="P24378" s="3337"/>
    </row>
    <row r="24379" spans="7:16" s="1634" customFormat="1">
      <c r="G24379" s="3336"/>
      <c r="P24379" s="3337"/>
    </row>
    <row r="24380" spans="7:16" s="1634" customFormat="1">
      <c r="G24380" s="3336"/>
      <c r="P24380" s="3337"/>
    </row>
    <row r="24381" spans="7:16" s="1634" customFormat="1">
      <c r="G24381" s="3336"/>
      <c r="P24381" s="3337"/>
    </row>
    <row r="24382" spans="7:16" s="1634" customFormat="1">
      <c r="G24382" s="3336"/>
      <c r="P24382" s="3337"/>
    </row>
    <row r="24383" spans="7:16" s="1634" customFormat="1">
      <c r="G24383" s="3336"/>
      <c r="P24383" s="3337"/>
    </row>
    <row r="24384" spans="7:16" s="1634" customFormat="1">
      <c r="G24384" s="3336"/>
      <c r="P24384" s="3337"/>
    </row>
    <row r="24385" spans="7:16" s="1634" customFormat="1">
      <c r="G24385" s="3336"/>
      <c r="P24385" s="3337"/>
    </row>
    <row r="24386" spans="7:16" s="1634" customFormat="1">
      <c r="G24386" s="3336"/>
      <c r="P24386" s="3337"/>
    </row>
    <row r="24387" spans="7:16" s="1634" customFormat="1">
      <c r="G24387" s="3336"/>
      <c r="P24387" s="3337"/>
    </row>
    <row r="24388" spans="7:16" s="1634" customFormat="1">
      <c r="G24388" s="3336"/>
      <c r="P24388" s="3337"/>
    </row>
    <row r="24389" spans="7:16" s="1634" customFormat="1">
      <c r="G24389" s="3336"/>
      <c r="P24389" s="3337"/>
    </row>
    <row r="24390" spans="7:16" s="1634" customFormat="1">
      <c r="G24390" s="3336"/>
      <c r="P24390" s="3337"/>
    </row>
    <row r="24391" spans="7:16" s="1634" customFormat="1">
      <c r="G24391" s="3336"/>
      <c r="P24391" s="3337"/>
    </row>
    <row r="24392" spans="7:16" s="1634" customFormat="1">
      <c r="G24392" s="3336"/>
      <c r="P24392" s="3337"/>
    </row>
    <row r="24393" spans="7:16" s="1634" customFormat="1">
      <c r="G24393" s="3336"/>
      <c r="P24393" s="3337"/>
    </row>
    <row r="24394" spans="7:16" s="1634" customFormat="1">
      <c r="G24394" s="3336"/>
      <c r="P24394" s="3337"/>
    </row>
    <row r="24395" spans="7:16" s="1634" customFormat="1">
      <c r="G24395" s="3336"/>
      <c r="P24395" s="3337"/>
    </row>
    <row r="24396" spans="7:16" s="1634" customFormat="1">
      <c r="G24396" s="3336"/>
      <c r="P24396" s="3337"/>
    </row>
    <row r="24397" spans="7:16" s="1634" customFormat="1">
      <c r="G24397" s="3336"/>
      <c r="P24397" s="3337"/>
    </row>
    <row r="24398" spans="7:16" s="1634" customFormat="1">
      <c r="G24398" s="3336"/>
      <c r="P24398" s="3337"/>
    </row>
    <row r="24399" spans="7:16" s="1634" customFormat="1">
      <c r="G24399" s="3336"/>
      <c r="P24399" s="3337"/>
    </row>
    <row r="24400" spans="7:16" s="1634" customFormat="1">
      <c r="G24400" s="3336"/>
      <c r="P24400" s="3337"/>
    </row>
    <row r="24401" spans="7:16" s="1634" customFormat="1">
      <c r="G24401" s="3336"/>
      <c r="P24401" s="3337"/>
    </row>
    <row r="24402" spans="7:16" s="1634" customFormat="1">
      <c r="G24402" s="3336"/>
      <c r="P24402" s="3337"/>
    </row>
    <row r="24403" spans="7:16" s="1634" customFormat="1">
      <c r="G24403" s="3336"/>
      <c r="P24403" s="3337"/>
    </row>
    <row r="24404" spans="7:16" s="1634" customFormat="1">
      <c r="G24404" s="3336"/>
      <c r="P24404" s="3337"/>
    </row>
    <row r="24405" spans="7:16" s="1634" customFormat="1">
      <c r="G24405" s="3336"/>
      <c r="P24405" s="3337"/>
    </row>
    <row r="24406" spans="7:16" s="1634" customFormat="1">
      <c r="G24406" s="3336"/>
      <c r="P24406" s="3337"/>
    </row>
    <row r="24407" spans="7:16" s="1634" customFormat="1">
      <c r="G24407" s="3336"/>
      <c r="P24407" s="3337"/>
    </row>
    <row r="24408" spans="7:16" s="1634" customFormat="1">
      <c r="G24408" s="3336"/>
      <c r="P24408" s="3337"/>
    </row>
    <row r="24409" spans="7:16" s="1634" customFormat="1">
      <c r="G24409" s="3336"/>
      <c r="P24409" s="3337"/>
    </row>
    <row r="24410" spans="7:16" s="1634" customFormat="1">
      <c r="G24410" s="3336"/>
      <c r="P24410" s="3337"/>
    </row>
    <row r="24411" spans="7:16" s="1634" customFormat="1">
      <c r="G24411" s="3336"/>
      <c r="P24411" s="3337"/>
    </row>
    <row r="24412" spans="7:16" s="1634" customFormat="1">
      <c r="G24412" s="3336"/>
      <c r="P24412" s="3337"/>
    </row>
    <row r="24413" spans="7:16" s="1634" customFormat="1">
      <c r="G24413" s="3336"/>
      <c r="P24413" s="3337"/>
    </row>
    <row r="24414" spans="7:16" s="1634" customFormat="1">
      <c r="G24414" s="3336"/>
      <c r="P24414" s="3337"/>
    </row>
    <row r="24415" spans="7:16" s="1634" customFormat="1">
      <c r="G24415" s="3336"/>
      <c r="P24415" s="3337"/>
    </row>
    <row r="24416" spans="7:16" s="1634" customFormat="1">
      <c r="G24416" s="3336"/>
      <c r="P24416" s="3337"/>
    </row>
    <row r="24417" spans="7:16" s="1634" customFormat="1">
      <c r="G24417" s="3336"/>
      <c r="P24417" s="3337"/>
    </row>
    <row r="24418" spans="7:16" s="1634" customFormat="1">
      <c r="G24418" s="3336"/>
      <c r="P24418" s="3337"/>
    </row>
    <row r="24419" spans="7:16" s="1634" customFormat="1">
      <c r="G24419" s="3336"/>
      <c r="P24419" s="3337"/>
    </row>
    <row r="24420" spans="7:16" s="1634" customFormat="1">
      <c r="G24420" s="3336"/>
      <c r="P24420" s="3337"/>
    </row>
    <row r="24421" spans="7:16" s="1634" customFormat="1">
      <c r="G24421" s="3336"/>
      <c r="P24421" s="3337"/>
    </row>
    <row r="24422" spans="7:16" s="1634" customFormat="1">
      <c r="G24422" s="3336"/>
      <c r="P24422" s="3337"/>
    </row>
    <row r="24423" spans="7:16" s="1634" customFormat="1">
      <c r="G24423" s="3336"/>
      <c r="P24423" s="3337"/>
    </row>
    <row r="24424" spans="7:16" s="1634" customFormat="1">
      <c r="G24424" s="3336"/>
      <c r="P24424" s="3337"/>
    </row>
    <row r="24425" spans="7:16" s="1634" customFormat="1">
      <c r="G24425" s="3336"/>
      <c r="P24425" s="3337"/>
    </row>
    <row r="24426" spans="7:16" s="1634" customFormat="1">
      <c r="G24426" s="3336"/>
      <c r="P24426" s="3337"/>
    </row>
    <row r="24427" spans="7:16" s="1634" customFormat="1">
      <c r="G24427" s="3336"/>
      <c r="P24427" s="3337"/>
    </row>
    <row r="24428" spans="7:16" s="1634" customFormat="1">
      <c r="G24428" s="3336"/>
      <c r="P24428" s="3337"/>
    </row>
    <row r="24429" spans="7:16" s="1634" customFormat="1">
      <c r="G24429" s="3336"/>
      <c r="P24429" s="3337"/>
    </row>
    <row r="24430" spans="7:16" s="1634" customFormat="1">
      <c r="G24430" s="3336"/>
      <c r="P24430" s="3337"/>
    </row>
    <row r="24431" spans="7:16" s="1634" customFormat="1">
      <c r="G24431" s="3336"/>
      <c r="P24431" s="3337"/>
    </row>
    <row r="24432" spans="7:16" s="1634" customFormat="1">
      <c r="G24432" s="3336"/>
      <c r="P24432" s="3337"/>
    </row>
    <row r="24433" spans="7:16" s="1634" customFormat="1">
      <c r="G24433" s="3336"/>
      <c r="P24433" s="3337"/>
    </row>
    <row r="24434" spans="7:16" s="1634" customFormat="1">
      <c r="G24434" s="3336"/>
      <c r="P24434" s="3337"/>
    </row>
    <row r="24435" spans="7:16" s="1634" customFormat="1">
      <c r="G24435" s="3336"/>
      <c r="P24435" s="3337"/>
    </row>
    <row r="24436" spans="7:16" s="1634" customFormat="1">
      <c r="G24436" s="3336"/>
      <c r="P24436" s="3337"/>
    </row>
    <row r="24437" spans="7:16" s="1634" customFormat="1">
      <c r="G24437" s="3336"/>
      <c r="P24437" s="3337"/>
    </row>
    <row r="24438" spans="7:16" s="1634" customFormat="1">
      <c r="G24438" s="3336"/>
      <c r="P24438" s="3337"/>
    </row>
    <row r="24439" spans="7:16" s="1634" customFormat="1">
      <c r="G24439" s="3336"/>
      <c r="P24439" s="3337"/>
    </row>
    <row r="24440" spans="7:16" s="1634" customFormat="1">
      <c r="G24440" s="3336"/>
      <c r="P24440" s="3337"/>
    </row>
    <row r="24441" spans="7:16" s="1634" customFormat="1">
      <c r="G24441" s="3336"/>
      <c r="P24441" s="3337"/>
    </row>
    <row r="24442" spans="7:16" s="1634" customFormat="1">
      <c r="G24442" s="3336"/>
      <c r="P24442" s="3337"/>
    </row>
    <row r="24443" spans="7:16" s="1634" customFormat="1">
      <c r="G24443" s="3336"/>
      <c r="P24443" s="3337"/>
    </row>
    <row r="24444" spans="7:16" s="1634" customFormat="1">
      <c r="G24444" s="3336"/>
      <c r="P24444" s="3337"/>
    </row>
    <row r="24445" spans="7:16" s="1634" customFormat="1">
      <c r="G24445" s="3336"/>
      <c r="P24445" s="3337"/>
    </row>
    <row r="24446" spans="7:16" s="1634" customFormat="1">
      <c r="G24446" s="3336"/>
      <c r="P24446" s="3337"/>
    </row>
    <row r="24447" spans="7:16" s="1634" customFormat="1">
      <c r="G24447" s="3336"/>
      <c r="P24447" s="3337"/>
    </row>
    <row r="24448" spans="7:16" s="1634" customFormat="1">
      <c r="G24448" s="3336"/>
      <c r="P24448" s="3337"/>
    </row>
    <row r="24449" spans="7:16" s="1634" customFormat="1">
      <c r="G24449" s="3336"/>
      <c r="P24449" s="3337"/>
    </row>
    <row r="24450" spans="7:16" s="1634" customFormat="1">
      <c r="G24450" s="3336"/>
      <c r="P24450" s="3337"/>
    </row>
    <row r="24451" spans="7:16" s="1634" customFormat="1">
      <c r="G24451" s="3336"/>
      <c r="P24451" s="3337"/>
    </row>
    <row r="24452" spans="7:16" s="1634" customFormat="1">
      <c r="G24452" s="3336"/>
      <c r="P24452" s="3337"/>
    </row>
    <row r="24453" spans="7:16" s="1634" customFormat="1">
      <c r="G24453" s="3336"/>
      <c r="P24453" s="3337"/>
    </row>
    <row r="24454" spans="7:16" s="1634" customFormat="1">
      <c r="G24454" s="3336"/>
      <c r="P24454" s="3337"/>
    </row>
    <row r="24455" spans="7:16" s="1634" customFormat="1">
      <c r="G24455" s="3336"/>
      <c r="P24455" s="3337"/>
    </row>
    <row r="24456" spans="7:16" s="1634" customFormat="1">
      <c r="G24456" s="3336"/>
      <c r="P24456" s="3337"/>
    </row>
    <row r="24457" spans="7:16" s="1634" customFormat="1">
      <c r="G24457" s="3336"/>
      <c r="P24457" s="3337"/>
    </row>
    <row r="24458" spans="7:16" s="1634" customFormat="1">
      <c r="G24458" s="3336"/>
      <c r="P24458" s="3337"/>
    </row>
    <row r="24459" spans="7:16" s="1634" customFormat="1">
      <c r="G24459" s="3336"/>
      <c r="P24459" s="3337"/>
    </row>
    <row r="24460" spans="7:16" s="1634" customFormat="1">
      <c r="G24460" s="3336"/>
      <c r="P24460" s="3337"/>
    </row>
    <row r="24461" spans="7:16" s="1634" customFormat="1">
      <c r="G24461" s="3336"/>
      <c r="P24461" s="3337"/>
    </row>
    <row r="24462" spans="7:16" s="1634" customFormat="1">
      <c r="G24462" s="3336"/>
      <c r="P24462" s="3337"/>
    </row>
    <row r="24463" spans="7:16" s="1634" customFormat="1">
      <c r="G24463" s="3336"/>
      <c r="P24463" s="3337"/>
    </row>
    <row r="24464" spans="7:16" s="1634" customFormat="1">
      <c r="G24464" s="3336"/>
      <c r="P24464" s="3337"/>
    </row>
    <row r="24465" spans="7:16" s="1634" customFormat="1">
      <c r="G24465" s="3336"/>
      <c r="P24465" s="3337"/>
    </row>
    <row r="24466" spans="7:16" s="1634" customFormat="1">
      <c r="G24466" s="3336"/>
      <c r="P24466" s="3337"/>
    </row>
    <row r="24467" spans="7:16" s="1634" customFormat="1">
      <c r="G24467" s="3336"/>
      <c r="P24467" s="3337"/>
    </row>
    <row r="24468" spans="7:16" s="1634" customFormat="1">
      <c r="G24468" s="3336"/>
      <c r="P24468" s="3337"/>
    </row>
    <row r="24469" spans="7:16" s="1634" customFormat="1">
      <c r="G24469" s="3336"/>
      <c r="P24469" s="3337"/>
    </row>
    <row r="24470" spans="7:16" s="1634" customFormat="1">
      <c r="G24470" s="3336"/>
      <c r="P24470" s="3337"/>
    </row>
    <row r="24471" spans="7:16" s="1634" customFormat="1">
      <c r="G24471" s="3336"/>
      <c r="P24471" s="3337"/>
    </row>
    <row r="24472" spans="7:16" s="1634" customFormat="1">
      <c r="G24472" s="3336"/>
      <c r="P24472" s="3337"/>
    </row>
    <row r="24473" spans="7:16" s="1634" customFormat="1">
      <c r="G24473" s="3336"/>
      <c r="P24473" s="3337"/>
    </row>
    <row r="24474" spans="7:16" s="1634" customFormat="1">
      <c r="G24474" s="3336"/>
      <c r="P24474" s="3337"/>
    </row>
    <row r="24475" spans="7:16" s="1634" customFormat="1">
      <c r="G24475" s="3336"/>
      <c r="P24475" s="3337"/>
    </row>
    <row r="24476" spans="7:16" s="1634" customFormat="1">
      <c r="G24476" s="3336"/>
      <c r="P24476" s="3337"/>
    </row>
    <row r="24477" spans="7:16" s="1634" customFormat="1">
      <c r="G24477" s="3336"/>
      <c r="P24477" s="3337"/>
    </row>
    <row r="24478" spans="7:16" s="1634" customFormat="1">
      <c r="G24478" s="3336"/>
      <c r="P24478" s="3337"/>
    </row>
    <row r="24479" spans="7:16" s="1634" customFormat="1">
      <c r="G24479" s="3336"/>
      <c r="P24479" s="3337"/>
    </row>
    <row r="24480" spans="7:16" s="1634" customFormat="1">
      <c r="G24480" s="3336"/>
      <c r="P24480" s="3337"/>
    </row>
    <row r="24481" spans="7:16" s="1634" customFormat="1">
      <c r="G24481" s="3336"/>
      <c r="P24481" s="3337"/>
    </row>
    <row r="24482" spans="7:16" s="1634" customFormat="1">
      <c r="G24482" s="3336"/>
      <c r="P24482" s="3337"/>
    </row>
    <row r="24483" spans="7:16" s="1634" customFormat="1">
      <c r="G24483" s="3336"/>
      <c r="P24483" s="3337"/>
    </row>
    <row r="24484" spans="7:16" s="1634" customFormat="1">
      <c r="G24484" s="3336"/>
      <c r="P24484" s="3337"/>
    </row>
    <row r="24485" spans="7:16" s="1634" customFormat="1">
      <c r="G24485" s="3336"/>
      <c r="P24485" s="3337"/>
    </row>
    <row r="24486" spans="7:16" s="1634" customFormat="1">
      <c r="G24486" s="3336"/>
      <c r="P24486" s="3337"/>
    </row>
    <row r="24487" spans="7:16" s="1634" customFormat="1">
      <c r="G24487" s="3336"/>
      <c r="P24487" s="3337"/>
    </row>
    <row r="24488" spans="7:16" s="1634" customFormat="1">
      <c r="G24488" s="3336"/>
      <c r="P24488" s="3337"/>
    </row>
    <row r="24489" spans="7:16" s="1634" customFormat="1">
      <c r="G24489" s="3336"/>
      <c r="P24489" s="3337"/>
    </row>
    <row r="24490" spans="7:16" s="1634" customFormat="1">
      <c r="G24490" s="3336"/>
      <c r="P24490" s="3337"/>
    </row>
    <row r="24491" spans="7:16" s="1634" customFormat="1">
      <c r="G24491" s="3336"/>
      <c r="P24491" s="3337"/>
    </row>
    <row r="24492" spans="7:16" s="1634" customFormat="1">
      <c r="G24492" s="3336"/>
      <c r="P24492" s="3337"/>
    </row>
    <row r="24493" spans="7:16" s="1634" customFormat="1">
      <c r="G24493" s="3336"/>
      <c r="P24493" s="3337"/>
    </row>
    <row r="24494" spans="7:16" s="1634" customFormat="1">
      <c r="G24494" s="3336"/>
      <c r="P24494" s="3337"/>
    </row>
    <row r="24495" spans="7:16" s="1634" customFormat="1">
      <c r="G24495" s="3336"/>
      <c r="P24495" s="3337"/>
    </row>
    <row r="24496" spans="7:16" s="1634" customFormat="1">
      <c r="G24496" s="3336"/>
      <c r="P24496" s="3337"/>
    </row>
    <row r="24497" spans="7:16" s="1634" customFormat="1">
      <c r="G24497" s="3336"/>
      <c r="P24497" s="3337"/>
    </row>
    <row r="24498" spans="7:16" s="1634" customFormat="1">
      <c r="G24498" s="3336"/>
      <c r="P24498" s="3337"/>
    </row>
    <row r="24499" spans="7:16" s="1634" customFormat="1">
      <c r="G24499" s="3336"/>
      <c r="P24499" s="3337"/>
    </row>
    <row r="24500" spans="7:16" s="1634" customFormat="1">
      <c r="G24500" s="3336"/>
      <c r="P24500" s="3337"/>
    </row>
    <row r="24501" spans="7:16" s="1634" customFormat="1">
      <c r="G24501" s="3336"/>
      <c r="P24501" s="3337"/>
    </row>
    <row r="24502" spans="7:16" s="1634" customFormat="1">
      <c r="G24502" s="3336"/>
      <c r="P24502" s="3337"/>
    </row>
    <row r="24503" spans="7:16" s="1634" customFormat="1">
      <c r="G24503" s="3336"/>
      <c r="P24503" s="3337"/>
    </row>
    <row r="24504" spans="7:16" s="1634" customFormat="1">
      <c r="G24504" s="3336"/>
      <c r="P24504" s="3337"/>
    </row>
    <row r="24505" spans="7:16" s="1634" customFormat="1">
      <c r="G24505" s="3336"/>
      <c r="P24505" s="3337"/>
    </row>
    <row r="24506" spans="7:16" s="1634" customFormat="1">
      <c r="G24506" s="3336"/>
      <c r="P24506" s="3337"/>
    </row>
    <row r="24507" spans="7:16" s="1634" customFormat="1">
      <c r="G24507" s="3336"/>
      <c r="P24507" s="3337"/>
    </row>
    <row r="24508" spans="7:16" s="1634" customFormat="1">
      <c r="G24508" s="3336"/>
      <c r="P24508" s="3337"/>
    </row>
    <row r="24509" spans="7:16" s="1634" customFormat="1">
      <c r="G24509" s="3336"/>
      <c r="P24509" s="3337"/>
    </row>
    <row r="24510" spans="7:16" s="1634" customFormat="1">
      <c r="G24510" s="3336"/>
      <c r="P24510" s="3337"/>
    </row>
    <row r="24511" spans="7:16" s="1634" customFormat="1">
      <c r="G24511" s="3336"/>
      <c r="P24511" s="3337"/>
    </row>
    <row r="24512" spans="7:16" s="1634" customFormat="1">
      <c r="G24512" s="3336"/>
      <c r="P24512" s="3337"/>
    </row>
    <row r="24513" spans="7:16" s="1634" customFormat="1">
      <c r="G24513" s="3336"/>
      <c r="P24513" s="3337"/>
    </row>
    <row r="24514" spans="7:16" s="1634" customFormat="1">
      <c r="G24514" s="3336"/>
      <c r="P24514" s="3337"/>
    </row>
    <row r="24515" spans="7:16" s="1634" customFormat="1">
      <c r="G24515" s="3336"/>
      <c r="P24515" s="3337"/>
    </row>
    <row r="24516" spans="7:16" s="1634" customFormat="1">
      <c r="G24516" s="3336"/>
      <c r="P24516" s="3337"/>
    </row>
    <row r="24517" spans="7:16" s="1634" customFormat="1">
      <c r="G24517" s="3336"/>
      <c r="P24517" s="3337"/>
    </row>
    <row r="24518" spans="7:16" s="1634" customFormat="1">
      <c r="G24518" s="3336"/>
      <c r="P24518" s="3337"/>
    </row>
    <row r="24519" spans="7:16" s="1634" customFormat="1">
      <c r="G24519" s="3336"/>
      <c r="P24519" s="3337"/>
    </row>
    <row r="24520" spans="7:16" s="1634" customFormat="1">
      <c r="G24520" s="3336"/>
      <c r="P24520" s="3337"/>
    </row>
    <row r="24521" spans="7:16" s="1634" customFormat="1">
      <c r="G24521" s="3336"/>
      <c r="P24521" s="3337"/>
    </row>
    <row r="24522" spans="7:16" s="1634" customFormat="1">
      <c r="G24522" s="3336"/>
      <c r="P24522" s="3337"/>
    </row>
    <row r="24523" spans="7:16" s="1634" customFormat="1">
      <c r="G24523" s="3336"/>
      <c r="P24523" s="3337"/>
    </row>
    <row r="24524" spans="7:16" s="1634" customFormat="1">
      <c r="G24524" s="3336"/>
      <c r="P24524" s="3337"/>
    </row>
    <row r="24525" spans="7:16" s="1634" customFormat="1">
      <c r="G24525" s="3336"/>
      <c r="P24525" s="3337"/>
    </row>
    <row r="24526" spans="7:16" s="1634" customFormat="1">
      <c r="G24526" s="3336"/>
      <c r="P24526" s="3337"/>
    </row>
    <row r="24527" spans="7:16" s="1634" customFormat="1">
      <c r="G24527" s="3336"/>
      <c r="P24527" s="3337"/>
    </row>
    <row r="24528" spans="7:16" s="1634" customFormat="1">
      <c r="G24528" s="3336"/>
      <c r="P24528" s="3337"/>
    </row>
    <row r="24529" spans="7:16" s="1634" customFormat="1">
      <c r="G24529" s="3336"/>
      <c r="P24529" s="3337"/>
    </row>
    <row r="24530" spans="7:16" s="1634" customFormat="1">
      <c r="G24530" s="3336"/>
      <c r="P24530" s="3337"/>
    </row>
    <row r="24531" spans="7:16" s="1634" customFormat="1">
      <c r="G24531" s="3336"/>
      <c r="P24531" s="3337"/>
    </row>
    <row r="24532" spans="7:16" s="1634" customFormat="1">
      <c r="G24532" s="3336"/>
      <c r="P24532" s="3337"/>
    </row>
    <row r="24533" spans="7:16" s="1634" customFormat="1">
      <c r="G24533" s="3336"/>
      <c r="P24533" s="3337"/>
    </row>
    <row r="24534" spans="7:16" s="1634" customFormat="1">
      <c r="G24534" s="3336"/>
      <c r="P24534" s="3337"/>
    </row>
    <row r="24535" spans="7:16" s="1634" customFormat="1">
      <c r="G24535" s="3336"/>
      <c r="P24535" s="3337"/>
    </row>
    <row r="24536" spans="7:16" s="1634" customFormat="1">
      <c r="G24536" s="3336"/>
      <c r="P24536" s="3337"/>
    </row>
    <row r="24537" spans="7:16" s="1634" customFormat="1">
      <c r="G24537" s="3336"/>
      <c r="P24537" s="3337"/>
    </row>
    <row r="24538" spans="7:16" s="1634" customFormat="1">
      <c r="G24538" s="3336"/>
      <c r="P24538" s="3337"/>
    </row>
    <row r="24539" spans="7:16" s="1634" customFormat="1">
      <c r="G24539" s="3336"/>
      <c r="P24539" s="3337"/>
    </row>
    <row r="24540" spans="7:16" s="1634" customFormat="1">
      <c r="G24540" s="3336"/>
      <c r="P24540" s="3337"/>
    </row>
    <row r="24541" spans="7:16" s="1634" customFormat="1">
      <c r="G24541" s="3336"/>
      <c r="P24541" s="3337"/>
    </row>
    <row r="24542" spans="7:16" s="1634" customFormat="1">
      <c r="G24542" s="3336"/>
      <c r="P24542" s="3337"/>
    </row>
    <row r="24543" spans="7:16" s="1634" customFormat="1">
      <c r="G24543" s="3336"/>
      <c r="P24543" s="3337"/>
    </row>
    <row r="24544" spans="7:16" s="1634" customFormat="1">
      <c r="G24544" s="3336"/>
      <c r="P24544" s="3337"/>
    </row>
    <row r="24545" spans="7:16" s="1634" customFormat="1">
      <c r="G24545" s="3336"/>
      <c r="P24545" s="3337"/>
    </row>
    <row r="24546" spans="7:16" s="1634" customFormat="1">
      <c r="G24546" s="3336"/>
      <c r="P24546" s="3337"/>
    </row>
    <row r="24547" spans="7:16" s="1634" customFormat="1">
      <c r="G24547" s="3336"/>
      <c r="P24547" s="3337"/>
    </row>
    <row r="24548" spans="7:16" s="1634" customFormat="1">
      <c r="G24548" s="3336"/>
      <c r="P24548" s="3337"/>
    </row>
    <row r="24549" spans="7:16" s="1634" customFormat="1">
      <c r="G24549" s="3336"/>
      <c r="P24549" s="3337"/>
    </row>
    <row r="24550" spans="7:16" s="1634" customFormat="1">
      <c r="G24550" s="3336"/>
      <c r="P24550" s="3337"/>
    </row>
    <row r="24551" spans="7:16" s="1634" customFormat="1">
      <c r="G24551" s="3336"/>
      <c r="P24551" s="3337"/>
    </row>
    <row r="24552" spans="7:16" s="1634" customFormat="1">
      <c r="G24552" s="3336"/>
      <c r="P24552" s="3337"/>
    </row>
    <row r="24553" spans="7:16" s="1634" customFormat="1">
      <c r="G24553" s="3336"/>
      <c r="P24553" s="3337"/>
    </row>
    <row r="24554" spans="7:16" s="1634" customFormat="1">
      <c r="G24554" s="3336"/>
      <c r="P24554" s="3337"/>
    </row>
    <row r="24555" spans="7:16" s="1634" customFormat="1">
      <c r="G24555" s="3336"/>
      <c r="P24555" s="3337"/>
    </row>
    <row r="24556" spans="7:16" s="1634" customFormat="1">
      <c r="G24556" s="3336"/>
      <c r="P24556" s="3337"/>
    </row>
    <row r="24557" spans="7:16" s="1634" customFormat="1">
      <c r="G24557" s="3336"/>
      <c r="P24557" s="3337"/>
    </row>
    <row r="24558" spans="7:16" s="1634" customFormat="1">
      <c r="G24558" s="3336"/>
      <c r="P24558" s="3337"/>
    </row>
    <row r="24559" spans="7:16" s="1634" customFormat="1">
      <c r="G24559" s="3336"/>
      <c r="P24559" s="3337"/>
    </row>
    <row r="24560" spans="7:16" s="1634" customFormat="1">
      <c r="G24560" s="3336"/>
      <c r="P24560" s="3337"/>
    </row>
    <row r="24561" spans="7:16" s="1634" customFormat="1">
      <c r="G24561" s="3336"/>
      <c r="P24561" s="3337"/>
    </row>
    <row r="24562" spans="7:16" s="1634" customFormat="1">
      <c r="G24562" s="3336"/>
      <c r="P24562" s="3337"/>
    </row>
    <row r="24563" spans="7:16" s="1634" customFormat="1">
      <c r="G24563" s="3336"/>
      <c r="P24563" s="3337"/>
    </row>
    <row r="24564" spans="7:16" s="1634" customFormat="1">
      <c r="G24564" s="3336"/>
      <c r="P24564" s="3337"/>
    </row>
    <row r="24565" spans="7:16" s="1634" customFormat="1">
      <c r="G24565" s="3336"/>
      <c r="P24565" s="3337"/>
    </row>
    <row r="24566" spans="7:16" s="1634" customFormat="1">
      <c r="G24566" s="3336"/>
      <c r="P24566" s="3337"/>
    </row>
    <row r="24567" spans="7:16" s="1634" customFormat="1">
      <c r="G24567" s="3336"/>
      <c r="P24567" s="3337"/>
    </row>
    <row r="24568" spans="7:16" s="1634" customFormat="1">
      <c r="G24568" s="3336"/>
      <c r="P24568" s="3337"/>
    </row>
    <row r="24569" spans="7:16" s="1634" customFormat="1">
      <c r="G24569" s="3336"/>
      <c r="P24569" s="3337"/>
    </row>
    <row r="24570" spans="7:16" s="1634" customFormat="1">
      <c r="G24570" s="3336"/>
      <c r="P24570" s="3337"/>
    </row>
    <row r="24571" spans="7:16" s="1634" customFormat="1">
      <c r="G24571" s="3336"/>
      <c r="P24571" s="3337"/>
    </row>
    <row r="24572" spans="7:16" s="1634" customFormat="1">
      <c r="G24572" s="3336"/>
      <c r="P24572" s="3337"/>
    </row>
    <row r="24573" spans="7:16" s="1634" customFormat="1">
      <c r="G24573" s="3336"/>
      <c r="P24573" s="3337"/>
    </row>
    <row r="24574" spans="7:16" s="1634" customFormat="1">
      <c r="G24574" s="3336"/>
      <c r="P24574" s="3337"/>
    </row>
    <row r="24575" spans="7:16" s="1634" customFormat="1">
      <c r="G24575" s="3336"/>
      <c r="P24575" s="3337"/>
    </row>
    <row r="24576" spans="7:16" s="1634" customFormat="1">
      <c r="G24576" s="3336"/>
      <c r="P24576" s="3337"/>
    </row>
    <row r="24577" spans="7:16" s="1634" customFormat="1">
      <c r="G24577" s="3336"/>
      <c r="P24577" s="3337"/>
    </row>
    <row r="24578" spans="7:16" s="1634" customFormat="1">
      <c r="G24578" s="3336"/>
      <c r="P24578" s="3337"/>
    </row>
    <row r="24579" spans="7:16" s="1634" customFormat="1">
      <c r="G24579" s="3336"/>
      <c r="P24579" s="3337"/>
    </row>
    <row r="24580" spans="7:16" s="1634" customFormat="1">
      <c r="G24580" s="3336"/>
      <c r="P24580" s="3337"/>
    </row>
    <row r="24581" spans="7:16" s="1634" customFormat="1">
      <c r="G24581" s="3336"/>
      <c r="P24581" s="3337"/>
    </row>
    <row r="24582" spans="7:16" s="1634" customFormat="1">
      <c r="G24582" s="3336"/>
      <c r="P24582" s="3337"/>
    </row>
    <row r="24583" spans="7:16" s="1634" customFormat="1">
      <c r="G24583" s="3336"/>
      <c r="P24583" s="3337"/>
    </row>
    <row r="24584" spans="7:16" s="1634" customFormat="1">
      <c r="G24584" s="3336"/>
      <c r="P24584" s="3337"/>
    </row>
    <row r="24585" spans="7:16" s="1634" customFormat="1">
      <c r="G24585" s="3336"/>
      <c r="P24585" s="3337"/>
    </row>
    <row r="24586" spans="7:16" s="1634" customFormat="1">
      <c r="G24586" s="3336"/>
      <c r="P24586" s="3337"/>
    </row>
    <row r="24587" spans="7:16" s="1634" customFormat="1">
      <c r="G24587" s="3336"/>
      <c r="P24587" s="3337"/>
    </row>
    <row r="24588" spans="7:16" s="1634" customFormat="1">
      <c r="G24588" s="3336"/>
      <c r="P24588" s="3337"/>
    </row>
    <row r="24589" spans="7:16" s="1634" customFormat="1">
      <c r="G24589" s="3336"/>
      <c r="P24589" s="3337"/>
    </row>
    <row r="24590" spans="7:16" s="1634" customFormat="1">
      <c r="G24590" s="3336"/>
      <c r="P24590" s="3337"/>
    </row>
    <row r="24591" spans="7:16" s="1634" customFormat="1">
      <c r="G24591" s="3336"/>
      <c r="P24591" s="3337"/>
    </row>
    <row r="24592" spans="7:16" s="1634" customFormat="1">
      <c r="G24592" s="3336"/>
      <c r="P24592" s="3337"/>
    </row>
    <row r="24593" spans="7:16" s="1634" customFormat="1">
      <c r="G24593" s="3336"/>
      <c r="P24593" s="3337"/>
    </row>
    <row r="24594" spans="7:16" s="1634" customFormat="1">
      <c r="G24594" s="3336"/>
      <c r="P24594" s="3337"/>
    </row>
    <row r="24595" spans="7:16" s="1634" customFormat="1">
      <c r="G24595" s="3336"/>
      <c r="P24595" s="3337"/>
    </row>
    <row r="24596" spans="7:16" s="1634" customFormat="1">
      <c r="G24596" s="3336"/>
      <c r="P24596" s="3337"/>
    </row>
    <row r="24597" spans="7:16" s="1634" customFormat="1">
      <c r="G24597" s="3336"/>
      <c r="P24597" s="3337"/>
    </row>
    <row r="24598" spans="7:16" s="1634" customFormat="1">
      <c r="G24598" s="3336"/>
      <c r="P24598" s="3337"/>
    </row>
    <row r="24599" spans="7:16" s="1634" customFormat="1">
      <c r="G24599" s="3336"/>
      <c r="P24599" s="3337"/>
    </row>
    <row r="24600" spans="7:16" s="1634" customFormat="1">
      <c r="G24600" s="3336"/>
      <c r="P24600" s="3337"/>
    </row>
    <row r="24601" spans="7:16" s="1634" customFormat="1">
      <c r="G24601" s="3336"/>
      <c r="P24601" s="3337"/>
    </row>
    <row r="24602" spans="7:16" s="1634" customFormat="1">
      <c r="G24602" s="3336"/>
      <c r="P24602" s="3337"/>
    </row>
    <row r="24603" spans="7:16" s="1634" customFormat="1">
      <c r="G24603" s="3336"/>
      <c r="P24603" s="3337"/>
    </row>
    <row r="24604" spans="7:16" s="1634" customFormat="1">
      <c r="G24604" s="3336"/>
      <c r="P24604" s="3337"/>
    </row>
    <row r="24605" spans="7:16" s="1634" customFormat="1">
      <c r="G24605" s="3336"/>
      <c r="P24605" s="3337"/>
    </row>
    <row r="24606" spans="7:16" s="1634" customFormat="1">
      <c r="G24606" s="3336"/>
      <c r="P24606" s="3337"/>
    </row>
    <row r="24607" spans="7:16" s="1634" customFormat="1">
      <c r="G24607" s="3336"/>
      <c r="P24607" s="3337"/>
    </row>
    <row r="24608" spans="7:16" s="1634" customFormat="1">
      <c r="G24608" s="3336"/>
      <c r="P24608" s="3337"/>
    </row>
    <row r="24609" spans="7:16" s="1634" customFormat="1">
      <c r="G24609" s="3336"/>
      <c r="P24609" s="3337"/>
    </row>
    <row r="24610" spans="7:16" s="1634" customFormat="1">
      <c r="G24610" s="3336"/>
      <c r="P24610" s="3337"/>
    </row>
    <row r="24611" spans="7:16" s="1634" customFormat="1">
      <c r="G24611" s="3336"/>
      <c r="P24611" s="3337"/>
    </row>
    <row r="24612" spans="7:16" s="1634" customFormat="1">
      <c r="G24612" s="3336"/>
      <c r="P24612" s="3337"/>
    </row>
    <row r="24613" spans="7:16" s="1634" customFormat="1">
      <c r="G24613" s="3336"/>
      <c r="P24613" s="3337"/>
    </row>
    <row r="24614" spans="7:16" s="1634" customFormat="1">
      <c r="G24614" s="3336"/>
      <c r="P24614" s="3337"/>
    </row>
    <row r="24615" spans="7:16" s="1634" customFormat="1">
      <c r="G24615" s="3336"/>
      <c r="P24615" s="3337"/>
    </row>
    <row r="24616" spans="7:16" s="1634" customFormat="1">
      <c r="G24616" s="3336"/>
      <c r="P24616" s="3337"/>
    </row>
    <row r="24617" spans="7:16" s="1634" customFormat="1">
      <c r="G24617" s="3336"/>
      <c r="P24617" s="3337"/>
    </row>
    <row r="24618" spans="7:16" s="1634" customFormat="1">
      <c r="G24618" s="3336"/>
      <c r="P24618" s="3337"/>
    </row>
    <row r="24619" spans="7:16" s="1634" customFormat="1">
      <c r="G24619" s="3336"/>
      <c r="P24619" s="3337"/>
    </row>
    <row r="24620" spans="7:16" s="1634" customFormat="1">
      <c r="G24620" s="3336"/>
      <c r="P24620" s="3337"/>
    </row>
    <row r="24621" spans="7:16" s="1634" customFormat="1">
      <c r="G24621" s="3336"/>
      <c r="P24621" s="3337"/>
    </row>
    <row r="24622" spans="7:16" s="1634" customFormat="1">
      <c r="G24622" s="3336"/>
      <c r="P24622" s="3337"/>
    </row>
    <row r="24623" spans="7:16" s="1634" customFormat="1">
      <c r="G24623" s="3336"/>
      <c r="P24623" s="3337"/>
    </row>
    <row r="24624" spans="7:16" s="1634" customFormat="1">
      <c r="G24624" s="3336"/>
      <c r="P24624" s="3337"/>
    </row>
    <row r="24625" spans="7:16" s="1634" customFormat="1">
      <c r="G24625" s="3336"/>
      <c r="P24625" s="3337"/>
    </row>
    <row r="24626" spans="7:16" s="1634" customFormat="1">
      <c r="G24626" s="3336"/>
      <c r="P24626" s="3337"/>
    </row>
    <row r="24627" spans="7:16" s="1634" customFormat="1">
      <c r="G24627" s="3336"/>
      <c r="P24627" s="3337"/>
    </row>
    <row r="24628" spans="7:16" s="1634" customFormat="1">
      <c r="G24628" s="3336"/>
      <c r="P24628" s="3337"/>
    </row>
    <row r="24629" spans="7:16" s="1634" customFormat="1">
      <c r="G24629" s="3336"/>
      <c r="P24629" s="3337"/>
    </row>
    <row r="24630" spans="7:16" s="1634" customFormat="1">
      <c r="G24630" s="3336"/>
      <c r="P24630" s="3337"/>
    </row>
    <row r="24631" spans="7:16" s="1634" customFormat="1">
      <c r="G24631" s="3336"/>
      <c r="P24631" s="3337"/>
    </row>
    <row r="24632" spans="7:16" s="1634" customFormat="1">
      <c r="G24632" s="3336"/>
      <c r="P24632" s="3337"/>
    </row>
    <row r="24633" spans="7:16" s="1634" customFormat="1">
      <c r="G24633" s="3336"/>
      <c r="P24633" s="3337"/>
    </row>
    <row r="24634" spans="7:16" s="1634" customFormat="1">
      <c r="G24634" s="3336"/>
      <c r="P24634" s="3337"/>
    </row>
    <row r="24635" spans="7:16" s="1634" customFormat="1">
      <c r="G24635" s="3336"/>
      <c r="P24635" s="3337"/>
    </row>
    <row r="24636" spans="7:16" s="1634" customFormat="1">
      <c r="G24636" s="3336"/>
      <c r="P24636" s="3337"/>
    </row>
    <row r="24637" spans="7:16" s="1634" customFormat="1">
      <c r="G24637" s="3336"/>
      <c r="P24637" s="3337"/>
    </row>
    <row r="24638" spans="7:16" s="1634" customFormat="1">
      <c r="G24638" s="3336"/>
      <c r="P24638" s="3337"/>
    </row>
    <row r="24639" spans="7:16" s="1634" customFormat="1">
      <c r="G24639" s="3336"/>
      <c r="P24639" s="3337"/>
    </row>
    <row r="24640" spans="7:16" s="1634" customFormat="1">
      <c r="G24640" s="3336"/>
      <c r="P24640" s="3337"/>
    </row>
    <row r="24641" spans="7:16" s="1634" customFormat="1">
      <c r="G24641" s="3336"/>
      <c r="P24641" s="3337"/>
    </row>
    <row r="24642" spans="7:16" s="1634" customFormat="1">
      <c r="G24642" s="3336"/>
      <c r="P24642" s="3337"/>
    </row>
    <row r="24643" spans="7:16" s="1634" customFormat="1">
      <c r="G24643" s="3336"/>
      <c r="P24643" s="3337"/>
    </row>
    <row r="24644" spans="7:16" s="1634" customFormat="1">
      <c r="G24644" s="3336"/>
      <c r="P24644" s="3337"/>
    </row>
    <row r="24645" spans="7:16" s="1634" customFormat="1">
      <c r="G24645" s="3336"/>
      <c r="P24645" s="3337"/>
    </row>
    <row r="24646" spans="7:16" s="1634" customFormat="1">
      <c r="G24646" s="3336"/>
      <c r="P24646" s="3337"/>
    </row>
    <row r="24647" spans="7:16" s="1634" customFormat="1">
      <c r="G24647" s="3336"/>
      <c r="P24647" s="3337"/>
    </row>
    <row r="24648" spans="7:16" s="1634" customFormat="1">
      <c r="G24648" s="3336"/>
      <c r="P24648" s="3337"/>
    </row>
    <row r="24649" spans="7:16" s="1634" customFormat="1">
      <c r="G24649" s="3336"/>
      <c r="P24649" s="3337"/>
    </row>
    <row r="24650" spans="7:16" s="1634" customFormat="1">
      <c r="G24650" s="3336"/>
      <c r="P24650" s="3337"/>
    </row>
    <row r="24651" spans="7:16" s="1634" customFormat="1">
      <c r="G24651" s="3336"/>
      <c r="P24651" s="3337"/>
    </row>
    <row r="24652" spans="7:16" s="1634" customFormat="1">
      <c r="G24652" s="3336"/>
      <c r="P24652" s="3337"/>
    </row>
    <row r="24653" spans="7:16" s="1634" customFormat="1">
      <c r="G24653" s="3336"/>
      <c r="P24653" s="3337"/>
    </row>
    <row r="24654" spans="7:16" s="1634" customFormat="1">
      <c r="G24654" s="3336"/>
      <c r="P24654" s="3337"/>
    </row>
    <row r="24655" spans="7:16" s="1634" customFormat="1">
      <c r="G24655" s="3336"/>
      <c r="P24655" s="3337"/>
    </row>
    <row r="24656" spans="7:16" s="1634" customFormat="1">
      <c r="G24656" s="3336"/>
      <c r="P24656" s="3337"/>
    </row>
    <row r="24657" spans="7:16" s="1634" customFormat="1">
      <c r="G24657" s="3336"/>
      <c r="P24657" s="3337"/>
    </row>
    <row r="24658" spans="7:16" s="1634" customFormat="1">
      <c r="G24658" s="3336"/>
      <c r="P24658" s="3337"/>
    </row>
    <row r="24659" spans="7:16" s="1634" customFormat="1">
      <c r="G24659" s="3336"/>
      <c r="P24659" s="3337"/>
    </row>
    <row r="24660" spans="7:16" s="1634" customFormat="1">
      <c r="G24660" s="3336"/>
      <c r="P24660" s="3337"/>
    </row>
    <row r="24661" spans="7:16" s="1634" customFormat="1">
      <c r="G24661" s="3336"/>
      <c r="P24661" s="3337"/>
    </row>
    <row r="24662" spans="7:16" s="1634" customFormat="1">
      <c r="G24662" s="3336"/>
      <c r="P24662" s="3337"/>
    </row>
    <row r="24663" spans="7:16" s="1634" customFormat="1">
      <c r="G24663" s="3336"/>
      <c r="P24663" s="3337"/>
    </row>
    <row r="24664" spans="7:16" s="1634" customFormat="1">
      <c r="G24664" s="3336"/>
      <c r="P24664" s="3337"/>
    </row>
    <row r="24665" spans="7:16" s="1634" customFormat="1">
      <c r="G24665" s="3336"/>
      <c r="P24665" s="3337"/>
    </row>
    <row r="24666" spans="7:16" s="1634" customFormat="1">
      <c r="G24666" s="3336"/>
      <c r="P24666" s="3337"/>
    </row>
    <row r="24667" spans="7:16" s="1634" customFormat="1">
      <c r="G24667" s="3336"/>
      <c r="P24667" s="3337"/>
    </row>
    <row r="24668" spans="7:16" s="1634" customFormat="1">
      <c r="G24668" s="3336"/>
      <c r="P24668" s="3337"/>
    </row>
    <row r="24669" spans="7:16" s="1634" customFormat="1">
      <c r="G24669" s="3336"/>
      <c r="P24669" s="3337"/>
    </row>
    <row r="24670" spans="7:16" s="1634" customFormat="1">
      <c r="G24670" s="3336"/>
      <c r="P24670" s="3337"/>
    </row>
    <row r="24671" spans="7:16" s="1634" customFormat="1">
      <c r="G24671" s="3336"/>
      <c r="P24671" s="3337"/>
    </row>
    <row r="24672" spans="7:16" s="1634" customFormat="1">
      <c r="G24672" s="3336"/>
      <c r="P24672" s="3337"/>
    </row>
    <row r="24673" spans="7:16" s="1634" customFormat="1">
      <c r="G24673" s="3336"/>
      <c r="P24673" s="3337"/>
    </row>
    <row r="24674" spans="7:16" s="1634" customFormat="1">
      <c r="G24674" s="3336"/>
      <c r="P24674" s="3337"/>
    </row>
    <row r="24675" spans="7:16" s="1634" customFormat="1">
      <c r="G24675" s="3336"/>
      <c r="P24675" s="3337"/>
    </row>
    <row r="24676" spans="7:16" s="1634" customFormat="1">
      <c r="G24676" s="3336"/>
      <c r="P24676" s="3337"/>
    </row>
    <row r="24677" spans="7:16" s="1634" customFormat="1">
      <c r="G24677" s="3336"/>
      <c r="P24677" s="3337"/>
    </row>
    <row r="24678" spans="7:16" s="1634" customFormat="1">
      <c r="G24678" s="3336"/>
      <c r="P24678" s="3337"/>
    </row>
    <row r="24679" spans="7:16" s="1634" customFormat="1">
      <c r="G24679" s="3336"/>
      <c r="P24679" s="3337"/>
    </row>
    <row r="24680" spans="7:16" s="1634" customFormat="1">
      <c r="G24680" s="3336"/>
      <c r="P24680" s="3337"/>
    </row>
    <row r="24681" spans="7:16" s="1634" customFormat="1">
      <c r="G24681" s="3336"/>
      <c r="P24681" s="3337"/>
    </row>
    <row r="24682" spans="7:16" s="1634" customFormat="1">
      <c r="G24682" s="3336"/>
      <c r="P24682" s="3337"/>
    </row>
    <row r="24683" spans="7:16" s="1634" customFormat="1">
      <c r="G24683" s="3336"/>
      <c r="P24683" s="3337"/>
    </row>
    <row r="24684" spans="7:16" s="1634" customFormat="1">
      <c r="G24684" s="3336"/>
      <c r="P24684" s="3337"/>
    </row>
    <row r="24685" spans="7:16" s="1634" customFormat="1">
      <c r="G24685" s="3336"/>
      <c r="P24685" s="3337"/>
    </row>
    <row r="24686" spans="7:16" s="1634" customFormat="1">
      <c r="G24686" s="3336"/>
      <c r="P24686" s="3337"/>
    </row>
    <row r="24687" spans="7:16" s="1634" customFormat="1">
      <c r="G24687" s="3336"/>
      <c r="P24687" s="3337"/>
    </row>
    <row r="24688" spans="7:16" s="1634" customFormat="1">
      <c r="G24688" s="3336"/>
      <c r="P24688" s="3337"/>
    </row>
    <row r="24689" spans="7:16" s="1634" customFormat="1">
      <c r="G24689" s="3336"/>
      <c r="P24689" s="3337"/>
    </row>
    <row r="24690" spans="7:16" s="1634" customFormat="1">
      <c r="G24690" s="3336"/>
      <c r="P24690" s="3337"/>
    </row>
    <row r="24691" spans="7:16" s="1634" customFormat="1">
      <c r="G24691" s="3336"/>
      <c r="P24691" s="3337"/>
    </row>
    <row r="24692" spans="7:16" s="1634" customFormat="1">
      <c r="G24692" s="3336"/>
      <c r="P24692" s="3337"/>
    </row>
    <row r="24693" spans="7:16" s="1634" customFormat="1">
      <c r="G24693" s="3336"/>
      <c r="P24693" s="3337"/>
    </row>
    <row r="24694" spans="7:16" s="1634" customFormat="1">
      <c r="G24694" s="3336"/>
      <c r="P24694" s="3337"/>
    </row>
    <row r="24695" spans="7:16" s="1634" customFormat="1">
      <c r="G24695" s="3336"/>
      <c r="P24695" s="3337"/>
    </row>
    <row r="24696" spans="7:16" s="1634" customFormat="1">
      <c r="G24696" s="3336"/>
      <c r="P24696" s="3337"/>
    </row>
    <row r="24697" spans="7:16" s="1634" customFormat="1">
      <c r="G24697" s="3336"/>
      <c r="P24697" s="3337"/>
    </row>
    <row r="24698" spans="7:16" s="1634" customFormat="1">
      <c r="G24698" s="3336"/>
      <c r="P24698" s="3337"/>
    </row>
    <row r="24699" spans="7:16" s="1634" customFormat="1">
      <c r="G24699" s="3336"/>
      <c r="P24699" s="3337"/>
    </row>
    <row r="24700" spans="7:16" s="1634" customFormat="1">
      <c r="G24700" s="3336"/>
      <c r="P24700" s="3337"/>
    </row>
    <row r="24701" spans="7:16" s="1634" customFormat="1">
      <c r="G24701" s="3336"/>
      <c r="P24701" s="3337"/>
    </row>
    <row r="24702" spans="7:16" s="1634" customFormat="1">
      <c r="G24702" s="3336"/>
      <c r="P24702" s="3337"/>
    </row>
    <row r="24703" spans="7:16" s="1634" customFormat="1">
      <c r="G24703" s="3336"/>
      <c r="P24703" s="3337"/>
    </row>
    <row r="24704" spans="7:16" s="1634" customFormat="1">
      <c r="G24704" s="3336"/>
      <c r="P24704" s="3337"/>
    </row>
    <row r="24705" spans="7:16" s="1634" customFormat="1">
      <c r="G24705" s="3336"/>
      <c r="P24705" s="3337"/>
    </row>
    <row r="24706" spans="7:16" s="1634" customFormat="1">
      <c r="G24706" s="3336"/>
      <c r="P24706" s="3337"/>
    </row>
    <row r="24707" spans="7:16" s="1634" customFormat="1">
      <c r="G24707" s="3336"/>
      <c r="P24707" s="3337"/>
    </row>
    <row r="24708" spans="7:16" s="1634" customFormat="1">
      <c r="G24708" s="3336"/>
      <c r="P24708" s="3337"/>
    </row>
    <row r="24709" spans="7:16" s="1634" customFormat="1">
      <c r="G24709" s="3336"/>
      <c r="P24709" s="3337"/>
    </row>
    <row r="24710" spans="7:16" s="1634" customFormat="1">
      <c r="G24710" s="3336"/>
      <c r="P24710" s="3337"/>
    </row>
    <row r="24711" spans="7:16" s="1634" customFormat="1">
      <c r="G24711" s="3336"/>
      <c r="P24711" s="3337"/>
    </row>
    <row r="24712" spans="7:16" s="1634" customFormat="1">
      <c r="G24712" s="3336"/>
      <c r="P24712" s="3337"/>
    </row>
    <row r="24713" spans="7:16" s="1634" customFormat="1">
      <c r="G24713" s="3336"/>
      <c r="P24713" s="3337"/>
    </row>
    <row r="24714" spans="7:16" s="1634" customFormat="1">
      <c r="G24714" s="3336"/>
      <c r="P24714" s="3337"/>
    </row>
    <row r="24715" spans="7:16" s="1634" customFormat="1">
      <c r="G24715" s="3336"/>
      <c r="P24715" s="3337"/>
    </row>
    <row r="24716" spans="7:16" s="1634" customFormat="1">
      <c r="G24716" s="3336"/>
      <c r="P24716" s="3337"/>
    </row>
    <row r="24717" spans="7:16" s="1634" customFormat="1">
      <c r="G24717" s="3336"/>
      <c r="P24717" s="3337"/>
    </row>
    <row r="24718" spans="7:16" s="1634" customFormat="1">
      <c r="G24718" s="3336"/>
      <c r="P24718" s="3337"/>
    </row>
    <row r="24719" spans="7:16" s="1634" customFormat="1">
      <c r="G24719" s="3336"/>
      <c r="P24719" s="3337"/>
    </row>
    <row r="24720" spans="7:16" s="1634" customFormat="1">
      <c r="G24720" s="3336"/>
      <c r="P24720" s="3337"/>
    </row>
    <row r="24721" spans="7:16" s="1634" customFormat="1">
      <c r="G24721" s="3336"/>
      <c r="P24721" s="3337"/>
    </row>
    <row r="24722" spans="7:16" s="1634" customFormat="1">
      <c r="G24722" s="3336"/>
      <c r="P24722" s="3337"/>
    </row>
    <row r="24723" spans="7:16" s="1634" customFormat="1">
      <c r="G24723" s="3336"/>
      <c r="P24723" s="3337"/>
    </row>
    <row r="24724" spans="7:16" s="1634" customFormat="1">
      <c r="G24724" s="3336"/>
      <c r="P24724" s="3337"/>
    </row>
    <row r="24725" spans="7:16" s="1634" customFormat="1">
      <c r="G24725" s="3336"/>
      <c r="P24725" s="3337"/>
    </row>
    <row r="24726" spans="7:16" s="1634" customFormat="1">
      <c r="G24726" s="3336"/>
      <c r="P24726" s="3337"/>
    </row>
    <row r="24727" spans="7:16" s="1634" customFormat="1">
      <c r="G24727" s="3336"/>
      <c r="P24727" s="3337"/>
    </row>
    <row r="24728" spans="7:16" s="1634" customFormat="1">
      <c r="G24728" s="3336"/>
      <c r="P24728" s="3337"/>
    </row>
    <row r="24729" spans="7:16" s="1634" customFormat="1">
      <c r="G24729" s="3336"/>
      <c r="P24729" s="3337"/>
    </row>
    <row r="24730" spans="7:16" s="1634" customFormat="1">
      <c r="G24730" s="3336"/>
      <c r="P24730" s="3337"/>
    </row>
    <row r="24731" spans="7:16" s="1634" customFormat="1">
      <c r="G24731" s="3336"/>
      <c r="P24731" s="3337"/>
    </row>
    <row r="24732" spans="7:16" s="1634" customFormat="1">
      <c r="G24732" s="3336"/>
      <c r="P24732" s="3337"/>
    </row>
    <row r="24733" spans="7:16" s="1634" customFormat="1">
      <c r="G24733" s="3336"/>
      <c r="P24733" s="3337"/>
    </row>
    <row r="24734" spans="7:16" s="1634" customFormat="1">
      <c r="G24734" s="3336"/>
      <c r="P24734" s="3337"/>
    </row>
    <row r="24735" spans="7:16" s="1634" customFormat="1">
      <c r="G24735" s="3336"/>
      <c r="P24735" s="3337"/>
    </row>
    <row r="24736" spans="7:16" s="1634" customFormat="1">
      <c r="G24736" s="3336"/>
      <c r="P24736" s="3337"/>
    </row>
    <row r="24737" spans="7:16" s="1634" customFormat="1">
      <c r="G24737" s="3336"/>
      <c r="P24737" s="3337"/>
    </row>
    <row r="24738" spans="7:16" s="1634" customFormat="1">
      <c r="G24738" s="3336"/>
      <c r="P24738" s="3337"/>
    </row>
    <row r="24739" spans="7:16" s="1634" customFormat="1">
      <c r="G24739" s="3336"/>
      <c r="P24739" s="3337"/>
    </row>
    <row r="24740" spans="7:16" s="1634" customFormat="1">
      <c r="G24740" s="3336"/>
      <c r="P24740" s="3337"/>
    </row>
    <row r="24741" spans="7:16" s="1634" customFormat="1">
      <c r="G24741" s="3336"/>
      <c r="P24741" s="3337"/>
    </row>
    <row r="24742" spans="7:16" s="1634" customFormat="1">
      <c r="G24742" s="3336"/>
      <c r="P24742" s="3337"/>
    </row>
    <row r="24743" spans="7:16" s="1634" customFormat="1">
      <c r="G24743" s="3336"/>
      <c r="P24743" s="3337"/>
    </row>
    <row r="24744" spans="7:16" s="1634" customFormat="1">
      <c r="G24744" s="3336"/>
      <c r="P24744" s="3337"/>
    </row>
    <row r="24745" spans="7:16" s="1634" customFormat="1">
      <c r="G24745" s="3336"/>
      <c r="P24745" s="3337"/>
    </row>
    <row r="24746" spans="7:16" s="1634" customFormat="1">
      <c r="G24746" s="3336"/>
      <c r="P24746" s="3337"/>
    </row>
    <row r="24747" spans="7:16" s="1634" customFormat="1">
      <c r="G24747" s="3336"/>
      <c r="P24747" s="3337"/>
    </row>
    <row r="24748" spans="7:16" s="1634" customFormat="1">
      <c r="G24748" s="3336"/>
      <c r="P24748" s="3337"/>
    </row>
    <row r="24749" spans="7:16" s="1634" customFormat="1">
      <c r="G24749" s="3336"/>
      <c r="P24749" s="3337"/>
    </row>
    <row r="24750" spans="7:16" s="1634" customFormat="1">
      <c r="G24750" s="3336"/>
      <c r="P24750" s="3337"/>
    </row>
    <row r="24751" spans="7:16" s="1634" customFormat="1">
      <c r="G24751" s="3336"/>
      <c r="P24751" s="3337"/>
    </row>
    <row r="24752" spans="7:16" s="1634" customFormat="1">
      <c r="G24752" s="3336"/>
      <c r="P24752" s="3337"/>
    </row>
    <row r="24753" spans="7:16" s="1634" customFormat="1">
      <c r="G24753" s="3336"/>
      <c r="P24753" s="3337"/>
    </row>
    <row r="24754" spans="7:16" s="1634" customFormat="1">
      <c r="G24754" s="3336"/>
      <c r="P24754" s="3337"/>
    </row>
    <row r="24755" spans="7:16" s="1634" customFormat="1">
      <c r="G24755" s="3336"/>
      <c r="P24755" s="3337"/>
    </row>
    <row r="24756" spans="7:16" s="1634" customFormat="1">
      <c r="G24756" s="3336"/>
      <c r="P24756" s="3337"/>
    </row>
    <row r="24757" spans="7:16" s="1634" customFormat="1">
      <c r="G24757" s="3336"/>
      <c r="P24757" s="3337"/>
    </row>
    <row r="24758" spans="7:16" s="1634" customFormat="1">
      <c r="G24758" s="3336"/>
      <c r="P24758" s="3337"/>
    </row>
    <row r="24759" spans="7:16" s="1634" customFormat="1">
      <c r="G24759" s="3336"/>
      <c r="P24759" s="3337"/>
    </row>
    <row r="24760" spans="7:16" s="1634" customFormat="1">
      <c r="G24760" s="3336"/>
      <c r="P24760" s="3337"/>
    </row>
    <row r="24761" spans="7:16" s="1634" customFormat="1">
      <c r="G24761" s="3336"/>
      <c r="P24761" s="3337"/>
    </row>
    <row r="24762" spans="7:16" s="1634" customFormat="1">
      <c r="G24762" s="3336"/>
      <c r="P24762" s="3337"/>
    </row>
    <row r="24763" spans="7:16" s="1634" customFormat="1">
      <c r="G24763" s="3336"/>
      <c r="P24763" s="3337"/>
    </row>
    <row r="24764" spans="7:16" s="1634" customFormat="1">
      <c r="G24764" s="3336"/>
      <c r="P24764" s="3337"/>
    </row>
    <row r="24765" spans="7:16" s="1634" customFormat="1">
      <c r="G24765" s="3336"/>
      <c r="P24765" s="3337"/>
    </row>
    <row r="24766" spans="7:16" s="1634" customFormat="1">
      <c r="G24766" s="3336"/>
      <c r="P24766" s="3337"/>
    </row>
    <row r="24767" spans="7:16" s="1634" customFormat="1">
      <c r="G24767" s="3336"/>
      <c r="P24767" s="3337"/>
    </row>
    <row r="24768" spans="7:16" s="1634" customFormat="1">
      <c r="G24768" s="3336"/>
      <c r="P24768" s="3337"/>
    </row>
    <row r="24769" spans="7:16" s="1634" customFormat="1">
      <c r="G24769" s="3336"/>
      <c r="P24769" s="3337"/>
    </row>
    <row r="24770" spans="7:16" s="1634" customFormat="1">
      <c r="G24770" s="3336"/>
      <c r="P24770" s="3337"/>
    </row>
    <row r="24771" spans="7:16" s="1634" customFormat="1">
      <c r="G24771" s="3336"/>
      <c r="P24771" s="3337"/>
    </row>
    <row r="24772" spans="7:16" s="1634" customFormat="1">
      <c r="G24772" s="3336"/>
      <c r="P24772" s="3337"/>
    </row>
    <row r="24773" spans="7:16" s="1634" customFormat="1">
      <c r="G24773" s="3336"/>
      <c r="P24773" s="3337"/>
    </row>
    <row r="24774" spans="7:16" s="1634" customFormat="1">
      <c r="G24774" s="3336"/>
      <c r="P24774" s="3337"/>
    </row>
    <row r="24775" spans="7:16" s="1634" customFormat="1">
      <c r="G24775" s="3336"/>
      <c r="P24775" s="3337"/>
    </row>
    <row r="24776" spans="7:16" s="1634" customFormat="1">
      <c r="G24776" s="3336"/>
      <c r="P24776" s="3337"/>
    </row>
    <row r="24777" spans="7:16" s="1634" customFormat="1">
      <c r="G24777" s="3336"/>
      <c r="P24777" s="3337"/>
    </row>
    <row r="24778" spans="7:16" s="1634" customFormat="1">
      <c r="G24778" s="3336"/>
      <c r="P24778" s="3337"/>
    </row>
    <row r="24779" spans="7:16" s="1634" customFormat="1">
      <c r="G24779" s="3336"/>
      <c r="P24779" s="3337"/>
    </row>
    <row r="24780" spans="7:16" s="1634" customFormat="1">
      <c r="G24780" s="3336"/>
      <c r="P24780" s="3337"/>
    </row>
    <row r="24781" spans="7:16" s="1634" customFormat="1">
      <c r="G24781" s="3336"/>
      <c r="P24781" s="3337"/>
    </row>
    <row r="24782" spans="7:16" s="1634" customFormat="1">
      <c r="G24782" s="3336"/>
      <c r="P24782" s="3337"/>
    </row>
    <row r="24783" spans="7:16" s="1634" customFormat="1">
      <c r="G24783" s="3336"/>
      <c r="P24783" s="3337"/>
    </row>
    <row r="24784" spans="7:16" s="1634" customFormat="1">
      <c r="G24784" s="3336"/>
      <c r="P24784" s="3337"/>
    </row>
    <row r="24785" spans="7:16" s="1634" customFormat="1">
      <c r="G24785" s="3336"/>
      <c r="P24785" s="3337"/>
    </row>
    <row r="24786" spans="7:16" s="1634" customFormat="1">
      <c r="G24786" s="3336"/>
      <c r="P24786" s="3337"/>
    </row>
    <row r="24787" spans="7:16" s="1634" customFormat="1">
      <c r="G24787" s="3336"/>
      <c r="P24787" s="3337"/>
    </row>
    <row r="24788" spans="7:16" s="1634" customFormat="1">
      <c r="G24788" s="3336"/>
      <c r="P24788" s="3337"/>
    </row>
    <row r="24789" spans="7:16" s="1634" customFormat="1">
      <c r="G24789" s="3336"/>
      <c r="P24789" s="3337"/>
    </row>
    <row r="24790" spans="7:16" s="1634" customFormat="1">
      <c r="G24790" s="3336"/>
      <c r="P24790" s="3337"/>
    </row>
    <row r="24791" spans="7:16" s="1634" customFormat="1">
      <c r="G24791" s="3336"/>
      <c r="P24791" s="3337"/>
    </row>
    <row r="24792" spans="7:16" s="1634" customFormat="1">
      <c r="G24792" s="3336"/>
      <c r="P24792" s="3337"/>
    </row>
    <row r="24793" spans="7:16" s="1634" customFormat="1">
      <c r="G24793" s="3336"/>
      <c r="P24793" s="3337"/>
    </row>
    <row r="24794" spans="7:16" s="1634" customFormat="1">
      <c r="G24794" s="3336"/>
      <c r="P24794" s="3337"/>
    </row>
    <row r="24795" spans="7:16" s="1634" customFormat="1">
      <c r="G24795" s="3336"/>
      <c r="P24795" s="3337"/>
    </row>
    <row r="24796" spans="7:16" s="1634" customFormat="1">
      <c r="G24796" s="3336"/>
      <c r="P24796" s="3337"/>
    </row>
    <row r="24797" spans="7:16" s="1634" customFormat="1">
      <c r="G24797" s="3336"/>
      <c r="P24797" s="3337"/>
    </row>
    <row r="24798" spans="7:16" s="1634" customFormat="1">
      <c r="G24798" s="3336"/>
      <c r="P24798" s="3337"/>
    </row>
    <row r="24799" spans="7:16" s="1634" customFormat="1">
      <c r="G24799" s="3336"/>
      <c r="P24799" s="3337"/>
    </row>
    <row r="24800" spans="7:16" s="1634" customFormat="1">
      <c r="G24800" s="3336"/>
      <c r="P24800" s="3337"/>
    </row>
    <row r="24801" spans="7:16" s="1634" customFormat="1">
      <c r="G24801" s="3336"/>
      <c r="P24801" s="3337"/>
    </row>
    <row r="24802" spans="7:16" s="1634" customFormat="1">
      <c r="G24802" s="3336"/>
      <c r="P24802" s="3337"/>
    </row>
    <row r="24803" spans="7:16" s="1634" customFormat="1">
      <c r="G24803" s="3336"/>
      <c r="P24803" s="3337"/>
    </row>
    <row r="24804" spans="7:16" s="1634" customFormat="1">
      <c r="G24804" s="3336"/>
      <c r="P24804" s="3337"/>
    </row>
    <row r="24805" spans="7:16" s="1634" customFormat="1">
      <c r="G24805" s="3336"/>
      <c r="P24805" s="3337"/>
    </row>
    <row r="24806" spans="7:16" s="1634" customFormat="1">
      <c r="G24806" s="3336"/>
      <c r="P24806" s="3337"/>
    </row>
    <row r="24807" spans="7:16" s="1634" customFormat="1">
      <c r="G24807" s="3336"/>
      <c r="P24807" s="3337"/>
    </row>
    <row r="24808" spans="7:16" s="1634" customFormat="1">
      <c r="G24808" s="3336"/>
      <c r="P24808" s="3337"/>
    </row>
    <row r="24809" spans="7:16" s="1634" customFormat="1">
      <c r="G24809" s="3336"/>
      <c r="P24809" s="3337"/>
    </row>
    <row r="24810" spans="7:16" s="1634" customFormat="1">
      <c r="G24810" s="3336"/>
      <c r="P24810" s="3337"/>
    </row>
    <row r="24811" spans="7:16" s="1634" customFormat="1">
      <c r="G24811" s="3336"/>
      <c r="P24811" s="3337"/>
    </row>
    <row r="24812" spans="7:16" s="1634" customFormat="1">
      <c r="G24812" s="3336"/>
      <c r="P24812" s="3337"/>
    </row>
    <row r="24813" spans="7:16" s="1634" customFormat="1">
      <c r="G24813" s="3336"/>
      <c r="P24813" s="3337"/>
    </row>
    <row r="24814" spans="7:16" s="1634" customFormat="1">
      <c r="G24814" s="3336"/>
      <c r="P24814" s="3337"/>
    </row>
    <row r="24815" spans="7:16" s="1634" customFormat="1">
      <c r="G24815" s="3336"/>
      <c r="P24815" s="3337"/>
    </row>
    <row r="24816" spans="7:16" s="1634" customFormat="1">
      <c r="G24816" s="3336"/>
      <c r="P24816" s="3337"/>
    </row>
    <row r="24817" spans="7:16" s="1634" customFormat="1">
      <c r="G24817" s="3336"/>
      <c r="P24817" s="3337"/>
    </row>
    <row r="24818" spans="7:16" s="1634" customFormat="1">
      <c r="G24818" s="3336"/>
      <c r="P24818" s="3337"/>
    </row>
    <row r="24819" spans="7:16" s="1634" customFormat="1">
      <c r="G24819" s="3336"/>
      <c r="P24819" s="3337"/>
    </row>
    <row r="24820" spans="7:16" s="1634" customFormat="1">
      <c r="G24820" s="3336"/>
      <c r="P24820" s="3337"/>
    </row>
    <row r="24821" spans="7:16" s="1634" customFormat="1">
      <c r="G24821" s="3336"/>
      <c r="P24821" s="3337"/>
    </row>
    <row r="24822" spans="7:16" s="1634" customFormat="1">
      <c r="G24822" s="3336"/>
      <c r="P24822" s="3337"/>
    </row>
    <row r="24823" spans="7:16" s="1634" customFormat="1">
      <c r="G24823" s="3336"/>
      <c r="P24823" s="3337"/>
    </row>
    <row r="24824" spans="7:16" s="1634" customFormat="1">
      <c r="G24824" s="3336"/>
      <c r="P24824" s="3337"/>
    </row>
    <row r="24825" spans="7:16" s="1634" customFormat="1">
      <c r="G24825" s="3336"/>
      <c r="P24825" s="3337"/>
    </row>
    <row r="24826" spans="7:16" s="1634" customFormat="1">
      <c r="G24826" s="3336"/>
      <c r="P24826" s="3337"/>
    </row>
    <row r="24827" spans="7:16" s="1634" customFormat="1">
      <c r="G24827" s="3336"/>
      <c r="P24827" s="3337"/>
    </row>
    <row r="24828" spans="7:16" s="1634" customFormat="1">
      <c r="G24828" s="3336"/>
      <c r="P24828" s="3337"/>
    </row>
    <row r="24829" spans="7:16" s="1634" customFormat="1">
      <c r="G24829" s="3336"/>
      <c r="P24829" s="3337"/>
    </row>
    <row r="24830" spans="7:16" s="1634" customFormat="1">
      <c r="G24830" s="3336"/>
      <c r="P24830" s="3337"/>
    </row>
    <row r="24831" spans="7:16" s="1634" customFormat="1">
      <c r="G24831" s="3336"/>
      <c r="P24831" s="3337"/>
    </row>
    <row r="24832" spans="7:16" s="1634" customFormat="1">
      <c r="G24832" s="3336"/>
      <c r="P24832" s="3337"/>
    </row>
    <row r="24833" spans="7:16" s="1634" customFormat="1">
      <c r="G24833" s="3336"/>
      <c r="P24833" s="3337"/>
    </row>
    <row r="24834" spans="7:16" s="1634" customFormat="1">
      <c r="G24834" s="3336"/>
      <c r="P24834" s="3337"/>
    </row>
    <row r="24835" spans="7:16" s="1634" customFormat="1">
      <c r="G24835" s="3336"/>
      <c r="P24835" s="3337"/>
    </row>
    <row r="24836" spans="7:16" s="1634" customFormat="1">
      <c r="G24836" s="3336"/>
      <c r="P24836" s="3337"/>
    </row>
    <row r="24837" spans="7:16" s="1634" customFormat="1">
      <c r="G24837" s="3336"/>
      <c r="P24837" s="3337"/>
    </row>
    <row r="24838" spans="7:16" s="1634" customFormat="1">
      <c r="G24838" s="3336"/>
      <c r="P24838" s="3337"/>
    </row>
    <row r="24839" spans="7:16" s="1634" customFormat="1">
      <c r="G24839" s="3336"/>
      <c r="P24839" s="3337"/>
    </row>
    <row r="24840" spans="7:16" s="1634" customFormat="1">
      <c r="G24840" s="3336"/>
      <c r="P24840" s="3337"/>
    </row>
    <row r="24841" spans="7:16" s="1634" customFormat="1">
      <c r="G24841" s="3336"/>
      <c r="P24841" s="3337"/>
    </row>
    <row r="24842" spans="7:16" s="1634" customFormat="1">
      <c r="G24842" s="3336"/>
      <c r="P24842" s="3337"/>
    </row>
    <row r="24843" spans="7:16" s="1634" customFormat="1">
      <c r="G24843" s="3336"/>
      <c r="P24843" s="3337"/>
    </row>
    <row r="24844" spans="7:16" s="1634" customFormat="1">
      <c r="G24844" s="3336"/>
      <c r="P24844" s="3337"/>
    </row>
    <row r="24845" spans="7:16" s="1634" customFormat="1">
      <c r="G24845" s="3336"/>
      <c r="P24845" s="3337"/>
    </row>
    <row r="24846" spans="7:16" s="1634" customFormat="1">
      <c r="G24846" s="3336"/>
      <c r="P24846" s="3337"/>
    </row>
    <row r="24847" spans="7:16" s="1634" customFormat="1">
      <c r="G24847" s="3336"/>
      <c r="P24847" s="3337"/>
    </row>
    <row r="24848" spans="7:16" s="1634" customFormat="1">
      <c r="G24848" s="3336"/>
      <c r="P24848" s="3337"/>
    </row>
    <row r="24849" spans="7:16" s="1634" customFormat="1">
      <c r="G24849" s="3336"/>
      <c r="P24849" s="3337"/>
    </row>
    <row r="24850" spans="7:16" s="1634" customFormat="1">
      <c r="G24850" s="3336"/>
      <c r="P24850" s="3337"/>
    </row>
    <row r="24851" spans="7:16" s="1634" customFormat="1">
      <c r="G24851" s="3336"/>
      <c r="P24851" s="3337"/>
    </row>
    <row r="24852" spans="7:16" s="1634" customFormat="1">
      <c r="G24852" s="3336"/>
      <c r="P24852" s="3337"/>
    </row>
    <row r="24853" spans="7:16" s="1634" customFormat="1">
      <c r="G24853" s="3336"/>
      <c r="P24853" s="3337"/>
    </row>
    <row r="24854" spans="7:16" s="1634" customFormat="1">
      <c r="G24854" s="3336"/>
      <c r="P24854" s="3337"/>
    </row>
    <row r="24855" spans="7:16" s="1634" customFormat="1">
      <c r="G24855" s="3336"/>
      <c r="P24855" s="3337"/>
    </row>
    <row r="24856" spans="7:16" s="1634" customFormat="1">
      <c r="G24856" s="3336"/>
      <c r="P24856" s="3337"/>
    </row>
    <row r="24857" spans="7:16" s="1634" customFormat="1">
      <c r="G24857" s="3336"/>
      <c r="P24857" s="3337"/>
    </row>
    <row r="24858" spans="7:16" s="1634" customFormat="1">
      <c r="G24858" s="3336"/>
      <c r="P24858" s="3337"/>
    </row>
    <row r="24859" spans="7:16" s="1634" customFormat="1">
      <c r="G24859" s="3336"/>
      <c r="P24859" s="3337"/>
    </row>
    <row r="24860" spans="7:16" s="1634" customFormat="1">
      <c r="G24860" s="3336"/>
      <c r="P24860" s="3337"/>
    </row>
    <row r="24861" spans="7:16" s="1634" customFormat="1">
      <c r="G24861" s="3336"/>
      <c r="P24861" s="3337"/>
    </row>
    <row r="24862" spans="7:16" s="1634" customFormat="1">
      <c r="G24862" s="3336"/>
      <c r="P24862" s="3337"/>
    </row>
    <row r="24863" spans="7:16" s="1634" customFormat="1">
      <c r="G24863" s="3336"/>
      <c r="P24863" s="3337"/>
    </row>
    <row r="24864" spans="7:16" s="1634" customFormat="1">
      <c r="G24864" s="3336"/>
      <c r="P24864" s="3337"/>
    </row>
    <row r="24865" spans="7:16" s="1634" customFormat="1">
      <c r="G24865" s="3336"/>
      <c r="P24865" s="3337"/>
    </row>
    <row r="24866" spans="7:16" s="1634" customFormat="1">
      <c r="G24866" s="3336"/>
      <c r="P24866" s="3337"/>
    </row>
    <row r="24867" spans="7:16" s="1634" customFormat="1">
      <c r="G24867" s="3336"/>
      <c r="P24867" s="3337"/>
    </row>
    <row r="24868" spans="7:16" s="1634" customFormat="1">
      <c r="G24868" s="3336"/>
      <c r="P24868" s="3337"/>
    </row>
    <row r="24869" spans="7:16" s="1634" customFormat="1">
      <c r="G24869" s="3336"/>
      <c r="P24869" s="3337"/>
    </row>
    <row r="24870" spans="7:16" s="1634" customFormat="1">
      <c r="G24870" s="3336"/>
      <c r="P24870" s="3337"/>
    </row>
    <row r="24871" spans="7:16" s="1634" customFormat="1">
      <c r="G24871" s="3336"/>
      <c r="P24871" s="3337"/>
    </row>
    <row r="24872" spans="7:16" s="1634" customFormat="1">
      <c r="G24872" s="3336"/>
      <c r="P24872" s="3337"/>
    </row>
    <row r="24873" spans="7:16" s="1634" customFormat="1">
      <c r="G24873" s="3336"/>
      <c r="P24873" s="3337"/>
    </row>
    <row r="24874" spans="7:16" s="1634" customFormat="1">
      <c r="G24874" s="3336"/>
      <c r="P24874" s="3337"/>
    </row>
    <row r="24875" spans="7:16" s="1634" customFormat="1">
      <c r="G24875" s="3336"/>
      <c r="P24875" s="3337"/>
    </row>
    <row r="24876" spans="7:16" s="1634" customFormat="1">
      <c r="G24876" s="3336"/>
      <c r="P24876" s="3337"/>
    </row>
    <row r="24877" spans="7:16" s="1634" customFormat="1">
      <c r="G24877" s="3336"/>
      <c r="P24877" s="3337"/>
    </row>
    <row r="24878" spans="7:16" s="1634" customFormat="1">
      <c r="G24878" s="3336"/>
      <c r="P24878" s="3337"/>
    </row>
    <row r="24879" spans="7:16" s="1634" customFormat="1">
      <c r="G24879" s="3336"/>
      <c r="P24879" s="3337"/>
    </row>
    <row r="24880" spans="7:16" s="1634" customFormat="1">
      <c r="G24880" s="3336"/>
      <c r="P24880" s="3337"/>
    </row>
    <row r="24881" spans="7:16" s="1634" customFormat="1">
      <c r="G24881" s="3336"/>
      <c r="P24881" s="3337"/>
    </row>
    <row r="24882" spans="7:16" s="1634" customFormat="1">
      <c r="G24882" s="3336"/>
      <c r="P24882" s="3337"/>
    </row>
    <row r="24883" spans="7:16" s="1634" customFormat="1">
      <c r="G24883" s="3336"/>
      <c r="P24883" s="3337"/>
    </row>
    <row r="24884" spans="7:16" s="1634" customFormat="1">
      <c r="G24884" s="3336"/>
      <c r="P24884" s="3337"/>
    </row>
    <row r="24885" spans="7:16" s="1634" customFormat="1">
      <c r="G24885" s="3336"/>
      <c r="P24885" s="3337"/>
    </row>
    <row r="24886" spans="7:16" s="1634" customFormat="1">
      <c r="G24886" s="3336"/>
      <c r="P24886" s="3337"/>
    </row>
    <row r="24887" spans="7:16" s="1634" customFormat="1">
      <c r="G24887" s="3336"/>
      <c r="P24887" s="3337"/>
    </row>
    <row r="24888" spans="7:16" s="1634" customFormat="1">
      <c r="G24888" s="3336"/>
      <c r="P24888" s="3337"/>
    </row>
    <row r="24889" spans="7:16" s="1634" customFormat="1">
      <c r="G24889" s="3336"/>
      <c r="P24889" s="3337"/>
    </row>
    <row r="24890" spans="7:16" s="1634" customFormat="1">
      <c r="G24890" s="3336"/>
      <c r="P24890" s="3337"/>
    </row>
    <row r="24891" spans="7:16" s="1634" customFormat="1">
      <c r="G24891" s="3336"/>
      <c r="P24891" s="3337"/>
    </row>
    <row r="24892" spans="7:16" s="1634" customFormat="1">
      <c r="G24892" s="3336"/>
      <c r="P24892" s="3337"/>
    </row>
    <row r="24893" spans="7:16" s="1634" customFormat="1">
      <c r="G24893" s="3336"/>
      <c r="P24893" s="3337"/>
    </row>
    <row r="24894" spans="7:16" s="1634" customFormat="1">
      <c r="G24894" s="3336"/>
      <c r="P24894" s="3337"/>
    </row>
    <row r="24895" spans="7:16" s="1634" customFormat="1">
      <c r="G24895" s="3336"/>
      <c r="P24895" s="3337"/>
    </row>
    <row r="24896" spans="7:16" s="1634" customFormat="1">
      <c r="G24896" s="3336"/>
      <c r="P24896" s="3337"/>
    </row>
    <row r="24897" spans="7:16" s="1634" customFormat="1">
      <c r="G24897" s="3336"/>
      <c r="P24897" s="3337"/>
    </row>
    <row r="24898" spans="7:16" s="1634" customFormat="1">
      <c r="G24898" s="3336"/>
      <c r="P24898" s="3337"/>
    </row>
    <row r="24899" spans="7:16" s="1634" customFormat="1">
      <c r="G24899" s="3336"/>
      <c r="P24899" s="3337"/>
    </row>
    <row r="24900" spans="7:16" s="1634" customFormat="1">
      <c r="G24900" s="3336"/>
      <c r="P24900" s="3337"/>
    </row>
    <row r="24901" spans="7:16" s="1634" customFormat="1">
      <c r="G24901" s="3336"/>
      <c r="P24901" s="3337"/>
    </row>
    <row r="24902" spans="7:16" s="1634" customFormat="1">
      <c r="G24902" s="3336"/>
      <c r="P24902" s="3337"/>
    </row>
    <row r="24903" spans="7:16" s="1634" customFormat="1">
      <c r="G24903" s="3336"/>
      <c r="P24903" s="3337"/>
    </row>
    <row r="24904" spans="7:16" s="1634" customFormat="1">
      <c r="G24904" s="3336"/>
      <c r="P24904" s="3337"/>
    </row>
    <row r="24905" spans="7:16" s="1634" customFormat="1">
      <c r="G24905" s="3336"/>
      <c r="P24905" s="3337"/>
    </row>
    <row r="24906" spans="7:16" s="1634" customFormat="1">
      <c r="G24906" s="3336"/>
      <c r="P24906" s="3337"/>
    </row>
    <row r="24907" spans="7:16" s="1634" customFormat="1">
      <c r="G24907" s="3336"/>
      <c r="P24907" s="3337"/>
    </row>
    <row r="24908" spans="7:16" s="1634" customFormat="1">
      <c r="G24908" s="3336"/>
      <c r="P24908" s="3337"/>
    </row>
    <row r="24909" spans="7:16" s="1634" customFormat="1">
      <c r="G24909" s="3336"/>
      <c r="P24909" s="3337"/>
    </row>
    <row r="24910" spans="7:16" s="1634" customFormat="1">
      <c r="G24910" s="3336"/>
      <c r="P24910" s="3337"/>
    </row>
    <row r="24911" spans="7:16" s="1634" customFormat="1">
      <c r="G24911" s="3336"/>
      <c r="P24911" s="3337"/>
    </row>
    <row r="24912" spans="7:16" s="1634" customFormat="1">
      <c r="G24912" s="3336"/>
      <c r="P24912" s="3337"/>
    </row>
    <row r="24913" spans="7:16" s="1634" customFormat="1">
      <c r="G24913" s="3336"/>
      <c r="P24913" s="3337"/>
    </row>
    <row r="24914" spans="7:16" s="1634" customFormat="1">
      <c r="G24914" s="3336"/>
      <c r="P24914" s="3337"/>
    </row>
    <row r="24915" spans="7:16" s="1634" customFormat="1">
      <c r="G24915" s="3336"/>
      <c r="P24915" s="3337"/>
    </row>
    <row r="24916" spans="7:16" s="1634" customFormat="1">
      <c r="G24916" s="3336"/>
      <c r="P24916" s="3337"/>
    </row>
    <row r="24917" spans="7:16" s="1634" customFormat="1">
      <c r="G24917" s="3336"/>
      <c r="P24917" s="3337"/>
    </row>
    <row r="24918" spans="7:16" s="1634" customFormat="1">
      <c r="G24918" s="3336"/>
      <c r="P24918" s="3337"/>
    </row>
    <row r="24919" spans="7:16" s="1634" customFormat="1">
      <c r="G24919" s="3336"/>
      <c r="P24919" s="3337"/>
    </row>
    <row r="24920" spans="7:16" s="1634" customFormat="1">
      <c r="G24920" s="3336"/>
      <c r="P24920" s="3337"/>
    </row>
    <row r="24921" spans="7:16" s="1634" customFormat="1">
      <c r="G24921" s="3336"/>
      <c r="P24921" s="3337"/>
    </row>
    <row r="24922" spans="7:16" s="1634" customFormat="1">
      <c r="G24922" s="3336"/>
      <c r="P24922" s="3337"/>
    </row>
    <row r="24923" spans="7:16" s="1634" customFormat="1">
      <c r="G24923" s="3336"/>
      <c r="P24923" s="3337"/>
    </row>
    <row r="24924" spans="7:16" s="1634" customFormat="1">
      <c r="G24924" s="3336"/>
      <c r="P24924" s="3337"/>
    </row>
    <row r="24925" spans="7:16" s="1634" customFormat="1">
      <c r="G24925" s="3336"/>
      <c r="P24925" s="3337"/>
    </row>
    <row r="24926" spans="7:16" s="1634" customFormat="1">
      <c r="G24926" s="3336"/>
      <c r="P24926" s="3337"/>
    </row>
    <row r="24927" spans="7:16" s="1634" customFormat="1">
      <c r="G24927" s="3336"/>
      <c r="P24927" s="3337"/>
    </row>
    <row r="24928" spans="7:16" s="1634" customFormat="1">
      <c r="G24928" s="3336"/>
      <c r="P24928" s="3337"/>
    </row>
    <row r="24929" spans="7:16" s="1634" customFormat="1">
      <c r="G24929" s="3336"/>
      <c r="P24929" s="3337"/>
    </row>
    <row r="24930" spans="7:16" s="1634" customFormat="1">
      <c r="G24930" s="3336"/>
      <c r="P24930" s="3337"/>
    </row>
    <row r="24931" spans="7:16" s="1634" customFormat="1">
      <c r="G24931" s="3336"/>
      <c r="P24931" s="3337"/>
    </row>
    <row r="24932" spans="7:16" s="1634" customFormat="1">
      <c r="G24932" s="3336"/>
      <c r="P24932" s="3337"/>
    </row>
    <row r="24933" spans="7:16" s="1634" customFormat="1">
      <c r="G24933" s="3336"/>
      <c r="P24933" s="3337"/>
    </row>
    <row r="24934" spans="7:16" s="1634" customFormat="1">
      <c r="G24934" s="3336"/>
      <c r="P24934" s="3337"/>
    </row>
    <row r="24935" spans="7:16" s="1634" customFormat="1">
      <c r="G24935" s="3336"/>
      <c r="P24935" s="3337"/>
    </row>
    <row r="24936" spans="7:16" s="1634" customFormat="1">
      <c r="G24936" s="3336"/>
      <c r="P24936" s="3337"/>
    </row>
    <row r="24937" spans="7:16" s="1634" customFormat="1">
      <c r="G24937" s="3336"/>
      <c r="P24937" s="3337"/>
    </row>
    <row r="24938" spans="7:16" s="1634" customFormat="1">
      <c r="G24938" s="3336"/>
      <c r="P24938" s="3337"/>
    </row>
    <row r="24939" spans="7:16" s="1634" customFormat="1">
      <c r="G24939" s="3336"/>
      <c r="P24939" s="3337"/>
    </row>
    <row r="24940" spans="7:16" s="1634" customFormat="1">
      <c r="G24940" s="3336"/>
      <c r="P24940" s="3337"/>
    </row>
    <row r="24941" spans="7:16" s="1634" customFormat="1">
      <c r="G24941" s="3336"/>
      <c r="P24941" s="3337"/>
    </row>
    <row r="24942" spans="7:16" s="1634" customFormat="1">
      <c r="G24942" s="3336"/>
      <c r="P24942" s="3337"/>
    </row>
    <row r="24943" spans="7:16" s="1634" customFormat="1">
      <c r="G24943" s="3336"/>
      <c r="P24943" s="3337"/>
    </row>
    <row r="24944" spans="7:16" s="1634" customFormat="1">
      <c r="G24944" s="3336"/>
      <c r="P24944" s="3337"/>
    </row>
    <row r="24945" spans="7:16" s="1634" customFormat="1">
      <c r="G24945" s="3336"/>
      <c r="P24945" s="3337"/>
    </row>
    <row r="24946" spans="7:16" s="1634" customFormat="1">
      <c r="G24946" s="3336"/>
      <c r="P24946" s="3337"/>
    </row>
    <row r="24947" spans="7:16" s="1634" customFormat="1">
      <c r="G24947" s="3336"/>
      <c r="P24947" s="3337"/>
    </row>
    <row r="24948" spans="7:16" s="1634" customFormat="1">
      <c r="G24948" s="3336"/>
      <c r="P24948" s="3337"/>
    </row>
    <row r="24949" spans="7:16" s="1634" customFormat="1">
      <c r="G24949" s="3336"/>
      <c r="P24949" s="3337"/>
    </row>
    <row r="24950" spans="7:16" s="1634" customFormat="1">
      <c r="G24950" s="3336"/>
      <c r="P24950" s="3337"/>
    </row>
    <row r="24951" spans="7:16" s="1634" customFormat="1">
      <c r="G24951" s="3336"/>
      <c r="P24951" s="3337"/>
    </row>
    <row r="24952" spans="7:16" s="1634" customFormat="1">
      <c r="G24952" s="3336"/>
      <c r="P24952" s="3337"/>
    </row>
    <row r="24953" spans="7:16" s="1634" customFormat="1">
      <c r="G24953" s="3336"/>
      <c r="P24953" s="3337"/>
    </row>
    <row r="24954" spans="7:16" s="1634" customFormat="1">
      <c r="G24954" s="3336"/>
      <c r="P24954" s="3337"/>
    </row>
    <row r="24955" spans="7:16" s="1634" customFormat="1">
      <c r="G24955" s="3336"/>
      <c r="P24955" s="3337"/>
    </row>
    <row r="24956" spans="7:16" s="1634" customFormat="1">
      <c r="G24956" s="3336"/>
      <c r="P24956" s="3337"/>
    </row>
    <row r="24957" spans="7:16" s="1634" customFormat="1">
      <c r="G24957" s="3336"/>
      <c r="P24957" s="3337"/>
    </row>
    <row r="24958" spans="7:16" s="1634" customFormat="1">
      <c r="G24958" s="3336"/>
      <c r="P24958" s="3337"/>
    </row>
    <row r="24959" spans="7:16" s="1634" customFormat="1">
      <c r="G24959" s="3336"/>
      <c r="P24959" s="3337"/>
    </row>
    <row r="24960" spans="7:16" s="1634" customFormat="1">
      <c r="G24960" s="3336"/>
      <c r="P24960" s="3337"/>
    </row>
    <row r="24961" spans="7:16" s="1634" customFormat="1">
      <c r="G24961" s="3336"/>
      <c r="P24961" s="3337"/>
    </row>
    <row r="24962" spans="7:16" s="1634" customFormat="1">
      <c r="G24962" s="3336"/>
      <c r="P24962" s="3337"/>
    </row>
    <row r="24963" spans="7:16" s="1634" customFormat="1">
      <c r="G24963" s="3336"/>
      <c r="P24963" s="3337"/>
    </row>
    <row r="24964" spans="7:16" s="1634" customFormat="1">
      <c r="G24964" s="3336"/>
      <c r="P24964" s="3337"/>
    </row>
    <row r="24965" spans="7:16" s="1634" customFormat="1">
      <c r="G24965" s="3336"/>
      <c r="P24965" s="3337"/>
    </row>
    <row r="24966" spans="7:16" s="1634" customFormat="1">
      <c r="G24966" s="3336"/>
      <c r="P24966" s="3337"/>
    </row>
    <row r="24967" spans="7:16" s="1634" customFormat="1">
      <c r="G24967" s="3336"/>
      <c r="P24967" s="3337"/>
    </row>
    <row r="24968" spans="7:16" s="1634" customFormat="1">
      <c r="G24968" s="3336"/>
      <c r="P24968" s="3337"/>
    </row>
    <row r="24969" spans="7:16" s="1634" customFormat="1">
      <c r="G24969" s="3336"/>
      <c r="P24969" s="3337"/>
    </row>
    <row r="24970" spans="7:16" s="1634" customFormat="1">
      <c r="G24970" s="3336"/>
      <c r="P24970" s="3337"/>
    </row>
    <row r="24971" spans="7:16" s="1634" customFormat="1">
      <c r="G24971" s="3336"/>
      <c r="P24971" s="3337"/>
    </row>
    <row r="24972" spans="7:16" s="1634" customFormat="1">
      <c r="G24972" s="3336"/>
      <c r="P24972" s="3337"/>
    </row>
    <row r="24973" spans="7:16" s="1634" customFormat="1">
      <c r="G24973" s="3336"/>
      <c r="P24973" s="3337"/>
    </row>
    <row r="24974" spans="7:16" s="1634" customFormat="1">
      <c r="G24974" s="3336"/>
      <c r="P24974" s="3337"/>
    </row>
    <row r="24975" spans="7:16" s="1634" customFormat="1">
      <c r="G24975" s="3336"/>
      <c r="P24975" s="3337"/>
    </row>
    <row r="24976" spans="7:16" s="1634" customFormat="1">
      <c r="G24976" s="3336"/>
      <c r="P24976" s="3337"/>
    </row>
    <row r="24977" spans="7:16" s="1634" customFormat="1">
      <c r="G24977" s="3336"/>
      <c r="P24977" s="3337"/>
    </row>
    <row r="24978" spans="7:16" s="1634" customFormat="1">
      <c r="G24978" s="3336"/>
      <c r="P24978" s="3337"/>
    </row>
    <row r="24979" spans="7:16" s="1634" customFormat="1">
      <c r="G24979" s="3336"/>
      <c r="P24979" s="3337"/>
    </row>
    <row r="24980" spans="7:16" s="1634" customFormat="1">
      <c r="G24980" s="3336"/>
      <c r="P24980" s="3337"/>
    </row>
    <row r="24981" spans="7:16" s="1634" customFormat="1">
      <c r="G24981" s="3336"/>
      <c r="P24981" s="3337"/>
    </row>
    <row r="24982" spans="7:16" s="1634" customFormat="1">
      <c r="G24982" s="3336"/>
      <c r="P24982" s="3337"/>
    </row>
    <row r="24983" spans="7:16" s="1634" customFormat="1">
      <c r="G24983" s="3336"/>
      <c r="P24983" s="3337"/>
    </row>
    <row r="24984" spans="7:16" s="1634" customFormat="1">
      <c r="G24984" s="3336"/>
      <c r="P24984" s="3337"/>
    </row>
    <row r="24985" spans="7:16" s="1634" customFormat="1">
      <c r="G24985" s="3336"/>
      <c r="P24985" s="3337"/>
    </row>
    <row r="24986" spans="7:16" s="1634" customFormat="1">
      <c r="G24986" s="3336"/>
      <c r="P24986" s="3337"/>
    </row>
    <row r="24987" spans="7:16" s="1634" customFormat="1">
      <c r="G24987" s="3336"/>
      <c r="P24987" s="3337"/>
    </row>
    <row r="24988" spans="7:16" s="1634" customFormat="1">
      <c r="G24988" s="3336"/>
      <c r="P24988" s="3337"/>
    </row>
    <row r="24989" spans="7:16" s="1634" customFormat="1">
      <c r="G24989" s="3336"/>
      <c r="P24989" s="3337"/>
    </row>
    <row r="24990" spans="7:16" s="1634" customFormat="1">
      <c r="G24990" s="3336"/>
      <c r="P24990" s="3337"/>
    </row>
    <row r="24991" spans="7:16" s="1634" customFormat="1">
      <c r="G24991" s="3336"/>
      <c r="P24991" s="3337"/>
    </row>
    <row r="24992" spans="7:16" s="1634" customFormat="1">
      <c r="G24992" s="3336"/>
      <c r="P24992" s="3337"/>
    </row>
    <row r="24993" spans="7:16" s="1634" customFormat="1">
      <c r="G24993" s="3336"/>
      <c r="P24993" s="3337"/>
    </row>
    <row r="24994" spans="7:16" s="1634" customFormat="1">
      <c r="G24994" s="3336"/>
      <c r="P24994" s="3337"/>
    </row>
    <row r="24995" spans="7:16" s="1634" customFormat="1">
      <c r="G24995" s="3336"/>
      <c r="P24995" s="3337"/>
    </row>
    <row r="24996" spans="7:16" s="1634" customFormat="1">
      <c r="G24996" s="3336"/>
      <c r="P24996" s="3337"/>
    </row>
    <row r="24997" spans="7:16" s="1634" customFormat="1">
      <c r="G24997" s="3336"/>
      <c r="P24997" s="3337"/>
    </row>
    <row r="24998" spans="7:16" s="1634" customFormat="1">
      <c r="G24998" s="3336"/>
      <c r="P24998" s="3337"/>
    </row>
    <row r="24999" spans="7:16" s="1634" customFormat="1">
      <c r="G24999" s="3336"/>
      <c r="P24999" s="3337"/>
    </row>
    <row r="25000" spans="7:16" s="1634" customFormat="1">
      <c r="G25000" s="3336"/>
      <c r="P25000" s="3337"/>
    </row>
    <row r="25001" spans="7:16" s="1634" customFormat="1">
      <c r="G25001" s="3336"/>
      <c r="P25001" s="3337"/>
    </row>
    <row r="25002" spans="7:16" s="1634" customFormat="1">
      <c r="G25002" s="3336"/>
      <c r="P25002" s="3337"/>
    </row>
    <row r="25003" spans="7:16" s="1634" customFormat="1">
      <c r="G25003" s="3336"/>
      <c r="P25003" s="3337"/>
    </row>
    <row r="25004" spans="7:16" s="1634" customFormat="1">
      <c r="G25004" s="3336"/>
      <c r="P25004" s="3337"/>
    </row>
    <row r="25005" spans="7:16" s="1634" customFormat="1">
      <c r="G25005" s="3336"/>
      <c r="P25005" s="3337"/>
    </row>
    <row r="25006" spans="7:16" s="1634" customFormat="1">
      <c r="G25006" s="3336"/>
      <c r="P25006" s="3337"/>
    </row>
    <row r="25007" spans="7:16" s="1634" customFormat="1">
      <c r="G25007" s="3336"/>
      <c r="P25007" s="3337"/>
    </row>
    <row r="25008" spans="7:16" s="1634" customFormat="1">
      <c r="G25008" s="3336"/>
      <c r="P25008" s="3337"/>
    </row>
    <row r="25009" spans="7:16" s="1634" customFormat="1">
      <c r="G25009" s="3336"/>
      <c r="P25009" s="3337"/>
    </row>
    <row r="25010" spans="7:16" s="1634" customFormat="1">
      <c r="G25010" s="3336"/>
      <c r="P25010" s="3337"/>
    </row>
    <row r="25011" spans="7:16" s="1634" customFormat="1">
      <c r="G25011" s="3336"/>
      <c r="P25011" s="3337"/>
    </row>
    <row r="25012" spans="7:16" s="1634" customFormat="1">
      <c r="G25012" s="3336"/>
      <c r="P25012" s="3337"/>
    </row>
    <row r="25013" spans="7:16" s="1634" customFormat="1">
      <c r="G25013" s="3336"/>
      <c r="P25013" s="3337"/>
    </row>
    <row r="25014" spans="7:16" s="1634" customFormat="1">
      <c r="G25014" s="3336"/>
      <c r="P25014" s="3337"/>
    </row>
    <row r="25015" spans="7:16" s="1634" customFormat="1">
      <c r="G25015" s="3336"/>
      <c r="P25015" s="3337"/>
    </row>
    <row r="25016" spans="7:16" s="1634" customFormat="1">
      <c r="G25016" s="3336"/>
      <c r="P25016" s="3337"/>
    </row>
    <row r="25017" spans="7:16" s="1634" customFormat="1">
      <c r="G25017" s="3336"/>
      <c r="P25017" s="3337"/>
    </row>
    <row r="25018" spans="7:16" s="1634" customFormat="1">
      <c r="G25018" s="3336"/>
      <c r="P25018" s="3337"/>
    </row>
    <row r="25019" spans="7:16" s="1634" customFormat="1">
      <c r="G25019" s="3336"/>
      <c r="P25019" s="3337"/>
    </row>
    <row r="25020" spans="7:16" s="1634" customFormat="1">
      <c r="G25020" s="3336"/>
      <c r="P25020" s="3337"/>
    </row>
    <row r="25021" spans="7:16" s="1634" customFormat="1">
      <c r="G25021" s="3336"/>
      <c r="P25021" s="3337"/>
    </row>
    <row r="25022" spans="7:16" s="1634" customFormat="1">
      <c r="G25022" s="3336"/>
      <c r="P25022" s="3337"/>
    </row>
    <row r="25023" spans="7:16" s="1634" customFormat="1">
      <c r="G25023" s="3336"/>
      <c r="P25023" s="3337"/>
    </row>
    <row r="25024" spans="7:16" s="1634" customFormat="1">
      <c r="G25024" s="3336"/>
      <c r="P25024" s="3337"/>
    </row>
    <row r="25025" spans="7:16" s="1634" customFormat="1">
      <c r="G25025" s="3336"/>
      <c r="P25025" s="3337"/>
    </row>
    <row r="25026" spans="7:16" s="1634" customFormat="1">
      <c r="G25026" s="3336"/>
      <c r="P25026" s="3337"/>
    </row>
    <row r="25027" spans="7:16" s="1634" customFormat="1">
      <c r="G25027" s="3336"/>
      <c r="P25027" s="3337"/>
    </row>
    <row r="25028" spans="7:16" s="1634" customFormat="1">
      <c r="G25028" s="3336"/>
      <c r="P25028" s="3337"/>
    </row>
    <row r="25029" spans="7:16" s="1634" customFormat="1">
      <c r="G25029" s="3336"/>
      <c r="P25029" s="3337"/>
    </row>
    <row r="25030" spans="7:16" s="1634" customFormat="1">
      <c r="G25030" s="3336"/>
      <c r="P25030" s="3337"/>
    </row>
    <row r="25031" spans="7:16" s="1634" customFormat="1">
      <c r="G25031" s="3336"/>
      <c r="P25031" s="3337"/>
    </row>
    <row r="25032" spans="7:16" s="1634" customFormat="1">
      <c r="G25032" s="3336"/>
      <c r="P25032" s="3337"/>
    </row>
    <row r="25033" spans="7:16" s="1634" customFormat="1">
      <c r="G25033" s="3336"/>
      <c r="P25033" s="3337"/>
    </row>
    <row r="25034" spans="7:16" s="1634" customFormat="1">
      <c r="G25034" s="3336"/>
      <c r="P25034" s="3337"/>
    </row>
    <row r="25035" spans="7:16" s="1634" customFormat="1">
      <c r="G25035" s="3336"/>
      <c r="P25035" s="3337"/>
    </row>
    <row r="25036" spans="7:16" s="1634" customFormat="1">
      <c r="G25036" s="3336"/>
      <c r="P25036" s="3337"/>
    </row>
    <row r="25037" spans="7:16" s="1634" customFormat="1">
      <c r="G25037" s="3336"/>
      <c r="P25037" s="3337"/>
    </row>
    <row r="25038" spans="7:16" s="1634" customFormat="1">
      <c r="G25038" s="3336"/>
      <c r="P25038" s="3337"/>
    </row>
    <row r="25039" spans="7:16" s="1634" customFormat="1">
      <c r="G25039" s="3336"/>
      <c r="P25039" s="3337"/>
    </row>
    <row r="25040" spans="7:16" s="1634" customFormat="1">
      <c r="G25040" s="3336"/>
      <c r="P25040" s="3337"/>
    </row>
    <row r="25041" spans="7:16" s="1634" customFormat="1">
      <c r="G25041" s="3336"/>
      <c r="P25041" s="3337"/>
    </row>
    <row r="25042" spans="7:16" s="1634" customFormat="1">
      <c r="G25042" s="3336"/>
      <c r="P25042" s="3337"/>
    </row>
    <row r="25043" spans="7:16" s="1634" customFormat="1">
      <c r="G25043" s="3336"/>
      <c r="P25043" s="3337"/>
    </row>
    <row r="25044" spans="7:16" s="1634" customFormat="1">
      <c r="G25044" s="3336"/>
      <c r="P25044" s="3337"/>
    </row>
    <row r="25045" spans="7:16" s="1634" customFormat="1">
      <c r="G25045" s="3336"/>
      <c r="P25045" s="3337"/>
    </row>
    <row r="25046" spans="7:16" s="1634" customFormat="1">
      <c r="G25046" s="3336"/>
      <c r="P25046" s="3337"/>
    </row>
    <row r="25047" spans="7:16" s="1634" customFormat="1">
      <c r="G25047" s="3336"/>
      <c r="P25047" s="3337"/>
    </row>
    <row r="25048" spans="7:16" s="1634" customFormat="1">
      <c r="G25048" s="3336"/>
      <c r="P25048" s="3337"/>
    </row>
    <row r="25049" spans="7:16" s="1634" customFormat="1">
      <c r="G25049" s="3336"/>
      <c r="P25049" s="3337"/>
    </row>
    <row r="25050" spans="7:16" s="1634" customFormat="1">
      <c r="G25050" s="3336"/>
      <c r="P25050" s="3337"/>
    </row>
    <row r="25051" spans="7:16" s="1634" customFormat="1">
      <c r="G25051" s="3336"/>
      <c r="P25051" s="3337"/>
    </row>
    <row r="25052" spans="7:16" s="1634" customFormat="1">
      <c r="G25052" s="3336"/>
      <c r="P25052" s="3337"/>
    </row>
    <row r="25053" spans="7:16" s="1634" customFormat="1">
      <c r="G25053" s="3336"/>
      <c r="P25053" s="3337"/>
    </row>
    <row r="25054" spans="7:16" s="1634" customFormat="1">
      <c r="G25054" s="3336"/>
      <c r="P25054" s="3337"/>
    </row>
    <row r="25055" spans="7:16" s="1634" customFormat="1">
      <c r="G25055" s="3336"/>
      <c r="P25055" s="3337"/>
    </row>
    <row r="25056" spans="7:16" s="1634" customFormat="1">
      <c r="G25056" s="3336"/>
      <c r="P25056" s="3337"/>
    </row>
    <row r="25057" spans="7:16" s="1634" customFormat="1">
      <c r="G25057" s="3336"/>
      <c r="P25057" s="3337"/>
    </row>
    <row r="25058" spans="7:16" s="1634" customFormat="1">
      <c r="G25058" s="3336"/>
      <c r="P25058" s="3337"/>
    </row>
    <row r="25059" spans="7:16" s="1634" customFormat="1">
      <c r="G25059" s="3336"/>
      <c r="P25059" s="3337"/>
    </row>
    <row r="25060" spans="7:16" s="1634" customFormat="1">
      <c r="G25060" s="3336"/>
      <c r="P25060" s="3337"/>
    </row>
    <row r="25061" spans="7:16" s="1634" customFormat="1">
      <c r="G25061" s="3336"/>
      <c r="P25061" s="3337"/>
    </row>
    <row r="25062" spans="7:16" s="1634" customFormat="1">
      <c r="G25062" s="3336"/>
      <c r="P25062" s="3337"/>
    </row>
    <row r="25063" spans="7:16" s="1634" customFormat="1">
      <c r="G25063" s="3336"/>
      <c r="P25063" s="3337"/>
    </row>
    <row r="25064" spans="7:16" s="1634" customFormat="1">
      <c r="G25064" s="3336"/>
      <c r="P25064" s="3337"/>
    </row>
    <row r="25065" spans="7:16" s="1634" customFormat="1">
      <c r="G25065" s="3336"/>
      <c r="P25065" s="3337"/>
    </row>
    <row r="25066" spans="7:16" s="1634" customFormat="1">
      <c r="G25066" s="3336"/>
      <c r="P25066" s="3337"/>
    </row>
    <row r="25067" spans="7:16" s="1634" customFormat="1">
      <c r="G25067" s="3336"/>
      <c r="P25067" s="3337"/>
    </row>
    <row r="25068" spans="7:16" s="1634" customFormat="1">
      <c r="G25068" s="3336"/>
      <c r="P25068" s="3337"/>
    </row>
    <row r="25069" spans="7:16" s="1634" customFormat="1">
      <c r="G25069" s="3336"/>
      <c r="P25069" s="3337"/>
    </row>
    <row r="25070" spans="7:16" s="1634" customFormat="1">
      <c r="G25070" s="3336"/>
      <c r="P25070" s="3337"/>
    </row>
    <row r="25071" spans="7:16" s="1634" customFormat="1">
      <c r="G25071" s="3336"/>
      <c r="P25071" s="3337"/>
    </row>
    <row r="25072" spans="7:16" s="1634" customFormat="1">
      <c r="G25072" s="3336"/>
      <c r="P25072" s="3337"/>
    </row>
    <row r="25073" spans="7:16" s="1634" customFormat="1">
      <c r="G25073" s="3336"/>
      <c r="P25073" s="3337"/>
    </row>
    <row r="25074" spans="7:16" s="1634" customFormat="1">
      <c r="G25074" s="3336"/>
      <c r="P25074" s="3337"/>
    </row>
    <row r="25075" spans="7:16" s="1634" customFormat="1">
      <c r="G25075" s="3336"/>
      <c r="P25075" s="3337"/>
    </row>
    <row r="25076" spans="7:16" s="1634" customFormat="1">
      <c r="G25076" s="3336"/>
      <c r="P25076" s="3337"/>
    </row>
    <row r="25077" spans="7:16" s="1634" customFormat="1">
      <c r="G25077" s="3336"/>
      <c r="P25077" s="3337"/>
    </row>
    <row r="25078" spans="7:16" s="1634" customFormat="1">
      <c r="G25078" s="3336"/>
      <c r="P25078" s="3337"/>
    </row>
    <row r="25079" spans="7:16" s="1634" customFormat="1">
      <c r="G25079" s="3336"/>
      <c r="P25079" s="3337"/>
    </row>
    <row r="25080" spans="7:16" s="1634" customFormat="1">
      <c r="G25080" s="3336"/>
      <c r="P25080" s="3337"/>
    </row>
    <row r="25081" spans="7:16" s="1634" customFormat="1">
      <c r="G25081" s="3336"/>
      <c r="P25081" s="3337"/>
    </row>
    <row r="25082" spans="7:16" s="1634" customFormat="1">
      <c r="G25082" s="3336"/>
      <c r="P25082" s="3337"/>
    </row>
    <row r="25083" spans="7:16" s="1634" customFormat="1">
      <c r="G25083" s="3336"/>
      <c r="P25083" s="3337"/>
    </row>
    <row r="25084" spans="7:16" s="1634" customFormat="1">
      <c r="G25084" s="3336"/>
      <c r="P25084" s="3337"/>
    </row>
    <row r="25085" spans="7:16" s="1634" customFormat="1">
      <c r="G25085" s="3336"/>
      <c r="P25085" s="3337"/>
    </row>
    <row r="25086" spans="7:16" s="1634" customFormat="1">
      <c r="G25086" s="3336"/>
      <c r="P25086" s="3337"/>
    </row>
    <row r="25087" spans="7:16" s="1634" customFormat="1">
      <c r="G25087" s="3336"/>
      <c r="P25087" s="3337"/>
    </row>
    <row r="25088" spans="7:16" s="1634" customFormat="1">
      <c r="G25088" s="3336"/>
      <c r="P25088" s="3337"/>
    </row>
    <row r="25089" spans="7:16" s="1634" customFormat="1">
      <c r="G25089" s="3336"/>
      <c r="P25089" s="3337"/>
    </row>
    <row r="25090" spans="7:16" s="1634" customFormat="1">
      <c r="G25090" s="3336"/>
      <c r="P25090" s="3337"/>
    </row>
    <row r="25091" spans="7:16" s="1634" customFormat="1">
      <c r="G25091" s="3336"/>
      <c r="P25091" s="3337"/>
    </row>
    <row r="25092" spans="7:16" s="1634" customFormat="1">
      <c r="G25092" s="3336"/>
      <c r="P25092" s="3337"/>
    </row>
    <row r="25093" spans="7:16" s="1634" customFormat="1">
      <c r="G25093" s="3336"/>
      <c r="P25093" s="3337"/>
    </row>
    <row r="25094" spans="7:16" s="1634" customFormat="1">
      <c r="G25094" s="3336"/>
      <c r="P25094" s="3337"/>
    </row>
    <row r="25095" spans="7:16" s="1634" customFormat="1">
      <c r="G25095" s="3336"/>
      <c r="P25095" s="3337"/>
    </row>
    <row r="25096" spans="7:16" s="1634" customFormat="1">
      <c r="G25096" s="3336"/>
      <c r="P25096" s="3337"/>
    </row>
    <row r="25097" spans="7:16" s="1634" customFormat="1">
      <c r="G25097" s="3336"/>
      <c r="P25097" s="3337"/>
    </row>
    <row r="25098" spans="7:16" s="1634" customFormat="1">
      <c r="G25098" s="3336"/>
      <c r="P25098" s="3337"/>
    </row>
    <row r="25099" spans="7:16" s="1634" customFormat="1">
      <c r="G25099" s="3336"/>
      <c r="P25099" s="3337"/>
    </row>
    <row r="25100" spans="7:16" s="1634" customFormat="1">
      <c r="G25100" s="3336"/>
      <c r="P25100" s="3337"/>
    </row>
    <row r="25101" spans="7:16" s="1634" customFormat="1">
      <c r="G25101" s="3336"/>
      <c r="P25101" s="3337"/>
    </row>
    <row r="25102" spans="7:16" s="1634" customFormat="1">
      <c r="G25102" s="3336"/>
      <c r="P25102" s="3337"/>
    </row>
    <row r="25103" spans="7:16" s="1634" customFormat="1">
      <c r="G25103" s="3336"/>
      <c r="P25103" s="3337"/>
    </row>
    <row r="25104" spans="7:16" s="1634" customFormat="1">
      <c r="G25104" s="3336"/>
      <c r="P25104" s="3337"/>
    </row>
    <row r="25105" spans="7:16" s="1634" customFormat="1">
      <c r="G25105" s="3336"/>
      <c r="P25105" s="3337"/>
    </row>
    <row r="25106" spans="7:16" s="1634" customFormat="1">
      <c r="G25106" s="3336"/>
      <c r="P25106" s="3337"/>
    </row>
    <row r="25107" spans="7:16" s="1634" customFormat="1">
      <c r="G25107" s="3336"/>
      <c r="P25107" s="3337"/>
    </row>
    <row r="25108" spans="7:16" s="1634" customFormat="1">
      <c r="G25108" s="3336"/>
      <c r="P25108" s="3337"/>
    </row>
    <row r="25109" spans="7:16" s="1634" customFormat="1">
      <c r="G25109" s="3336"/>
      <c r="P25109" s="3337"/>
    </row>
    <row r="25110" spans="7:16" s="1634" customFormat="1">
      <c r="G25110" s="3336"/>
      <c r="P25110" s="3337"/>
    </row>
    <row r="25111" spans="7:16" s="1634" customFormat="1">
      <c r="G25111" s="3336"/>
      <c r="P25111" s="3337"/>
    </row>
    <row r="25112" spans="7:16" s="1634" customFormat="1">
      <c r="G25112" s="3336"/>
      <c r="P25112" s="3337"/>
    </row>
    <row r="25113" spans="7:16" s="1634" customFormat="1">
      <c r="G25113" s="3336"/>
      <c r="P25113" s="3337"/>
    </row>
    <row r="25114" spans="7:16" s="1634" customFormat="1">
      <c r="G25114" s="3336"/>
      <c r="P25114" s="3337"/>
    </row>
    <row r="25115" spans="7:16" s="1634" customFormat="1">
      <c r="G25115" s="3336"/>
      <c r="P25115" s="3337"/>
    </row>
    <row r="25116" spans="7:16" s="1634" customFormat="1">
      <c r="G25116" s="3336"/>
      <c r="P25116" s="3337"/>
    </row>
    <row r="25117" spans="7:16" s="1634" customFormat="1">
      <c r="G25117" s="3336"/>
      <c r="P25117" s="3337"/>
    </row>
    <row r="25118" spans="7:16" s="1634" customFormat="1">
      <c r="G25118" s="3336"/>
      <c r="P25118" s="3337"/>
    </row>
    <row r="25119" spans="7:16" s="1634" customFormat="1">
      <c r="G25119" s="3336"/>
      <c r="P25119" s="3337"/>
    </row>
    <row r="25120" spans="7:16" s="1634" customFormat="1">
      <c r="G25120" s="3336"/>
      <c r="P25120" s="3337"/>
    </row>
    <row r="25121" spans="7:16" s="1634" customFormat="1">
      <c r="G25121" s="3336"/>
      <c r="P25121" s="3337"/>
    </row>
    <row r="25122" spans="7:16" s="1634" customFormat="1">
      <c r="G25122" s="3336"/>
      <c r="P25122" s="3337"/>
    </row>
    <row r="25123" spans="7:16" s="1634" customFormat="1">
      <c r="G25123" s="3336"/>
      <c r="P25123" s="3337"/>
    </row>
    <row r="25124" spans="7:16" s="1634" customFormat="1">
      <c r="G25124" s="3336"/>
      <c r="P25124" s="3337"/>
    </row>
    <row r="25125" spans="7:16" s="1634" customFormat="1">
      <c r="G25125" s="3336"/>
      <c r="P25125" s="3337"/>
    </row>
    <row r="25126" spans="7:16" s="1634" customFormat="1">
      <c r="G25126" s="3336"/>
      <c r="P25126" s="3337"/>
    </row>
    <row r="25127" spans="7:16" s="1634" customFormat="1">
      <c r="G25127" s="3336"/>
      <c r="P25127" s="3337"/>
    </row>
    <row r="25128" spans="7:16" s="1634" customFormat="1">
      <c r="G25128" s="3336"/>
      <c r="P25128" s="3337"/>
    </row>
    <row r="25129" spans="7:16" s="1634" customFormat="1">
      <c r="G25129" s="3336"/>
      <c r="P25129" s="3337"/>
    </row>
    <row r="25130" spans="7:16" s="1634" customFormat="1">
      <c r="G25130" s="3336"/>
      <c r="P25130" s="3337"/>
    </row>
    <row r="25131" spans="7:16" s="1634" customFormat="1">
      <c r="G25131" s="3336"/>
      <c r="P25131" s="3337"/>
    </row>
    <row r="25132" spans="7:16" s="1634" customFormat="1">
      <c r="G25132" s="3336"/>
      <c r="P25132" s="3337"/>
    </row>
    <row r="25133" spans="7:16" s="1634" customFormat="1">
      <c r="G25133" s="3336"/>
      <c r="P25133" s="3337"/>
    </row>
    <row r="25134" spans="7:16" s="1634" customFormat="1">
      <c r="G25134" s="3336"/>
      <c r="P25134" s="3337"/>
    </row>
    <row r="25135" spans="7:16" s="1634" customFormat="1">
      <c r="G25135" s="3336"/>
      <c r="P25135" s="3337"/>
    </row>
    <row r="25136" spans="7:16" s="1634" customFormat="1">
      <c r="G25136" s="3336"/>
      <c r="P25136" s="3337"/>
    </row>
    <row r="25137" spans="7:16" s="1634" customFormat="1">
      <c r="G25137" s="3336"/>
      <c r="P25137" s="3337"/>
    </row>
    <row r="25138" spans="7:16" s="1634" customFormat="1">
      <c r="G25138" s="3336"/>
      <c r="P25138" s="3337"/>
    </row>
    <row r="25139" spans="7:16" s="1634" customFormat="1">
      <c r="G25139" s="3336"/>
      <c r="P25139" s="3337"/>
    </row>
    <row r="25140" spans="7:16" s="1634" customFormat="1">
      <c r="G25140" s="3336"/>
      <c r="P25140" s="3337"/>
    </row>
    <row r="25141" spans="7:16" s="1634" customFormat="1">
      <c r="G25141" s="3336"/>
      <c r="P25141" s="3337"/>
    </row>
    <row r="25142" spans="7:16" s="1634" customFormat="1">
      <c r="G25142" s="3336"/>
      <c r="P25142" s="3337"/>
    </row>
    <row r="25143" spans="7:16" s="1634" customFormat="1">
      <c r="G25143" s="3336"/>
      <c r="P25143" s="3337"/>
    </row>
    <row r="25144" spans="7:16" s="1634" customFormat="1">
      <c r="G25144" s="3336"/>
      <c r="P25144" s="3337"/>
    </row>
    <row r="25145" spans="7:16" s="1634" customFormat="1">
      <c r="G25145" s="3336"/>
      <c r="P25145" s="3337"/>
    </row>
    <row r="25146" spans="7:16" s="1634" customFormat="1">
      <c r="G25146" s="3336"/>
      <c r="P25146" s="3337"/>
    </row>
    <row r="25147" spans="7:16" s="1634" customFormat="1">
      <c r="G25147" s="3336"/>
      <c r="P25147" s="3337"/>
    </row>
    <row r="25148" spans="7:16" s="1634" customFormat="1">
      <c r="G25148" s="3336"/>
      <c r="P25148" s="3337"/>
    </row>
    <row r="25149" spans="7:16" s="1634" customFormat="1">
      <c r="G25149" s="3336"/>
      <c r="P25149" s="3337"/>
    </row>
    <row r="25150" spans="7:16" s="1634" customFormat="1">
      <c r="G25150" s="3336"/>
      <c r="P25150" s="3337"/>
    </row>
    <row r="25151" spans="7:16" s="1634" customFormat="1">
      <c r="G25151" s="3336"/>
      <c r="P25151" s="3337"/>
    </row>
    <row r="25152" spans="7:16" s="1634" customFormat="1">
      <c r="G25152" s="3336"/>
      <c r="P25152" s="3337"/>
    </row>
    <row r="25153" spans="7:16" s="1634" customFormat="1">
      <c r="G25153" s="3336"/>
      <c r="P25153" s="3337"/>
    </row>
    <row r="25154" spans="7:16" s="1634" customFormat="1">
      <c r="G25154" s="3336"/>
      <c r="P25154" s="3337"/>
    </row>
    <row r="25155" spans="7:16" s="1634" customFormat="1">
      <c r="G25155" s="3336"/>
      <c r="P25155" s="3337"/>
    </row>
    <row r="25156" spans="7:16" s="1634" customFormat="1">
      <c r="G25156" s="3336"/>
      <c r="P25156" s="3337"/>
    </row>
    <row r="25157" spans="7:16" s="1634" customFormat="1">
      <c r="G25157" s="3336"/>
      <c r="P25157" s="3337"/>
    </row>
    <row r="25158" spans="7:16" s="1634" customFormat="1">
      <c r="G25158" s="3336"/>
      <c r="P25158" s="3337"/>
    </row>
    <row r="25159" spans="7:16" s="1634" customFormat="1">
      <c r="G25159" s="3336"/>
      <c r="P25159" s="3337"/>
    </row>
    <row r="25160" spans="7:16" s="1634" customFormat="1">
      <c r="G25160" s="3336"/>
      <c r="P25160" s="3337"/>
    </row>
    <row r="25161" spans="7:16" s="1634" customFormat="1">
      <c r="G25161" s="3336"/>
      <c r="P25161" s="3337"/>
    </row>
    <row r="25162" spans="7:16" s="1634" customFormat="1">
      <c r="G25162" s="3336"/>
      <c r="P25162" s="3337"/>
    </row>
    <row r="25163" spans="7:16" s="1634" customFormat="1">
      <c r="G25163" s="3336"/>
      <c r="P25163" s="3337"/>
    </row>
    <row r="25164" spans="7:16" s="1634" customFormat="1">
      <c r="G25164" s="3336"/>
      <c r="P25164" s="3337"/>
    </row>
    <row r="25165" spans="7:16" s="1634" customFormat="1">
      <c r="G25165" s="3336"/>
      <c r="P25165" s="3337"/>
    </row>
    <row r="25166" spans="7:16" s="1634" customFormat="1">
      <c r="G25166" s="3336"/>
      <c r="P25166" s="3337"/>
    </row>
    <row r="25167" spans="7:16" s="1634" customFormat="1">
      <c r="G25167" s="3336"/>
      <c r="P25167" s="3337"/>
    </row>
    <row r="25168" spans="7:16" s="1634" customFormat="1">
      <c r="G25168" s="3336"/>
      <c r="P25168" s="3337"/>
    </row>
    <row r="25169" spans="7:16" s="1634" customFormat="1">
      <c r="G25169" s="3336"/>
      <c r="P25169" s="3337"/>
    </row>
    <row r="25170" spans="7:16" s="1634" customFormat="1">
      <c r="G25170" s="3336"/>
      <c r="P25170" s="3337"/>
    </row>
    <row r="25171" spans="7:16" s="1634" customFormat="1">
      <c r="G25171" s="3336"/>
      <c r="P25171" s="3337"/>
    </row>
    <row r="25172" spans="7:16" s="1634" customFormat="1">
      <c r="G25172" s="3336"/>
      <c r="P25172" s="3337"/>
    </row>
    <row r="25173" spans="7:16" s="1634" customFormat="1">
      <c r="G25173" s="3336"/>
      <c r="P25173" s="3337"/>
    </row>
    <row r="25174" spans="7:16" s="1634" customFormat="1">
      <c r="G25174" s="3336"/>
      <c r="P25174" s="3337"/>
    </row>
    <row r="25175" spans="7:16" s="1634" customFormat="1">
      <c r="G25175" s="3336"/>
      <c r="P25175" s="3337"/>
    </row>
    <row r="25176" spans="7:16" s="1634" customFormat="1">
      <c r="G25176" s="3336"/>
      <c r="P25176" s="3337"/>
    </row>
    <row r="25177" spans="7:16" s="1634" customFormat="1">
      <c r="G25177" s="3336"/>
      <c r="P25177" s="3337"/>
    </row>
    <row r="25178" spans="7:16" s="1634" customFormat="1">
      <c r="G25178" s="3336"/>
      <c r="P25178" s="3337"/>
    </row>
    <row r="25179" spans="7:16" s="1634" customFormat="1">
      <c r="G25179" s="3336"/>
      <c r="P25179" s="3337"/>
    </row>
    <row r="25180" spans="7:16" s="1634" customFormat="1">
      <c r="G25180" s="3336"/>
      <c r="P25180" s="3337"/>
    </row>
    <row r="25181" spans="7:16" s="1634" customFormat="1">
      <c r="G25181" s="3336"/>
      <c r="P25181" s="3337"/>
    </row>
    <row r="25182" spans="7:16" s="1634" customFormat="1">
      <c r="G25182" s="3336"/>
      <c r="P25182" s="3337"/>
    </row>
    <row r="25183" spans="7:16" s="1634" customFormat="1">
      <c r="G25183" s="3336"/>
      <c r="P25183" s="3337"/>
    </row>
    <row r="25184" spans="7:16" s="1634" customFormat="1">
      <c r="G25184" s="3336"/>
      <c r="P25184" s="3337"/>
    </row>
    <row r="25185" spans="7:16" s="1634" customFormat="1">
      <c r="G25185" s="3336"/>
      <c r="P25185" s="3337"/>
    </row>
    <row r="25186" spans="7:16" s="1634" customFormat="1">
      <c r="G25186" s="3336"/>
      <c r="P25186" s="3337"/>
    </row>
    <row r="25187" spans="7:16" s="1634" customFormat="1">
      <c r="G25187" s="3336"/>
      <c r="P25187" s="3337"/>
    </row>
    <row r="25188" spans="7:16" s="1634" customFormat="1">
      <c r="G25188" s="3336"/>
      <c r="P25188" s="3337"/>
    </row>
    <row r="25189" spans="7:16" s="1634" customFormat="1">
      <c r="G25189" s="3336"/>
      <c r="P25189" s="3337"/>
    </row>
    <row r="25190" spans="7:16" s="1634" customFormat="1">
      <c r="G25190" s="3336"/>
      <c r="P25190" s="3337"/>
    </row>
    <row r="25191" spans="7:16" s="1634" customFormat="1">
      <c r="G25191" s="3336"/>
      <c r="P25191" s="3337"/>
    </row>
    <row r="25192" spans="7:16" s="1634" customFormat="1">
      <c r="G25192" s="3336"/>
      <c r="P25192" s="3337"/>
    </row>
    <row r="25193" spans="7:16" s="1634" customFormat="1">
      <c r="G25193" s="3336"/>
      <c r="P25193" s="3337"/>
    </row>
    <row r="25194" spans="7:16" s="1634" customFormat="1">
      <c r="G25194" s="3336"/>
      <c r="P25194" s="3337"/>
    </row>
    <row r="25195" spans="7:16" s="1634" customFormat="1">
      <c r="G25195" s="3336"/>
      <c r="P25195" s="3337"/>
    </row>
    <row r="25196" spans="7:16" s="1634" customFormat="1">
      <c r="G25196" s="3336"/>
      <c r="P25196" s="3337"/>
    </row>
    <row r="25197" spans="7:16" s="1634" customFormat="1">
      <c r="G25197" s="3336"/>
      <c r="P25197" s="3337"/>
    </row>
    <row r="25198" spans="7:16" s="1634" customFormat="1">
      <c r="G25198" s="3336"/>
      <c r="P25198" s="3337"/>
    </row>
    <row r="25199" spans="7:16" s="1634" customFormat="1">
      <c r="G25199" s="3336"/>
      <c r="P25199" s="3337"/>
    </row>
    <row r="25200" spans="7:16" s="1634" customFormat="1">
      <c r="G25200" s="3336"/>
      <c r="P25200" s="3337"/>
    </row>
    <row r="25201" spans="7:16" s="1634" customFormat="1">
      <c r="G25201" s="3336"/>
      <c r="P25201" s="3337"/>
    </row>
    <row r="25202" spans="7:16" s="1634" customFormat="1">
      <c r="G25202" s="3336"/>
      <c r="P25202" s="3337"/>
    </row>
    <row r="25203" spans="7:16" s="1634" customFormat="1">
      <c r="G25203" s="3336"/>
      <c r="P25203" s="3337"/>
    </row>
    <row r="25204" spans="7:16" s="1634" customFormat="1">
      <c r="G25204" s="3336"/>
      <c r="P25204" s="3337"/>
    </row>
    <row r="25205" spans="7:16" s="1634" customFormat="1">
      <c r="G25205" s="3336"/>
      <c r="P25205" s="3337"/>
    </row>
    <row r="25206" spans="7:16" s="1634" customFormat="1">
      <c r="G25206" s="3336"/>
      <c r="P25206" s="3337"/>
    </row>
    <row r="25207" spans="7:16" s="1634" customFormat="1">
      <c r="G25207" s="3336"/>
      <c r="P25207" s="3337"/>
    </row>
    <row r="25208" spans="7:16" s="1634" customFormat="1">
      <c r="G25208" s="3336"/>
      <c r="P25208" s="3337"/>
    </row>
    <row r="25209" spans="7:16" s="1634" customFormat="1">
      <c r="G25209" s="3336"/>
      <c r="P25209" s="3337"/>
    </row>
    <row r="25210" spans="7:16" s="1634" customFormat="1">
      <c r="G25210" s="3336"/>
      <c r="P25210" s="3337"/>
    </row>
    <row r="25211" spans="7:16" s="1634" customFormat="1">
      <c r="G25211" s="3336"/>
      <c r="P25211" s="3337"/>
    </row>
    <row r="25212" spans="7:16" s="1634" customFormat="1">
      <c r="G25212" s="3336"/>
      <c r="P25212" s="3337"/>
    </row>
    <row r="25213" spans="7:16" s="1634" customFormat="1">
      <c r="G25213" s="3336"/>
      <c r="P25213" s="3337"/>
    </row>
    <row r="25214" spans="7:16" s="1634" customFormat="1">
      <c r="G25214" s="3336"/>
      <c r="P25214" s="3337"/>
    </row>
    <row r="25215" spans="7:16" s="1634" customFormat="1">
      <c r="G25215" s="3336"/>
      <c r="P25215" s="3337"/>
    </row>
    <row r="25216" spans="7:16" s="1634" customFormat="1">
      <c r="G25216" s="3336"/>
      <c r="P25216" s="3337"/>
    </row>
    <row r="25217" spans="7:16" s="1634" customFormat="1">
      <c r="G25217" s="3336"/>
      <c r="P25217" s="3337"/>
    </row>
    <row r="25218" spans="7:16" s="1634" customFormat="1">
      <c r="G25218" s="3336"/>
      <c r="P25218" s="3337"/>
    </row>
    <row r="25219" spans="7:16" s="1634" customFormat="1">
      <c r="G25219" s="3336"/>
      <c r="P25219" s="3337"/>
    </row>
    <row r="25220" spans="7:16" s="1634" customFormat="1">
      <c r="G25220" s="3336"/>
      <c r="P25220" s="3337"/>
    </row>
    <row r="25221" spans="7:16" s="1634" customFormat="1">
      <c r="G25221" s="3336"/>
      <c r="P25221" s="3337"/>
    </row>
    <row r="25222" spans="7:16" s="1634" customFormat="1">
      <c r="G25222" s="3336"/>
      <c r="P25222" s="3337"/>
    </row>
    <row r="25223" spans="7:16" s="1634" customFormat="1">
      <c r="G25223" s="3336"/>
      <c r="P25223" s="3337"/>
    </row>
    <row r="25224" spans="7:16" s="1634" customFormat="1">
      <c r="G25224" s="3336"/>
      <c r="P25224" s="3337"/>
    </row>
    <row r="25225" spans="7:16" s="1634" customFormat="1">
      <c r="G25225" s="3336"/>
      <c r="P25225" s="3337"/>
    </row>
    <row r="25226" spans="7:16" s="1634" customFormat="1">
      <c r="G25226" s="3336"/>
      <c r="P25226" s="3337"/>
    </row>
    <row r="25227" spans="7:16" s="1634" customFormat="1">
      <c r="G25227" s="3336"/>
      <c r="P25227" s="3337"/>
    </row>
    <row r="25228" spans="7:16" s="1634" customFormat="1">
      <c r="G25228" s="3336"/>
      <c r="P25228" s="3337"/>
    </row>
    <row r="25229" spans="7:16" s="1634" customFormat="1">
      <c r="G25229" s="3336"/>
      <c r="P25229" s="3337"/>
    </row>
    <row r="25230" spans="7:16" s="1634" customFormat="1">
      <c r="G25230" s="3336"/>
      <c r="P25230" s="3337"/>
    </row>
    <row r="25231" spans="7:16" s="1634" customFormat="1">
      <c r="G25231" s="3336"/>
      <c r="P25231" s="3337"/>
    </row>
    <row r="25232" spans="7:16" s="1634" customFormat="1">
      <c r="G25232" s="3336"/>
      <c r="P25232" s="3337"/>
    </row>
    <row r="25233" spans="7:16" s="1634" customFormat="1">
      <c r="G25233" s="3336"/>
      <c r="P25233" s="3337"/>
    </row>
    <row r="25234" spans="7:16" s="1634" customFormat="1">
      <c r="G25234" s="3336"/>
      <c r="P25234" s="3337"/>
    </row>
    <row r="25235" spans="7:16" s="1634" customFormat="1">
      <c r="G25235" s="3336"/>
      <c r="P25235" s="3337"/>
    </row>
    <row r="25236" spans="7:16" s="1634" customFormat="1">
      <c r="G25236" s="3336"/>
      <c r="P25236" s="3337"/>
    </row>
    <row r="25237" spans="7:16" s="1634" customFormat="1">
      <c r="G25237" s="3336"/>
      <c r="P25237" s="3337"/>
    </row>
    <row r="25238" spans="7:16" s="1634" customFormat="1">
      <c r="G25238" s="3336"/>
      <c r="P25238" s="3337"/>
    </row>
    <row r="25239" spans="7:16" s="1634" customFormat="1">
      <c r="G25239" s="3336"/>
      <c r="P25239" s="3337"/>
    </row>
    <row r="25240" spans="7:16" s="1634" customFormat="1">
      <c r="G25240" s="3336"/>
      <c r="P25240" s="3337"/>
    </row>
    <row r="25241" spans="7:16" s="1634" customFormat="1">
      <c r="G25241" s="3336"/>
      <c r="P25241" s="3337"/>
    </row>
    <row r="25242" spans="7:16" s="1634" customFormat="1">
      <c r="G25242" s="3336"/>
      <c r="P25242" s="3337"/>
    </row>
    <row r="25243" spans="7:16" s="1634" customFormat="1">
      <c r="G25243" s="3336"/>
      <c r="P25243" s="3337"/>
    </row>
    <row r="25244" spans="7:16" s="1634" customFormat="1">
      <c r="G25244" s="3336"/>
      <c r="P25244" s="3337"/>
    </row>
    <row r="25245" spans="7:16" s="1634" customFormat="1">
      <c r="G25245" s="3336"/>
      <c r="P25245" s="3337"/>
    </row>
    <row r="25246" spans="7:16" s="1634" customFormat="1">
      <c r="G25246" s="3336"/>
      <c r="P25246" s="3337"/>
    </row>
    <row r="25247" spans="7:16" s="1634" customFormat="1">
      <c r="G25247" s="3336"/>
      <c r="P25247" s="3337"/>
    </row>
    <row r="25248" spans="7:16" s="1634" customFormat="1">
      <c r="G25248" s="3336"/>
      <c r="P25248" s="3337"/>
    </row>
    <row r="25249" spans="7:16" s="1634" customFormat="1">
      <c r="G25249" s="3336"/>
      <c r="P25249" s="3337"/>
    </row>
    <row r="25250" spans="7:16" s="1634" customFormat="1">
      <c r="G25250" s="3336"/>
      <c r="P25250" s="3337"/>
    </row>
    <row r="25251" spans="7:16" s="1634" customFormat="1">
      <c r="G25251" s="3336"/>
      <c r="P25251" s="3337"/>
    </row>
    <row r="25252" spans="7:16" s="1634" customFormat="1">
      <c r="G25252" s="3336"/>
      <c r="P25252" s="3337"/>
    </row>
    <row r="25253" spans="7:16" s="1634" customFormat="1">
      <c r="G25253" s="3336"/>
      <c r="P25253" s="3337"/>
    </row>
    <row r="25254" spans="7:16" s="1634" customFormat="1">
      <c r="G25254" s="3336"/>
      <c r="P25254" s="3337"/>
    </row>
    <row r="25255" spans="7:16" s="1634" customFormat="1">
      <c r="G25255" s="3336"/>
      <c r="P25255" s="3337"/>
    </row>
    <row r="25256" spans="7:16" s="1634" customFormat="1">
      <c r="G25256" s="3336"/>
      <c r="P25256" s="3337"/>
    </row>
    <row r="25257" spans="7:16" s="1634" customFormat="1">
      <c r="G25257" s="3336"/>
      <c r="P25257" s="3337"/>
    </row>
    <row r="25258" spans="7:16" s="1634" customFormat="1">
      <c r="G25258" s="3336"/>
      <c r="P25258" s="3337"/>
    </row>
    <row r="25259" spans="7:16" s="1634" customFormat="1">
      <c r="G25259" s="3336"/>
      <c r="P25259" s="3337"/>
    </row>
    <row r="25260" spans="7:16" s="1634" customFormat="1">
      <c r="G25260" s="3336"/>
      <c r="P25260" s="3337"/>
    </row>
    <row r="25261" spans="7:16" s="1634" customFormat="1">
      <c r="G25261" s="3336"/>
      <c r="P25261" s="3337"/>
    </row>
    <row r="25262" spans="7:16" s="1634" customFormat="1">
      <c r="G25262" s="3336"/>
      <c r="P25262" s="3337"/>
    </row>
    <row r="25263" spans="7:16" s="1634" customFormat="1">
      <c r="G25263" s="3336"/>
      <c r="P25263" s="3337"/>
    </row>
    <row r="25264" spans="7:16" s="1634" customFormat="1">
      <c r="G25264" s="3336"/>
      <c r="P25264" s="3337"/>
    </row>
    <row r="25265" spans="7:16" s="1634" customFormat="1">
      <c r="G25265" s="3336"/>
      <c r="P25265" s="3337"/>
    </row>
    <row r="25266" spans="7:16" s="1634" customFormat="1">
      <c r="G25266" s="3336"/>
      <c r="P25266" s="3337"/>
    </row>
    <row r="25267" spans="7:16" s="1634" customFormat="1">
      <c r="G25267" s="3336"/>
      <c r="P25267" s="3337"/>
    </row>
    <row r="25268" spans="7:16" s="1634" customFormat="1">
      <c r="G25268" s="3336"/>
      <c r="P25268" s="3337"/>
    </row>
    <row r="25269" spans="7:16" s="1634" customFormat="1">
      <c r="G25269" s="3336"/>
      <c r="P25269" s="3337"/>
    </row>
    <row r="25270" spans="7:16" s="1634" customFormat="1">
      <c r="G25270" s="3336"/>
      <c r="P25270" s="3337"/>
    </row>
    <row r="25271" spans="7:16" s="1634" customFormat="1">
      <c r="G25271" s="3336"/>
      <c r="P25271" s="3337"/>
    </row>
    <row r="25272" spans="7:16" s="1634" customFormat="1">
      <c r="G25272" s="3336"/>
      <c r="P25272" s="3337"/>
    </row>
    <row r="25273" spans="7:16" s="1634" customFormat="1">
      <c r="G25273" s="3336"/>
      <c r="P25273" s="3337"/>
    </row>
    <row r="25274" spans="7:16" s="1634" customFormat="1">
      <c r="G25274" s="3336"/>
      <c r="P25274" s="3337"/>
    </row>
    <row r="25275" spans="7:16" s="1634" customFormat="1">
      <c r="G25275" s="3336"/>
      <c r="P25275" s="3337"/>
    </row>
    <row r="25276" spans="7:16" s="1634" customFormat="1">
      <c r="G25276" s="3336"/>
      <c r="P25276" s="3337"/>
    </row>
    <row r="25277" spans="7:16" s="1634" customFormat="1">
      <c r="G25277" s="3336"/>
      <c r="P25277" s="3337"/>
    </row>
    <row r="25278" spans="7:16" s="1634" customFormat="1">
      <c r="G25278" s="3336"/>
      <c r="P25278" s="3337"/>
    </row>
    <row r="25279" spans="7:16" s="1634" customFormat="1">
      <c r="G25279" s="3336"/>
      <c r="P25279" s="3337"/>
    </row>
    <row r="25280" spans="7:16" s="1634" customFormat="1">
      <c r="G25280" s="3336"/>
      <c r="P25280" s="3337"/>
    </row>
    <row r="25281" spans="7:16" s="1634" customFormat="1">
      <c r="G25281" s="3336"/>
      <c r="P25281" s="3337"/>
    </row>
    <row r="25282" spans="7:16" s="1634" customFormat="1">
      <c r="G25282" s="3336"/>
      <c r="P25282" s="3337"/>
    </row>
    <row r="25283" spans="7:16" s="1634" customFormat="1">
      <c r="G25283" s="3336"/>
      <c r="P25283" s="3337"/>
    </row>
    <row r="25284" spans="7:16" s="1634" customFormat="1">
      <c r="G25284" s="3336"/>
      <c r="P25284" s="3337"/>
    </row>
    <row r="25285" spans="7:16" s="1634" customFormat="1">
      <c r="G25285" s="3336"/>
      <c r="P25285" s="3337"/>
    </row>
    <row r="25286" spans="7:16" s="1634" customFormat="1">
      <c r="G25286" s="3336"/>
      <c r="P25286" s="3337"/>
    </row>
    <row r="25287" spans="7:16" s="1634" customFormat="1">
      <c r="G25287" s="3336"/>
      <c r="P25287" s="3337"/>
    </row>
    <row r="25288" spans="7:16" s="1634" customFormat="1">
      <c r="G25288" s="3336"/>
      <c r="P25288" s="3337"/>
    </row>
    <row r="25289" spans="7:16" s="1634" customFormat="1">
      <c r="G25289" s="3336"/>
      <c r="P25289" s="3337"/>
    </row>
    <row r="25290" spans="7:16" s="1634" customFormat="1">
      <c r="G25290" s="3336"/>
      <c r="P25290" s="3337"/>
    </row>
    <row r="25291" spans="7:16" s="1634" customFormat="1">
      <c r="G25291" s="3336"/>
      <c r="P25291" s="3337"/>
    </row>
    <row r="25292" spans="7:16" s="1634" customFormat="1">
      <c r="G25292" s="3336"/>
      <c r="P25292" s="3337"/>
    </row>
    <row r="25293" spans="7:16" s="1634" customFormat="1">
      <c r="G25293" s="3336"/>
      <c r="P25293" s="3337"/>
    </row>
    <row r="25294" spans="7:16" s="1634" customFormat="1">
      <c r="G25294" s="3336"/>
      <c r="P25294" s="3337"/>
    </row>
    <row r="25295" spans="7:16" s="1634" customFormat="1">
      <c r="G25295" s="3336"/>
      <c r="P25295" s="3337"/>
    </row>
    <row r="25296" spans="7:16" s="1634" customFormat="1">
      <c r="G25296" s="3336"/>
      <c r="P25296" s="3337"/>
    </row>
    <row r="25297" spans="7:16" s="1634" customFormat="1">
      <c r="G25297" s="3336"/>
      <c r="P25297" s="3337"/>
    </row>
    <row r="25298" spans="7:16" s="1634" customFormat="1">
      <c r="G25298" s="3336"/>
      <c r="P25298" s="3337"/>
    </row>
    <row r="25299" spans="7:16" s="1634" customFormat="1">
      <c r="G25299" s="3336"/>
      <c r="P25299" s="3337"/>
    </row>
    <row r="25300" spans="7:16" s="1634" customFormat="1">
      <c r="G25300" s="3336"/>
      <c r="P25300" s="3337"/>
    </row>
    <row r="25301" spans="7:16" s="1634" customFormat="1">
      <c r="G25301" s="3336"/>
      <c r="P25301" s="3337"/>
    </row>
    <row r="25302" spans="7:16" s="1634" customFormat="1">
      <c r="G25302" s="3336"/>
      <c r="P25302" s="3337"/>
    </row>
    <row r="25303" spans="7:16" s="1634" customFormat="1">
      <c r="G25303" s="3336"/>
      <c r="P25303" s="3337"/>
    </row>
    <row r="25304" spans="7:16" s="1634" customFormat="1">
      <c r="G25304" s="3336"/>
      <c r="P25304" s="3337"/>
    </row>
    <row r="25305" spans="7:16" s="1634" customFormat="1">
      <c r="G25305" s="3336"/>
      <c r="P25305" s="3337"/>
    </row>
    <row r="25306" spans="7:16" s="1634" customFormat="1">
      <c r="G25306" s="3336"/>
      <c r="P25306" s="3337"/>
    </row>
    <row r="25307" spans="7:16" s="1634" customFormat="1">
      <c r="G25307" s="3336"/>
      <c r="P25307" s="3337"/>
    </row>
    <row r="25308" spans="7:16" s="1634" customFormat="1">
      <c r="G25308" s="3336"/>
      <c r="P25308" s="3337"/>
    </row>
    <row r="25309" spans="7:16" s="1634" customFormat="1">
      <c r="G25309" s="3336"/>
      <c r="P25309" s="3337"/>
    </row>
    <row r="25310" spans="7:16" s="1634" customFormat="1">
      <c r="G25310" s="3336"/>
      <c r="P25310" s="3337"/>
    </row>
    <row r="25311" spans="7:16" s="1634" customFormat="1">
      <c r="G25311" s="3336"/>
      <c r="P25311" s="3337"/>
    </row>
    <row r="25312" spans="7:16" s="1634" customFormat="1">
      <c r="G25312" s="3336"/>
      <c r="P25312" s="3337"/>
    </row>
    <row r="25313" spans="7:16" s="1634" customFormat="1">
      <c r="G25313" s="3336"/>
      <c r="P25313" s="3337"/>
    </row>
    <row r="25314" spans="7:16" s="1634" customFormat="1">
      <c r="G25314" s="3336"/>
      <c r="P25314" s="3337"/>
    </row>
    <row r="25315" spans="7:16" s="1634" customFormat="1">
      <c r="G25315" s="3336"/>
      <c r="P25315" s="3337"/>
    </row>
    <row r="25316" spans="7:16" s="1634" customFormat="1">
      <c r="G25316" s="3336"/>
      <c r="P25316" s="3337"/>
    </row>
    <row r="25317" spans="7:16" s="1634" customFormat="1">
      <c r="G25317" s="3336"/>
      <c r="P25317" s="3337"/>
    </row>
    <row r="25318" spans="7:16" s="1634" customFormat="1">
      <c r="G25318" s="3336"/>
      <c r="P25318" s="3337"/>
    </row>
    <row r="25319" spans="7:16" s="1634" customFormat="1">
      <c r="G25319" s="3336"/>
      <c r="P25319" s="3337"/>
    </row>
    <row r="25320" spans="7:16" s="1634" customFormat="1">
      <c r="G25320" s="3336"/>
      <c r="P25320" s="3337"/>
    </row>
    <row r="25321" spans="7:16" s="1634" customFormat="1">
      <c r="G25321" s="3336"/>
      <c r="P25321" s="3337"/>
    </row>
    <row r="25322" spans="7:16" s="1634" customFormat="1">
      <c r="G25322" s="3336"/>
      <c r="P25322" s="3337"/>
    </row>
    <row r="25323" spans="7:16" s="1634" customFormat="1">
      <c r="G25323" s="3336"/>
      <c r="P25323" s="3337"/>
    </row>
    <row r="25324" spans="7:16" s="1634" customFormat="1">
      <c r="G25324" s="3336"/>
      <c r="P25324" s="3337"/>
    </row>
    <row r="25325" spans="7:16" s="1634" customFormat="1">
      <c r="G25325" s="3336"/>
      <c r="P25325" s="3337"/>
    </row>
    <row r="25326" spans="7:16" s="1634" customFormat="1">
      <c r="G25326" s="3336"/>
      <c r="P25326" s="3337"/>
    </row>
    <row r="25327" spans="7:16" s="1634" customFormat="1">
      <c r="G25327" s="3336"/>
      <c r="P25327" s="3337"/>
    </row>
    <row r="25328" spans="7:16" s="1634" customFormat="1">
      <c r="G25328" s="3336"/>
      <c r="P25328" s="3337"/>
    </row>
    <row r="25329" spans="7:16" s="1634" customFormat="1">
      <c r="G25329" s="3336"/>
      <c r="P25329" s="3337"/>
    </row>
    <row r="25330" spans="7:16" s="1634" customFormat="1">
      <c r="G25330" s="3336"/>
      <c r="P25330" s="3337"/>
    </row>
    <row r="25331" spans="7:16" s="1634" customFormat="1">
      <c r="G25331" s="3336"/>
      <c r="P25331" s="3337"/>
    </row>
    <row r="25332" spans="7:16" s="1634" customFormat="1">
      <c r="G25332" s="3336"/>
      <c r="P25332" s="3337"/>
    </row>
    <row r="25333" spans="7:16" s="1634" customFormat="1">
      <c r="G25333" s="3336"/>
      <c r="P25333" s="3337"/>
    </row>
    <row r="25334" spans="7:16" s="1634" customFormat="1">
      <c r="G25334" s="3336"/>
      <c r="P25334" s="3337"/>
    </row>
    <row r="25335" spans="7:16" s="1634" customFormat="1">
      <c r="G25335" s="3336"/>
      <c r="P25335" s="3337"/>
    </row>
    <row r="25336" spans="7:16" s="1634" customFormat="1">
      <c r="G25336" s="3336"/>
      <c r="P25336" s="3337"/>
    </row>
    <row r="25337" spans="7:16" s="1634" customFormat="1">
      <c r="G25337" s="3336"/>
      <c r="P25337" s="3337"/>
    </row>
    <row r="25338" spans="7:16" s="1634" customFormat="1">
      <c r="G25338" s="3336"/>
      <c r="P25338" s="3337"/>
    </row>
    <row r="25339" spans="7:16" s="1634" customFormat="1">
      <c r="G25339" s="3336"/>
      <c r="P25339" s="3337"/>
    </row>
    <row r="25340" spans="7:16" s="1634" customFormat="1">
      <c r="G25340" s="3336"/>
      <c r="P25340" s="3337"/>
    </row>
    <row r="25341" spans="7:16" s="1634" customFormat="1">
      <c r="G25341" s="3336"/>
      <c r="P25341" s="3337"/>
    </row>
    <row r="25342" spans="7:16" s="1634" customFormat="1">
      <c r="G25342" s="3336"/>
      <c r="P25342" s="3337"/>
    </row>
    <row r="25343" spans="7:16" s="1634" customFormat="1">
      <c r="G25343" s="3336"/>
      <c r="P25343" s="3337"/>
    </row>
    <row r="25344" spans="7:16" s="1634" customFormat="1">
      <c r="G25344" s="3336"/>
      <c r="P25344" s="3337"/>
    </row>
    <row r="25345" spans="7:16" s="1634" customFormat="1">
      <c r="G25345" s="3336"/>
      <c r="P25345" s="3337"/>
    </row>
    <row r="25346" spans="7:16" s="1634" customFormat="1">
      <c r="G25346" s="3336"/>
      <c r="P25346" s="3337"/>
    </row>
    <row r="25347" spans="7:16" s="1634" customFormat="1">
      <c r="G25347" s="3336"/>
      <c r="P25347" s="3337"/>
    </row>
    <row r="25348" spans="7:16" s="1634" customFormat="1">
      <c r="G25348" s="3336"/>
      <c r="P25348" s="3337"/>
    </row>
    <row r="25349" spans="7:16" s="1634" customFormat="1">
      <c r="G25349" s="3336"/>
      <c r="P25349" s="3337"/>
    </row>
    <row r="25350" spans="7:16" s="1634" customFormat="1">
      <c r="G25350" s="3336"/>
      <c r="P25350" s="3337"/>
    </row>
    <row r="25351" spans="7:16" s="1634" customFormat="1">
      <c r="G25351" s="3336"/>
      <c r="P25351" s="3337"/>
    </row>
    <row r="25352" spans="7:16" s="1634" customFormat="1">
      <c r="G25352" s="3336"/>
      <c r="P25352" s="3337"/>
    </row>
    <row r="25353" spans="7:16" s="1634" customFormat="1">
      <c r="G25353" s="3336"/>
      <c r="P25353" s="3337"/>
    </row>
    <row r="25354" spans="7:16" s="1634" customFormat="1">
      <c r="G25354" s="3336"/>
      <c r="P25354" s="3337"/>
    </row>
    <row r="25355" spans="7:16" s="1634" customFormat="1">
      <c r="G25355" s="3336"/>
      <c r="P25355" s="3337"/>
    </row>
    <row r="25356" spans="7:16" s="1634" customFormat="1">
      <c r="G25356" s="3336"/>
      <c r="P25356" s="3337"/>
    </row>
    <row r="25357" spans="7:16" s="1634" customFormat="1">
      <c r="G25357" s="3336"/>
      <c r="P25357" s="3337"/>
    </row>
    <row r="25358" spans="7:16" s="1634" customFormat="1">
      <c r="G25358" s="3336"/>
      <c r="P25358" s="3337"/>
    </row>
    <row r="25359" spans="7:16" s="1634" customFormat="1">
      <c r="G25359" s="3336"/>
      <c r="P25359" s="3337"/>
    </row>
    <row r="25360" spans="7:16" s="1634" customFormat="1">
      <c r="G25360" s="3336"/>
      <c r="P25360" s="3337"/>
    </row>
    <row r="25361" spans="7:16" s="1634" customFormat="1">
      <c r="G25361" s="3336"/>
      <c r="P25361" s="3337"/>
    </row>
    <row r="25362" spans="7:16" s="1634" customFormat="1">
      <c r="G25362" s="3336"/>
      <c r="P25362" s="3337"/>
    </row>
    <row r="25363" spans="7:16" s="1634" customFormat="1">
      <c r="G25363" s="3336"/>
      <c r="P25363" s="3337"/>
    </row>
    <row r="25364" spans="7:16" s="1634" customFormat="1">
      <c r="G25364" s="3336"/>
      <c r="P25364" s="3337"/>
    </row>
    <row r="25365" spans="7:16" s="1634" customFormat="1">
      <c r="G25365" s="3336"/>
      <c r="P25365" s="3337"/>
    </row>
    <row r="25366" spans="7:16" s="1634" customFormat="1">
      <c r="G25366" s="3336"/>
      <c r="P25366" s="3337"/>
    </row>
    <row r="25367" spans="7:16" s="1634" customFormat="1">
      <c r="G25367" s="3336"/>
      <c r="P25367" s="3337"/>
    </row>
    <row r="25368" spans="7:16" s="1634" customFormat="1">
      <c r="G25368" s="3336"/>
      <c r="P25368" s="3337"/>
    </row>
    <row r="25369" spans="7:16" s="1634" customFormat="1">
      <c r="G25369" s="3336"/>
      <c r="P25369" s="3337"/>
    </row>
    <row r="25370" spans="7:16" s="1634" customFormat="1">
      <c r="G25370" s="3336"/>
      <c r="P25370" s="3337"/>
    </row>
    <row r="25371" spans="7:16" s="1634" customFormat="1">
      <c r="G25371" s="3336"/>
      <c r="P25371" s="3337"/>
    </row>
    <row r="25372" spans="7:16" s="1634" customFormat="1">
      <c r="G25372" s="3336"/>
      <c r="P25372" s="3337"/>
    </row>
    <row r="25373" spans="7:16" s="1634" customFormat="1">
      <c r="G25373" s="3336"/>
      <c r="P25373" s="3337"/>
    </row>
    <row r="25374" spans="7:16" s="1634" customFormat="1">
      <c r="G25374" s="3336"/>
      <c r="P25374" s="3337"/>
    </row>
    <row r="25375" spans="7:16" s="1634" customFormat="1">
      <c r="G25375" s="3336"/>
      <c r="P25375" s="3337"/>
    </row>
    <row r="25376" spans="7:16" s="1634" customFormat="1">
      <c r="G25376" s="3336"/>
      <c r="P25376" s="3337"/>
    </row>
    <row r="25377" spans="7:16" s="1634" customFormat="1">
      <c r="G25377" s="3336"/>
      <c r="P25377" s="3337"/>
    </row>
    <row r="25378" spans="7:16" s="1634" customFormat="1">
      <c r="G25378" s="3336"/>
      <c r="P25378" s="3337"/>
    </row>
    <row r="25379" spans="7:16" s="1634" customFormat="1">
      <c r="G25379" s="3336"/>
      <c r="P25379" s="3337"/>
    </row>
    <row r="25380" spans="7:16" s="1634" customFormat="1">
      <c r="G25380" s="3336"/>
      <c r="P25380" s="3337"/>
    </row>
    <row r="25381" spans="7:16" s="1634" customFormat="1">
      <c r="G25381" s="3336"/>
      <c r="P25381" s="3337"/>
    </row>
    <row r="25382" spans="7:16" s="1634" customFormat="1">
      <c r="G25382" s="3336"/>
      <c r="P25382" s="3337"/>
    </row>
    <row r="25383" spans="7:16" s="1634" customFormat="1">
      <c r="G25383" s="3336"/>
      <c r="P25383" s="3337"/>
    </row>
    <row r="25384" spans="7:16" s="1634" customFormat="1">
      <c r="G25384" s="3336"/>
      <c r="P25384" s="3337"/>
    </row>
    <row r="25385" spans="7:16" s="1634" customFormat="1">
      <c r="G25385" s="3336"/>
      <c r="P25385" s="3337"/>
    </row>
    <row r="25386" spans="7:16" s="1634" customFormat="1">
      <c r="G25386" s="3336"/>
      <c r="P25386" s="3337"/>
    </row>
    <row r="25387" spans="7:16" s="1634" customFormat="1">
      <c r="G25387" s="3336"/>
      <c r="P25387" s="3337"/>
    </row>
    <row r="25388" spans="7:16" s="1634" customFormat="1">
      <c r="G25388" s="3336"/>
      <c r="P25388" s="3337"/>
    </row>
    <row r="25389" spans="7:16" s="1634" customFormat="1">
      <c r="G25389" s="3336"/>
      <c r="P25389" s="3337"/>
    </row>
    <row r="25390" spans="7:16" s="1634" customFormat="1">
      <c r="G25390" s="3336"/>
      <c r="P25390" s="3337"/>
    </row>
    <row r="25391" spans="7:16" s="1634" customFormat="1">
      <c r="G25391" s="3336"/>
      <c r="P25391" s="3337"/>
    </row>
    <row r="25392" spans="7:16" s="1634" customFormat="1">
      <c r="G25392" s="3336"/>
      <c r="P25392" s="3337"/>
    </row>
    <row r="25393" spans="7:16" s="1634" customFormat="1">
      <c r="G25393" s="3336"/>
      <c r="P25393" s="3337"/>
    </row>
    <row r="25394" spans="7:16" s="1634" customFormat="1">
      <c r="G25394" s="3336"/>
      <c r="P25394" s="3337"/>
    </row>
    <row r="25395" spans="7:16" s="1634" customFormat="1">
      <c r="G25395" s="3336"/>
      <c r="P25395" s="3337"/>
    </row>
    <row r="25396" spans="7:16" s="1634" customFormat="1">
      <c r="G25396" s="3336"/>
      <c r="P25396" s="3337"/>
    </row>
    <row r="25397" spans="7:16" s="1634" customFormat="1">
      <c r="G25397" s="3336"/>
      <c r="P25397" s="3337"/>
    </row>
    <row r="25398" spans="7:16" s="1634" customFormat="1">
      <c r="G25398" s="3336"/>
      <c r="P25398" s="3337"/>
    </row>
    <row r="25399" spans="7:16" s="1634" customFormat="1">
      <c r="G25399" s="3336"/>
      <c r="P25399" s="3337"/>
    </row>
    <row r="25400" spans="7:16" s="1634" customFormat="1">
      <c r="G25400" s="3336"/>
      <c r="P25400" s="3337"/>
    </row>
    <row r="25401" spans="7:16" s="1634" customFormat="1">
      <c r="G25401" s="3336"/>
      <c r="P25401" s="3337"/>
    </row>
    <row r="25402" spans="7:16" s="1634" customFormat="1">
      <c r="G25402" s="3336"/>
      <c r="P25402" s="3337"/>
    </row>
    <row r="25403" spans="7:16" s="1634" customFormat="1">
      <c r="G25403" s="3336"/>
      <c r="P25403" s="3337"/>
    </row>
    <row r="25404" spans="7:16" s="1634" customFormat="1">
      <c r="G25404" s="3336"/>
      <c r="P25404" s="3337"/>
    </row>
    <row r="25405" spans="7:16" s="1634" customFormat="1">
      <c r="G25405" s="3336"/>
      <c r="P25405" s="3337"/>
    </row>
    <row r="25406" spans="7:16" s="1634" customFormat="1">
      <c r="G25406" s="3336"/>
      <c r="P25406" s="3337"/>
    </row>
    <row r="25407" spans="7:16" s="1634" customFormat="1">
      <c r="G25407" s="3336"/>
      <c r="P25407" s="3337"/>
    </row>
    <row r="25408" spans="7:16" s="1634" customFormat="1">
      <c r="G25408" s="3336"/>
      <c r="P25408" s="3337"/>
    </row>
    <row r="25409" spans="7:16" s="1634" customFormat="1">
      <c r="G25409" s="3336"/>
      <c r="P25409" s="3337"/>
    </row>
    <row r="25410" spans="7:16" s="1634" customFormat="1">
      <c r="G25410" s="3336"/>
      <c r="P25410" s="3337"/>
    </row>
    <row r="25411" spans="7:16" s="1634" customFormat="1">
      <c r="G25411" s="3336"/>
      <c r="P25411" s="3337"/>
    </row>
    <row r="25412" spans="7:16" s="1634" customFormat="1">
      <c r="G25412" s="3336"/>
      <c r="P25412" s="3337"/>
    </row>
    <row r="25413" spans="7:16" s="1634" customFormat="1">
      <c r="G25413" s="3336"/>
      <c r="P25413" s="3337"/>
    </row>
    <row r="25414" spans="7:16" s="1634" customFormat="1">
      <c r="G25414" s="3336"/>
      <c r="P25414" s="3337"/>
    </row>
    <row r="25415" spans="7:16" s="1634" customFormat="1">
      <c r="G25415" s="3336"/>
      <c r="P25415" s="3337"/>
    </row>
    <row r="25416" spans="7:16" s="1634" customFormat="1">
      <c r="G25416" s="3336"/>
      <c r="P25416" s="3337"/>
    </row>
    <row r="25417" spans="7:16" s="1634" customFormat="1">
      <c r="G25417" s="3336"/>
      <c r="P25417" s="3337"/>
    </row>
    <row r="25418" spans="7:16" s="1634" customFormat="1">
      <c r="G25418" s="3336"/>
      <c r="P25418" s="3337"/>
    </row>
    <row r="25419" spans="7:16" s="1634" customFormat="1">
      <c r="G25419" s="3336"/>
      <c r="P25419" s="3337"/>
    </row>
    <row r="25420" spans="7:16" s="1634" customFormat="1">
      <c r="G25420" s="3336"/>
      <c r="P25420" s="3337"/>
    </row>
    <row r="25421" spans="7:16" s="1634" customFormat="1">
      <c r="G25421" s="3336"/>
      <c r="P25421" s="3337"/>
    </row>
    <row r="25422" spans="7:16" s="1634" customFormat="1">
      <c r="G25422" s="3336"/>
      <c r="P25422" s="3337"/>
    </row>
    <row r="25423" spans="7:16" s="1634" customFormat="1">
      <c r="G25423" s="3336"/>
      <c r="P25423" s="3337"/>
    </row>
    <row r="25424" spans="7:16" s="1634" customFormat="1">
      <c r="G25424" s="3336"/>
      <c r="P25424" s="3337"/>
    </row>
    <row r="25425" spans="7:16" s="1634" customFormat="1">
      <c r="G25425" s="3336"/>
      <c r="P25425" s="3337"/>
    </row>
    <row r="25426" spans="7:16" s="1634" customFormat="1">
      <c r="G25426" s="3336"/>
      <c r="P25426" s="3337"/>
    </row>
    <row r="25427" spans="7:16" s="1634" customFormat="1">
      <c r="G25427" s="3336"/>
      <c r="P25427" s="3337"/>
    </row>
    <row r="25428" spans="7:16" s="1634" customFormat="1">
      <c r="G25428" s="3336"/>
      <c r="P25428" s="3337"/>
    </row>
    <row r="25429" spans="7:16" s="1634" customFormat="1">
      <c r="G25429" s="3336"/>
      <c r="P25429" s="3337"/>
    </row>
    <row r="25430" spans="7:16" s="1634" customFormat="1">
      <c r="G25430" s="3336"/>
      <c r="P25430" s="3337"/>
    </row>
    <row r="25431" spans="7:16" s="1634" customFormat="1">
      <c r="G25431" s="3336"/>
      <c r="P25431" s="3337"/>
    </row>
    <row r="25432" spans="7:16" s="1634" customFormat="1">
      <c r="G25432" s="3336"/>
      <c r="P25432" s="3337"/>
    </row>
    <row r="25433" spans="7:16" s="1634" customFormat="1">
      <c r="G25433" s="3336"/>
      <c r="P25433" s="3337"/>
    </row>
    <row r="25434" spans="7:16" s="1634" customFormat="1">
      <c r="G25434" s="3336"/>
      <c r="P25434" s="3337"/>
    </row>
    <row r="25435" spans="7:16" s="1634" customFormat="1">
      <c r="G25435" s="3336"/>
      <c r="P25435" s="3337"/>
    </row>
    <row r="25436" spans="7:16" s="1634" customFormat="1">
      <c r="G25436" s="3336"/>
      <c r="P25436" s="3337"/>
    </row>
    <row r="25437" spans="7:16" s="1634" customFormat="1">
      <c r="G25437" s="3336"/>
      <c r="P25437" s="3337"/>
    </row>
    <row r="25438" spans="7:16" s="1634" customFormat="1">
      <c r="G25438" s="3336"/>
      <c r="P25438" s="3337"/>
    </row>
    <row r="25439" spans="7:16" s="1634" customFormat="1">
      <c r="G25439" s="3336"/>
      <c r="P25439" s="3337"/>
    </row>
    <row r="25440" spans="7:16" s="1634" customFormat="1">
      <c r="G25440" s="3336"/>
      <c r="P25440" s="3337"/>
    </row>
    <row r="25441" spans="7:16" s="1634" customFormat="1">
      <c r="G25441" s="3336"/>
      <c r="P25441" s="3337"/>
    </row>
    <row r="25442" spans="7:16" s="1634" customFormat="1">
      <c r="G25442" s="3336"/>
      <c r="P25442" s="3337"/>
    </row>
    <row r="25443" spans="7:16" s="1634" customFormat="1">
      <c r="G25443" s="3336"/>
      <c r="P25443" s="3337"/>
    </row>
    <row r="25444" spans="7:16" s="1634" customFormat="1">
      <c r="G25444" s="3336"/>
      <c r="P25444" s="3337"/>
    </row>
    <row r="25445" spans="7:16" s="1634" customFormat="1">
      <c r="G25445" s="3336"/>
      <c r="P25445" s="3337"/>
    </row>
    <row r="25446" spans="7:16" s="1634" customFormat="1">
      <c r="G25446" s="3336"/>
      <c r="P25446" s="3337"/>
    </row>
    <row r="25447" spans="7:16" s="1634" customFormat="1">
      <c r="G25447" s="3336"/>
      <c r="P25447" s="3337"/>
    </row>
    <row r="25448" spans="7:16" s="1634" customFormat="1">
      <c r="G25448" s="3336"/>
      <c r="P25448" s="3337"/>
    </row>
    <row r="25449" spans="7:16" s="1634" customFormat="1">
      <c r="G25449" s="3336"/>
      <c r="P25449" s="3337"/>
    </row>
    <row r="25450" spans="7:16" s="1634" customFormat="1">
      <c r="G25450" s="3336"/>
      <c r="P25450" s="3337"/>
    </row>
    <row r="25451" spans="7:16" s="1634" customFormat="1">
      <c r="G25451" s="3336"/>
      <c r="P25451" s="3337"/>
    </row>
    <row r="25452" spans="7:16" s="1634" customFormat="1">
      <c r="G25452" s="3336"/>
      <c r="P25452" s="3337"/>
    </row>
    <row r="25453" spans="7:16" s="1634" customFormat="1">
      <c r="G25453" s="3336"/>
      <c r="P25453" s="3337"/>
    </row>
    <row r="25454" spans="7:16" s="1634" customFormat="1">
      <c r="G25454" s="3336"/>
      <c r="P25454" s="3337"/>
    </row>
    <row r="25455" spans="7:16" s="1634" customFormat="1">
      <c r="G25455" s="3336"/>
      <c r="P25455" s="3337"/>
    </row>
    <row r="25456" spans="7:16" s="1634" customFormat="1">
      <c r="G25456" s="3336"/>
      <c r="P25456" s="3337"/>
    </row>
    <row r="25457" spans="7:16" s="1634" customFormat="1">
      <c r="G25457" s="3336"/>
      <c r="P25457" s="3337"/>
    </row>
    <row r="25458" spans="7:16" s="1634" customFormat="1">
      <c r="G25458" s="3336"/>
      <c r="P25458" s="3337"/>
    </row>
    <row r="25459" spans="7:16" s="1634" customFormat="1">
      <c r="G25459" s="3336"/>
      <c r="P25459" s="3337"/>
    </row>
    <row r="25460" spans="7:16" s="1634" customFormat="1">
      <c r="G25460" s="3336"/>
      <c r="P25460" s="3337"/>
    </row>
    <row r="25461" spans="7:16" s="1634" customFormat="1">
      <c r="G25461" s="3336"/>
      <c r="P25461" s="3337"/>
    </row>
    <row r="25462" spans="7:16" s="1634" customFormat="1">
      <c r="G25462" s="3336"/>
      <c r="P25462" s="3337"/>
    </row>
    <row r="25463" spans="7:16" s="1634" customFormat="1">
      <c r="G25463" s="3336"/>
      <c r="P25463" s="3337"/>
    </row>
    <row r="25464" spans="7:16" s="1634" customFormat="1">
      <c r="G25464" s="3336"/>
      <c r="P25464" s="3337"/>
    </row>
    <row r="25465" spans="7:16" s="1634" customFormat="1">
      <c r="G25465" s="3336"/>
      <c r="P25465" s="3337"/>
    </row>
    <row r="25466" spans="7:16" s="1634" customFormat="1">
      <c r="G25466" s="3336"/>
      <c r="P25466" s="3337"/>
    </row>
    <row r="25467" spans="7:16" s="1634" customFormat="1">
      <c r="G25467" s="3336"/>
      <c r="P25467" s="3337"/>
    </row>
    <row r="25468" spans="7:16" s="1634" customFormat="1">
      <c r="G25468" s="3336"/>
      <c r="P25468" s="3337"/>
    </row>
    <row r="25469" spans="7:16" s="1634" customFormat="1">
      <c r="G25469" s="3336"/>
      <c r="P25469" s="3337"/>
    </row>
    <row r="25470" spans="7:16" s="1634" customFormat="1">
      <c r="G25470" s="3336"/>
      <c r="P25470" s="3337"/>
    </row>
    <row r="25471" spans="7:16" s="1634" customFormat="1">
      <c r="G25471" s="3336"/>
      <c r="P25471" s="3337"/>
    </row>
    <row r="25472" spans="7:16" s="1634" customFormat="1">
      <c r="G25472" s="3336"/>
      <c r="P25472" s="3337"/>
    </row>
    <row r="25473" spans="7:16" s="1634" customFormat="1">
      <c r="G25473" s="3336"/>
      <c r="P25473" s="3337"/>
    </row>
    <row r="25474" spans="7:16" s="1634" customFormat="1">
      <c r="G25474" s="3336"/>
      <c r="P25474" s="3337"/>
    </row>
    <row r="25475" spans="7:16" s="1634" customFormat="1">
      <c r="G25475" s="3336"/>
      <c r="P25475" s="3337"/>
    </row>
    <row r="25476" spans="7:16" s="1634" customFormat="1">
      <c r="G25476" s="3336"/>
      <c r="P25476" s="3337"/>
    </row>
    <row r="25477" spans="7:16" s="1634" customFormat="1">
      <c r="G25477" s="3336"/>
      <c r="P25477" s="3337"/>
    </row>
    <row r="25478" spans="7:16" s="1634" customFormat="1">
      <c r="G25478" s="3336"/>
      <c r="P25478" s="3337"/>
    </row>
    <row r="25479" spans="7:16" s="1634" customFormat="1">
      <c r="G25479" s="3336"/>
      <c r="P25479" s="3337"/>
    </row>
    <row r="25480" spans="7:16" s="1634" customFormat="1">
      <c r="G25480" s="3336"/>
      <c r="P25480" s="3337"/>
    </row>
    <row r="25481" spans="7:16" s="1634" customFormat="1">
      <c r="G25481" s="3336"/>
      <c r="P25481" s="3337"/>
    </row>
    <row r="25482" spans="7:16" s="1634" customFormat="1">
      <c r="G25482" s="3336"/>
      <c r="P25482" s="3337"/>
    </row>
    <row r="25483" spans="7:16" s="1634" customFormat="1">
      <c r="G25483" s="3336"/>
      <c r="P25483" s="3337"/>
    </row>
    <row r="25484" spans="7:16" s="1634" customFormat="1">
      <c r="G25484" s="3336"/>
      <c r="P25484" s="3337"/>
    </row>
    <row r="25485" spans="7:16" s="1634" customFormat="1">
      <c r="G25485" s="3336"/>
      <c r="P25485" s="3337"/>
    </row>
    <row r="25486" spans="7:16" s="1634" customFormat="1">
      <c r="G25486" s="3336"/>
      <c r="P25486" s="3337"/>
    </row>
    <row r="25487" spans="7:16" s="1634" customFormat="1">
      <c r="G25487" s="3336"/>
      <c r="P25487" s="3337"/>
    </row>
    <row r="25488" spans="7:16" s="1634" customFormat="1">
      <c r="G25488" s="3336"/>
      <c r="P25488" s="3337"/>
    </row>
    <row r="25489" spans="7:16" s="1634" customFormat="1">
      <c r="G25489" s="3336"/>
      <c r="P25489" s="3337"/>
    </row>
    <row r="25490" spans="7:16" s="1634" customFormat="1">
      <c r="G25490" s="3336"/>
      <c r="P25490" s="3337"/>
    </row>
    <row r="25491" spans="7:16" s="1634" customFormat="1">
      <c r="G25491" s="3336"/>
      <c r="P25491" s="3337"/>
    </row>
    <row r="25492" spans="7:16" s="1634" customFormat="1">
      <c r="G25492" s="3336"/>
      <c r="P25492" s="3337"/>
    </row>
    <row r="25493" spans="7:16" s="1634" customFormat="1">
      <c r="G25493" s="3336"/>
      <c r="P25493" s="3337"/>
    </row>
    <row r="25494" spans="7:16" s="1634" customFormat="1">
      <c r="G25494" s="3336"/>
      <c r="P25494" s="3337"/>
    </row>
    <row r="25495" spans="7:16" s="1634" customFormat="1">
      <c r="G25495" s="3336"/>
      <c r="P25495" s="3337"/>
    </row>
    <row r="25496" spans="7:16" s="1634" customFormat="1">
      <c r="G25496" s="3336"/>
      <c r="P25496" s="3337"/>
    </row>
    <row r="25497" spans="7:16" s="1634" customFormat="1">
      <c r="G25497" s="3336"/>
      <c r="P25497" s="3337"/>
    </row>
    <row r="25498" spans="7:16" s="1634" customFormat="1">
      <c r="G25498" s="3336"/>
      <c r="P25498" s="3337"/>
    </row>
    <row r="25499" spans="7:16" s="1634" customFormat="1">
      <c r="G25499" s="3336"/>
      <c r="P25499" s="3337"/>
    </row>
    <row r="25500" spans="7:16" s="1634" customFormat="1">
      <c r="G25500" s="3336"/>
      <c r="P25500" s="3337"/>
    </row>
    <row r="25501" spans="7:16" s="1634" customFormat="1">
      <c r="G25501" s="3336"/>
      <c r="P25501" s="3337"/>
    </row>
    <row r="25502" spans="7:16" s="1634" customFormat="1">
      <c r="G25502" s="3336"/>
      <c r="P25502" s="3337"/>
    </row>
    <row r="25503" spans="7:16" s="1634" customFormat="1">
      <c r="G25503" s="3336"/>
      <c r="P25503" s="3337"/>
    </row>
    <row r="25504" spans="7:16" s="1634" customFormat="1">
      <c r="G25504" s="3336"/>
      <c r="P25504" s="3337"/>
    </row>
    <row r="25505" spans="7:16" s="1634" customFormat="1">
      <c r="G25505" s="3336"/>
      <c r="P25505" s="3337"/>
    </row>
    <row r="25506" spans="7:16" s="1634" customFormat="1">
      <c r="G25506" s="3336"/>
      <c r="P25506" s="3337"/>
    </row>
    <row r="25507" spans="7:16" s="1634" customFormat="1">
      <c r="G25507" s="3336"/>
      <c r="P25507" s="3337"/>
    </row>
    <row r="25508" spans="7:16" s="1634" customFormat="1">
      <c r="G25508" s="3336"/>
      <c r="P25508" s="3337"/>
    </row>
    <row r="25509" spans="7:16" s="1634" customFormat="1">
      <c r="G25509" s="3336"/>
      <c r="P25509" s="3337"/>
    </row>
    <row r="25510" spans="7:16" s="1634" customFormat="1">
      <c r="G25510" s="3336"/>
      <c r="P25510" s="3337"/>
    </row>
    <row r="25511" spans="7:16" s="1634" customFormat="1">
      <c r="G25511" s="3336"/>
      <c r="P25511" s="3337"/>
    </row>
    <row r="25512" spans="7:16" s="1634" customFormat="1">
      <c r="G25512" s="3336"/>
      <c r="P25512" s="3337"/>
    </row>
    <row r="25513" spans="7:16" s="1634" customFormat="1">
      <c r="G25513" s="3336"/>
      <c r="P25513" s="3337"/>
    </row>
    <row r="25514" spans="7:16" s="1634" customFormat="1">
      <c r="G25514" s="3336"/>
      <c r="P25514" s="3337"/>
    </row>
    <row r="25515" spans="7:16" s="1634" customFormat="1">
      <c r="G25515" s="3336"/>
      <c r="P25515" s="3337"/>
    </row>
    <row r="25516" spans="7:16" s="1634" customFormat="1">
      <c r="G25516" s="3336"/>
      <c r="P25516" s="3337"/>
    </row>
    <row r="25517" spans="7:16" s="1634" customFormat="1">
      <c r="G25517" s="3336"/>
      <c r="P25517" s="3337"/>
    </row>
    <row r="25518" spans="7:16" s="1634" customFormat="1">
      <c r="G25518" s="3336"/>
      <c r="P25518" s="3337"/>
    </row>
    <row r="25519" spans="7:16" s="1634" customFormat="1">
      <c r="G25519" s="3336"/>
      <c r="P25519" s="3337"/>
    </row>
    <row r="25520" spans="7:16" s="1634" customFormat="1">
      <c r="G25520" s="3336"/>
      <c r="P25520" s="3337"/>
    </row>
    <row r="25521" spans="7:16" s="1634" customFormat="1">
      <c r="G25521" s="3336"/>
      <c r="P25521" s="3337"/>
    </row>
    <row r="25522" spans="7:16" s="1634" customFormat="1">
      <c r="G25522" s="3336"/>
      <c r="P25522" s="3337"/>
    </row>
    <row r="25523" spans="7:16" s="1634" customFormat="1">
      <c r="G25523" s="3336"/>
      <c r="P25523" s="3337"/>
    </row>
    <row r="25524" spans="7:16" s="1634" customFormat="1">
      <c r="G25524" s="3336"/>
      <c r="P25524" s="3337"/>
    </row>
    <row r="25525" spans="7:16" s="1634" customFormat="1">
      <c r="G25525" s="3336"/>
      <c r="P25525" s="3337"/>
    </row>
    <row r="25526" spans="7:16" s="1634" customFormat="1">
      <c r="G25526" s="3336"/>
      <c r="P25526" s="3337"/>
    </row>
    <row r="25527" spans="7:16" s="1634" customFormat="1">
      <c r="G25527" s="3336"/>
      <c r="P25527" s="3337"/>
    </row>
    <row r="25528" spans="7:16" s="1634" customFormat="1">
      <c r="G25528" s="3336"/>
      <c r="P25528" s="3337"/>
    </row>
    <row r="25529" spans="7:16" s="1634" customFormat="1">
      <c r="G25529" s="3336"/>
      <c r="P25529" s="3337"/>
    </row>
    <row r="25530" spans="7:16" s="1634" customFormat="1">
      <c r="G25530" s="3336"/>
      <c r="P25530" s="3337"/>
    </row>
    <row r="25531" spans="7:16" s="1634" customFormat="1">
      <c r="G25531" s="3336"/>
      <c r="P25531" s="3337"/>
    </row>
    <row r="25532" spans="7:16" s="1634" customFormat="1">
      <c r="G25532" s="3336"/>
      <c r="P25532" s="3337"/>
    </row>
    <row r="25533" spans="7:16" s="1634" customFormat="1">
      <c r="G25533" s="3336"/>
      <c r="P25533" s="3337"/>
    </row>
    <row r="25534" spans="7:16" s="1634" customFormat="1">
      <c r="G25534" s="3336"/>
      <c r="P25534" s="3337"/>
    </row>
    <row r="25535" spans="7:16" s="1634" customFormat="1">
      <c r="G25535" s="3336"/>
      <c r="P25535" s="3337"/>
    </row>
    <row r="25536" spans="7:16" s="1634" customFormat="1">
      <c r="G25536" s="3336"/>
      <c r="P25536" s="3337"/>
    </row>
    <row r="25537" spans="7:16" s="1634" customFormat="1">
      <c r="G25537" s="3336"/>
      <c r="P25537" s="3337"/>
    </row>
    <row r="25538" spans="7:16" s="1634" customFormat="1">
      <c r="G25538" s="3336"/>
      <c r="P25538" s="3337"/>
    </row>
    <row r="25539" spans="7:16" s="1634" customFormat="1">
      <c r="G25539" s="3336"/>
      <c r="P25539" s="3337"/>
    </row>
    <row r="25540" spans="7:16" s="1634" customFormat="1">
      <c r="G25540" s="3336"/>
      <c r="P25540" s="3337"/>
    </row>
    <row r="25541" spans="7:16" s="1634" customFormat="1">
      <c r="G25541" s="3336"/>
      <c r="P25541" s="3337"/>
    </row>
    <row r="25542" spans="7:16" s="1634" customFormat="1">
      <c r="G25542" s="3336"/>
      <c r="P25542" s="3337"/>
    </row>
    <row r="25543" spans="7:16" s="1634" customFormat="1">
      <c r="G25543" s="3336"/>
      <c r="P25543" s="3337"/>
    </row>
    <row r="25544" spans="7:16" s="1634" customFormat="1">
      <c r="G25544" s="3336"/>
      <c r="P25544" s="3337"/>
    </row>
    <row r="25545" spans="7:16" s="1634" customFormat="1">
      <c r="G25545" s="3336"/>
      <c r="P25545" s="3337"/>
    </row>
    <row r="25546" spans="7:16" s="1634" customFormat="1">
      <c r="G25546" s="3336"/>
      <c r="P25546" s="3337"/>
    </row>
    <row r="25547" spans="7:16" s="1634" customFormat="1">
      <c r="G25547" s="3336"/>
      <c r="P25547" s="3337"/>
    </row>
    <row r="25548" spans="7:16" s="1634" customFormat="1">
      <c r="G25548" s="3336"/>
      <c r="P25548" s="3337"/>
    </row>
    <row r="25549" spans="7:16" s="1634" customFormat="1">
      <c r="G25549" s="3336"/>
      <c r="P25549" s="3337"/>
    </row>
    <row r="25550" spans="7:16" s="1634" customFormat="1">
      <c r="G25550" s="3336"/>
      <c r="P25550" s="3337"/>
    </row>
    <row r="25551" spans="7:16" s="1634" customFormat="1">
      <c r="G25551" s="3336"/>
      <c r="P25551" s="3337"/>
    </row>
    <row r="25552" spans="7:16" s="1634" customFormat="1">
      <c r="G25552" s="3336"/>
      <c r="P25552" s="3337"/>
    </row>
    <row r="25553" spans="7:16" s="1634" customFormat="1">
      <c r="G25553" s="3336"/>
      <c r="P25553" s="3337"/>
    </row>
    <row r="25554" spans="7:16" s="1634" customFormat="1">
      <c r="G25554" s="3336"/>
      <c r="P25554" s="3337"/>
    </row>
    <row r="25555" spans="7:16" s="1634" customFormat="1">
      <c r="G25555" s="3336"/>
      <c r="P25555" s="3337"/>
    </row>
    <row r="25556" spans="7:16" s="1634" customFormat="1">
      <c r="G25556" s="3336"/>
      <c r="P25556" s="3337"/>
    </row>
    <row r="25557" spans="7:16" s="1634" customFormat="1">
      <c r="G25557" s="3336"/>
      <c r="P25557" s="3337"/>
    </row>
    <row r="25558" spans="7:16" s="1634" customFormat="1">
      <c r="G25558" s="3336"/>
      <c r="P25558" s="3337"/>
    </row>
    <row r="25559" spans="7:16" s="1634" customFormat="1">
      <c r="G25559" s="3336"/>
      <c r="P25559" s="3337"/>
    </row>
    <row r="25560" spans="7:16" s="1634" customFormat="1">
      <c r="G25560" s="3336"/>
      <c r="P25560" s="3337"/>
    </row>
    <row r="25561" spans="7:16" s="1634" customFormat="1">
      <c r="G25561" s="3336"/>
      <c r="P25561" s="3337"/>
    </row>
    <row r="25562" spans="7:16" s="1634" customFormat="1">
      <c r="G25562" s="3336"/>
      <c r="P25562" s="3337"/>
    </row>
    <row r="25563" spans="7:16" s="1634" customFormat="1">
      <c r="G25563" s="3336"/>
      <c r="P25563" s="3337"/>
    </row>
    <row r="25564" spans="7:16" s="1634" customFormat="1">
      <c r="G25564" s="3336"/>
      <c r="P25564" s="3337"/>
    </row>
    <row r="25565" spans="7:16" s="1634" customFormat="1">
      <c r="G25565" s="3336"/>
      <c r="P25565" s="3337"/>
    </row>
    <row r="25566" spans="7:16" s="1634" customFormat="1">
      <c r="G25566" s="3336"/>
      <c r="P25566" s="3337"/>
    </row>
    <row r="25567" spans="7:16" s="1634" customFormat="1">
      <c r="G25567" s="3336"/>
      <c r="P25567" s="3337"/>
    </row>
    <row r="25568" spans="7:16" s="1634" customFormat="1">
      <c r="G25568" s="3336"/>
      <c r="P25568" s="3337"/>
    </row>
    <row r="25569" spans="7:16" s="1634" customFormat="1">
      <c r="G25569" s="3336"/>
      <c r="P25569" s="3337"/>
    </row>
    <row r="25570" spans="7:16" s="1634" customFormat="1">
      <c r="G25570" s="3336"/>
      <c r="P25570" s="3337"/>
    </row>
    <row r="25571" spans="7:16" s="1634" customFormat="1">
      <c r="G25571" s="3336"/>
      <c r="P25571" s="3337"/>
    </row>
    <row r="25572" spans="7:16" s="1634" customFormat="1">
      <c r="G25572" s="3336"/>
      <c r="P25572" s="3337"/>
    </row>
    <row r="25573" spans="7:16" s="1634" customFormat="1">
      <c r="G25573" s="3336"/>
      <c r="P25573" s="3337"/>
    </row>
    <row r="25574" spans="7:16" s="1634" customFormat="1">
      <c r="G25574" s="3336"/>
      <c r="P25574" s="3337"/>
    </row>
    <row r="25575" spans="7:16" s="1634" customFormat="1">
      <c r="G25575" s="3336"/>
      <c r="P25575" s="3337"/>
    </row>
    <row r="25576" spans="7:16" s="1634" customFormat="1">
      <c r="G25576" s="3336"/>
      <c r="P25576" s="3337"/>
    </row>
    <row r="25577" spans="7:16" s="1634" customFormat="1">
      <c r="G25577" s="3336"/>
      <c r="P25577" s="3337"/>
    </row>
    <row r="25578" spans="7:16" s="1634" customFormat="1">
      <c r="G25578" s="3336"/>
      <c r="P25578" s="3337"/>
    </row>
    <row r="25579" spans="7:16" s="1634" customFormat="1">
      <c r="G25579" s="3336"/>
      <c r="P25579" s="3337"/>
    </row>
    <row r="25580" spans="7:16" s="1634" customFormat="1">
      <c r="G25580" s="3336"/>
      <c r="P25580" s="3337"/>
    </row>
    <row r="25581" spans="7:16" s="1634" customFormat="1">
      <c r="G25581" s="3336"/>
      <c r="P25581" s="3337"/>
    </row>
    <row r="25582" spans="7:16" s="1634" customFormat="1">
      <c r="G25582" s="3336"/>
      <c r="P25582" s="3337"/>
    </row>
    <row r="25583" spans="7:16" s="1634" customFormat="1">
      <c r="G25583" s="3336"/>
      <c r="P25583" s="3337"/>
    </row>
    <row r="25584" spans="7:16" s="1634" customFormat="1">
      <c r="G25584" s="3336"/>
      <c r="P25584" s="3337"/>
    </row>
    <row r="25585" spans="7:16" s="1634" customFormat="1">
      <c r="G25585" s="3336"/>
      <c r="P25585" s="3337"/>
    </row>
    <row r="25586" spans="7:16" s="1634" customFormat="1">
      <c r="G25586" s="3336"/>
      <c r="P25586" s="3337"/>
    </row>
    <row r="25587" spans="7:16" s="1634" customFormat="1">
      <c r="G25587" s="3336"/>
      <c r="P25587" s="3337"/>
    </row>
    <row r="25588" spans="7:16" s="1634" customFormat="1">
      <c r="G25588" s="3336"/>
      <c r="P25588" s="3337"/>
    </row>
    <row r="25589" spans="7:16" s="1634" customFormat="1">
      <c r="G25589" s="3336"/>
      <c r="P25589" s="3337"/>
    </row>
    <row r="25590" spans="7:16" s="1634" customFormat="1">
      <c r="G25590" s="3336"/>
      <c r="P25590" s="3337"/>
    </row>
    <row r="25591" spans="7:16" s="1634" customFormat="1">
      <c r="G25591" s="3336"/>
      <c r="P25591" s="3337"/>
    </row>
    <row r="25592" spans="7:16" s="1634" customFormat="1">
      <c r="G25592" s="3336"/>
      <c r="P25592" s="3337"/>
    </row>
    <row r="25593" spans="7:16" s="1634" customFormat="1">
      <c r="G25593" s="3336"/>
      <c r="P25593" s="3337"/>
    </row>
    <row r="25594" spans="7:16" s="1634" customFormat="1">
      <c r="G25594" s="3336"/>
      <c r="P25594" s="3337"/>
    </row>
    <row r="25595" spans="7:16" s="1634" customFormat="1">
      <c r="G25595" s="3336"/>
      <c r="P25595" s="3337"/>
    </row>
    <row r="25596" spans="7:16" s="1634" customFormat="1">
      <c r="G25596" s="3336"/>
      <c r="P25596" s="3337"/>
    </row>
    <row r="25597" spans="7:16" s="1634" customFormat="1">
      <c r="G25597" s="3336"/>
      <c r="P25597" s="3337"/>
    </row>
    <row r="25598" spans="7:16" s="1634" customFormat="1">
      <c r="G25598" s="3336"/>
      <c r="P25598" s="3337"/>
    </row>
    <row r="25599" spans="7:16" s="1634" customFormat="1">
      <c r="G25599" s="3336"/>
      <c r="P25599" s="3337"/>
    </row>
    <row r="25600" spans="7:16" s="1634" customFormat="1">
      <c r="G25600" s="3336"/>
      <c r="P25600" s="3337"/>
    </row>
    <row r="25601" spans="7:16" s="1634" customFormat="1">
      <c r="G25601" s="3336"/>
      <c r="P25601" s="3337"/>
    </row>
    <row r="25602" spans="7:16" s="1634" customFormat="1">
      <c r="G25602" s="3336"/>
      <c r="P25602" s="3337"/>
    </row>
    <row r="25603" spans="7:16" s="1634" customFormat="1">
      <c r="G25603" s="3336"/>
      <c r="P25603" s="3337"/>
    </row>
    <row r="25604" spans="7:16" s="1634" customFormat="1">
      <c r="G25604" s="3336"/>
      <c r="P25604" s="3337"/>
    </row>
    <row r="25605" spans="7:16" s="1634" customFormat="1">
      <c r="G25605" s="3336"/>
      <c r="P25605" s="3337"/>
    </row>
    <row r="25606" spans="7:16" s="1634" customFormat="1">
      <c r="G25606" s="3336"/>
      <c r="P25606" s="3337"/>
    </row>
    <row r="25607" spans="7:16" s="1634" customFormat="1">
      <c r="G25607" s="3336"/>
      <c r="P25607" s="3337"/>
    </row>
    <row r="25608" spans="7:16" s="1634" customFormat="1">
      <c r="G25608" s="3336"/>
      <c r="P25608" s="3337"/>
    </row>
    <row r="25609" spans="7:16" s="1634" customFormat="1">
      <c r="G25609" s="3336"/>
      <c r="P25609" s="3337"/>
    </row>
    <row r="25610" spans="7:16" s="1634" customFormat="1">
      <c r="G25610" s="3336"/>
      <c r="P25610" s="3337"/>
    </row>
    <row r="25611" spans="7:16" s="1634" customFormat="1">
      <c r="G25611" s="3336"/>
      <c r="P25611" s="3337"/>
    </row>
    <row r="25612" spans="7:16" s="1634" customFormat="1">
      <c r="G25612" s="3336"/>
      <c r="P25612" s="3337"/>
    </row>
    <row r="25613" spans="7:16" s="1634" customFormat="1">
      <c r="G25613" s="3336"/>
      <c r="P25613" s="3337"/>
    </row>
    <row r="25614" spans="7:16" s="1634" customFormat="1">
      <c r="G25614" s="3336"/>
      <c r="P25614" s="3337"/>
    </row>
    <row r="25615" spans="7:16" s="1634" customFormat="1">
      <c r="G25615" s="3336"/>
      <c r="P25615" s="3337"/>
    </row>
    <row r="25616" spans="7:16" s="1634" customFormat="1">
      <c r="G25616" s="3336"/>
      <c r="P25616" s="3337"/>
    </row>
    <row r="25617" spans="7:16" s="1634" customFormat="1">
      <c r="G25617" s="3336"/>
      <c r="P25617" s="3337"/>
    </row>
    <row r="25618" spans="7:16" s="1634" customFormat="1">
      <c r="G25618" s="3336"/>
      <c r="P25618" s="3337"/>
    </row>
    <row r="25619" spans="7:16" s="1634" customFormat="1">
      <c r="G25619" s="3336"/>
      <c r="P25619" s="3337"/>
    </row>
    <row r="25620" spans="7:16" s="1634" customFormat="1">
      <c r="G25620" s="3336"/>
      <c r="P25620" s="3337"/>
    </row>
    <row r="25621" spans="7:16" s="1634" customFormat="1">
      <c r="G25621" s="3336"/>
      <c r="P25621" s="3337"/>
    </row>
    <row r="25622" spans="7:16" s="1634" customFormat="1">
      <c r="G25622" s="3336"/>
      <c r="P25622" s="3337"/>
    </row>
    <row r="25623" spans="7:16" s="1634" customFormat="1">
      <c r="G25623" s="3336"/>
      <c r="P25623" s="3337"/>
    </row>
    <row r="25624" spans="7:16" s="1634" customFormat="1">
      <c r="G25624" s="3336"/>
      <c r="P25624" s="3337"/>
    </row>
    <row r="25625" spans="7:16" s="1634" customFormat="1">
      <c r="G25625" s="3336"/>
      <c r="P25625" s="3337"/>
    </row>
    <row r="25626" spans="7:16" s="1634" customFormat="1">
      <c r="G25626" s="3336"/>
      <c r="P25626" s="3337"/>
    </row>
    <row r="25627" spans="7:16" s="1634" customFormat="1">
      <c r="G25627" s="3336"/>
      <c r="P25627" s="3337"/>
    </row>
    <row r="25628" spans="7:16" s="1634" customFormat="1">
      <c r="G25628" s="3336"/>
      <c r="P25628" s="3337"/>
    </row>
    <row r="25629" spans="7:16" s="1634" customFormat="1">
      <c r="G25629" s="3336"/>
      <c r="P25629" s="3337"/>
    </row>
    <row r="25630" spans="7:16" s="1634" customFormat="1">
      <c r="G25630" s="3336"/>
      <c r="P25630" s="3337"/>
    </row>
    <row r="25631" spans="7:16" s="1634" customFormat="1">
      <c r="G25631" s="3336"/>
      <c r="P25631" s="3337"/>
    </row>
    <row r="25632" spans="7:16" s="1634" customFormat="1">
      <c r="G25632" s="3336"/>
      <c r="P25632" s="3337"/>
    </row>
    <row r="25633" spans="7:16" s="1634" customFormat="1">
      <c r="G25633" s="3336"/>
      <c r="P25633" s="3337"/>
    </row>
    <row r="25634" spans="7:16" s="1634" customFormat="1">
      <c r="G25634" s="3336"/>
      <c r="P25634" s="3337"/>
    </row>
    <row r="25635" spans="7:16" s="1634" customFormat="1">
      <c r="G25635" s="3336"/>
      <c r="P25635" s="3337"/>
    </row>
    <row r="25636" spans="7:16" s="1634" customFormat="1">
      <c r="G25636" s="3336"/>
      <c r="P25636" s="3337"/>
    </row>
    <row r="25637" spans="7:16" s="1634" customFormat="1">
      <c r="G25637" s="3336"/>
      <c r="P25637" s="3337"/>
    </row>
    <row r="25638" spans="7:16" s="1634" customFormat="1">
      <c r="G25638" s="3336"/>
      <c r="P25638" s="3337"/>
    </row>
    <row r="25639" spans="7:16" s="1634" customFormat="1">
      <c r="G25639" s="3336"/>
      <c r="P25639" s="3337"/>
    </row>
    <row r="25640" spans="7:16" s="1634" customFormat="1">
      <c r="G25640" s="3336"/>
      <c r="P25640" s="3337"/>
    </row>
    <row r="25641" spans="7:16" s="1634" customFormat="1">
      <c r="G25641" s="3336"/>
      <c r="P25641" s="3337"/>
    </row>
    <row r="25642" spans="7:16" s="1634" customFormat="1">
      <c r="G25642" s="3336"/>
      <c r="P25642" s="3337"/>
    </row>
    <row r="25643" spans="7:16" s="1634" customFormat="1">
      <c r="G25643" s="3336"/>
      <c r="P25643" s="3337"/>
    </row>
    <row r="25644" spans="7:16" s="1634" customFormat="1">
      <c r="G25644" s="3336"/>
      <c r="P25644" s="3337"/>
    </row>
    <row r="25645" spans="7:16" s="1634" customFormat="1">
      <c r="G25645" s="3336"/>
      <c r="P25645" s="3337"/>
    </row>
    <row r="25646" spans="7:16" s="1634" customFormat="1">
      <c r="G25646" s="3336"/>
      <c r="P25646" s="3337"/>
    </row>
    <row r="25647" spans="7:16" s="1634" customFormat="1">
      <c r="G25647" s="3336"/>
      <c r="P25647" s="3337"/>
    </row>
    <row r="25648" spans="7:16" s="1634" customFormat="1">
      <c r="G25648" s="3336"/>
      <c r="P25648" s="3337"/>
    </row>
    <row r="25649" spans="7:16" s="1634" customFormat="1">
      <c r="G25649" s="3336"/>
      <c r="P25649" s="3337"/>
    </row>
    <row r="25650" spans="7:16" s="1634" customFormat="1">
      <c r="G25650" s="3336"/>
      <c r="P25650" s="3337"/>
    </row>
    <row r="25651" spans="7:16" s="1634" customFormat="1">
      <c r="G25651" s="3336"/>
      <c r="P25651" s="3337"/>
    </row>
    <row r="25652" spans="7:16" s="1634" customFormat="1">
      <c r="G25652" s="3336"/>
      <c r="P25652" s="3337"/>
    </row>
    <row r="25653" spans="7:16" s="1634" customFormat="1">
      <c r="G25653" s="3336"/>
      <c r="P25653" s="3337"/>
    </row>
    <row r="25654" spans="7:16" s="1634" customFormat="1">
      <c r="G25654" s="3336"/>
      <c r="P25654" s="3337"/>
    </row>
    <row r="25655" spans="7:16" s="1634" customFormat="1">
      <c r="G25655" s="3336"/>
      <c r="P25655" s="3337"/>
    </row>
    <row r="25656" spans="7:16" s="1634" customFormat="1">
      <c r="G25656" s="3336"/>
      <c r="P25656" s="3337"/>
    </row>
    <row r="25657" spans="7:16" s="1634" customFormat="1">
      <c r="G25657" s="3336"/>
      <c r="P25657" s="3337"/>
    </row>
    <row r="25658" spans="7:16" s="1634" customFormat="1">
      <c r="G25658" s="3336"/>
      <c r="P25658" s="3337"/>
    </row>
    <row r="25659" spans="7:16" s="1634" customFormat="1">
      <c r="G25659" s="3336"/>
      <c r="P25659" s="3337"/>
    </row>
    <row r="25660" spans="7:16" s="1634" customFormat="1">
      <c r="G25660" s="3336"/>
      <c r="P25660" s="3337"/>
    </row>
    <row r="25661" spans="7:16" s="1634" customFormat="1">
      <c r="G25661" s="3336"/>
      <c r="P25661" s="3337"/>
    </row>
    <row r="25662" spans="7:16" s="1634" customFormat="1">
      <c r="G25662" s="3336"/>
      <c r="P25662" s="3337"/>
    </row>
    <row r="25663" spans="7:16" s="1634" customFormat="1">
      <c r="G25663" s="3336"/>
      <c r="P25663" s="3337"/>
    </row>
    <row r="25664" spans="7:16" s="1634" customFormat="1">
      <c r="G25664" s="3336"/>
      <c r="P25664" s="3337"/>
    </row>
    <row r="25665" spans="7:16" s="1634" customFormat="1">
      <c r="G25665" s="3336"/>
      <c r="P25665" s="3337"/>
    </row>
    <row r="25666" spans="7:16" s="1634" customFormat="1">
      <c r="G25666" s="3336"/>
      <c r="P25666" s="3337"/>
    </row>
    <row r="25667" spans="7:16" s="1634" customFormat="1">
      <c r="G25667" s="3336"/>
      <c r="P25667" s="3337"/>
    </row>
    <row r="25668" spans="7:16" s="1634" customFormat="1">
      <c r="G25668" s="3336"/>
      <c r="P25668" s="3337"/>
    </row>
    <row r="25669" spans="7:16" s="1634" customFormat="1">
      <c r="G25669" s="3336"/>
      <c r="P25669" s="3337"/>
    </row>
    <row r="25670" spans="7:16" s="1634" customFormat="1">
      <c r="G25670" s="3336"/>
      <c r="P25670" s="3337"/>
    </row>
    <row r="25671" spans="7:16" s="1634" customFormat="1">
      <c r="G25671" s="3336"/>
      <c r="P25671" s="3337"/>
    </row>
    <row r="25672" spans="7:16" s="1634" customFormat="1">
      <c r="G25672" s="3336"/>
      <c r="P25672" s="3337"/>
    </row>
    <row r="25673" spans="7:16" s="1634" customFormat="1">
      <c r="G25673" s="3336"/>
      <c r="P25673" s="3337"/>
    </row>
    <row r="25674" spans="7:16" s="1634" customFormat="1">
      <c r="G25674" s="3336"/>
      <c r="P25674" s="3337"/>
    </row>
    <row r="25675" spans="7:16" s="1634" customFormat="1">
      <c r="G25675" s="3336"/>
      <c r="P25675" s="3337"/>
    </row>
    <row r="25676" spans="7:16" s="1634" customFormat="1">
      <c r="G25676" s="3336"/>
      <c r="P25676" s="3337"/>
    </row>
    <row r="25677" spans="7:16" s="1634" customFormat="1">
      <c r="G25677" s="3336"/>
      <c r="P25677" s="3337"/>
    </row>
    <row r="25678" spans="7:16" s="1634" customFormat="1">
      <c r="G25678" s="3336"/>
      <c r="P25678" s="3337"/>
    </row>
    <row r="25679" spans="7:16" s="1634" customFormat="1">
      <c r="G25679" s="3336"/>
      <c r="P25679" s="3337"/>
    </row>
    <row r="25680" spans="7:16" s="1634" customFormat="1">
      <c r="G25680" s="3336"/>
      <c r="P25680" s="3337"/>
    </row>
    <row r="25681" spans="7:16" s="1634" customFormat="1">
      <c r="G25681" s="3336"/>
      <c r="P25681" s="3337"/>
    </row>
    <row r="25682" spans="7:16" s="1634" customFormat="1">
      <c r="G25682" s="3336"/>
      <c r="P25682" s="3337"/>
    </row>
    <row r="25683" spans="7:16" s="1634" customFormat="1">
      <c r="G25683" s="3336"/>
      <c r="P25683" s="3337"/>
    </row>
    <row r="25684" spans="7:16" s="1634" customFormat="1">
      <c r="G25684" s="3336"/>
      <c r="P25684" s="3337"/>
    </row>
    <row r="25685" spans="7:16" s="1634" customFormat="1">
      <c r="G25685" s="3336"/>
      <c r="P25685" s="3337"/>
    </row>
    <row r="25686" spans="7:16" s="1634" customFormat="1">
      <c r="G25686" s="3336"/>
      <c r="P25686" s="3337"/>
    </row>
    <row r="25687" spans="7:16" s="1634" customFormat="1">
      <c r="G25687" s="3336"/>
      <c r="P25687" s="3337"/>
    </row>
    <row r="25688" spans="7:16" s="1634" customFormat="1">
      <c r="G25688" s="3336"/>
      <c r="P25688" s="3337"/>
    </row>
    <row r="25689" spans="7:16" s="1634" customFormat="1">
      <c r="G25689" s="3336"/>
      <c r="P25689" s="3337"/>
    </row>
    <row r="25690" spans="7:16" s="1634" customFormat="1">
      <c r="G25690" s="3336"/>
      <c r="P25690" s="3337"/>
    </row>
    <row r="25691" spans="7:16" s="1634" customFormat="1">
      <c r="G25691" s="3336"/>
      <c r="P25691" s="3337"/>
    </row>
    <row r="25692" spans="7:16" s="1634" customFormat="1">
      <c r="G25692" s="3336"/>
      <c r="P25692" s="3337"/>
    </row>
    <row r="25693" spans="7:16" s="1634" customFormat="1">
      <c r="G25693" s="3336"/>
      <c r="P25693" s="3337"/>
    </row>
    <row r="25694" spans="7:16" s="1634" customFormat="1">
      <c r="G25694" s="3336"/>
      <c r="P25694" s="3337"/>
    </row>
    <row r="25695" spans="7:16" s="1634" customFormat="1">
      <c r="G25695" s="3336"/>
      <c r="P25695" s="3337"/>
    </row>
    <row r="25696" spans="7:16" s="1634" customFormat="1">
      <c r="G25696" s="3336"/>
      <c r="P25696" s="3337"/>
    </row>
    <row r="25697" spans="7:16" s="1634" customFormat="1">
      <c r="G25697" s="3336"/>
      <c r="P25697" s="3337"/>
    </row>
    <row r="25698" spans="7:16" s="1634" customFormat="1">
      <c r="G25698" s="3336"/>
      <c r="P25698" s="3337"/>
    </row>
    <row r="25699" spans="7:16" s="1634" customFormat="1">
      <c r="G25699" s="3336"/>
      <c r="P25699" s="3337"/>
    </row>
    <row r="25700" spans="7:16" s="1634" customFormat="1">
      <c r="G25700" s="3336"/>
      <c r="P25700" s="3337"/>
    </row>
    <row r="25701" spans="7:16" s="1634" customFormat="1">
      <c r="G25701" s="3336"/>
      <c r="P25701" s="3337"/>
    </row>
    <row r="25702" spans="7:16" s="1634" customFormat="1">
      <c r="G25702" s="3336"/>
      <c r="P25702" s="3337"/>
    </row>
    <row r="25703" spans="7:16" s="1634" customFormat="1">
      <c r="G25703" s="3336"/>
      <c r="P25703" s="3337"/>
    </row>
    <row r="25704" spans="7:16" s="1634" customFormat="1">
      <c r="G25704" s="3336"/>
      <c r="P25704" s="3337"/>
    </row>
    <row r="25705" spans="7:16" s="1634" customFormat="1">
      <c r="G25705" s="3336"/>
      <c r="P25705" s="3337"/>
    </row>
    <row r="25706" spans="7:16" s="1634" customFormat="1">
      <c r="G25706" s="3336"/>
      <c r="P25706" s="3337"/>
    </row>
    <row r="25707" spans="7:16" s="1634" customFormat="1">
      <c r="G25707" s="3336"/>
      <c r="P25707" s="3337"/>
    </row>
    <row r="25708" spans="7:16" s="1634" customFormat="1">
      <c r="G25708" s="3336"/>
      <c r="P25708" s="3337"/>
    </row>
    <row r="25709" spans="7:16" s="1634" customFormat="1">
      <c r="G25709" s="3336"/>
      <c r="P25709" s="3337"/>
    </row>
    <row r="25710" spans="7:16" s="1634" customFormat="1">
      <c r="G25710" s="3336"/>
      <c r="P25710" s="3337"/>
    </row>
    <row r="25711" spans="7:16" s="1634" customFormat="1">
      <c r="G25711" s="3336"/>
      <c r="P25711" s="3337"/>
    </row>
    <row r="25712" spans="7:16" s="1634" customFormat="1">
      <c r="G25712" s="3336"/>
      <c r="P25712" s="3337"/>
    </row>
    <row r="25713" spans="7:16" s="1634" customFormat="1">
      <c r="G25713" s="3336"/>
      <c r="P25713" s="3337"/>
    </row>
    <row r="25714" spans="7:16" s="1634" customFormat="1">
      <c r="G25714" s="3336"/>
      <c r="P25714" s="3337"/>
    </row>
    <row r="25715" spans="7:16" s="1634" customFormat="1">
      <c r="G25715" s="3336"/>
      <c r="P25715" s="3337"/>
    </row>
    <row r="25716" spans="7:16" s="1634" customFormat="1">
      <c r="G25716" s="3336"/>
      <c r="P25716" s="3337"/>
    </row>
    <row r="25717" spans="7:16" s="1634" customFormat="1">
      <c r="G25717" s="3336"/>
      <c r="P25717" s="3337"/>
    </row>
    <row r="25718" spans="7:16" s="1634" customFormat="1">
      <c r="G25718" s="3336"/>
      <c r="P25718" s="3337"/>
    </row>
    <row r="25719" spans="7:16" s="1634" customFormat="1">
      <c r="G25719" s="3336"/>
      <c r="P25719" s="3337"/>
    </row>
    <row r="25720" spans="7:16" s="1634" customFormat="1">
      <c r="G25720" s="3336"/>
      <c r="P25720" s="3337"/>
    </row>
    <row r="25721" spans="7:16" s="1634" customFormat="1">
      <c r="G25721" s="3336"/>
      <c r="P25721" s="3337"/>
    </row>
    <row r="25722" spans="7:16" s="1634" customFormat="1">
      <c r="G25722" s="3336"/>
      <c r="P25722" s="3337"/>
    </row>
    <row r="25723" spans="7:16" s="1634" customFormat="1">
      <c r="G25723" s="3336"/>
      <c r="P25723" s="3337"/>
    </row>
    <row r="25724" spans="7:16" s="1634" customFormat="1">
      <c r="G25724" s="3336"/>
      <c r="P25724" s="3337"/>
    </row>
    <row r="25725" spans="7:16" s="1634" customFormat="1">
      <c r="G25725" s="3336"/>
      <c r="P25725" s="3337"/>
    </row>
    <row r="25726" spans="7:16" s="1634" customFormat="1">
      <c r="G25726" s="3336"/>
      <c r="P25726" s="3337"/>
    </row>
    <row r="25727" spans="7:16" s="1634" customFormat="1">
      <c r="G25727" s="3336"/>
      <c r="P25727" s="3337"/>
    </row>
    <row r="25728" spans="7:16" s="1634" customFormat="1">
      <c r="G25728" s="3336"/>
      <c r="P25728" s="3337"/>
    </row>
    <row r="25729" spans="7:16" s="1634" customFormat="1">
      <c r="G25729" s="3336"/>
      <c r="P25729" s="3337"/>
    </row>
    <row r="25730" spans="7:16" s="1634" customFormat="1">
      <c r="G25730" s="3336"/>
      <c r="P25730" s="3337"/>
    </row>
    <row r="25731" spans="7:16" s="1634" customFormat="1">
      <c r="G25731" s="3336"/>
      <c r="P25731" s="3337"/>
    </row>
    <row r="25732" spans="7:16" s="1634" customFormat="1">
      <c r="G25732" s="3336"/>
      <c r="P25732" s="3337"/>
    </row>
    <row r="25733" spans="7:16" s="1634" customFormat="1">
      <c r="G25733" s="3336"/>
      <c r="P25733" s="3337"/>
    </row>
    <row r="25734" spans="7:16" s="1634" customFormat="1">
      <c r="G25734" s="3336"/>
      <c r="P25734" s="3337"/>
    </row>
    <row r="25735" spans="7:16" s="1634" customFormat="1">
      <c r="G25735" s="3336"/>
      <c r="P25735" s="3337"/>
    </row>
    <row r="25736" spans="7:16" s="1634" customFormat="1">
      <c r="G25736" s="3336"/>
      <c r="P25736" s="3337"/>
    </row>
    <row r="25737" spans="7:16" s="1634" customFormat="1">
      <c r="G25737" s="3336"/>
      <c r="P25737" s="3337"/>
    </row>
    <row r="25738" spans="7:16" s="1634" customFormat="1">
      <c r="G25738" s="3336"/>
      <c r="P25738" s="3337"/>
    </row>
    <row r="25739" spans="7:16" s="1634" customFormat="1">
      <c r="G25739" s="3336"/>
      <c r="P25739" s="3337"/>
    </row>
    <row r="25740" spans="7:16" s="1634" customFormat="1">
      <c r="G25740" s="3336"/>
      <c r="P25740" s="3337"/>
    </row>
    <row r="25741" spans="7:16" s="1634" customFormat="1">
      <c r="G25741" s="3336"/>
      <c r="P25741" s="3337"/>
    </row>
    <row r="25742" spans="7:16" s="1634" customFormat="1">
      <c r="G25742" s="3336"/>
      <c r="P25742" s="3337"/>
    </row>
    <row r="25743" spans="7:16" s="1634" customFormat="1">
      <c r="G25743" s="3336"/>
      <c r="P25743" s="3337"/>
    </row>
    <row r="25744" spans="7:16" s="1634" customFormat="1">
      <c r="G25744" s="3336"/>
      <c r="P25744" s="3337"/>
    </row>
    <row r="25745" spans="7:16" s="1634" customFormat="1">
      <c r="G25745" s="3336"/>
      <c r="P25745" s="3337"/>
    </row>
    <row r="25746" spans="7:16" s="1634" customFormat="1">
      <c r="G25746" s="3336"/>
      <c r="P25746" s="3337"/>
    </row>
    <row r="25747" spans="7:16" s="1634" customFormat="1">
      <c r="G25747" s="3336"/>
      <c r="P25747" s="3337"/>
    </row>
    <row r="25748" spans="7:16" s="1634" customFormat="1">
      <c r="G25748" s="3336"/>
      <c r="P25748" s="3337"/>
    </row>
    <row r="25749" spans="7:16" s="1634" customFormat="1">
      <c r="G25749" s="3336"/>
      <c r="P25749" s="3337"/>
    </row>
    <row r="25750" spans="7:16" s="1634" customFormat="1">
      <c r="G25750" s="3336"/>
      <c r="P25750" s="3337"/>
    </row>
    <row r="25751" spans="7:16" s="1634" customFormat="1">
      <c r="G25751" s="3336"/>
      <c r="P25751" s="3337"/>
    </row>
    <row r="25752" spans="7:16" s="1634" customFormat="1">
      <c r="G25752" s="3336"/>
      <c r="P25752" s="3337"/>
    </row>
    <row r="25753" spans="7:16" s="1634" customFormat="1">
      <c r="G25753" s="3336"/>
      <c r="P25753" s="3337"/>
    </row>
    <row r="25754" spans="7:16" s="1634" customFormat="1">
      <c r="G25754" s="3336"/>
      <c r="P25754" s="3337"/>
    </row>
    <row r="25755" spans="7:16" s="1634" customFormat="1">
      <c r="G25755" s="3336"/>
      <c r="P25755" s="3337"/>
    </row>
    <row r="25756" spans="7:16" s="1634" customFormat="1">
      <c r="G25756" s="3336"/>
      <c r="P25756" s="3337"/>
    </row>
    <row r="25757" spans="7:16" s="1634" customFormat="1">
      <c r="G25757" s="3336"/>
      <c r="P25757" s="3337"/>
    </row>
    <row r="25758" spans="7:16" s="1634" customFormat="1">
      <c r="G25758" s="3336"/>
      <c r="P25758" s="3337"/>
    </row>
    <row r="25759" spans="7:16" s="1634" customFormat="1">
      <c r="G25759" s="3336"/>
      <c r="P25759" s="3337"/>
    </row>
    <row r="25760" spans="7:16" s="1634" customFormat="1">
      <c r="G25760" s="3336"/>
      <c r="P25760" s="3337"/>
    </row>
    <row r="25761" spans="7:16" s="1634" customFormat="1">
      <c r="G25761" s="3336"/>
      <c r="P25761" s="3337"/>
    </row>
    <row r="25762" spans="7:16" s="1634" customFormat="1">
      <c r="G25762" s="3336"/>
      <c r="P25762" s="3337"/>
    </row>
    <row r="25763" spans="7:16" s="1634" customFormat="1">
      <c r="G25763" s="3336"/>
      <c r="P25763" s="3337"/>
    </row>
    <row r="25764" spans="7:16" s="1634" customFormat="1">
      <c r="G25764" s="3336"/>
      <c r="P25764" s="3337"/>
    </row>
    <row r="25765" spans="7:16" s="1634" customFormat="1">
      <c r="G25765" s="3336"/>
      <c r="P25765" s="3337"/>
    </row>
    <row r="25766" spans="7:16" s="1634" customFormat="1">
      <c r="G25766" s="3336"/>
      <c r="P25766" s="3337"/>
    </row>
    <row r="25767" spans="7:16" s="1634" customFormat="1">
      <c r="G25767" s="3336"/>
      <c r="P25767" s="3337"/>
    </row>
    <row r="25768" spans="7:16" s="1634" customFormat="1">
      <c r="G25768" s="3336"/>
      <c r="P25768" s="3337"/>
    </row>
    <row r="25769" spans="7:16" s="1634" customFormat="1">
      <c r="G25769" s="3336"/>
      <c r="P25769" s="3337"/>
    </row>
    <row r="25770" spans="7:16" s="1634" customFormat="1">
      <c r="G25770" s="3336"/>
      <c r="P25770" s="3337"/>
    </row>
    <row r="25771" spans="7:16" s="1634" customFormat="1">
      <c r="G25771" s="3336"/>
      <c r="P25771" s="3337"/>
    </row>
    <row r="25772" spans="7:16" s="1634" customFormat="1">
      <c r="G25772" s="3336"/>
      <c r="P25772" s="3337"/>
    </row>
    <row r="25773" spans="7:16" s="1634" customFormat="1">
      <c r="G25773" s="3336"/>
      <c r="P25773" s="3337"/>
    </row>
    <row r="25774" spans="7:16" s="1634" customFormat="1">
      <c r="G25774" s="3336"/>
      <c r="P25774" s="3337"/>
    </row>
    <row r="25775" spans="7:16" s="1634" customFormat="1">
      <c r="G25775" s="3336"/>
      <c r="P25775" s="3337"/>
    </row>
    <row r="25776" spans="7:16" s="1634" customFormat="1">
      <c r="G25776" s="3336"/>
      <c r="P25776" s="3337"/>
    </row>
    <row r="25777" spans="7:16" s="1634" customFormat="1">
      <c r="G25777" s="3336"/>
      <c r="P25777" s="3337"/>
    </row>
    <row r="25778" spans="7:16" s="1634" customFormat="1">
      <c r="G25778" s="3336"/>
      <c r="P25778" s="3337"/>
    </row>
    <row r="25779" spans="7:16" s="1634" customFormat="1">
      <c r="G25779" s="3336"/>
      <c r="P25779" s="3337"/>
    </row>
    <row r="25780" spans="7:16" s="1634" customFormat="1">
      <c r="G25780" s="3336"/>
      <c r="P25780" s="3337"/>
    </row>
    <row r="25781" spans="7:16" s="1634" customFormat="1">
      <c r="G25781" s="3336"/>
      <c r="P25781" s="3337"/>
    </row>
    <row r="25782" spans="7:16" s="1634" customFormat="1">
      <c r="G25782" s="3336"/>
      <c r="P25782" s="3337"/>
    </row>
    <row r="25783" spans="7:16" s="1634" customFormat="1">
      <c r="G25783" s="3336"/>
      <c r="P25783" s="3337"/>
    </row>
    <row r="25784" spans="7:16" s="1634" customFormat="1">
      <c r="G25784" s="3336"/>
      <c r="P25784" s="3337"/>
    </row>
    <row r="25785" spans="7:16" s="1634" customFormat="1">
      <c r="G25785" s="3336"/>
      <c r="P25785" s="3337"/>
    </row>
    <row r="25786" spans="7:16" s="1634" customFormat="1">
      <c r="G25786" s="3336"/>
      <c r="P25786" s="3337"/>
    </row>
    <row r="25787" spans="7:16" s="1634" customFormat="1">
      <c r="G25787" s="3336"/>
      <c r="P25787" s="3337"/>
    </row>
    <row r="25788" spans="7:16" s="1634" customFormat="1">
      <c r="G25788" s="3336"/>
      <c r="P25788" s="3337"/>
    </row>
    <row r="25789" spans="7:16" s="1634" customFormat="1">
      <c r="G25789" s="3336"/>
      <c r="P25789" s="3337"/>
    </row>
    <row r="25790" spans="7:16" s="1634" customFormat="1">
      <c r="G25790" s="3336"/>
      <c r="P25790" s="3337"/>
    </row>
    <row r="25791" spans="7:16" s="1634" customFormat="1">
      <c r="G25791" s="3336"/>
      <c r="P25791" s="3337"/>
    </row>
    <row r="25792" spans="7:16" s="1634" customFormat="1">
      <c r="G25792" s="3336"/>
      <c r="P25792" s="3337"/>
    </row>
    <row r="25793" spans="7:16" s="1634" customFormat="1">
      <c r="G25793" s="3336"/>
      <c r="P25793" s="3337"/>
    </row>
    <row r="25794" spans="7:16" s="1634" customFormat="1">
      <c r="G25794" s="3336"/>
      <c r="P25794" s="3337"/>
    </row>
    <row r="25795" spans="7:16" s="1634" customFormat="1">
      <c r="G25795" s="3336"/>
      <c r="P25795" s="3337"/>
    </row>
    <row r="25796" spans="7:16" s="1634" customFormat="1">
      <c r="G25796" s="3336"/>
      <c r="P25796" s="3337"/>
    </row>
    <row r="25797" spans="7:16" s="1634" customFormat="1">
      <c r="G25797" s="3336"/>
      <c r="P25797" s="3337"/>
    </row>
    <row r="25798" spans="7:16" s="1634" customFormat="1">
      <c r="G25798" s="3336"/>
      <c r="P25798" s="3337"/>
    </row>
    <row r="25799" spans="7:16" s="1634" customFormat="1">
      <c r="G25799" s="3336"/>
      <c r="P25799" s="3337"/>
    </row>
    <row r="25800" spans="7:16" s="1634" customFormat="1">
      <c r="G25800" s="3336"/>
      <c r="P25800" s="3337"/>
    </row>
    <row r="25801" spans="7:16" s="1634" customFormat="1">
      <c r="G25801" s="3336"/>
      <c r="P25801" s="3337"/>
    </row>
    <row r="25802" spans="7:16" s="1634" customFormat="1">
      <c r="G25802" s="3336"/>
      <c r="P25802" s="3337"/>
    </row>
    <row r="25803" spans="7:16" s="1634" customFormat="1">
      <c r="G25803" s="3336"/>
      <c r="P25803" s="3337"/>
    </row>
    <row r="25804" spans="7:16" s="1634" customFormat="1">
      <c r="G25804" s="3336"/>
      <c r="P25804" s="3337"/>
    </row>
    <row r="25805" spans="7:16" s="1634" customFormat="1">
      <c r="G25805" s="3336"/>
      <c r="P25805" s="3337"/>
    </row>
    <row r="25806" spans="7:16" s="1634" customFormat="1">
      <c r="G25806" s="3336"/>
      <c r="P25806" s="3337"/>
    </row>
    <row r="25807" spans="7:16" s="1634" customFormat="1">
      <c r="G25807" s="3336"/>
      <c r="P25807" s="3337"/>
    </row>
    <row r="25808" spans="7:16" s="1634" customFormat="1">
      <c r="G25808" s="3336"/>
      <c r="P25808" s="3337"/>
    </row>
    <row r="25809" spans="7:16" s="1634" customFormat="1">
      <c r="G25809" s="3336"/>
      <c r="P25809" s="3337"/>
    </row>
    <row r="25810" spans="7:16" s="1634" customFormat="1">
      <c r="G25810" s="3336"/>
      <c r="P25810" s="3337"/>
    </row>
    <row r="25811" spans="7:16" s="1634" customFormat="1">
      <c r="G25811" s="3336"/>
      <c r="P25811" s="3337"/>
    </row>
    <row r="25812" spans="7:16" s="1634" customFormat="1">
      <c r="G25812" s="3336"/>
      <c r="P25812" s="3337"/>
    </row>
    <row r="25813" spans="7:16" s="1634" customFormat="1">
      <c r="G25813" s="3336"/>
      <c r="P25813" s="3337"/>
    </row>
    <row r="25814" spans="7:16" s="1634" customFormat="1">
      <c r="G25814" s="3336"/>
      <c r="P25814" s="3337"/>
    </row>
    <row r="25815" spans="7:16" s="1634" customFormat="1">
      <c r="G25815" s="3336"/>
      <c r="P25815" s="3337"/>
    </row>
    <row r="25816" spans="7:16" s="1634" customFormat="1">
      <c r="G25816" s="3336"/>
      <c r="P25816" s="3337"/>
    </row>
    <row r="25817" spans="7:16" s="1634" customFormat="1">
      <c r="G25817" s="3336"/>
      <c r="P25817" s="3337"/>
    </row>
    <row r="25818" spans="7:16" s="1634" customFormat="1">
      <c r="G25818" s="3336"/>
      <c r="P25818" s="3337"/>
    </row>
    <row r="25819" spans="7:16" s="1634" customFormat="1">
      <c r="G25819" s="3336"/>
      <c r="P25819" s="3337"/>
    </row>
    <row r="25820" spans="7:16" s="1634" customFormat="1">
      <c r="G25820" s="3336"/>
      <c r="P25820" s="3337"/>
    </row>
    <row r="25821" spans="7:16" s="1634" customFormat="1">
      <c r="G25821" s="3336"/>
      <c r="P25821" s="3337"/>
    </row>
    <row r="25822" spans="7:16" s="1634" customFormat="1">
      <c r="G25822" s="3336"/>
      <c r="P25822" s="3337"/>
    </row>
    <row r="25823" spans="7:16" s="1634" customFormat="1">
      <c r="G25823" s="3336"/>
      <c r="P25823" s="3337"/>
    </row>
    <row r="25824" spans="7:16" s="1634" customFormat="1">
      <c r="G25824" s="3336"/>
      <c r="P25824" s="3337"/>
    </row>
    <row r="25825" spans="7:16" s="1634" customFormat="1">
      <c r="G25825" s="3336"/>
      <c r="P25825" s="3337"/>
    </row>
    <row r="25826" spans="7:16" s="1634" customFormat="1">
      <c r="G25826" s="3336"/>
      <c r="P25826" s="3337"/>
    </row>
    <row r="25827" spans="7:16" s="1634" customFormat="1">
      <c r="G25827" s="3336"/>
      <c r="P25827" s="3337"/>
    </row>
    <row r="25828" spans="7:16" s="1634" customFormat="1">
      <c r="G25828" s="3336"/>
      <c r="P25828" s="3337"/>
    </row>
    <row r="25829" spans="7:16" s="1634" customFormat="1">
      <c r="G25829" s="3336"/>
      <c r="P25829" s="3337"/>
    </row>
    <row r="25830" spans="7:16" s="1634" customFormat="1">
      <c r="G25830" s="3336"/>
      <c r="P25830" s="3337"/>
    </row>
    <row r="25831" spans="7:16" s="1634" customFormat="1">
      <c r="G25831" s="3336"/>
      <c r="P25831" s="3337"/>
    </row>
    <row r="25832" spans="7:16" s="1634" customFormat="1">
      <c r="G25832" s="3336"/>
      <c r="P25832" s="3337"/>
    </row>
    <row r="25833" spans="7:16" s="1634" customFormat="1">
      <c r="G25833" s="3336"/>
      <c r="P25833" s="3337"/>
    </row>
    <row r="25834" spans="7:16" s="1634" customFormat="1">
      <c r="G25834" s="3336"/>
      <c r="P25834" s="3337"/>
    </row>
    <row r="25835" spans="7:16" s="1634" customFormat="1">
      <c r="G25835" s="3336"/>
      <c r="P25835" s="3337"/>
    </row>
    <row r="25836" spans="7:16" s="1634" customFormat="1">
      <c r="G25836" s="3336"/>
      <c r="P25836" s="3337"/>
    </row>
    <row r="25837" spans="7:16" s="1634" customFormat="1">
      <c r="G25837" s="3336"/>
      <c r="P25837" s="3337"/>
    </row>
    <row r="25838" spans="7:16" s="1634" customFormat="1">
      <c r="G25838" s="3336"/>
      <c r="P25838" s="3337"/>
    </row>
    <row r="25839" spans="7:16" s="1634" customFormat="1">
      <c r="G25839" s="3336"/>
      <c r="P25839" s="3337"/>
    </row>
    <row r="25840" spans="7:16" s="1634" customFormat="1">
      <c r="G25840" s="3336"/>
      <c r="P25840" s="3337"/>
    </row>
    <row r="25841" spans="7:16" s="1634" customFormat="1">
      <c r="G25841" s="3336"/>
      <c r="P25841" s="3337"/>
    </row>
    <row r="25842" spans="7:16" s="1634" customFormat="1">
      <c r="G25842" s="3336"/>
      <c r="P25842" s="3337"/>
    </row>
    <row r="25843" spans="7:16" s="1634" customFormat="1">
      <c r="G25843" s="3336"/>
      <c r="P25843" s="3337"/>
    </row>
    <row r="25844" spans="7:16" s="1634" customFormat="1">
      <c r="G25844" s="3336"/>
      <c r="P25844" s="3337"/>
    </row>
    <row r="25845" spans="7:16" s="1634" customFormat="1">
      <c r="G25845" s="3336"/>
      <c r="P25845" s="3337"/>
    </row>
    <row r="25846" spans="7:16" s="1634" customFormat="1">
      <c r="G25846" s="3336"/>
      <c r="P25846" s="3337"/>
    </row>
    <row r="25847" spans="7:16" s="1634" customFormat="1">
      <c r="G25847" s="3336"/>
      <c r="P25847" s="3337"/>
    </row>
    <row r="25848" spans="7:16" s="1634" customFormat="1">
      <c r="G25848" s="3336"/>
      <c r="P25848" s="3337"/>
    </row>
    <row r="25849" spans="7:16" s="1634" customFormat="1">
      <c r="G25849" s="3336"/>
      <c r="P25849" s="3337"/>
    </row>
    <row r="25850" spans="7:16" s="1634" customFormat="1">
      <c r="G25850" s="3336"/>
      <c r="P25850" s="3337"/>
    </row>
    <row r="25851" spans="7:16" s="1634" customFormat="1">
      <c r="G25851" s="3336"/>
      <c r="P25851" s="3337"/>
    </row>
    <row r="25852" spans="7:16" s="1634" customFormat="1">
      <c r="G25852" s="3336"/>
      <c r="P25852" s="3337"/>
    </row>
    <row r="25853" spans="7:16" s="1634" customFormat="1">
      <c r="G25853" s="3336"/>
      <c r="P25853" s="3337"/>
    </row>
    <row r="25854" spans="7:16" s="1634" customFormat="1">
      <c r="G25854" s="3336"/>
      <c r="P25854" s="3337"/>
    </row>
    <row r="25855" spans="7:16" s="1634" customFormat="1">
      <c r="G25855" s="3336"/>
      <c r="P25855" s="3337"/>
    </row>
    <row r="25856" spans="7:16" s="1634" customFormat="1">
      <c r="G25856" s="3336"/>
      <c r="P25856" s="3337"/>
    </row>
    <row r="25857" spans="7:16" s="1634" customFormat="1">
      <c r="G25857" s="3336"/>
      <c r="P25857" s="3337"/>
    </row>
    <row r="25858" spans="7:16" s="1634" customFormat="1">
      <c r="G25858" s="3336"/>
      <c r="P25858" s="3337"/>
    </row>
    <row r="25859" spans="7:16" s="1634" customFormat="1">
      <c r="G25859" s="3336"/>
      <c r="P25859" s="3337"/>
    </row>
    <row r="25860" spans="7:16" s="1634" customFormat="1">
      <c r="G25860" s="3336"/>
      <c r="P25860" s="3337"/>
    </row>
    <row r="25861" spans="7:16" s="1634" customFormat="1">
      <c r="G25861" s="3336"/>
      <c r="P25861" s="3337"/>
    </row>
    <row r="25862" spans="7:16" s="1634" customFormat="1">
      <c r="G25862" s="3336"/>
      <c r="P25862" s="3337"/>
    </row>
    <row r="25863" spans="7:16" s="1634" customFormat="1">
      <c r="G25863" s="3336"/>
      <c r="P25863" s="3337"/>
    </row>
    <row r="25864" spans="7:16" s="1634" customFormat="1">
      <c r="G25864" s="3336"/>
      <c r="P25864" s="3337"/>
    </row>
    <row r="25865" spans="7:16" s="1634" customFormat="1">
      <c r="G25865" s="3336"/>
      <c r="P25865" s="3337"/>
    </row>
    <row r="25866" spans="7:16" s="1634" customFormat="1">
      <c r="G25866" s="3336"/>
      <c r="P25866" s="3337"/>
    </row>
    <row r="25867" spans="7:16" s="1634" customFormat="1">
      <c r="G25867" s="3336"/>
      <c r="P25867" s="3337"/>
    </row>
    <row r="25868" spans="7:16" s="1634" customFormat="1">
      <c r="G25868" s="3336"/>
      <c r="P25868" s="3337"/>
    </row>
    <row r="25869" spans="7:16" s="1634" customFormat="1">
      <c r="G25869" s="3336"/>
      <c r="P25869" s="3337"/>
    </row>
    <row r="25870" spans="7:16" s="1634" customFormat="1">
      <c r="G25870" s="3336"/>
      <c r="P25870" s="3337"/>
    </row>
    <row r="25871" spans="7:16" s="1634" customFormat="1">
      <c r="G25871" s="3336"/>
      <c r="P25871" s="3337"/>
    </row>
    <row r="25872" spans="7:16" s="1634" customFormat="1">
      <c r="G25872" s="3336"/>
      <c r="P25872" s="3337"/>
    </row>
    <row r="25873" spans="7:16" s="1634" customFormat="1">
      <c r="G25873" s="3336"/>
      <c r="P25873" s="3337"/>
    </row>
    <row r="25874" spans="7:16" s="1634" customFormat="1">
      <c r="G25874" s="3336"/>
      <c r="P25874" s="3337"/>
    </row>
    <row r="25875" spans="7:16" s="1634" customFormat="1">
      <c r="G25875" s="3336"/>
      <c r="P25875" s="3337"/>
    </row>
    <row r="25876" spans="7:16" s="1634" customFormat="1">
      <c r="G25876" s="3336"/>
      <c r="P25876" s="3337"/>
    </row>
    <row r="25877" spans="7:16" s="1634" customFormat="1">
      <c r="G25877" s="3336"/>
      <c r="P25877" s="3337"/>
    </row>
    <row r="25878" spans="7:16" s="1634" customFormat="1">
      <c r="G25878" s="3336"/>
      <c r="P25878" s="3337"/>
    </row>
    <row r="25879" spans="7:16" s="1634" customFormat="1">
      <c r="G25879" s="3336"/>
      <c r="P25879" s="3337"/>
    </row>
    <row r="25880" spans="7:16" s="1634" customFormat="1">
      <c r="G25880" s="3336"/>
      <c r="P25880" s="3337"/>
    </row>
    <row r="25881" spans="7:16" s="1634" customFormat="1">
      <c r="G25881" s="3336"/>
      <c r="P25881" s="3337"/>
    </row>
    <row r="25882" spans="7:16" s="1634" customFormat="1">
      <c r="G25882" s="3336"/>
      <c r="P25882" s="3337"/>
    </row>
    <row r="25883" spans="7:16" s="1634" customFormat="1">
      <c r="G25883" s="3336"/>
      <c r="P25883" s="3337"/>
    </row>
    <row r="25884" spans="7:16" s="1634" customFormat="1">
      <c r="G25884" s="3336"/>
      <c r="P25884" s="3337"/>
    </row>
    <row r="25885" spans="7:16" s="1634" customFormat="1">
      <c r="G25885" s="3336"/>
      <c r="P25885" s="3337"/>
    </row>
    <row r="25886" spans="7:16" s="1634" customFormat="1">
      <c r="G25886" s="3336"/>
      <c r="P25886" s="3337"/>
    </row>
    <row r="25887" spans="7:16" s="1634" customFormat="1">
      <c r="G25887" s="3336"/>
      <c r="P25887" s="3337"/>
    </row>
    <row r="25888" spans="7:16" s="1634" customFormat="1">
      <c r="G25888" s="3336"/>
      <c r="P25888" s="3337"/>
    </row>
    <row r="25889" spans="7:16" s="1634" customFormat="1">
      <c r="G25889" s="3336"/>
      <c r="P25889" s="3337"/>
    </row>
    <row r="25890" spans="7:16" s="1634" customFormat="1">
      <c r="G25890" s="3336"/>
      <c r="P25890" s="3337"/>
    </row>
    <row r="25891" spans="7:16" s="1634" customFormat="1">
      <c r="G25891" s="3336"/>
      <c r="P25891" s="3337"/>
    </row>
    <row r="25892" spans="7:16" s="1634" customFormat="1">
      <c r="G25892" s="3336"/>
      <c r="P25892" s="3337"/>
    </row>
    <row r="25893" spans="7:16" s="1634" customFormat="1">
      <c r="G25893" s="3336"/>
      <c r="P25893" s="3337"/>
    </row>
    <row r="25894" spans="7:16" s="1634" customFormat="1">
      <c r="G25894" s="3336"/>
      <c r="P25894" s="3337"/>
    </row>
    <row r="25895" spans="7:16" s="1634" customFormat="1">
      <c r="G25895" s="3336"/>
      <c r="P25895" s="3337"/>
    </row>
    <row r="25896" spans="7:16" s="1634" customFormat="1">
      <c r="G25896" s="3336"/>
      <c r="P25896" s="3337"/>
    </row>
    <row r="25897" spans="7:16" s="1634" customFormat="1">
      <c r="G25897" s="3336"/>
      <c r="P25897" s="3337"/>
    </row>
    <row r="25898" spans="7:16" s="1634" customFormat="1">
      <c r="G25898" s="3336"/>
      <c r="P25898" s="3337"/>
    </row>
    <row r="25899" spans="7:16" s="1634" customFormat="1">
      <c r="G25899" s="3336"/>
      <c r="P25899" s="3337"/>
    </row>
    <row r="25900" spans="7:16" s="1634" customFormat="1">
      <c r="G25900" s="3336"/>
      <c r="P25900" s="3337"/>
    </row>
    <row r="25901" spans="7:16" s="1634" customFormat="1">
      <c r="G25901" s="3336"/>
      <c r="P25901" s="3337"/>
    </row>
    <row r="25902" spans="7:16" s="1634" customFormat="1">
      <c r="G25902" s="3336"/>
      <c r="P25902" s="3337"/>
    </row>
    <row r="25903" spans="7:16" s="1634" customFormat="1">
      <c r="G25903" s="3336"/>
      <c r="P25903" s="3337"/>
    </row>
    <row r="25904" spans="7:16" s="1634" customFormat="1">
      <c r="G25904" s="3336"/>
      <c r="P25904" s="3337"/>
    </row>
    <row r="25905" spans="7:16" s="1634" customFormat="1">
      <c r="G25905" s="3336"/>
      <c r="P25905" s="3337"/>
    </row>
    <row r="25906" spans="7:16" s="1634" customFormat="1">
      <c r="G25906" s="3336"/>
      <c r="P25906" s="3337"/>
    </row>
    <row r="25907" spans="7:16" s="1634" customFormat="1">
      <c r="G25907" s="3336"/>
      <c r="P25907" s="3337"/>
    </row>
    <row r="25908" spans="7:16" s="1634" customFormat="1">
      <c r="G25908" s="3336"/>
      <c r="P25908" s="3337"/>
    </row>
    <row r="25909" spans="7:16" s="1634" customFormat="1">
      <c r="G25909" s="3336"/>
      <c r="P25909" s="3337"/>
    </row>
    <row r="25910" spans="7:16" s="1634" customFormat="1">
      <c r="G25910" s="3336"/>
      <c r="P25910" s="3337"/>
    </row>
    <row r="25911" spans="7:16" s="1634" customFormat="1">
      <c r="G25911" s="3336"/>
      <c r="P25911" s="3337"/>
    </row>
    <row r="25912" spans="7:16" s="1634" customFormat="1">
      <c r="G25912" s="3336"/>
      <c r="P25912" s="3337"/>
    </row>
    <row r="25913" spans="7:16" s="1634" customFormat="1">
      <c r="G25913" s="3336"/>
      <c r="P25913" s="3337"/>
    </row>
    <row r="25914" spans="7:16" s="1634" customFormat="1">
      <c r="G25914" s="3336"/>
      <c r="P25914" s="3337"/>
    </row>
    <row r="25915" spans="7:16" s="1634" customFormat="1">
      <c r="G25915" s="3336"/>
      <c r="P25915" s="3337"/>
    </row>
    <row r="25916" spans="7:16" s="1634" customFormat="1">
      <c r="G25916" s="3336"/>
      <c r="P25916" s="3337"/>
    </row>
    <row r="25917" spans="7:16" s="1634" customFormat="1">
      <c r="G25917" s="3336"/>
      <c r="P25917" s="3337"/>
    </row>
    <row r="25918" spans="7:16" s="1634" customFormat="1">
      <c r="G25918" s="3336"/>
      <c r="P25918" s="3337"/>
    </row>
    <row r="25919" spans="7:16" s="1634" customFormat="1">
      <c r="G25919" s="3336"/>
      <c r="P25919" s="3337"/>
    </row>
    <row r="25920" spans="7:16" s="1634" customFormat="1">
      <c r="G25920" s="3336"/>
      <c r="P25920" s="3337"/>
    </row>
    <row r="25921" spans="7:16" s="1634" customFormat="1">
      <c r="G25921" s="3336"/>
      <c r="P25921" s="3337"/>
    </row>
    <row r="25922" spans="7:16" s="1634" customFormat="1">
      <c r="G25922" s="3336"/>
      <c r="P25922" s="3337"/>
    </row>
    <row r="25923" spans="7:16" s="1634" customFormat="1">
      <c r="G25923" s="3336"/>
      <c r="P25923" s="3337"/>
    </row>
    <row r="25924" spans="7:16" s="1634" customFormat="1">
      <c r="G25924" s="3336"/>
      <c r="P25924" s="3337"/>
    </row>
    <row r="25925" spans="7:16" s="1634" customFormat="1">
      <c r="G25925" s="3336"/>
      <c r="P25925" s="3337"/>
    </row>
    <row r="25926" spans="7:16" s="1634" customFormat="1">
      <c r="G25926" s="3336"/>
      <c r="P25926" s="3337"/>
    </row>
    <row r="25927" spans="7:16" s="1634" customFormat="1">
      <c r="G25927" s="3336"/>
      <c r="P25927" s="3337"/>
    </row>
    <row r="25928" spans="7:16" s="1634" customFormat="1">
      <c r="G25928" s="3336"/>
      <c r="P25928" s="3337"/>
    </row>
    <row r="25929" spans="7:16" s="1634" customFormat="1">
      <c r="G25929" s="3336"/>
      <c r="P25929" s="3337"/>
    </row>
    <row r="25930" spans="7:16" s="1634" customFormat="1">
      <c r="G25930" s="3336"/>
      <c r="P25930" s="3337"/>
    </row>
    <row r="25931" spans="7:16" s="1634" customFormat="1">
      <c r="G25931" s="3336"/>
      <c r="P25931" s="3337"/>
    </row>
    <row r="25932" spans="7:16" s="1634" customFormat="1">
      <c r="G25932" s="3336"/>
      <c r="P25932" s="3337"/>
    </row>
    <row r="25933" spans="7:16" s="1634" customFormat="1">
      <c r="G25933" s="3336"/>
      <c r="P25933" s="3337"/>
    </row>
    <row r="25934" spans="7:16" s="1634" customFormat="1">
      <c r="G25934" s="3336"/>
      <c r="P25934" s="3337"/>
    </row>
    <row r="25935" spans="7:16" s="1634" customFormat="1">
      <c r="G25935" s="3336"/>
      <c r="P25935" s="3337"/>
    </row>
    <row r="25936" spans="7:16" s="1634" customFormat="1">
      <c r="G25936" s="3336"/>
      <c r="P25936" s="3337"/>
    </row>
    <row r="25937" spans="7:16" s="1634" customFormat="1">
      <c r="G25937" s="3336"/>
      <c r="P25937" s="3337"/>
    </row>
    <row r="25938" spans="7:16" s="1634" customFormat="1">
      <c r="G25938" s="3336"/>
      <c r="P25938" s="3337"/>
    </row>
    <row r="25939" spans="7:16" s="1634" customFormat="1">
      <c r="G25939" s="3336"/>
      <c r="P25939" s="3337"/>
    </row>
    <row r="25940" spans="7:16" s="1634" customFormat="1">
      <c r="G25940" s="3336"/>
      <c r="P25940" s="3337"/>
    </row>
    <row r="25941" spans="7:16" s="1634" customFormat="1">
      <c r="G25941" s="3336"/>
      <c r="P25941" s="3337"/>
    </row>
    <row r="25942" spans="7:16" s="1634" customFormat="1">
      <c r="G25942" s="3336"/>
      <c r="P25942" s="3337"/>
    </row>
    <row r="25943" spans="7:16" s="1634" customFormat="1">
      <c r="G25943" s="3336"/>
      <c r="P25943" s="3337"/>
    </row>
    <row r="25944" spans="7:16" s="1634" customFormat="1">
      <c r="G25944" s="3336"/>
      <c r="P25944" s="3337"/>
    </row>
    <row r="25945" spans="7:16" s="1634" customFormat="1">
      <c r="G25945" s="3336"/>
      <c r="P25945" s="3337"/>
    </row>
    <row r="25946" spans="7:16" s="1634" customFormat="1">
      <c r="G25946" s="3336"/>
      <c r="P25946" s="3337"/>
    </row>
    <row r="25947" spans="7:16" s="1634" customFormat="1">
      <c r="G25947" s="3336"/>
      <c r="P25947" s="3337"/>
    </row>
    <row r="25948" spans="7:16" s="1634" customFormat="1">
      <c r="G25948" s="3336"/>
      <c r="P25948" s="3337"/>
    </row>
    <row r="25949" spans="7:16" s="1634" customFormat="1">
      <c r="G25949" s="3336"/>
      <c r="P25949" s="3337"/>
    </row>
    <row r="25950" spans="7:16" s="1634" customFormat="1">
      <c r="G25950" s="3336"/>
      <c r="P25950" s="3337"/>
    </row>
    <row r="25951" spans="7:16" s="1634" customFormat="1">
      <c r="G25951" s="3336"/>
      <c r="P25951" s="3337"/>
    </row>
    <row r="25952" spans="7:16" s="1634" customFormat="1">
      <c r="G25952" s="3336"/>
      <c r="P25952" s="3337"/>
    </row>
    <row r="25953" spans="7:16" s="1634" customFormat="1">
      <c r="G25953" s="3336"/>
      <c r="P25953" s="3337"/>
    </row>
    <row r="25954" spans="7:16" s="1634" customFormat="1">
      <c r="G25954" s="3336"/>
      <c r="P25954" s="3337"/>
    </row>
    <row r="25955" spans="7:16" s="1634" customFormat="1">
      <c r="G25955" s="3336"/>
      <c r="P25955" s="3337"/>
    </row>
    <row r="25956" spans="7:16" s="1634" customFormat="1">
      <c r="G25956" s="3336"/>
      <c r="P25956" s="3337"/>
    </row>
    <row r="25957" spans="7:16" s="1634" customFormat="1">
      <c r="G25957" s="3336"/>
      <c r="P25957" s="3337"/>
    </row>
    <row r="25958" spans="7:16" s="1634" customFormat="1">
      <c r="G25958" s="3336"/>
      <c r="P25958" s="3337"/>
    </row>
    <row r="25959" spans="7:16" s="1634" customFormat="1">
      <c r="G25959" s="3336"/>
      <c r="P25959" s="3337"/>
    </row>
    <row r="25960" spans="7:16" s="1634" customFormat="1">
      <c r="G25960" s="3336"/>
      <c r="P25960" s="3337"/>
    </row>
    <row r="25961" spans="7:16" s="1634" customFormat="1">
      <c r="G25961" s="3336"/>
      <c r="P25961" s="3337"/>
    </row>
    <row r="25962" spans="7:16" s="1634" customFormat="1">
      <c r="G25962" s="3336"/>
      <c r="P25962" s="3337"/>
    </row>
    <row r="25963" spans="7:16" s="1634" customFormat="1">
      <c r="G25963" s="3336"/>
      <c r="P25963" s="3337"/>
    </row>
    <row r="25964" spans="7:16" s="1634" customFormat="1">
      <c r="G25964" s="3336"/>
      <c r="P25964" s="3337"/>
    </row>
    <row r="25965" spans="7:16" s="1634" customFormat="1">
      <c r="G25965" s="3336"/>
      <c r="P25965" s="3337"/>
    </row>
    <row r="25966" spans="7:16" s="1634" customFormat="1">
      <c r="G25966" s="3336"/>
      <c r="P25966" s="3337"/>
    </row>
    <row r="25967" spans="7:16" s="1634" customFormat="1">
      <c r="G25967" s="3336"/>
      <c r="P25967" s="3337"/>
    </row>
    <row r="25968" spans="7:16" s="1634" customFormat="1">
      <c r="G25968" s="3336"/>
      <c r="P25968" s="3337"/>
    </row>
    <row r="25969" spans="7:16" s="1634" customFormat="1">
      <c r="G25969" s="3336"/>
      <c r="P25969" s="3337"/>
    </row>
    <row r="25970" spans="7:16" s="1634" customFormat="1">
      <c r="G25970" s="3336"/>
      <c r="P25970" s="3337"/>
    </row>
    <row r="25971" spans="7:16" s="1634" customFormat="1">
      <c r="G25971" s="3336"/>
      <c r="P25971" s="3337"/>
    </row>
    <row r="25972" spans="7:16" s="1634" customFormat="1">
      <c r="G25972" s="3336"/>
      <c r="P25972" s="3337"/>
    </row>
    <row r="25973" spans="7:16" s="1634" customFormat="1">
      <c r="G25973" s="3336"/>
      <c r="P25973" s="3337"/>
    </row>
    <row r="25974" spans="7:16" s="1634" customFormat="1">
      <c r="G25974" s="3336"/>
      <c r="P25974" s="3337"/>
    </row>
    <row r="25975" spans="7:16" s="1634" customFormat="1">
      <c r="G25975" s="3336"/>
      <c r="P25975" s="3337"/>
    </row>
    <row r="25976" spans="7:16" s="1634" customFormat="1">
      <c r="G25976" s="3336"/>
      <c r="P25976" s="3337"/>
    </row>
    <row r="25977" spans="7:16" s="1634" customFormat="1">
      <c r="G25977" s="3336"/>
      <c r="P25977" s="3337"/>
    </row>
    <row r="25978" spans="7:16" s="1634" customFormat="1">
      <c r="G25978" s="3336"/>
      <c r="P25978" s="3337"/>
    </row>
    <row r="25979" spans="7:16" s="1634" customFormat="1">
      <c r="G25979" s="3336"/>
      <c r="P25979" s="3337"/>
    </row>
    <row r="25980" spans="7:16" s="1634" customFormat="1">
      <c r="G25980" s="3336"/>
      <c r="P25980" s="3337"/>
    </row>
    <row r="25981" spans="7:16" s="1634" customFormat="1">
      <c r="G25981" s="3336"/>
      <c r="P25981" s="3337"/>
    </row>
    <row r="25982" spans="7:16" s="1634" customFormat="1">
      <c r="G25982" s="3336"/>
      <c r="P25982" s="3337"/>
    </row>
    <row r="25983" spans="7:16" s="1634" customFormat="1">
      <c r="G25983" s="3336"/>
      <c r="P25983" s="3337"/>
    </row>
    <row r="25984" spans="7:16" s="1634" customFormat="1">
      <c r="G25984" s="3336"/>
      <c r="P25984" s="3337"/>
    </row>
    <row r="25985" spans="7:16" s="1634" customFormat="1">
      <c r="G25985" s="3336"/>
      <c r="P25985" s="3337"/>
    </row>
    <row r="25986" spans="7:16" s="1634" customFormat="1">
      <c r="G25986" s="3336"/>
      <c r="P25986" s="3337"/>
    </row>
    <row r="25987" spans="7:16" s="1634" customFormat="1">
      <c r="G25987" s="3336"/>
      <c r="P25987" s="3337"/>
    </row>
    <row r="25988" spans="7:16" s="1634" customFormat="1">
      <c r="G25988" s="3336"/>
      <c r="P25988" s="3337"/>
    </row>
    <row r="25989" spans="7:16" s="1634" customFormat="1">
      <c r="G25989" s="3336"/>
      <c r="P25989" s="3337"/>
    </row>
    <row r="25990" spans="7:16" s="1634" customFormat="1">
      <c r="G25990" s="3336"/>
      <c r="P25990" s="3337"/>
    </row>
    <row r="25991" spans="7:16" s="1634" customFormat="1">
      <c r="G25991" s="3336"/>
      <c r="P25991" s="3337"/>
    </row>
    <row r="25992" spans="7:16" s="1634" customFormat="1">
      <c r="G25992" s="3336"/>
      <c r="P25992" s="3337"/>
    </row>
    <row r="25993" spans="7:16" s="1634" customFormat="1">
      <c r="G25993" s="3336"/>
      <c r="P25993" s="3337"/>
    </row>
    <row r="25994" spans="7:16" s="1634" customFormat="1">
      <c r="G25994" s="3336"/>
      <c r="P25994" s="3337"/>
    </row>
    <row r="25995" spans="7:16" s="1634" customFormat="1">
      <c r="G25995" s="3336"/>
      <c r="P25995" s="3337"/>
    </row>
    <row r="25996" spans="7:16" s="1634" customFormat="1">
      <c r="G25996" s="3336"/>
      <c r="P25996" s="3337"/>
    </row>
    <row r="25997" spans="7:16" s="1634" customFormat="1">
      <c r="G25997" s="3336"/>
      <c r="P25997" s="3337"/>
    </row>
    <row r="25998" spans="7:16" s="1634" customFormat="1">
      <c r="G25998" s="3336"/>
      <c r="P25998" s="3337"/>
    </row>
    <row r="25999" spans="7:16" s="1634" customFormat="1">
      <c r="G25999" s="3336"/>
      <c r="P25999" s="3337"/>
    </row>
    <row r="26000" spans="7:16" s="1634" customFormat="1">
      <c r="G26000" s="3336"/>
      <c r="P26000" s="3337"/>
    </row>
    <row r="26001" spans="7:16" s="1634" customFormat="1">
      <c r="G26001" s="3336"/>
      <c r="P26001" s="3337"/>
    </row>
    <row r="26002" spans="7:16" s="1634" customFormat="1">
      <c r="G26002" s="3336"/>
      <c r="P26002" s="3337"/>
    </row>
    <row r="26003" spans="7:16" s="1634" customFormat="1">
      <c r="G26003" s="3336"/>
      <c r="P26003" s="3337"/>
    </row>
    <row r="26004" spans="7:16" s="1634" customFormat="1">
      <c r="G26004" s="3336"/>
      <c r="P26004" s="3337"/>
    </row>
    <row r="26005" spans="7:16" s="1634" customFormat="1">
      <c r="G26005" s="3336"/>
      <c r="P26005" s="3337"/>
    </row>
    <row r="26006" spans="7:16" s="1634" customFormat="1">
      <c r="G26006" s="3336"/>
      <c r="P26006" s="3337"/>
    </row>
    <row r="26007" spans="7:16" s="1634" customFormat="1">
      <c r="G26007" s="3336"/>
      <c r="P26007" s="3337"/>
    </row>
    <row r="26008" spans="7:16" s="1634" customFormat="1">
      <c r="G26008" s="3336"/>
      <c r="P26008" s="3337"/>
    </row>
    <row r="26009" spans="7:16" s="1634" customFormat="1">
      <c r="G26009" s="3336"/>
      <c r="P26009" s="3337"/>
    </row>
    <row r="26010" spans="7:16" s="1634" customFormat="1">
      <c r="G26010" s="3336"/>
      <c r="P26010" s="3337"/>
    </row>
    <row r="26011" spans="7:16" s="1634" customFormat="1">
      <c r="G26011" s="3336"/>
      <c r="P26011" s="3337"/>
    </row>
    <row r="26012" spans="7:16" s="1634" customFormat="1">
      <c r="G26012" s="3336"/>
      <c r="P26012" s="3337"/>
    </row>
    <row r="26013" spans="7:16" s="1634" customFormat="1">
      <c r="G26013" s="3336"/>
      <c r="P26013" s="3337"/>
    </row>
    <row r="26014" spans="7:16" s="1634" customFormat="1">
      <c r="G26014" s="3336"/>
      <c r="P26014" s="3337"/>
    </row>
    <row r="26015" spans="7:16" s="1634" customFormat="1">
      <c r="G26015" s="3336"/>
      <c r="P26015" s="3337"/>
    </row>
    <row r="26016" spans="7:16" s="1634" customFormat="1">
      <c r="G26016" s="3336"/>
      <c r="P26016" s="3337"/>
    </row>
    <row r="26017" spans="7:16" s="1634" customFormat="1">
      <c r="G26017" s="3336"/>
      <c r="P26017" s="3337"/>
    </row>
    <row r="26018" spans="7:16" s="1634" customFormat="1">
      <c r="G26018" s="3336"/>
      <c r="P26018" s="3337"/>
    </row>
    <row r="26019" spans="7:16" s="1634" customFormat="1">
      <c r="G26019" s="3336"/>
      <c r="P26019" s="3337"/>
    </row>
    <row r="26020" spans="7:16" s="1634" customFormat="1">
      <c r="G26020" s="3336"/>
      <c r="P26020" s="3337"/>
    </row>
    <row r="26021" spans="7:16" s="1634" customFormat="1">
      <c r="G26021" s="3336"/>
      <c r="P26021" s="3337"/>
    </row>
    <row r="26022" spans="7:16" s="1634" customFormat="1">
      <c r="G26022" s="3336"/>
      <c r="P26022" s="3337"/>
    </row>
    <row r="26023" spans="7:16" s="1634" customFormat="1">
      <c r="G26023" s="3336"/>
      <c r="P26023" s="3337"/>
    </row>
    <row r="26024" spans="7:16" s="1634" customFormat="1">
      <c r="G26024" s="3336"/>
      <c r="P26024" s="3337"/>
    </row>
    <row r="26025" spans="7:16" s="1634" customFormat="1">
      <c r="G26025" s="3336"/>
      <c r="P26025" s="3337"/>
    </row>
    <row r="26026" spans="7:16" s="1634" customFormat="1">
      <c r="G26026" s="3336"/>
      <c r="P26026" s="3337"/>
    </row>
    <row r="26027" spans="7:16" s="1634" customFormat="1">
      <c r="G26027" s="3336"/>
      <c r="P26027" s="3337"/>
    </row>
    <row r="26028" spans="7:16" s="1634" customFormat="1">
      <c r="G26028" s="3336"/>
      <c r="P26028" s="3337"/>
    </row>
    <row r="26029" spans="7:16" s="1634" customFormat="1">
      <c r="G26029" s="3336"/>
      <c r="P26029" s="3337"/>
    </row>
    <row r="26030" spans="7:16" s="1634" customFormat="1">
      <c r="G26030" s="3336"/>
      <c r="P26030" s="3337"/>
    </row>
    <row r="26031" spans="7:16" s="1634" customFormat="1">
      <c r="G26031" s="3336"/>
      <c r="P26031" s="3337"/>
    </row>
    <row r="26032" spans="7:16" s="1634" customFormat="1">
      <c r="G26032" s="3336"/>
      <c r="P26032" s="3337"/>
    </row>
    <row r="26033" spans="7:16" s="1634" customFormat="1">
      <c r="G26033" s="3336"/>
      <c r="P26033" s="3337"/>
    </row>
    <row r="26034" spans="7:16" s="1634" customFormat="1">
      <c r="G26034" s="3336"/>
      <c r="P26034" s="3337"/>
    </row>
    <row r="26035" spans="7:16" s="1634" customFormat="1">
      <c r="G26035" s="3336"/>
      <c r="P26035" s="3337"/>
    </row>
    <row r="26036" spans="7:16" s="1634" customFormat="1">
      <c r="G26036" s="3336"/>
      <c r="P26036" s="3337"/>
    </row>
    <row r="26037" spans="7:16" s="1634" customFormat="1">
      <c r="G26037" s="3336"/>
      <c r="P26037" s="3337"/>
    </row>
    <row r="26038" spans="7:16" s="1634" customFormat="1">
      <c r="G26038" s="3336"/>
      <c r="P26038" s="3337"/>
    </row>
    <row r="26039" spans="7:16" s="1634" customFormat="1">
      <c r="G26039" s="3336"/>
      <c r="P26039" s="3337"/>
    </row>
    <row r="26040" spans="7:16" s="1634" customFormat="1">
      <c r="G26040" s="3336"/>
      <c r="P26040" s="3337"/>
    </row>
    <row r="26041" spans="7:16" s="1634" customFormat="1">
      <c r="G26041" s="3336"/>
      <c r="P26041" s="3337"/>
    </row>
    <row r="26042" spans="7:16" s="1634" customFormat="1">
      <c r="G26042" s="3336"/>
      <c r="P26042" s="3337"/>
    </row>
    <row r="26043" spans="7:16" s="1634" customFormat="1">
      <c r="G26043" s="3336"/>
      <c r="P26043" s="3337"/>
    </row>
    <row r="26044" spans="7:16" s="1634" customFormat="1">
      <c r="G26044" s="3336"/>
      <c r="P26044" s="3337"/>
    </row>
    <row r="26045" spans="7:16" s="1634" customFormat="1">
      <c r="G26045" s="3336"/>
      <c r="P26045" s="3337"/>
    </row>
    <row r="26046" spans="7:16" s="1634" customFormat="1">
      <c r="G26046" s="3336"/>
      <c r="P26046" s="3337"/>
    </row>
    <row r="26047" spans="7:16" s="1634" customFormat="1">
      <c r="G26047" s="3336"/>
      <c r="P26047" s="3337"/>
    </row>
    <row r="26048" spans="7:16" s="1634" customFormat="1">
      <c r="G26048" s="3336"/>
      <c r="P26048" s="3337"/>
    </row>
    <row r="26049" spans="7:16" s="1634" customFormat="1">
      <c r="G26049" s="3336"/>
      <c r="P26049" s="3337"/>
    </row>
    <row r="26050" spans="7:16" s="1634" customFormat="1">
      <c r="G26050" s="3336"/>
      <c r="P26050" s="3337"/>
    </row>
    <row r="26051" spans="7:16" s="1634" customFormat="1">
      <c r="G26051" s="3336"/>
      <c r="P26051" s="3337"/>
    </row>
    <row r="26052" spans="7:16" s="1634" customFormat="1">
      <c r="G26052" s="3336"/>
      <c r="P26052" s="3337"/>
    </row>
    <row r="26053" spans="7:16" s="1634" customFormat="1">
      <c r="G26053" s="3336"/>
      <c r="P26053" s="3337"/>
    </row>
    <row r="26054" spans="7:16" s="1634" customFormat="1">
      <c r="G26054" s="3336"/>
      <c r="P26054" s="3337"/>
    </row>
    <row r="26055" spans="7:16" s="1634" customFormat="1">
      <c r="G26055" s="3336"/>
      <c r="P26055" s="3337"/>
    </row>
    <row r="26056" spans="7:16" s="1634" customFormat="1">
      <c r="G26056" s="3336"/>
      <c r="P26056" s="3337"/>
    </row>
    <row r="26057" spans="7:16" s="1634" customFormat="1">
      <c r="G26057" s="3336"/>
      <c r="P26057" s="3337"/>
    </row>
    <row r="26058" spans="7:16" s="1634" customFormat="1">
      <c r="G26058" s="3336"/>
      <c r="P26058" s="3337"/>
    </row>
    <row r="26059" spans="7:16" s="1634" customFormat="1">
      <c r="G26059" s="3336"/>
      <c r="P26059" s="3337"/>
    </row>
    <row r="26060" spans="7:16" s="1634" customFormat="1">
      <c r="G26060" s="3336"/>
      <c r="P26060" s="3337"/>
    </row>
    <row r="26061" spans="7:16" s="1634" customFormat="1">
      <c r="G26061" s="3336"/>
      <c r="P26061" s="3337"/>
    </row>
    <row r="26062" spans="7:16" s="1634" customFormat="1">
      <c r="G26062" s="3336"/>
      <c r="P26062" s="3337"/>
    </row>
    <row r="26063" spans="7:16" s="1634" customFormat="1">
      <c r="G26063" s="3336"/>
      <c r="P26063" s="3337"/>
    </row>
    <row r="26064" spans="7:16" s="1634" customFormat="1">
      <c r="G26064" s="3336"/>
      <c r="P26064" s="3337"/>
    </row>
    <row r="26065" spans="7:16" s="1634" customFormat="1">
      <c r="G26065" s="3336"/>
      <c r="P26065" s="3337"/>
    </row>
    <row r="26066" spans="7:16" s="1634" customFormat="1">
      <c r="G26066" s="3336"/>
      <c r="P26066" s="3337"/>
    </row>
    <row r="26067" spans="7:16" s="1634" customFormat="1">
      <c r="G26067" s="3336"/>
      <c r="P26067" s="3337"/>
    </row>
    <row r="26068" spans="7:16" s="1634" customFormat="1">
      <c r="G26068" s="3336"/>
      <c r="P26068" s="3337"/>
    </row>
    <row r="26069" spans="7:16" s="1634" customFormat="1">
      <c r="G26069" s="3336"/>
      <c r="P26069" s="3337"/>
    </row>
    <row r="26070" spans="7:16" s="1634" customFormat="1">
      <c r="G26070" s="3336"/>
      <c r="P26070" s="3337"/>
    </row>
    <row r="26071" spans="7:16" s="1634" customFormat="1">
      <c r="G26071" s="3336"/>
      <c r="P26071" s="3337"/>
    </row>
    <row r="26072" spans="7:16" s="1634" customFormat="1">
      <c r="G26072" s="3336"/>
      <c r="P26072" s="3337"/>
    </row>
    <row r="26073" spans="7:16" s="1634" customFormat="1">
      <c r="G26073" s="3336"/>
      <c r="P26073" s="3337"/>
    </row>
    <row r="26074" spans="7:16" s="1634" customFormat="1">
      <c r="G26074" s="3336"/>
      <c r="P26074" s="3337"/>
    </row>
    <row r="26075" spans="7:16" s="1634" customFormat="1">
      <c r="G26075" s="3336"/>
      <c r="P26075" s="3337"/>
    </row>
    <row r="26076" spans="7:16" s="1634" customFormat="1">
      <c r="G26076" s="3336"/>
      <c r="P26076" s="3337"/>
    </row>
    <row r="26077" spans="7:16" s="1634" customFormat="1">
      <c r="G26077" s="3336"/>
      <c r="P26077" s="3337"/>
    </row>
    <row r="26078" spans="7:16" s="1634" customFormat="1">
      <c r="G26078" s="3336"/>
      <c r="P26078" s="3337"/>
    </row>
    <row r="26079" spans="7:16" s="1634" customFormat="1">
      <c r="G26079" s="3336"/>
      <c r="P26079" s="3337"/>
    </row>
    <row r="26080" spans="7:16" s="1634" customFormat="1">
      <c r="G26080" s="3336"/>
      <c r="P26080" s="3337"/>
    </row>
    <row r="26081" spans="7:16" s="1634" customFormat="1">
      <c r="G26081" s="3336"/>
      <c r="P26081" s="3337"/>
    </row>
    <row r="26082" spans="7:16" s="1634" customFormat="1">
      <c r="G26082" s="3336"/>
      <c r="P26082" s="3337"/>
    </row>
    <row r="26083" spans="7:16" s="1634" customFormat="1">
      <c r="G26083" s="3336"/>
      <c r="P26083" s="3337"/>
    </row>
    <row r="26084" spans="7:16" s="1634" customFormat="1">
      <c r="G26084" s="3336"/>
      <c r="P26084" s="3337"/>
    </row>
    <row r="26085" spans="7:16" s="1634" customFormat="1">
      <c r="G26085" s="3336"/>
      <c r="P26085" s="3337"/>
    </row>
    <row r="26086" spans="7:16" s="1634" customFormat="1">
      <c r="G26086" s="3336"/>
      <c r="P26086" s="3337"/>
    </row>
    <row r="26087" spans="7:16" s="1634" customFormat="1">
      <c r="G26087" s="3336"/>
      <c r="P26087" s="3337"/>
    </row>
    <row r="26088" spans="7:16" s="1634" customFormat="1">
      <c r="G26088" s="3336"/>
      <c r="P26088" s="3337"/>
    </row>
    <row r="26089" spans="7:16" s="1634" customFormat="1">
      <c r="G26089" s="3336"/>
      <c r="P26089" s="3337"/>
    </row>
    <row r="26090" spans="7:16" s="1634" customFormat="1">
      <c r="G26090" s="3336"/>
      <c r="P26090" s="3337"/>
    </row>
    <row r="26091" spans="7:16" s="1634" customFormat="1">
      <c r="G26091" s="3336"/>
      <c r="P26091" s="3337"/>
    </row>
    <row r="26092" spans="7:16" s="1634" customFormat="1">
      <c r="G26092" s="3336"/>
      <c r="P26092" s="3337"/>
    </row>
    <row r="26093" spans="7:16" s="1634" customFormat="1">
      <c r="G26093" s="3336"/>
      <c r="P26093" s="3337"/>
    </row>
    <row r="26094" spans="7:16" s="1634" customFormat="1">
      <c r="G26094" s="3336"/>
      <c r="P26094" s="3337"/>
    </row>
    <row r="26095" spans="7:16" s="1634" customFormat="1">
      <c r="G26095" s="3336"/>
      <c r="P26095" s="3337"/>
    </row>
    <row r="26096" spans="7:16" s="1634" customFormat="1">
      <c r="G26096" s="3336"/>
      <c r="P26096" s="3337"/>
    </row>
    <row r="26097" spans="7:16" s="1634" customFormat="1">
      <c r="G26097" s="3336"/>
      <c r="P26097" s="3337"/>
    </row>
    <row r="26098" spans="7:16" s="1634" customFormat="1">
      <c r="G26098" s="3336"/>
      <c r="P26098" s="3337"/>
    </row>
    <row r="26099" spans="7:16" s="1634" customFormat="1">
      <c r="G26099" s="3336"/>
      <c r="P26099" s="3337"/>
    </row>
    <row r="26100" spans="7:16" s="1634" customFormat="1">
      <c r="G26100" s="3336"/>
      <c r="P26100" s="3337"/>
    </row>
    <row r="26101" spans="7:16" s="1634" customFormat="1">
      <c r="G26101" s="3336"/>
      <c r="P26101" s="3337"/>
    </row>
    <row r="26102" spans="7:16" s="1634" customFormat="1">
      <c r="G26102" s="3336"/>
      <c r="P26102" s="3337"/>
    </row>
    <row r="26103" spans="7:16" s="1634" customFormat="1">
      <c r="G26103" s="3336"/>
      <c r="P26103" s="3337"/>
    </row>
    <row r="26104" spans="7:16" s="1634" customFormat="1">
      <c r="G26104" s="3336"/>
      <c r="P26104" s="3337"/>
    </row>
    <row r="26105" spans="7:16" s="1634" customFormat="1">
      <c r="G26105" s="3336"/>
      <c r="P26105" s="3337"/>
    </row>
    <row r="26106" spans="7:16" s="1634" customFormat="1">
      <c r="G26106" s="3336"/>
      <c r="P26106" s="3337"/>
    </row>
    <row r="26107" spans="7:16" s="1634" customFormat="1">
      <c r="G26107" s="3336"/>
      <c r="P26107" s="3337"/>
    </row>
    <row r="26108" spans="7:16" s="1634" customFormat="1">
      <c r="G26108" s="3336"/>
      <c r="P26108" s="3337"/>
    </row>
    <row r="26109" spans="7:16" s="1634" customFormat="1">
      <c r="G26109" s="3336"/>
      <c r="P26109" s="3337"/>
    </row>
    <row r="26110" spans="7:16" s="1634" customFormat="1">
      <c r="G26110" s="3336"/>
      <c r="P26110" s="3337"/>
    </row>
    <row r="26111" spans="7:16" s="1634" customFormat="1">
      <c r="G26111" s="3336"/>
      <c r="P26111" s="3337"/>
    </row>
    <row r="26112" spans="7:16" s="1634" customFormat="1">
      <c r="G26112" s="3336"/>
      <c r="P26112" s="3337"/>
    </row>
    <row r="26113" spans="7:16" s="1634" customFormat="1">
      <c r="G26113" s="3336"/>
      <c r="P26113" s="3337"/>
    </row>
    <row r="26114" spans="7:16" s="1634" customFormat="1">
      <c r="G26114" s="3336"/>
      <c r="P26114" s="3337"/>
    </row>
    <row r="26115" spans="7:16" s="1634" customFormat="1">
      <c r="G26115" s="3336"/>
      <c r="P26115" s="3337"/>
    </row>
    <row r="26116" spans="7:16" s="1634" customFormat="1">
      <c r="G26116" s="3336"/>
      <c r="P26116" s="3337"/>
    </row>
    <row r="26117" spans="7:16" s="1634" customFormat="1">
      <c r="G26117" s="3336"/>
      <c r="P26117" s="3337"/>
    </row>
    <row r="26118" spans="7:16" s="1634" customFormat="1">
      <c r="G26118" s="3336"/>
      <c r="P26118" s="3337"/>
    </row>
    <row r="26119" spans="7:16" s="1634" customFormat="1">
      <c r="G26119" s="3336"/>
      <c r="P26119" s="3337"/>
    </row>
    <row r="26120" spans="7:16" s="1634" customFormat="1">
      <c r="G26120" s="3336"/>
      <c r="P26120" s="3337"/>
    </row>
    <row r="26121" spans="7:16" s="1634" customFormat="1">
      <c r="G26121" s="3336"/>
      <c r="P26121" s="3337"/>
    </row>
    <row r="26122" spans="7:16" s="1634" customFormat="1">
      <c r="G26122" s="3336"/>
      <c r="P26122" s="3337"/>
    </row>
    <row r="26123" spans="7:16" s="1634" customFormat="1">
      <c r="G26123" s="3336"/>
      <c r="P26123" s="3337"/>
    </row>
    <row r="26124" spans="7:16" s="1634" customFormat="1">
      <c r="G26124" s="3336"/>
      <c r="P26124" s="3337"/>
    </row>
    <row r="26125" spans="7:16" s="1634" customFormat="1">
      <c r="G26125" s="3336"/>
      <c r="P26125" s="3337"/>
    </row>
    <row r="26126" spans="7:16" s="1634" customFormat="1">
      <c r="G26126" s="3336"/>
      <c r="P26126" s="3337"/>
    </row>
    <row r="26127" spans="7:16" s="1634" customFormat="1">
      <c r="G26127" s="3336"/>
      <c r="P26127" s="3337"/>
    </row>
    <row r="26128" spans="7:16" s="1634" customFormat="1">
      <c r="G26128" s="3336"/>
      <c r="P26128" s="3337"/>
    </row>
    <row r="26129" spans="7:16" s="1634" customFormat="1">
      <c r="G26129" s="3336"/>
      <c r="P26129" s="3337"/>
    </row>
    <row r="26130" spans="7:16" s="1634" customFormat="1">
      <c r="G26130" s="3336"/>
      <c r="P26130" s="3337"/>
    </row>
    <row r="26131" spans="7:16" s="1634" customFormat="1">
      <c r="G26131" s="3336"/>
      <c r="P26131" s="3337"/>
    </row>
    <row r="26132" spans="7:16" s="1634" customFormat="1">
      <c r="G26132" s="3336"/>
      <c r="P26132" s="3337"/>
    </row>
    <row r="26133" spans="7:16" s="1634" customFormat="1">
      <c r="G26133" s="3336"/>
      <c r="P26133" s="3337"/>
    </row>
    <row r="26134" spans="7:16" s="1634" customFormat="1">
      <c r="G26134" s="3336"/>
      <c r="P26134" s="3337"/>
    </row>
    <row r="26135" spans="7:16" s="1634" customFormat="1">
      <c r="G26135" s="3336"/>
      <c r="P26135" s="3337"/>
    </row>
    <row r="26136" spans="7:16" s="1634" customFormat="1">
      <c r="G26136" s="3336"/>
      <c r="P26136" s="3337"/>
    </row>
    <row r="26137" spans="7:16" s="1634" customFormat="1">
      <c r="G26137" s="3336"/>
      <c r="P26137" s="3337"/>
    </row>
    <row r="26138" spans="7:16" s="1634" customFormat="1">
      <c r="G26138" s="3336"/>
      <c r="P26138" s="3337"/>
    </row>
    <row r="26139" spans="7:16" s="1634" customFormat="1">
      <c r="G26139" s="3336"/>
      <c r="P26139" s="3337"/>
    </row>
    <row r="26140" spans="7:16" s="1634" customFormat="1">
      <c r="G26140" s="3336"/>
      <c r="P26140" s="3337"/>
    </row>
    <row r="26141" spans="7:16" s="1634" customFormat="1">
      <c r="G26141" s="3336"/>
      <c r="P26141" s="3337"/>
    </row>
    <row r="26142" spans="7:16" s="1634" customFormat="1">
      <c r="G26142" s="3336"/>
      <c r="P26142" s="3337"/>
    </row>
    <row r="26143" spans="7:16" s="1634" customFormat="1">
      <c r="G26143" s="3336"/>
      <c r="P26143" s="3337"/>
    </row>
    <row r="26144" spans="7:16" s="1634" customFormat="1">
      <c r="G26144" s="3336"/>
      <c r="P26144" s="3337"/>
    </row>
    <row r="26145" spans="7:16" s="1634" customFormat="1">
      <c r="G26145" s="3336"/>
      <c r="P26145" s="3337"/>
    </row>
    <row r="26146" spans="7:16" s="1634" customFormat="1">
      <c r="G26146" s="3336"/>
      <c r="P26146" s="3337"/>
    </row>
    <row r="26147" spans="7:16" s="1634" customFormat="1">
      <c r="G26147" s="3336"/>
      <c r="P26147" s="3337"/>
    </row>
    <row r="26148" spans="7:16" s="1634" customFormat="1">
      <c r="G26148" s="3336"/>
      <c r="P26148" s="3337"/>
    </row>
    <row r="26149" spans="7:16" s="1634" customFormat="1">
      <c r="G26149" s="3336"/>
      <c r="P26149" s="3337"/>
    </row>
    <row r="26150" spans="7:16" s="1634" customFormat="1">
      <c r="G26150" s="3336"/>
      <c r="P26150" s="3337"/>
    </row>
    <row r="26151" spans="7:16" s="1634" customFormat="1">
      <c r="G26151" s="3336"/>
      <c r="P26151" s="3337"/>
    </row>
    <row r="26152" spans="7:16" s="1634" customFormat="1">
      <c r="G26152" s="3336"/>
      <c r="P26152" s="3337"/>
    </row>
    <row r="26153" spans="7:16" s="1634" customFormat="1">
      <c r="G26153" s="3336"/>
      <c r="P26153" s="3337"/>
    </row>
    <row r="26154" spans="7:16" s="1634" customFormat="1">
      <c r="G26154" s="3336"/>
      <c r="P26154" s="3337"/>
    </row>
    <row r="26155" spans="7:16" s="1634" customFormat="1">
      <c r="G26155" s="3336"/>
      <c r="P26155" s="3337"/>
    </row>
    <row r="26156" spans="7:16" s="1634" customFormat="1">
      <c r="G26156" s="3336"/>
      <c r="P26156" s="3337"/>
    </row>
    <row r="26157" spans="7:16" s="1634" customFormat="1">
      <c r="G26157" s="3336"/>
      <c r="P26157" s="3337"/>
    </row>
    <row r="26158" spans="7:16" s="1634" customFormat="1">
      <c r="G26158" s="3336"/>
      <c r="P26158" s="3337"/>
    </row>
    <row r="26159" spans="7:16" s="1634" customFormat="1">
      <c r="G26159" s="3336"/>
      <c r="P26159" s="3337"/>
    </row>
    <row r="26160" spans="7:16" s="1634" customFormat="1">
      <c r="G26160" s="3336"/>
      <c r="P26160" s="3337"/>
    </row>
    <row r="26161" spans="7:16" s="1634" customFormat="1">
      <c r="G26161" s="3336"/>
      <c r="P26161" s="3337"/>
    </row>
    <row r="26162" spans="7:16" s="1634" customFormat="1">
      <c r="G26162" s="3336"/>
      <c r="P26162" s="3337"/>
    </row>
    <row r="26163" spans="7:16" s="1634" customFormat="1">
      <c r="G26163" s="3336"/>
      <c r="P26163" s="3337"/>
    </row>
    <row r="26164" spans="7:16" s="1634" customFormat="1">
      <c r="G26164" s="3336"/>
      <c r="P26164" s="3337"/>
    </row>
    <row r="26165" spans="7:16" s="1634" customFormat="1">
      <c r="G26165" s="3336"/>
      <c r="P26165" s="3337"/>
    </row>
    <row r="26166" spans="7:16" s="1634" customFormat="1">
      <c r="G26166" s="3336"/>
      <c r="P26166" s="3337"/>
    </row>
    <row r="26167" spans="7:16" s="1634" customFormat="1">
      <c r="G26167" s="3336"/>
      <c r="P26167" s="3337"/>
    </row>
    <row r="26168" spans="7:16" s="1634" customFormat="1">
      <c r="G26168" s="3336"/>
      <c r="P26168" s="3337"/>
    </row>
    <row r="26169" spans="7:16" s="1634" customFormat="1">
      <c r="G26169" s="3336"/>
      <c r="P26169" s="3337"/>
    </row>
    <row r="26170" spans="7:16" s="1634" customFormat="1">
      <c r="G26170" s="3336"/>
      <c r="P26170" s="3337"/>
    </row>
    <row r="26171" spans="7:16" s="1634" customFormat="1">
      <c r="G26171" s="3336"/>
      <c r="P26171" s="3337"/>
    </row>
    <row r="26172" spans="7:16" s="1634" customFormat="1">
      <c r="G26172" s="3336"/>
      <c r="P26172" s="3337"/>
    </row>
    <row r="26173" spans="7:16" s="1634" customFormat="1">
      <c r="G26173" s="3336"/>
      <c r="P26173" s="3337"/>
    </row>
    <row r="26174" spans="7:16" s="1634" customFormat="1">
      <c r="G26174" s="3336"/>
      <c r="P26174" s="3337"/>
    </row>
    <row r="26175" spans="7:16" s="1634" customFormat="1">
      <c r="G26175" s="3336"/>
      <c r="P26175" s="3337"/>
    </row>
    <row r="26176" spans="7:16" s="1634" customFormat="1">
      <c r="G26176" s="3336"/>
      <c r="P26176" s="3337"/>
    </row>
    <row r="26177" spans="7:16" s="1634" customFormat="1">
      <c r="G26177" s="3336"/>
      <c r="P26177" s="3337"/>
    </row>
    <row r="26178" spans="7:16" s="1634" customFormat="1">
      <c r="G26178" s="3336"/>
      <c r="P26178" s="3337"/>
    </row>
    <row r="26179" spans="7:16" s="1634" customFormat="1">
      <c r="G26179" s="3336"/>
      <c r="P26179" s="3337"/>
    </row>
    <row r="26180" spans="7:16" s="1634" customFormat="1">
      <c r="G26180" s="3336"/>
      <c r="P26180" s="3337"/>
    </row>
    <row r="26181" spans="7:16" s="1634" customFormat="1">
      <c r="G26181" s="3336"/>
      <c r="P26181" s="3337"/>
    </row>
    <row r="26182" spans="7:16" s="1634" customFormat="1">
      <c r="G26182" s="3336"/>
      <c r="P26182" s="3337"/>
    </row>
    <row r="26183" spans="7:16" s="1634" customFormat="1">
      <c r="G26183" s="3336"/>
      <c r="P26183" s="3337"/>
    </row>
    <row r="26184" spans="7:16" s="1634" customFormat="1">
      <c r="G26184" s="3336"/>
      <c r="P26184" s="3337"/>
    </row>
    <row r="26185" spans="7:16" s="1634" customFormat="1">
      <c r="G26185" s="3336"/>
      <c r="P26185" s="3337"/>
    </row>
    <row r="26186" spans="7:16" s="1634" customFormat="1">
      <c r="G26186" s="3336"/>
      <c r="P26186" s="3337"/>
    </row>
    <row r="26187" spans="7:16" s="1634" customFormat="1">
      <c r="G26187" s="3336"/>
      <c r="P26187" s="3337"/>
    </row>
    <row r="26188" spans="7:16" s="1634" customFormat="1">
      <c r="G26188" s="3336"/>
      <c r="P26188" s="3337"/>
    </row>
    <row r="26189" spans="7:16" s="1634" customFormat="1">
      <c r="G26189" s="3336"/>
      <c r="P26189" s="3337"/>
    </row>
    <row r="26190" spans="7:16" s="1634" customFormat="1">
      <c r="G26190" s="3336"/>
      <c r="P26190" s="3337"/>
    </row>
    <row r="26191" spans="7:16" s="1634" customFormat="1">
      <c r="G26191" s="3336"/>
      <c r="P26191" s="3337"/>
    </row>
    <row r="26192" spans="7:16" s="1634" customFormat="1">
      <c r="G26192" s="3336"/>
      <c r="P26192" s="3337"/>
    </row>
    <row r="26193" spans="7:16" s="1634" customFormat="1">
      <c r="G26193" s="3336"/>
      <c r="P26193" s="3337"/>
    </row>
    <row r="26194" spans="7:16" s="1634" customFormat="1">
      <c r="G26194" s="3336"/>
      <c r="P26194" s="3337"/>
    </row>
    <row r="26195" spans="7:16" s="1634" customFormat="1">
      <c r="G26195" s="3336"/>
      <c r="P26195" s="3337"/>
    </row>
    <row r="26196" spans="7:16" s="1634" customFormat="1">
      <c r="G26196" s="3336"/>
      <c r="P26196" s="3337"/>
    </row>
    <row r="26197" spans="7:16" s="1634" customFormat="1">
      <c r="G26197" s="3336"/>
      <c r="P26197" s="3337"/>
    </row>
    <row r="26198" spans="7:16" s="1634" customFormat="1">
      <c r="G26198" s="3336"/>
      <c r="P26198" s="3337"/>
    </row>
    <row r="26199" spans="7:16" s="1634" customFormat="1">
      <c r="G26199" s="3336"/>
      <c r="P26199" s="3337"/>
    </row>
    <row r="26200" spans="7:16" s="1634" customFormat="1">
      <c r="G26200" s="3336"/>
      <c r="P26200" s="3337"/>
    </row>
    <row r="26201" spans="7:16" s="1634" customFormat="1">
      <c r="G26201" s="3336"/>
      <c r="P26201" s="3337"/>
    </row>
    <row r="26202" spans="7:16" s="1634" customFormat="1">
      <c r="G26202" s="3336"/>
      <c r="P26202" s="3337"/>
    </row>
    <row r="26203" spans="7:16" s="1634" customFormat="1">
      <c r="G26203" s="3336"/>
      <c r="P26203" s="3337"/>
    </row>
    <row r="26204" spans="7:16" s="1634" customFormat="1">
      <c r="G26204" s="3336"/>
      <c r="P26204" s="3337"/>
    </row>
    <row r="26205" spans="7:16" s="1634" customFormat="1">
      <c r="G26205" s="3336"/>
      <c r="P26205" s="3337"/>
    </row>
    <row r="26206" spans="7:16" s="1634" customFormat="1">
      <c r="G26206" s="3336"/>
      <c r="P26206" s="3337"/>
    </row>
    <row r="26207" spans="7:16" s="1634" customFormat="1">
      <c r="G26207" s="3336"/>
      <c r="P26207" s="3337"/>
    </row>
    <row r="26208" spans="7:16" s="1634" customFormat="1">
      <c r="G26208" s="3336"/>
      <c r="P26208" s="3337"/>
    </row>
    <row r="26209" spans="7:16" s="1634" customFormat="1">
      <c r="G26209" s="3336"/>
      <c r="P26209" s="3337"/>
    </row>
    <row r="26210" spans="7:16" s="1634" customFormat="1">
      <c r="G26210" s="3336"/>
      <c r="P26210" s="3337"/>
    </row>
    <row r="26211" spans="7:16" s="1634" customFormat="1">
      <c r="G26211" s="3336"/>
      <c r="P26211" s="3337"/>
    </row>
    <row r="26212" spans="7:16" s="1634" customFormat="1">
      <c r="G26212" s="3336"/>
      <c r="P26212" s="3337"/>
    </row>
    <row r="26213" spans="7:16" s="1634" customFormat="1">
      <c r="G26213" s="3336"/>
      <c r="P26213" s="3337"/>
    </row>
    <row r="26214" spans="7:16" s="1634" customFormat="1">
      <c r="G26214" s="3336"/>
      <c r="P26214" s="3337"/>
    </row>
    <row r="26215" spans="7:16" s="1634" customFormat="1">
      <c r="G26215" s="3336"/>
      <c r="P26215" s="3337"/>
    </row>
    <row r="26216" spans="7:16" s="1634" customFormat="1">
      <c r="G26216" s="3336"/>
      <c r="P26216" s="3337"/>
    </row>
    <row r="26217" spans="7:16" s="1634" customFormat="1">
      <c r="G26217" s="3336"/>
      <c r="P26217" s="3337"/>
    </row>
    <row r="26218" spans="7:16" s="1634" customFormat="1">
      <c r="G26218" s="3336"/>
      <c r="P26218" s="3337"/>
    </row>
    <row r="26219" spans="7:16" s="1634" customFormat="1">
      <c r="G26219" s="3336"/>
      <c r="P26219" s="3337"/>
    </row>
    <row r="26220" spans="7:16" s="1634" customFormat="1">
      <c r="G26220" s="3336"/>
      <c r="P26220" s="3337"/>
    </row>
    <row r="26221" spans="7:16" s="1634" customFormat="1">
      <c r="G26221" s="3336"/>
      <c r="P26221" s="3337"/>
    </row>
    <row r="26222" spans="7:16" s="1634" customFormat="1">
      <c r="G26222" s="3336"/>
      <c r="P26222" s="3337"/>
    </row>
    <row r="26223" spans="7:16" s="1634" customFormat="1">
      <c r="G26223" s="3336"/>
      <c r="P26223" s="3337"/>
    </row>
    <row r="26224" spans="7:16" s="1634" customFormat="1">
      <c r="G26224" s="3336"/>
      <c r="P26224" s="3337"/>
    </row>
    <row r="26225" spans="7:16" s="1634" customFormat="1">
      <c r="G26225" s="3336"/>
      <c r="P26225" s="3337"/>
    </row>
    <row r="26226" spans="7:16" s="1634" customFormat="1">
      <c r="G26226" s="3336"/>
      <c r="P26226" s="3337"/>
    </row>
    <row r="26227" spans="7:16" s="1634" customFormat="1">
      <c r="G26227" s="3336"/>
      <c r="P26227" s="3337"/>
    </row>
    <row r="26228" spans="7:16" s="1634" customFormat="1">
      <c r="G26228" s="3336"/>
      <c r="P26228" s="3337"/>
    </row>
    <row r="26229" spans="7:16" s="1634" customFormat="1">
      <c r="G26229" s="3336"/>
      <c r="P26229" s="3337"/>
    </row>
    <row r="26230" spans="7:16" s="1634" customFormat="1">
      <c r="G26230" s="3336"/>
      <c r="P26230" s="3337"/>
    </row>
    <row r="26231" spans="7:16" s="1634" customFormat="1">
      <c r="G26231" s="3336"/>
      <c r="P26231" s="3337"/>
    </row>
    <row r="26232" spans="7:16" s="1634" customFormat="1">
      <c r="G26232" s="3336"/>
      <c r="P26232" s="3337"/>
    </row>
    <row r="26233" spans="7:16" s="1634" customFormat="1">
      <c r="G26233" s="3336"/>
      <c r="P26233" s="3337"/>
    </row>
    <row r="26234" spans="7:16" s="1634" customFormat="1">
      <c r="G26234" s="3336"/>
      <c r="P26234" s="3337"/>
    </row>
    <row r="26235" spans="7:16" s="1634" customFormat="1">
      <c r="G26235" s="3336"/>
      <c r="P26235" s="3337"/>
    </row>
    <row r="26236" spans="7:16" s="1634" customFormat="1">
      <c r="G26236" s="3336"/>
      <c r="P26236" s="3337"/>
    </row>
    <row r="26237" spans="7:16" s="1634" customFormat="1">
      <c r="G26237" s="3336"/>
      <c r="P26237" s="3337"/>
    </row>
    <row r="26238" spans="7:16" s="1634" customFormat="1">
      <c r="G26238" s="3336"/>
      <c r="P26238" s="3337"/>
    </row>
    <row r="26239" spans="7:16" s="1634" customFormat="1">
      <c r="G26239" s="3336"/>
      <c r="P26239" s="3337"/>
    </row>
    <row r="26240" spans="7:16" s="1634" customFormat="1">
      <c r="G26240" s="3336"/>
      <c r="P26240" s="3337"/>
    </row>
    <row r="26241" spans="7:16" s="1634" customFormat="1">
      <c r="G26241" s="3336"/>
      <c r="P26241" s="3337"/>
    </row>
    <row r="26242" spans="7:16" s="1634" customFormat="1">
      <c r="G26242" s="3336"/>
      <c r="P26242" s="3337"/>
    </row>
    <row r="26243" spans="7:16" s="1634" customFormat="1">
      <c r="G26243" s="3336"/>
      <c r="P26243" s="3337"/>
    </row>
    <row r="26244" spans="7:16" s="1634" customFormat="1">
      <c r="G26244" s="3336"/>
      <c r="P26244" s="3337"/>
    </row>
    <row r="26245" spans="7:16" s="1634" customFormat="1">
      <c r="G26245" s="3336"/>
      <c r="P26245" s="3337"/>
    </row>
    <row r="26246" spans="7:16" s="1634" customFormat="1">
      <c r="G26246" s="3336"/>
      <c r="P26246" s="3337"/>
    </row>
    <row r="26247" spans="7:16" s="1634" customFormat="1">
      <c r="G26247" s="3336"/>
      <c r="P26247" s="3337"/>
    </row>
    <row r="26248" spans="7:16" s="1634" customFormat="1">
      <c r="G26248" s="3336"/>
      <c r="P26248" s="3337"/>
    </row>
    <row r="26249" spans="7:16" s="1634" customFormat="1">
      <c r="G26249" s="3336"/>
      <c r="P26249" s="3337"/>
    </row>
    <row r="26250" spans="7:16" s="1634" customFormat="1">
      <c r="G26250" s="3336"/>
      <c r="P26250" s="3337"/>
    </row>
    <row r="26251" spans="7:16" s="1634" customFormat="1">
      <c r="G26251" s="3336"/>
      <c r="P26251" s="3337"/>
    </row>
    <row r="26252" spans="7:16" s="1634" customFormat="1">
      <c r="G26252" s="3336"/>
      <c r="P26252" s="3337"/>
    </row>
    <row r="26253" spans="7:16" s="1634" customFormat="1">
      <c r="G26253" s="3336"/>
      <c r="P26253" s="3337"/>
    </row>
    <row r="26254" spans="7:16" s="1634" customFormat="1">
      <c r="G26254" s="3336"/>
      <c r="P26254" s="3337"/>
    </row>
    <row r="26255" spans="7:16" s="1634" customFormat="1">
      <c r="G26255" s="3336"/>
      <c r="P26255" s="3337"/>
    </row>
    <row r="26256" spans="7:16" s="1634" customFormat="1">
      <c r="G26256" s="3336"/>
      <c r="P26256" s="3337"/>
    </row>
    <row r="26257" spans="7:16" s="1634" customFormat="1">
      <c r="G26257" s="3336"/>
      <c r="P26257" s="3337"/>
    </row>
    <row r="26258" spans="7:16" s="1634" customFormat="1">
      <c r="G26258" s="3336"/>
      <c r="P26258" s="3337"/>
    </row>
    <row r="26259" spans="7:16" s="1634" customFormat="1">
      <c r="G26259" s="3336"/>
      <c r="P26259" s="3337"/>
    </row>
    <row r="26260" spans="7:16" s="1634" customFormat="1">
      <c r="G26260" s="3336"/>
      <c r="P26260" s="3337"/>
    </row>
    <row r="26261" spans="7:16" s="1634" customFormat="1">
      <c r="G26261" s="3336"/>
      <c r="P26261" s="3337"/>
    </row>
    <row r="26262" spans="7:16" s="1634" customFormat="1">
      <c r="G26262" s="3336"/>
      <c r="P26262" s="3337"/>
    </row>
    <row r="26263" spans="7:16" s="1634" customFormat="1">
      <c r="G26263" s="3336"/>
      <c r="P26263" s="3337"/>
    </row>
    <row r="26264" spans="7:16" s="1634" customFormat="1">
      <c r="G26264" s="3336"/>
      <c r="P26264" s="3337"/>
    </row>
    <row r="26265" spans="7:16" s="1634" customFormat="1">
      <c r="G26265" s="3336"/>
      <c r="P26265" s="3337"/>
    </row>
    <row r="26266" spans="7:16" s="1634" customFormat="1">
      <c r="G26266" s="3336"/>
      <c r="P26266" s="3337"/>
    </row>
    <row r="26267" spans="7:16" s="1634" customFormat="1">
      <c r="G26267" s="3336"/>
      <c r="P26267" s="3337"/>
    </row>
    <row r="26268" spans="7:16" s="1634" customFormat="1">
      <c r="G26268" s="3336"/>
      <c r="P26268" s="3337"/>
    </row>
    <row r="26269" spans="7:16" s="1634" customFormat="1">
      <c r="G26269" s="3336"/>
      <c r="P26269" s="3337"/>
    </row>
    <row r="26270" spans="7:16" s="1634" customFormat="1">
      <c r="G26270" s="3336"/>
      <c r="P26270" s="3337"/>
    </row>
    <row r="26271" spans="7:16" s="1634" customFormat="1">
      <c r="G26271" s="3336"/>
      <c r="P26271" s="3337"/>
    </row>
    <row r="26272" spans="7:16" s="1634" customFormat="1">
      <c r="G26272" s="3336"/>
      <c r="P26272" s="3337"/>
    </row>
    <row r="26273" spans="7:16" s="1634" customFormat="1">
      <c r="G26273" s="3336"/>
      <c r="P26273" s="3337"/>
    </row>
    <row r="26274" spans="7:16" s="1634" customFormat="1">
      <c r="G26274" s="3336"/>
      <c r="P26274" s="3337"/>
    </row>
    <row r="26275" spans="7:16" s="1634" customFormat="1">
      <c r="G26275" s="3336"/>
      <c r="P26275" s="3337"/>
    </row>
    <row r="26276" spans="7:16" s="1634" customFormat="1">
      <c r="G26276" s="3336"/>
      <c r="P26276" s="3337"/>
    </row>
    <row r="26277" spans="7:16" s="1634" customFormat="1">
      <c r="G26277" s="3336"/>
      <c r="P26277" s="3337"/>
    </row>
    <row r="26278" spans="7:16" s="1634" customFormat="1">
      <c r="G26278" s="3336"/>
      <c r="P26278" s="3337"/>
    </row>
    <row r="26279" spans="7:16" s="1634" customFormat="1">
      <c r="G26279" s="3336"/>
      <c r="P26279" s="3337"/>
    </row>
    <row r="26280" spans="7:16" s="1634" customFormat="1">
      <c r="G26280" s="3336"/>
      <c r="P26280" s="3337"/>
    </row>
    <row r="26281" spans="7:16" s="1634" customFormat="1">
      <c r="G26281" s="3336"/>
      <c r="P26281" s="3337"/>
    </row>
    <row r="26282" spans="7:16" s="1634" customFormat="1">
      <c r="G26282" s="3336"/>
      <c r="P26282" s="3337"/>
    </row>
    <row r="26283" spans="7:16" s="1634" customFormat="1">
      <c r="G26283" s="3336"/>
      <c r="P26283" s="3337"/>
    </row>
    <row r="26284" spans="7:16" s="1634" customFormat="1">
      <c r="G26284" s="3336"/>
      <c r="P26284" s="3337"/>
    </row>
    <row r="26285" spans="7:16" s="1634" customFormat="1">
      <c r="G26285" s="3336"/>
      <c r="P26285" s="3337"/>
    </row>
    <row r="26286" spans="7:16" s="1634" customFormat="1">
      <c r="G26286" s="3336"/>
      <c r="P26286" s="3337"/>
    </row>
    <row r="26287" spans="7:16" s="1634" customFormat="1">
      <c r="G26287" s="3336"/>
      <c r="P26287" s="3337"/>
    </row>
    <row r="26288" spans="7:16" s="1634" customFormat="1">
      <c r="G26288" s="3336"/>
      <c r="P26288" s="3337"/>
    </row>
    <row r="26289" spans="7:16" s="1634" customFormat="1">
      <c r="G26289" s="3336"/>
      <c r="P26289" s="3337"/>
    </row>
    <row r="26290" spans="7:16" s="1634" customFormat="1">
      <c r="G26290" s="3336"/>
      <c r="P26290" s="3337"/>
    </row>
    <row r="26291" spans="7:16" s="1634" customFormat="1">
      <c r="G26291" s="3336"/>
      <c r="P26291" s="3337"/>
    </row>
    <row r="26292" spans="7:16" s="1634" customFormat="1">
      <c r="G26292" s="3336"/>
      <c r="P26292" s="3337"/>
    </row>
    <row r="26293" spans="7:16" s="1634" customFormat="1">
      <c r="G26293" s="3336"/>
      <c r="P26293" s="3337"/>
    </row>
    <row r="26294" spans="7:16" s="1634" customFormat="1">
      <c r="G26294" s="3336"/>
      <c r="P26294" s="3337"/>
    </row>
    <row r="26295" spans="7:16" s="1634" customFormat="1">
      <c r="G26295" s="3336"/>
      <c r="P26295" s="3337"/>
    </row>
    <row r="26296" spans="7:16" s="1634" customFormat="1">
      <c r="G26296" s="3336"/>
      <c r="P26296" s="3337"/>
    </row>
    <row r="26297" spans="7:16" s="1634" customFormat="1">
      <c r="G26297" s="3336"/>
      <c r="P26297" s="3337"/>
    </row>
    <row r="26298" spans="7:16" s="1634" customFormat="1">
      <c r="G26298" s="3336"/>
      <c r="P26298" s="3337"/>
    </row>
    <row r="26299" spans="7:16" s="1634" customFormat="1">
      <c r="G26299" s="3336"/>
      <c r="P26299" s="3337"/>
    </row>
    <row r="26300" spans="7:16" s="1634" customFormat="1">
      <c r="G26300" s="3336"/>
      <c r="P26300" s="3337"/>
    </row>
    <row r="26301" spans="7:16" s="1634" customFormat="1">
      <c r="G26301" s="3336"/>
      <c r="P26301" s="3337"/>
    </row>
    <row r="26302" spans="7:16" s="1634" customFormat="1">
      <c r="G26302" s="3336"/>
      <c r="P26302" s="3337"/>
    </row>
    <row r="26303" spans="7:16" s="1634" customFormat="1">
      <c r="G26303" s="3336"/>
      <c r="P26303" s="3337"/>
    </row>
    <row r="26304" spans="7:16" s="1634" customFormat="1">
      <c r="G26304" s="3336"/>
      <c r="P26304" s="3337"/>
    </row>
    <row r="26305" spans="7:16" s="1634" customFormat="1">
      <c r="G26305" s="3336"/>
      <c r="P26305" s="3337"/>
    </row>
    <row r="26306" spans="7:16" s="1634" customFormat="1">
      <c r="G26306" s="3336"/>
      <c r="P26306" s="3337"/>
    </row>
    <row r="26307" spans="7:16" s="1634" customFormat="1">
      <c r="G26307" s="3336"/>
      <c r="P26307" s="3337"/>
    </row>
    <row r="26308" spans="7:16" s="1634" customFormat="1">
      <c r="G26308" s="3336"/>
      <c r="P26308" s="3337"/>
    </row>
    <row r="26309" spans="7:16" s="1634" customFormat="1">
      <c r="G26309" s="3336"/>
      <c r="P26309" s="3337"/>
    </row>
    <row r="26310" spans="7:16" s="1634" customFormat="1">
      <c r="G26310" s="3336"/>
      <c r="P26310" s="3337"/>
    </row>
    <row r="26311" spans="7:16" s="1634" customFormat="1">
      <c r="G26311" s="3336"/>
      <c r="P26311" s="3337"/>
    </row>
    <row r="26312" spans="7:16" s="1634" customFormat="1">
      <c r="G26312" s="3336"/>
      <c r="P26312" s="3337"/>
    </row>
    <row r="26313" spans="7:16" s="1634" customFormat="1">
      <c r="G26313" s="3336"/>
      <c r="P26313" s="3337"/>
    </row>
    <row r="26314" spans="7:16" s="1634" customFormat="1">
      <c r="G26314" s="3336"/>
      <c r="P26314" s="3337"/>
    </row>
    <row r="26315" spans="7:16" s="1634" customFormat="1">
      <c r="G26315" s="3336"/>
      <c r="P26315" s="3337"/>
    </row>
    <row r="26316" spans="7:16" s="1634" customFormat="1">
      <c r="G26316" s="3336"/>
      <c r="P26316" s="3337"/>
    </row>
    <row r="26317" spans="7:16" s="1634" customFormat="1">
      <c r="G26317" s="3336"/>
      <c r="P26317" s="3337"/>
    </row>
    <row r="26318" spans="7:16" s="1634" customFormat="1">
      <c r="G26318" s="3336"/>
      <c r="P26318" s="3337"/>
    </row>
    <row r="26319" spans="7:16" s="1634" customFormat="1">
      <c r="G26319" s="3336"/>
      <c r="P26319" s="3337"/>
    </row>
    <row r="26320" spans="7:16" s="1634" customFormat="1">
      <c r="G26320" s="3336"/>
      <c r="P26320" s="3337"/>
    </row>
    <row r="26321" spans="7:16" s="1634" customFormat="1">
      <c r="G26321" s="3336"/>
      <c r="P26321" s="3337"/>
    </row>
    <row r="26322" spans="7:16" s="1634" customFormat="1">
      <c r="G26322" s="3336"/>
      <c r="P26322" s="3337"/>
    </row>
    <row r="26323" spans="7:16" s="1634" customFormat="1">
      <c r="G26323" s="3336"/>
      <c r="P26323" s="3337"/>
    </row>
    <row r="26324" spans="7:16" s="1634" customFormat="1">
      <c r="G26324" s="3336"/>
      <c r="P26324" s="3337"/>
    </row>
    <row r="26325" spans="7:16" s="1634" customFormat="1">
      <c r="G26325" s="3336"/>
      <c r="P26325" s="3337"/>
    </row>
    <row r="26326" spans="7:16" s="1634" customFormat="1">
      <c r="G26326" s="3336"/>
      <c r="P26326" s="3337"/>
    </row>
    <row r="26327" spans="7:16" s="1634" customFormat="1">
      <c r="G26327" s="3336"/>
      <c r="P26327" s="3337"/>
    </row>
    <row r="26328" spans="7:16" s="1634" customFormat="1">
      <c r="G26328" s="3336"/>
      <c r="P26328" s="3337"/>
    </row>
    <row r="26329" spans="7:16" s="1634" customFormat="1">
      <c r="G26329" s="3336"/>
      <c r="P26329" s="3337"/>
    </row>
    <row r="26330" spans="7:16" s="1634" customFormat="1">
      <c r="G26330" s="3336"/>
      <c r="P26330" s="3337"/>
    </row>
    <row r="26331" spans="7:16" s="1634" customFormat="1">
      <c r="G26331" s="3336"/>
      <c r="P26331" s="3337"/>
    </row>
    <row r="26332" spans="7:16" s="1634" customFormat="1">
      <c r="G26332" s="3336"/>
      <c r="P26332" s="3337"/>
    </row>
    <row r="26333" spans="7:16" s="1634" customFormat="1">
      <c r="G26333" s="3336"/>
      <c r="P26333" s="3337"/>
    </row>
    <row r="26334" spans="7:16" s="1634" customFormat="1">
      <c r="G26334" s="3336"/>
      <c r="P26334" s="3337"/>
    </row>
    <row r="26335" spans="7:16" s="1634" customFormat="1">
      <c r="G26335" s="3336"/>
      <c r="P26335" s="3337"/>
    </row>
    <row r="26336" spans="7:16" s="1634" customFormat="1">
      <c r="G26336" s="3336"/>
      <c r="P26336" s="3337"/>
    </row>
    <row r="26337" spans="7:16" s="1634" customFormat="1">
      <c r="G26337" s="3336"/>
      <c r="P26337" s="3337"/>
    </row>
    <row r="26338" spans="7:16" s="1634" customFormat="1">
      <c r="G26338" s="3336"/>
      <c r="P26338" s="3337"/>
    </row>
    <row r="26339" spans="7:16" s="1634" customFormat="1">
      <c r="G26339" s="3336"/>
      <c r="P26339" s="3337"/>
    </row>
    <row r="26340" spans="7:16" s="1634" customFormat="1">
      <c r="G26340" s="3336"/>
      <c r="P26340" s="3337"/>
    </row>
    <row r="26341" spans="7:16" s="1634" customFormat="1">
      <c r="G26341" s="3336"/>
      <c r="P26341" s="3337"/>
    </row>
    <row r="26342" spans="7:16" s="1634" customFormat="1">
      <c r="G26342" s="3336"/>
      <c r="P26342" s="3337"/>
    </row>
    <row r="26343" spans="7:16" s="1634" customFormat="1">
      <c r="G26343" s="3336"/>
      <c r="P26343" s="3337"/>
    </row>
    <row r="26344" spans="7:16" s="1634" customFormat="1">
      <c r="G26344" s="3336"/>
      <c r="P26344" s="3337"/>
    </row>
    <row r="26345" spans="7:16" s="1634" customFormat="1">
      <c r="G26345" s="3336"/>
      <c r="P26345" s="3337"/>
    </row>
    <row r="26346" spans="7:16" s="1634" customFormat="1">
      <c r="G26346" s="3336"/>
      <c r="P26346" s="3337"/>
    </row>
    <row r="26347" spans="7:16" s="1634" customFormat="1">
      <c r="G26347" s="3336"/>
      <c r="P26347" s="3337"/>
    </row>
    <row r="26348" spans="7:16" s="1634" customFormat="1">
      <c r="G26348" s="3336"/>
      <c r="P26348" s="3337"/>
    </row>
    <row r="26349" spans="7:16" s="1634" customFormat="1">
      <c r="G26349" s="3336"/>
      <c r="P26349" s="3337"/>
    </row>
    <row r="26350" spans="7:16" s="1634" customFormat="1">
      <c r="G26350" s="3336"/>
      <c r="P26350" s="3337"/>
    </row>
    <row r="26351" spans="7:16" s="1634" customFormat="1">
      <c r="G26351" s="3336"/>
      <c r="P26351" s="3337"/>
    </row>
    <row r="26352" spans="7:16" s="1634" customFormat="1">
      <c r="G26352" s="3336"/>
      <c r="P26352" s="3337"/>
    </row>
    <row r="26353" spans="7:16" s="1634" customFormat="1">
      <c r="G26353" s="3336"/>
      <c r="P26353" s="3337"/>
    </row>
    <row r="26354" spans="7:16" s="1634" customFormat="1">
      <c r="G26354" s="3336"/>
      <c r="P26354" s="3337"/>
    </row>
    <row r="26355" spans="7:16" s="1634" customFormat="1">
      <c r="G26355" s="3336"/>
      <c r="P26355" s="3337"/>
    </row>
    <row r="26356" spans="7:16" s="1634" customFormat="1">
      <c r="G26356" s="3336"/>
      <c r="P26356" s="3337"/>
    </row>
    <row r="26357" spans="7:16" s="1634" customFormat="1">
      <c r="G26357" s="3336"/>
      <c r="P26357" s="3337"/>
    </row>
    <row r="26358" spans="7:16" s="1634" customFormat="1">
      <c r="G26358" s="3336"/>
      <c r="P26358" s="3337"/>
    </row>
    <row r="26359" spans="7:16" s="1634" customFormat="1">
      <c r="G26359" s="3336"/>
      <c r="P26359" s="3337"/>
    </row>
    <row r="26360" spans="7:16" s="1634" customFormat="1">
      <c r="G26360" s="3336"/>
      <c r="P26360" s="3337"/>
    </row>
    <row r="26361" spans="7:16" s="1634" customFormat="1">
      <c r="G26361" s="3336"/>
      <c r="P26361" s="3337"/>
    </row>
    <row r="26362" spans="7:16" s="1634" customFormat="1">
      <c r="G26362" s="3336"/>
      <c r="P26362" s="3337"/>
    </row>
    <row r="26363" spans="7:16" s="1634" customFormat="1">
      <c r="G26363" s="3336"/>
      <c r="P26363" s="3337"/>
    </row>
    <row r="26364" spans="7:16" s="1634" customFormat="1">
      <c r="G26364" s="3336"/>
      <c r="P26364" s="3337"/>
    </row>
    <row r="26365" spans="7:16" s="1634" customFormat="1">
      <c r="G26365" s="3336"/>
      <c r="P26365" s="3337"/>
    </row>
    <row r="26366" spans="7:16" s="1634" customFormat="1">
      <c r="G26366" s="3336"/>
      <c r="P26366" s="3337"/>
    </row>
    <row r="26367" spans="7:16" s="1634" customFormat="1">
      <c r="G26367" s="3336"/>
      <c r="P26367" s="3337"/>
    </row>
    <row r="26368" spans="7:16" s="1634" customFormat="1">
      <c r="G26368" s="3336"/>
      <c r="P26368" s="3337"/>
    </row>
    <row r="26369" spans="7:16" s="1634" customFormat="1">
      <c r="G26369" s="3336"/>
      <c r="P26369" s="3337"/>
    </row>
    <row r="26370" spans="7:16" s="1634" customFormat="1">
      <c r="G26370" s="3336"/>
      <c r="P26370" s="3337"/>
    </row>
    <row r="26371" spans="7:16" s="1634" customFormat="1">
      <c r="G26371" s="3336"/>
      <c r="P26371" s="3337"/>
    </row>
    <row r="26372" spans="7:16" s="1634" customFormat="1">
      <c r="G26372" s="3336"/>
      <c r="P26372" s="3337"/>
    </row>
    <row r="26373" spans="7:16" s="1634" customFormat="1">
      <c r="G26373" s="3336"/>
      <c r="P26373" s="3337"/>
    </row>
    <row r="26374" spans="7:16" s="1634" customFormat="1">
      <c r="G26374" s="3336"/>
      <c r="P26374" s="3337"/>
    </row>
    <row r="26375" spans="7:16" s="1634" customFormat="1">
      <c r="G26375" s="3336"/>
      <c r="P26375" s="3337"/>
    </row>
    <row r="26376" spans="7:16" s="1634" customFormat="1">
      <c r="G26376" s="3336"/>
      <c r="P26376" s="3337"/>
    </row>
    <row r="26377" spans="7:16" s="1634" customFormat="1">
      <c r="G26377" s="3336"/>
      <c r="P26377" s="3337"/>
    </row>
    <row r="26378" spans="7:16" s="1634" customFormat="1">
      <c r="G26378" s="3336"/>
      <c r="P26378" s="3337"/>
    </row>
    <row r="26379" spans="7:16" s="1634" customFormat="1">
      <c r="G26379" s="3336"/>
      <c r="P26379" s="3337"/>
    </row>
    <row r="26380" spans="7:16" s="1634" customFormat="1">
      <c r="G26380" s="3336"/>
      <c r="P26380" s="3337"/>
    </row>
    <row r="26381" spans="7:16" s="1634" customFormat="1">
      <c r="G26381" s="3336"/>
      <c r="P26381" s="3337"/>
    </row>
    <row r="26382" spans="7:16" s="1634" customFormat="1">
      <c r="G26382" s="3336"/>
      <c r="P26382" s="3337"/>
    </row>
    <row r="26383" spans="7:16" s="1634" customFormat="1">
      <c r="G26383" s="3336"/>
      <c r="P26383" s="3337"/>
    </row>
    <row r="26384" spans="7:16" s="1634" customFormat="1">
      <c r="G26384" s="3336"/>
      <c r="P26384" s="3337"/>
    </row>
    <row r="26385" spans="7:16" s="1634" customFormat="1">
      <c r="G26385" s="3336"/>
      <c r="P26385" s="3337"/>
    </row>
    <row r="26386" spans="7:16" s="1634" customFormat="1">
      <c r="G26386" s="3336"/>
      <c r="P26386" s="3337"/>
    </row>
    <row r="26387" spans="7:16" s="1634" customFormat="1">
      <c r="G26387" s="3336"/>
      <c r="P26387" s="3337"/>
    </row>
    <row r="26388" spans="7:16" s="1634" customFormat="1">
      <c r="G26388" s="3336"/>
      <c r="P26388" s="3337"/>
    </row>
    <row r="26389" spans="7:16" s="1634" customFormat="1">
      <c r="G26389" s="3336"/>
      <c r="P26389" s="3337"/>
    </row>
    <row r="26390" spans="7:16" s="1634" customFormat="1">
      <c r="G26390" s="3336"/>
      <c r="P26390" s="3337"/>
    </row>
    <row r="26391" spans="7:16" s="1634" customFormat="1">
      <c r="G26391" s="3336"/>
      <c r="P26391" s="3337"/>
    </row>
    <row r="26392" spans="7:16" s="1634" customFormat="1">
      <c r="G26392" s="3336"/>
      <c r="P26392" s="3337"/>
    </row>
    <row r="26393" spans="7:16" s="1634" customFormat="1">
      <c r="G26393" s="3336"/>
      <c r="P26393" s="3337"/>
    </row>
    <row r="26394" spans="7:16" s="1634" customFormat="1">
      <c r="G26394" s="3336"/>
      <c r="P26394" s="3337"/>
    </row>
    <row r="26395" spans="7:16" s="1634" customFormat="1">
      <c r="G26395" s="3336"/>
      <c r="P26395" s="3337"/>
    </row>
    <row r="26396" spans="7:16" s="1634" customFormat="1">
      <c r="G26396" s="3336"/>
      <c r="P26396" s="3337"/>
    </row>
    <row r="26397" spans="7:16" s="1634" customFormat="1">
      <c r="G26397" s="3336"/>
      <c r="P26397" s="3337"/>
    </row>
    <row r="26398" spans="7:16" s="1634" customFormat="1">
      <c r="G26398" s="3336"/>
      <c r="P26398" s="3337"/>
    </row>
    <row r="26399" spans="7:16" s="1634" customFormat="1">
      <c r="G26399" s="3336"/>
      <c r="P26399" s="3337"/>
    </row>
    <row r="26400" spans="7:16" s="1634" customFormat="1">
      <c r="G26400" s="3336"/>
      <c r="P26400" s="3337"/>
    </row>
    <row r="26401" spans="7:16" s="1634" customFormat="1">
      <c r="G26401" s="3336"/>
      <c r="P26401" s="3337"/>
    </row>
    <row r="26402" spans="7:16" s="1634" customFormat="1">
      <c r="G26402" s="3336"/>
      <c r="P26402" s="3337"/>
    </row>
    <row r="26403" spans="7:16" s="1634" customFormat="1">
      <c r="G26403" s="3336"/>
      <c r="P26403" s="3337"/>
    </row>
    <row r="26404" spans="7:16" s="1634" customFormat="1">
      <c r="G26404" s="3336"/>
      <c r="P26404" s="3337"/>
    </row>
    <row r="26405" spans="7:16" s="1634" customFormat="1">
      <c r="G26405" s="3336"/>
      <c r="P26405" s="3337"/>
    </row>
    <row r="26406" spans="7:16" s="1634" customFormat="1">
      <c r="G26406" s="3336"/>
      <c r="P26406" s="3337"/>
    </row>
    <row r="26407" spans="7:16" s="1634" customFormat="1">
      <c r="G26407" s="3336"/>
      <c r="P26407" s="3337"/>
    </row>
    <row r="26408" spans="7:16" s="1634" customFormat="1">
      <c r="G26408" s="3336"/>
      <c r="P26408" s="3337"/>
    </row>
    <row r="26409" spans="7:16" s="1634" customFormat="1">
      <c r="G26409" s="3336"/>
      <c r="P26409" s="3337"/>
    </row>
    <row r="26410" spans="7:16" s="1634" customFormat="1">
      <c r="G26410" s="3336"/>
      <c r="P26410" s="3337"/>
    </row>
    <row r="26411" spans="7:16" s="1634" customFormat="1">
      <c r="G26411" s="3336"/>
      <c r="P26411" s="3337"/>
    </row>
    <row r="26412" spans="7:16" s="1634" customFormat="1">
      <c r="G26412" s="3336"/>
      <c r="P26412" s="3337"/>
    </row>
    <row r="26413" spans="7:16" s="1634" customFormat="1">
      <c r="G26413" s="3336"/>
      <c r="P26413" s="3337"/>
    </row>
    <row r="26414" spans="7:16" s="1634" customFormat="1">
      <c r="G26414" s="3336"/>
      <c r="P26414" s="3337"/>
    </row>
    <row r="26415" spans="7:16" s="1634" customFormat="1">
      <c r="G26415" s="3336"/>
      <c r="P26415" s="3337"/>
    </row>
    <row r="26416" spans="7:16" s="1634" customFormat="1">
      <c r="G26416" s="3336"/>
      <c r="P26416" s="3337"/>
    </row>
    <row r="26417" spans="7:16" s="1634" customFormat="1">
      <c r="G26417" s="3336"/>
      <c r="P26417" s="3337"/>
    </row>
    <row r="26418" spans="7:16" s="1634" customFormat="1">
      <c r="G26418" s="3336"/>
      <c r="P26418" s="3337"/>
    </row>
    <row r="26419" spans="7:16" s="1634" customFormat="1">
      <c r="G26419" s="3336"/>
      <c r="P26419" s="3337"/>
    </row>
    <row r="26420" spans="7:16" s="1634" customFormat="1">
      <c r="G26420" s="3336"/>
      <c r="P26420" s="3337"/>
    </row>
    <row r="26421" spans="7:16" s="1634" customFormat="1">
      <c r="G26421" s="3336"/>
      <c r="P26421" s="3337"/>
    </row>
    <row r="26422" spans="7:16" s="1634" customFormat="1">
      <c r="G26422" s="3336"/>
      <c r="P26422" s="3337"/>
    </row>
    <row r="26423" spans="7:16" s="1634" customFormat="1">
      <c r="G26423" s="3336"/>
      <c r="P26423" s="3337"/>
    </row>
    <row r="26424" spans="7:16" s="1634" customFormat="1">
      <c r="G26424" s="3336"/>
      <c r="P26424" s="3337"/>
    </row>
    <row r="26425" spans="7:16" s="1634" customFormat="1">
      <c r="G26425" s="3336"/>
      <c r="P26425" s="3337"/>
    </row>
    <row r="26426" spans="7:16" s="1634" customFormat="1">
      <c r="G26426" s="3336"/>
      <c r="P26426" s="3337"/>
    </row>
    <row r="26427" spans="7:16" s="1634" customFormat="1">
      <c r="G26427" s="3336"/>
      <c r="P26427" s="3337"/>
    </row>
    <row r="26428" spans="7:16" s="1634" customFormat="1">
      <c r="G26428" s="3336"/>
      <c r="P26428" s="3337"/>
    </row>
    <row r="26429" spans="7:16" s="1634" customFormat="1">
      <c r="G26429" s="3336"/>
      <c r="P26429" s="3337"/>
    </row>
    <row r="26430" spans="7:16" s="1634" customFormat="1">
      <c r="G26430" s="3336"/>
      <c r="P26430" s="3337"/>
    </row>
    <row r="26431" spans="7:16" s="1634" customFormat="1">
      <c r="G26431" s="3336"/>
      <c r="P26431" s="3337"/>
    </row>
    <row r="26432" spans="7:16" s="1634" customFormat="1">
      <c r="G26432" s="3336"/>
      <c r="P26432" s="3337"/>
    </row>
    <row r="26433" spans="7:16" s="1634" customFormat="1">
      <c r="G26433" s="3336"/>
      <c r="P26433" s="3337"/>
    </row>
    <row r="26434" spans="7:16" s="1634" customFormat="1">
      <c r="G26434" s="3336"/>
      <c r="P26434" s="3337"/>
    </row>
    <row r="26435" spans="7:16" s="1634" customFormat="1">
      <c r="G26435" s="3336"/>
      <c r="P26435" s="3337"/>
    </row>
    <row r="26436" spans="7:16" s="1634" customFormat="1">
      <c r="G26436" s="3336"/>
      <c r="P26436" s="3337"/>
    </row>
    <row r="26437" spans="7:16" s="1634" customFormat="1">
      <c r="G26437" s="3336"/>
      <c r="P26437" s="3337"/>
    </row>
    <row r="26438" spans="7:16" s="1634" customFormat="1">
      <c r="G26438" s="3336"/>
      <c r="P26438" s="3337"/>
    </row>
    <row r="26439" spans="7:16" s="1634" customFormat="1">
      <c r="G26439" s="3336"/>
      <c r="P26439" s="3337"/>
    </row>
    <row r="26440" spans="7:16" s="1634" customFormat="1">
      <c r="G26440" s="3336"/>
      <c r="P26440" s="3337"/>
    </row>
    <row r="26441" spans="7:16" s="1634" customFormat="1">
      <c r="G26441" s="3336"/>
      <c r="P26441" s="3337"/>
    </row>
    <row r="26442" spans="7:16" s="1634" customFormat="1">
      <c r="G26442" s="3336"/>
      <c r="P26442" s="3337"/>
    </row>
    <row r="26443" spans="7:16" s="1634" customFormat="1">
      <c r="G26443" s="3336"/>
      <c r="P26443" s="3337"/>
    </row>
    <row r="26444" spans="7:16" s="1634" customFormat="1">
      <c r="G26444" s="3336"/>
      <c r="P26444" s="3337"/>
    </row>
    <row r="26445" spans="7:16" s="1634" customFormat="1">
      <c r="G26445" s="3336"/>
      <c r="P26445" s="3337"/>
    </row>
    <row r="26446" spans="7:16" s="1634" customFormat="1">
      <c r="G26446" s="3336"/>
      <c r="P26446" s="3337"/>
    </row>
    <row r="26447" spans="7:16" s="1634" customFormat="1">
      <c r="G26447" s="3336"/>
      <c r="P26447" s="3337"/>
    </row>
    <row r="26448" spans="7:16" s="1634" customFormat="1">
      <c r="G26448" s="3336"/>
      <c r="P26448" s="3337"/>
    </row>
    <row r="26449" spans="7:16" s="1634" customFormat="1">
      <c r="G26449" s="3336"/>
      <c r="P26449" s="3337"/>
    </row>
    <row r="26450" spans="7:16" s="1634" customFormat="1">
      <c r="G26450" s="3336"/>
      <c r="P26450" s="3337"/>
    </row>
    <row r="26451" spans="7:16" s="1634" customFormat="1">
      <c r="G26451" s="3336"/>
      <c r="P26451" s="3337"/>
    </row>
    <row r="26452" spans="7:16" s="1634" customFormat="1">
      <c r="G26452" s="3336"/>
      <c r="P26452" s="3337"/>
    </row>
    <row r="26453" spans="7:16" s="1634" customFormat="1">
      <c r="G26453" s="3336"/>
      <c r="P26453" s="3337"/>
    </row>
    <row r="26454" spans="7:16" s="1634" customFormat="1">
      <c r="G26454" s="3336"/>
      <c r="P26454" s="3337"/>
    </row>
    <row r="26455" spans="7:16" s="1634" customFormat="1">
      <c r="G26455" s="3336"/>
      <c r="P26455" s="3337"/>
    </row>
    <row r="26456" spans="7:16" s="1634" customFormat="1">
      <c r="G26456" s="3336"/>
      <c r="P26456" s="3337"/>
    </row>
    <row r="26457" spans="7:16" s="1634" customFormat="1">
      <c r="G26457" s="3336"/>
      <c r="P26457" s="3337"/>
    </row>
    <row r="26458" spans="7:16" s="1634" customFormat="1">
      <c r="G26458" s="3336"/>
      <c r="P26458" s="3337"/>
    </row>
    <row r="26459" spans="7:16" s="1634" customFormat="1">
      <c r="G26459" s="3336"/>
      <c r="P26459" s="3337"/>
    </row>
    <row r="26460" spans="7:16" s="1634" customFormat="1">
      <c r="G26460" s="3336"/>
      <c r="P26460" s="3337"/>
    </row>
    <row r="26461" spans="7:16" s="1634" customFormat="1">
      <c r="G26461" s="3336"/>
      <c r="P26461" s="3337"/>
    </row>
    <row r="26462" spans="7:16" s="1634" customFormat="1">
      <c r="G26462" s="3336"/>
      <c r="P26462" s="3337"/>
    </row>
    <row r="26463" spans="7:16" s="1634" customFormat="1">
      <c r="G26463" s="3336"/>
      <c r="P26463" s="3337"/>
    </row>
    <row r="26464" spans="7:16" s="1634" customFormat="1">
      <c r="G26464" s="3336"/>
      <c r="P26464" s="3337"/>
    </row>
    <row r="26465" spans="7:16" s="1634" customFormat="1">
      <c r="G26465" s="3336"/>
      <c r="P26465" s="3337"/>
    </row>
    <row r="26466" spans="7:16" s="1634" customFormat="1">
      <c r="G26466" s="3336"/>
      <c r="P26466" s="3337"/>
    </row>
    <row r="26467" spans="7:16" s="1634" customFormat="1">
      <c r="G26467" s="3336"/>
      <c r="P26467" s="3337"/>
    </row>
    <row r="26468" spans="7:16" s="1634" customFormat="1">
      <c r="G26468" s="3336"/>
      <c r="P26468" s="3337"/>
    </row>
    <row r="26469" spans="7:16" s="1634" customFormat="1">
      <c r="G26469" s="3336"/>
      <c r="P26469" s="3337"/>
    </row>
    <row r="26470" spans="7:16" s="1634" customFormat="1">
      <c r="G26470" s="3336"/>
      <c r="P26470" s="3337"/>
    </row>
    <row r="26471" spans="7:16" s="1634" customFormat="1">
      <c r="G26471" s="3336"/>
      <c r="P26471" s="3337"/>
    </row>
    <row r="26472" spans="7:16" s="1634" customFormat="1">
      <c r="G26472" s="3336"/>
      <c r="P26472" s="3337"/>
    </row>
    <row r="26473" spans="7:16" s="1634" customFormat="1">
      <c r="G26473" s="3336"/>
      <c r="P26473" s="3337"/>
    </row>
    <row r="26474" spans="7:16" s="1634" customFormat="1">
      <c r="G26474" s="3336"/>
      <c r="P26474" s="3337"/>
    </row>
    <row r="26475" spans="7:16" s="1634" customFormat="1">
      <c r="G26475" s="3336"/>
      <c r="P26475" s="3337"/>
    </row>
    <row r="26476" spans="7:16" s="1634" customFormat="1">
      <c r="G26476" s="3336"/>
      <c r="P26476" s="3337"/>
    </row>
    <row r="26477" spans="7:16" s="1634" customFormat="1">
      <c r="G26477" s="3336"/>
      <c r="P26477" s="3337"/>
    </row>
    <row r="26478" spans="7:16" s="1634" customFormat="1">
      <c r="G26478" s="3336"/>
      <c r="P26478" s="3337"/>
    </row>
    <row r="26479" spans="7:16" s="1634" customFormat="1">
      <c r="G26479" s="3336"/>
      <c r="P26479" s="3337"/>
    </row>
    <row r="26480" spans="7:16" s="1634" customFormat="1">
      <c r="G26480" s="3336"/>
      <c r="P26480" s="3337"/>
    </row>
    <row r="26481" spans="7:16" s="1634" customFormat="1">
      <c r="G26481" s="3336"/>
      <c r="P26481" s="3337"/>
    </row>
    <row r="26482" spans="7:16" s="1634" customFormat="1">
      <c r="G26482" s="3336"/>
      <c r="P26482" s="3337"/>
    </row>
    <row r="26483" spans="7:16" s="1634" customFormat="1">
      <c r="G26483" s="3336"/>
      <c r="P26483" s="3337"/>
    </row>
    <row r="26484" spans="7:16" s="1634" customFormat="1">
      <c r="G26484" s="3336"/>
      <c r="P26484" s="3337"/>
    </row>
    <row r="26485" spans="7:16" s="1634" customFormat="1">
      <c r="G26485" s="3336"/>
      <c r="P26485" s="3337"/>
    </row>
    <row r="26486" spans="7:16" s="1634" customFormat="1">
      <c r="G26486" s="3336"/>
      <c r="P26486" s="3337"/>
    </row>
    <row r="26487" spans="7:16" s="1634" customFormat="1">
      <c r="G26487" s="3336"/>
      <c r="P26487" s="3337"/>
    </row>
    <row r="26488" spans="7:16" s="1634" customFormat="1">
      <c r="G26488" s="3336"/>
      <c r="P26488" s="3337"/>
    </row>
    <row r="26489" spans="7:16" s="1634" customFormat="1">
      <c r="G26489" s="3336"/>
      <c r="P26489" s="3337"/>
    </row>
    <row r="26490" spans="7:16" s="1634" customFormat="1">
      <c r="G26490" s="3336"/>
      <c r="P26490" s="3337"/>
    </row>
    <row r="26491" spans="7:16" s="1634" customFormat="1">
      <c r="G26491" s="3336"/>
      <c r="P26491" s="3337"/>
    </row>
    <row r="26492" spans="7:16" s="1634" customFormat="1">
      <c r="G26492" s="3336"/>
      <c r="P26492" s="3337"/>
    </row>
    <row r="26493" spans="7:16" s="1634" customFormat="1">
      <c r="G26493" s="3336"/>
      <c r="P26493" s="3337"/>
    </row>
    <row r="26494" spans="7:16" s="1634" customFormat="1">
      <c r="G26494" s="3336"/>
      <c r="P26494" s="3337"/>
    </row>
    <row r="26495" spans="7:16" s="1634" customFormat="1">
      <c r="G26495" s="3336"/>
      <c r="P26495" s="3337"/>
    </row>
    <row r="26496" spans="7:16" s="1634" customFormat="1">
      <c r="G26496" s="3336"/>
      <c r="P26496" s="3337"/>
    </row>
    <row r="26497" spans="7:16" s="1634" customFormat="1">
      <c r="G26497" s="3336"/>
      <c r="P26497" s="3337"/>
    </row>
    <row r="26498" spans="7:16" s="1634" customFormat="1">
      <c r="G26498" s="3336"/>
      <c r="P26498" s="3337"/>
    </row>
    <row r="26499" spans="7:16" s="1634" customFormat="1">
      <c r="G26499" s="3336"/>
      <c r="P26499" s="3337"/>
    </row>
    <row r="26500" spans="7:16" s="1634" customFormat="1">
      <c r="G26500" s="3336"/>
      <c r="P26500" s="3337"/>
    </row>
    <row r="26501" spans="7:16" s="1634" customFormat="1">
      <c r="G26501" s="3336"/>
      <c r="P26501" s="3337"/>
    </row>
    <row r="26502" spans="7:16" s="1634" customFormat="1">
      <c r="G26502" s="3336"/>
      <c r="P26502" s="3337"/>
    </row>
    <row r="26503" spans="7:16" s="1634" customFormat="1">
      <c r="G26503" s="3336"/>
      <c r="P26503" s="3337"/>
    </row>
    <row r="26504" spans="7:16" s="1634" customFormat="1">
      <c r="G26504" s="3336"/>
      <c r="P26504" s="3337"/>
    </row>
    <row r="26505" spans="7:16" s="1634" customFormat="1">
      <c r="G26505" s="3336"/>
      <c r="P26505" s="3337"/>
    </row>
    <row r="26506" spans="7:16" s="1634" customFormat="1">
      <c r="G26506" s="3336"/>
      <c r="P26506" s="3337"/>
    </row>
    <row r="26507" spans="7:16" s="1634" customFormat="1">
      <c r="G26507" s="3336"/>
      <c r="P26507" s="3337"/>
    </row>
    <row r="26508" spans="7:16" s="1634" customFormat="1">
      <c r="G26508" s="3336"/>
      <c r="P26508" s="3337"/>
    </row>
    <row r="26509" spans="7:16" s="1634" customFormat="1">
      <c r="G26509" s="3336"/>
      <c r="P26509" s="3337"/>
    </row>
    <row r="26510" spans="7:16" s="1634" customFormat="1">
      <c r="G26510" s="3336"/>
      <c r="P26510" s="3337"/>
    </row>
    <row r="26511" spans="7:16" s="1634" customFormat="1">
      <c r="G26511" s="3336"/>
      <c r="P26511" s="3337"/>
    </row>
    <row r="26512" spans="7:16" s="1634" customFormat="1">
      <c r="G26512" s="3336"/>
      <c r="P26512" s="3337"/>
    </row>
    <row r="26513" spans="7:16" s="1634" customFormat="1">
      <c r="G26513" s="3336"/>
      <c r="P26513" s="3337"/>
    </row>
    <row r="26514" spans="7:16" s="1634" customFormat="1">
      <c r="G26514" s="3336"/>
      <c r="P26514" s="3337"/>
    </row>
    <row r="26515" spans="7:16" s="1634" customFormat="1">
      <c r="G26515" s="3336"/>
      <c r="P26515" s="3337"/>
    </row>
    <row r="26516" spans="7:16" s="1634" customFormat="1">
      <c r="G26516" s="3336"/>
      <c r="P26516" s="3337"/>
    </row>
    <row r="26517" spans="7:16" s="1634" customFormat="1">
      <c r="G26517" s="3336"/>
      <c r="P26517" s="3337"/>
    </row>
    <row r="26518" spans="7:16" s="1634" customFormat="1">
      <c r="G26518" s="3336"/>
      <c r="P26518" s="3337"/>
    </row>
    <row r="26519" spans="7:16" s="1634" customFormat="1">
      <c r="G26519" s="3336"/>
      <c r="P26519" s="3337"/>
    </row>
    <row r="26520" spans="7:16" s="1634" customFormat="1">
      <c r="G26520" s="3336"/>
      <c r="P26520" s="3337"/>
    </row>
    <row r="26521" spans="7:16" s="1634" customFormat="1">
      <c r="G26521" s="3336"/>
      <c r="P26521" s="3337"/>
    </row>
    <row r="26522" spans="7:16" s="1634" customFormat="1">
      <c r="G26522" s="3336"/>
      <c r="P26522" s="3337"/>
    </row>
    <row r="26523" spans="7:16" s="1634" customFormat="1">
      <c r="G26523" s="3336"/>
      <c r="P26523" s="3337"/>
    </row>
    <row r="26524" spans="7:16" s="1634" customFormat="1">
      <c r="G26524" s="3336"/>
      <c r="P26524" s="3337"/>
    </row>
    <row r="26525" spans="7:16" s="1634" customFormat="1">
      <c r="G26525" s="3336"/>
      <c r="P26525" s="3337"/>
    </row>
    <row r="26526" spans="7:16" s="1634" customFormat="1">
      <c r="G26526" s="3336"/>
      <c r="P26526" s="3337"/>
    </row>
    <row r="26527" spans="7:16" s="1634" customFormat="1">
      <c r="G26527" s="3336"/>
      <c r="P26527" s="3337"/>
    </row>
    <row r="26528" spans="7:16" s="1634" customFormat="1">
      <c r="G26528" s="3336"/>
      <c r="P26528" s="3337"/>
    </row>
    <row r="26529" spans="7:16" s="1634" customFormat="1">
      <c r="G26529" s="3336"/>
      <c r="P26529" s="3337"/>
    </row>
    <row r="26530" spans="7:16" s="1634" customFormat="1">
      <c r="G26530" s="3336"/>
      <c r="P26530" s="3337"/>
    </row>
    <row r="26531" spans="7:16" s="1634" customFormat="1">
      <c r="G26531" s="3336"/>
      <c r="P26531" s="3337"/>
    </row>
    <row r="26532" spans="7:16" s="1634" customFormat="1">
      <c r="G26532" s="3336"/>
      <c r="P26532" s="3337"/>
    </row>
    <row r="26533" spans="7:16" s="1634" customFormat="1">
      <c r="G26533" s="3336"/>
      <c r="P26533" s="3337"/>
    </row>
    <row r="26534" spans="7:16" s="1634" customFormat="1">
      <c r="G26534" s="3336"/>
      <c r="P26534" s="3337"/>
    </row>
    <row r="26535" spans="7:16" s="1634" customFormat="1">
      <c r="G26535" s="3336"/>
      <c r="P26535" s="3337"/>
    </row>
    <row r="26536" spans="7:16" s="1634" customFormat="1">
      <c r="G26536" s="3336"/>
      <c r="P26536" s="3337"/>
    </row>
    <row r="26537" spans="7:16" s="1634" customFormat="1">
      <c r="G26537" s="3336"/>
      <c r="P26537" s="3337"/>
    </row>
    <row r="26538" spans="7:16" s="1634" customFormat="1">
      <c r="G26538" s="3336"/>
      <c r="P26538" s="3337"/>
    </row>
    <row r="26539" spans="7:16" s="1634" customFormat="1">
      <c r="G26539" s="3336"/>
      <c r="P26539" s="3337"/>
    </row>
    <row r="26540" spans="7:16" s="1634" customFormat="1">
      <c r="G26540" s="3336"/>
      <c r="P26540" s="3337"/>
    </row>
    <row r="26541" spans="7:16" s="1634" customFormat="1">
      <c r="G26541" s="3336"/>
      <c r="P26541" s="3337"/>
    </row>
    <row r="26542" spans="7:16" s="1634" customFormat="1">
      <c r="G26542" s="3336"/>
      <c r="P26542" s="3337"/>
    </row>
    <row r="26543" spans="7:16" s="1634" customFormat="1">
      <c r="G26543" s="3336"/>
      <c r="P26543" s="3337"/>
    </row>
    <row r="26544" spans="7:16" s="1634" customFormat="1">
      <c r="G26544" s="3336"/>
      <c r="P26544" s="3337"/>
    </row>
    <row r="26545" spans="7:16" s="1634" customFormat="1">
      <c r="G26545" s="3336"/>
      <c r="P26545" s="3337"/>
    </row>
    <row r="26546" spans="7:16" s="1634" customFormat="1">
      <c r="G26546" s="3336"/>
      <c r="P26546" s="3337"/>
    </row>
    <row r="26547" spans="7:16" s="1634" customFormat="1">
      <c r="G26547" s="3336"/>
      <c r="P26547" s="3337"/>
    </row>
    <row r="26548" spans="7:16" s="1634" customFormat="1">
      <c r="G26548" s="3336"/>
      <c r="P26548" s="3337"/>
    </row>
    <row r="26549" spans="7:16" s="1634" customFormat="1">
      <c r="G26549" s="3336"/>
      <c r="P26549" s="3337"/>
    </row>
    <row r="26550" spans="7:16" s="1634" customFormat="1">
      <c r="G26550" s="3336"/>
      <c r="P26550" s="3337"/>
    </row>
    <row r="26551" spans="7:16" s="1634" customFormat="1">
      <c r="G26551" s="3336"/>
      <c r="P26551" s="3337"/>
    </row>
    <row r="26552" spans="7:16" s="1634" customFormat="1">
      <c r="G26552" s="3336"/>
      <c r="P26552" s="3337"/>
    </row>
    <row r="26553" spans="7:16" s="1634" customFormat="1">
      <c r="G26553" s="3336"/>
      <c r="P26553" s="3337"/>
    </row>
    <row r="26554" spans="7:16" s="1634" customFormat="1">
      <c r="G26554" s="3336"/>
      <c r="P26554" s="3337"/>
    </row>
    <row r="26555" spans="7:16" s="1634" customFormat="1">
      <c r="G26555" s="3336"/>
      <c r="P26555" s="3337"/>
    </row>
    <row r="26556" spans="7:16" s="1634" customFormat="1">
      <c r="G26556" s="3336"/>
      <c r="P26556" s="3337"/>
    </row>
    <row r="26557" spans="7:16" s="1634" customFormat="1">
      <c r="G26557" s="3336"/>
      <c r="P26557" s="3337"/>
    </row>
    <row r="26558" spans="7:16" s="1634" customFormat="1">
      <c r="G26558" s="3336"/>
      <c r="P26558" s="3337"/>
    </row>
    <row r="26559" spans="7:16" s="1634" customFormat="1">
      <c r="G26559" s="3336"/>
      <c r="P26559" s="3337"/>
    </row>
    <row r="26560" spans="7:16" s="1634" customFormat="1">
      <c r="G26560" s="3336"/>
      <c r="P26560" s="3337"/>
    </row>
    <row r="26561" spans="7:16" s="1634" customFormat="1">
      <c r="G26561" s="3336"/>
      <c r="P26561" s="3337"/>
    </row>
    <row r="26562" spans="7:16" s="1634" customFormat="1">
      <c r="G26562" s="3336"/>
      <c r="P26562" s="3337"/>
    </row>
    <row r="26563" spans="7:16" s="1634" customFormat="1">
      <c r="G26563" s="3336"/>
      <c r="P26563" s="3337"/>
    </row>
    <row r="26564" spans="7:16" s="1634" customFormat="1">
      <c r="G26564" s="3336"/>
      <c r="P26564" s="3337"/>
    </row>
    <row r="26565" spans="7:16" s="1634" customFormat="1">
      <c r="G26565" s="3336"/>
      <c r="P26565" s="3337"/>
    </row>
    <row r="26566" spans="7:16" s="1634" customFormat="1">
      <c r="G26566" s="3336"/>
      <c r="P26566" s="3337"/>
    </row>
    <row r="26567" spans="7:16" s="1634" customFormat="1">
      <c r="G26567" s="3336"/>
      <c r="P26567" s="3337"/>
    </row>
    <row r="26568" spans="7:16" s="1634" customFormat="1">
      <c r="G26568" s="3336"/>
      <c r="P26568" s="3337"/>
    </row>
    <row r="26569" spans="7:16" s="1634" customFormat="1">
      <c r="G26569" s="3336"/>
      <c r="P26569" s="3337"/>
    </row>
    <row r="26570" spans="7:16" s="1634" customFormat="1">
      <c r="G26570" s="3336"/>
      <c r="P26570" s="3337"/>
    </row>
    <row r="26571" spans="7:16" s="1634" customFormat="1">
      <c r="G26571" s="3336"/>
      <c r="P26571" s="3337"/>
    </row>
    <row r="26572" spans="7:16" s="1634" customFormat="1">
      <c r="G26572" s="3336"/>
      <c r="P26572" s="3337"/>
    </row>
    <row r="26573" spans="7:16" s="1634" customFormat="1">
      <c r="G26573" s="3336"/>
      <c r="P26573" s="3337"/>
    </row>
    <row r="26574" spans="7:16" s="1634" customFormat="1">
      <c r="G26574" s="3336"/>
      <c r="P26574" s="3337"/>
    </row>
    <row r="26575" spans="7:16" s="1634" customFormat="1">
      <c r="G26575" s="3336"/>
      <c r="P26575" s="3337"/>
    </row>
    <row r="26576" spans="7:16" s="1634" customFormat="1">
      <c r="G26576" s="3336"/>
      <c r="P26576" s="3337"/>
    </row>
    <row r="26577" spans="7:16" s="1634" customFormat="1">
      <c r="G26577" s="3336"/>
      <c r="P26577" s="3337"/>
    </row>
    <row r="26578" spans="7:16" s="1634" customFormat="1">
      <c r="G26578" s="3336"/>
      <c r="P26578" s="3337"/>
    </row>
    <row r="26579" spans="7:16" s="1634" customFormat="1">
      <c r="G26579" s="3336"/>
      <c r="P26579" s="3337"/>
    </row>
    <row r="26580" spans="7:16" s="1634" customFormat="1">
      <c r="G26580" s="3336"/>
      <c r="P26580" s="3337"/>
    </row>
    <row r="26581" spans="7:16" s="1634" customFormat="1">
      <c r="G26581" s="3336"/>
      <c r="P26581" s="3337"/>
    </row>
    <row r="26582" spans="7:16" s="1634" customFormat="1">
      <c r="G26582" s="3336"/>
      <c r="P26582" s="3337"/>
    </row>
    <row r="26583" spans="7:16" s="1634" customFormat="1">
      <c r="G26583" s="3336"/>
      <c r="P26583" s="3337"/>
    </row>
    <row r="26584" spans="7:16" s="1634" customFormat="1">
      <c r="G26584" s="3336"/>
      <c r="P26584" s="3337"/>
    </row>
    <row r="26585" spans="7:16" s="1634" customFormat="1">
      <c r="G26585" s="3336"/>
      <c r="P26585" s="3337"/>
    </row>
    <row r="26586" spans="7:16" s="1634" customFormat="1">
      <c r="G26586" s="3336"/>
      <c r="P26586" s="3337"/>
    </row>
    <row r="26587" spans="7:16" s="1634" customFormat="1">
      <c r="G26587" s="3336"/>
      <c r="P26587" s="3337"/>
    </row>
    <row r="26588" spans="7:16" s="1634" customFormat="1">
      <c r="G26588" s="3336"/>
      <c r="P26588" s="3337"/>
    </row>
    <row r="26589" spans="7:16" s="1634" customFormat="1">
      <c r="G26589" s="3336"/>
      <c r="P26589" s="3337"/>
    </row>
    <row r="26590" spans="7:16" s="1634" customFormat="1">
      <c r="G26590" s="3336"/>
      <c r="P26590" s="3337"/>
    </row>
    <row r="26591" spans="7:16" s="1634" customFormat="1">
      <c r="G26591" s="3336"/>
      <c r="P26591" s="3337"/>
    </row>
    <row r="26592" spans="7:16" s="1634" customFormat="1">
      <c r="G26592" s="3336"/>
      <c r="P26592" s="3337"/>
    </row>
    <row r="26593" spans="7:16" s="1634" customFormat="1">
      <c r="G26593" s="3336"/>
      <c r="P26593" s="3337"/>
    </row>
    <row r="26594" spans="7:16" s="1634" customFormat="1">
      <c r="G26594" s="3336"/>
      <c r="P26594" s="3337"/>
    </row>
    <row r="26595" spans="7:16" s="1634" customFormat="1">
      <c r="G26595" s="3336"/>
      <c r="P26595" s="3337"/>
    </row>
    <row r="26596" spans="7:16" s="1634" customFormat="1">
      <c r="G26596" s="3336"/>
      <c r="P26596" s="3337"/>
    </row>
    <row r="26597" spans="7:16" s="1634" customFormat="1">
      <c r="G26597" s="3336"/>
      <c r="P26597" s="3337"/>
    </row>
    <row r="26598" spans="7:16" s="1634" customFormat="1">
      <c r="G26598" s="3336"/>
      <c r="P26598" s="3337"/>
    </row>
    <row r="26599" spans="7:16" s="1634" customFormat="1">
      <c r="G26599" s="3336"/>
      <c r="P26599" s="3337"/>
    </row>
    <row r="26600" spans="7:16" s="1634" customFormat="1">
      <c r="G26600" s="3336"/>
      <c r="P26600" s="3337"/>
    </row>
    <row r="26601" spans="7:16" s="1634" customFormat="1">
      <c r="G26601" s="3336"/>
      <c r="P26601" s="3337"/>
    </row>
    <row r="26602" spans="7:16" s="1634" customFormat="1">
      <c r="G26602" s="3336"/>
      <c r="P26602" s="3337"/>
    </row>
    <row r="26603" spans="7:16" s="1634" customFormat="1">
      <c r="G26603" s="3336"/>
      <c r="P26603" s="3337"/>
    </row>
    <row r="26604" spans="7:16" s="1634" customFormat="1">
      <c r="G26604" s="3336"/>
      <c r="P26604" s="3337"/>
    </row>
    <row r="26605" spans="7:16" s="1634" customFormat="1">
      <c r="G26605" s="3336"/>
      <c r="P26605" s="3337"/>
    </row>
    <row r="26606" spans="7:16" s="1634" customFormat="1">
      <c r="G26606" s="3336"/>
      <c r="P26606" s="3337"/>
    </row>
    <row r="26607" spans="7:16" s="1634" customFormat="1">
      <c r="G26607" s="3336"/>
      <c r="P26607" s="3337"/>
    </row>
    <row r="26608" spans="7:16" s="1634" customFormat="1">
      <c r="G26608" s="3336"/>
      <c r="P26608" s="3337"/>
    </row>
    <row r="26609" spans="7:16" s="1634" customFormat="1">
      <c r="G26609" s="3336"/>
      <c r="P26609" s="3337"/>
    </row>
    <row r="26610" spans="7:16" s="1634" customFormat="1">
      <c r="G26610" s="3336"/>
      <c r="P26610" s="3337"/>
    </row>
    <row r="26611" spans="7:16" s="1634" customFormat="1">
      <c r="G26611" s="3336"/>
      <c r="P26611" s="3337"/>
    </row>
    <row r="26612" spans="7:16" s="1634" customFormat="1">
      <c r="G26612" s="3336"/>
      <c r="P26612" s="3337"/>
    </row>
    <row r="26613" spans="7:16" s="1634" customFormat="1">
      <c r="G26613" s="3336"/>
      <c r="P26613" s="3337"/>
    </row>
    <row r="26614" spans="7:16" s="1634" customFormat="1">
      <c r="G26614" s="3336"/>
      <c r="P26614" s="3337"/>
    </row>
    <row r="26615" spans="7:16" s="1634" customFormat="1">
      <c r="G26615" s="3336"/>
      <c r="P26615" s="3337"/>
    </row>
    <row r="26616" spans="7:16" s="1634" customFormat="1">
      <c r="G26616" s="3336"/>
      <c r="P26616" s="3337"/>
    </row>
    <row r="26617" spans="7:16" s="1634" customFormat="1">
      <c r="G26617" s="3336"/>
      <c r="P26617" s="3337"/>
    </row>
    <row r="26618" spans="7:16" s="1634" customFormat="1">
      <c r="G26618" s="3336"/>
      <c r="P26618" s="3337"/>
    </row>
    <row r="26619" spans="7:16" s="1634" customFormat="1">
      <c r="G26619" s="3336"/>
      <c r="P26619" s="3337"/>
    </row>
    <row r="26620" spans="7:16" s="1634" customFormat="1">
      <c r="G26620" s="3336"/>
      <c r="P26620" s="3337"/>
    </row>
    <row r="26621" spans="7:16" s="1634" customFormat="1">
      <c r="G26621" s="3336"/>
      <c r="P26621" s="3337"/>
    </row>
    <row r="26622" spans="7:16" s="1634" customFormat="1">
      <c r="G26622" s="3336"/>
      <c r="P26622" s="3337"/>
    </row>
    <row r="26623" spans="7:16" s="1634" customFormat="1">
      <c r="G26623" s="3336"/>
      <c r="P26623" s="3337"/>
    </row>
    <row r="26624" spans="7:16" s="1634" customFormat="1">
      <c r="G26624" s="3336"/>
      <c r="P26624" s="3337"/>
    </row>
    <row r="26625" spans="7:16" s="1634" customFormat="1">
      <c r="G26625" s="3336"/>
      <c r="P26625" s="3337"/>
    </row>
    <row r="26626" spans="7:16" s="1634" customFormat="1">
      <c r="G26626" s="3336"/>
      <c r="P26626" s="3337"/>
    </row>
    <row r="26627" spans="7:16" s="1634" customFormat="1">
      <c r="G26627" s="3336"/>
      <c r="P26627" s="3337"/>
    </row>
    <row r="26628" spans="7:16" s="1634" customFormat="1">
      <c r="G26628" s="3336"/>
      <c r="P26628" s="3337"/>
    </row>
    <row r="26629" spans="7:16" s="1634" customFormat="1">
      <c r="G26629" s="3336"/>
      <c r="P26629" s="3337"/>
    </row>
    <row r="26630" spans="7:16" s="1634" customFormat="1">
      <c r="G26630" s="3336"/>
      <c r="P26630" s="3337"/>
    </row>
    <row r="26631" spans="7:16" s="1634" customFormat="1">
      <c r="G26631" s="3336"/>
      <c r="P26631" s="3337"/>
    </row>
    <row r="26632" spans="7:16" s="1634" customFormat="1">
      <c r="G26632" s="3336"/>
      <c r="P26632" s="3337"/>
    </row>
    <row r="26633" spans="7:16" s="1634" customFormat="1">
      <c r="G26633" s="3336"/>
      <c r="P26633" s="3337"/>
    </row>
    <row r="26634" spans="7:16" s="1634" customFormat="1">
      <c r="G26634" s="3336"/>
      <c r="P26634" s="3337"/>
    </row>
    <row r="26635" spans="7:16" s="1634" customFormat="1">
      <c r="G26635" s="3336"/>
      <c r="P26635" s="3337"/>
    </row>
    <row r="26636" spans="7:16" s="1634" customFormat="1">
      <c r="G26636" s="3336"/>
      <c r="P26636" s="3337"/>
    </row>
    <row r="26637" spans="7:16" s="1634" customFormat="1">
      <c r="G26637" s="3336"/>
      <c r="P26637" s="3337"/>
    </row>
    <row r="26638" spans="7:16" s="1634" customFormat="1">
      <c r="G26638" s="3336"/>
      <c r="P26638" s="3337"/>
    </row>
    <row r="26639" spans="7:16" s="1634" customFormat="1">
      <c r="G26639" s="3336"/>
      <c r="P26639" s="3337"/>
    </row>
    <row r="26640" spans="7:16" s="1634" customFormat="1">
      <c r="G26640" s="3336"/>
      <c r="P26640" s="3337"/>
    </row>
    <row r="26641" spans="7:16" s="1634" customFormat="1">
      <c r="G26641" s="3336"/>
      <c r="P26641" s="3337"/>
    </row>
    <row r="26642" spans="7:16" s="1634" customFormat="1">
      <c r="G26642" s="3336"/>
      <c r="P26642" s="3337"/>
    </row>
    <row r="26643" spans="7:16" s="1634" customFormat="1">
      <c r="G26643" s="3336"/>
      <c r="P26643" s="3337"/>
    </row>
    <row r="26644" spans="7:16" s="1634" customFormat="1">
      <c r="G26644" s="3336"/>
      <c r="P26644" s="3337"/>
    </row>
    <row r="26645" spans="7:16" s="1634" customFormat="1">
      <c r="G26645" s="3336"/>
      <c r="P26645" s="3337"/>
    </row>
    <row r="26646" spans="7:16" s="1634" customFormat="1">
      <c r="G26646" s="3336"/>
      <c r="P26646" s="3337"/>
    </row>
    <row r="26647" spans="7:16" s="1634" customFormat="1">
      <c r="G26647" s="3336"/>
      <c r="P26647" s="3337"/>
    </row>
    <row r="26648" spans="7:16" s="1634" customFormat="1">
      <c r="G26648" s="3336"/>
      <c r="P26648" s="3337"/>
    </row>
    <row r="26649" spans="7:16" s="1634" customFormat="1">
      <c r="G26649" s="3336"/>
      <c r="P26649" s="3337"/>
    </row>
    <row r="26650" spans="7:16" s="1634" customFormat="1">
      <c r="G26650" s="3336"/>
      <c r="P26650" s="3337"/>
    </row>
    <row r="26651" spans="7:16" s="1634" customFormat="1">
      <c r="G26651" s="3336"/>
      <c r="P26651" s="3337"/>
    </row>
    <row r="26652" spans="7:16" s="1634" customFormat="1">
      <c r="G26652" s="3336"/>
      <c r="P26652" s="3337"/>
    </row>
    <row r="26653" spans="7:16" s="1634" customFormat="1">
      <c r="G26653" s="3336"/>
      <c r="P26653" s="3337"/>
    </row>
    <row r="26654" spans="7:16" s="1634" customFormat="1">
      <c r="G26654" s="3336"/>
      <c r="P26654" s="3337"/>
    </row>
    <row r="26655" spans="7:16" s="1634" customFormat="1">
      <c r="G26655" s="3336"/>
      <c r="P26655" s="3337"/>
    </row>
    <row r="26656" spans="7:16" s="1634" customFormat="1">
      <c r="G26656" s="3336"/>
      <c r="P26656" s="3337"/>
    </row>
    <row r="26657" spans="7:16" s="1634" customFormat="1">
      <c r="G26657" s="3336"/>
      <c r="P26657" s="3337"/>
    </row>
    <row r="26658" spans="7:16" s="1634" customFormat="1">
      <c r="G26658" s="3336"/>
      <c r="P26658" s="3337"/>
    </row>
    <row r="26659" spans="7:16" s="1634" customFormat="1">
      <c r="G26659" s="3336"/>
      <c r="P26659" s="3337"/>
    </row>
    <row r="26660" spans="7:16" s="1634" customFormat="1">
      <c r="G26660" s="3336"/>
      <c r="P26660" s="3337"/>
    </row>
    <row r="26661" spans="7:16" s="1634" customFormat="1">
      <c r="G26661" s="3336"/>
      <c r="P26661" s="3337"/>
    </row>
    <row r="26662" spans="7:16" s="1634" customFormat="1">
      <c r="G26662" s="3336"/>
      <c r="P26662" s="3337"/>
    </row>
    <row r="26663" spans="7:16" s="1634" customFormat="1">
      <c r="G26663" s="3336"/>
      <c r="P26663" s="3337"/>
    </row>
    <row r="26664" spans="7:16" s="1634" customFormat="1">
      <c r="G26664" s="3336"/>
      <c r="P26664" s="3337"/>
    </row>
    <row r="26665" spans="7:16" s="1634" customFormat="1">
      <c r="G26665" s="3336"/>
      <c r="P26665" s="3337"/>
    </row>
    <row r="26666" spans="7:16" s="1634" customFormat="1">
      <c r="G26666" s="3336"/>
      <c r="P26666" s="3337"/>
    </row>
    <row r="26667" spans="7:16" s="1634" customFormat="1">
      <c r="G26667" s="3336"/>
      <c r="P26667" s="3337"/>
    </row>
    <row r="26668" spans="7:16" s="1634" customFormat="1">
      <c r="G26668" s="3336"/>
      <c r="P26668" s="3337"/>
    </row>
    <row r="26669" spans="7:16" s="1634" customFormat="1">
      <c r="G26669" s="3336"/>
      <c r="P26669" s="3337"/>
    </row>
    <row r="26670" spans="7:16" s="1634" customFormat="1">
      <c r="G26670" s="3336"/>
      <c r="P26670" s="3337"/>
    </row>
    <row r="26671" spans="7:16" s="1634" customFormat="1">
      <c r="G26671" s="3336"/>
      <c r="P26671" s="3337"/>
    </row>
    <row r="26672" spans="7:16" s="1634" customFormat="1">
      <c r="G26672" s="3336"/>
      <c r="P26672" s="3337"/>
    </row>
    <row r="26673" spans="7:16" s="1634" customFormat="1">
      <c r="G26673" s="3336"/>
      <c r="P26673" s="3337"/>
    </row>
    <row r="26674" spans="7:16" s="1634" customFormat="1">
      <c r="G26674" s="3336"/>
      <c r="P26674" s="3337"/>
    </row>
    <row r="26675" spans="7:16" s="1634" customFormat="1">
      <c r="G26675" s="3336"/>
      <c r="P26675" s="3337"/>
    </row>
    <row r="26676" spans="7:16" s="1634" customFormat="1">
      <c r="G26676" s="3336"/>
      <c r="P26676" s="3337"/>
    </row>
    <row r="26677" spans="7:16" s="1634" customFormat="1">
      <c r="G26677" s="3336"/>
      <c r="P26677" s="3337"/>
    </row>
    <row r="26678" spans="7:16" s="1634" customFormat="1">
      <c r="G26678" s="3336"/>
      <c r="P26678" s="3337"/>
    </row>
    <row r="26679" spans="7:16" s="1634" customFormat="1">
      <c r="G26679" s="3336"/>
      <c r="P26679" s="3337"/>
    </row>
    <row r="26680" spans="7:16" s="1634" customFormat="1">
      <c r="G26680" s="3336"/>
      <c r="P26680" s="3337"/>
    </row>
    <row r="26681" spans="7:16" s="1634" customFormat="1">
      <c r="G26681" s="3336"/>
      <c r="P26681" s="3337"/>
    </row>
    <row r="26682" spans="7:16" s="1634" customFormat="1">
      <c r="G26682" s="3336"/>
      <c r="P26682" s="3337"/>
    </row>
    <row r="26683" spans="7:16" s="1634" customFormat="1">
      <c r="G26683" s="3336"/>
      <c r="P26683" s="3337"/>
    </row>
    <row r="26684" spans="7:16" s="1634" customFormat="1">
      <c r="G26684" s="3336"/>
      <c r="P26684" s="3337"/>
    </row>
    <row r="26685" spans="7:16" s="1634" customFormat="1">
      <c r="G26685" s="3336"/>
      <c r="P26685" s="3337"/>
    </row>
    <row r="26686" spans="7:16" s="1634" customFormat="1">
      <c r="G26686" s="3336"/>
      <c r="P26686" s="3337"/>
    </row>
    <row r="26687" spans="7:16" s="1634" customFormat="1">
      <c r="G26687" s="3336"/>
      <c r="P26687" s="3337"/>
    </row>
    <row r="26688" spans="7:16" s="1634" customFormat="1">
      <c r="G26688" s="3336"/>
      <c r="P26688" s="3337"/>
    </row>
    <row r="26689" spans="7:16" s="1634" customFormat="1">
      <c r="G26689" s="3336"/>
      <c r="P26689" s="3337"/>
    </row>
    <row r="26690" spans="7:16" s="1634" customFormat="1">
      <c r="G26690" s="3336"/>
      <c r="P26690" s="3337"/>
    </row>
    <row r="26691" spans="7:16" s="1634" customFormat="1">
      <c r="G26691" s="3336"/>
      <c r="P26691" s="3337"/>
    </row>
    <row r="26692" spans="7:16" s="1634" customFormat="1">
      <c r="G26692" s="3336"/>
      <c r="P26692" s="3337"/>
    </row>
    <row r="26693" spans="7:16" s="1634" customFormat="1">
      <c r="G26693" s="3336"/>
      <c r="P26693" s="3337"/>
    </row>
    <row r="26694" spans="7:16" s="1634" customFormat="1">
      <c r="G26694" s="3336"/>
      <c r="P26694" s="3337"/>
    </row>
    <row r="26695" spans="7:16" s="1634" customFormat="1">
      <c r="G26695" s="3336"/>
      <c r="P26695" s="3337"/>
    </row>
    <row r="26696" spans="7:16" s="1634" customFormat="1">
      <c r="G26696" s="3336"/>
      <c r="P26696" s="3337"/>
    </row>
    <row r="26697" spans="7:16" s="1634" customFormat="1">
      <c r="G26697" s="3336"/>
      <c r="P26697" s="3337"/>
    </row>
    <row r="26698" spans="7:16" s="1634" customFormat="1">
      <c r="G26698" s="3336"/>
      <c r="P26698" s="3337"/>
    </row>
    <row r="26699" spans="7:16" s="1634" customFormat="1">
      <c r="G26699" s="3336"/>
      <c r="P26699" s="3337"/>
    </row>
    <row r="26700" spans="7:16" s="1634" customFormat="1">
      <c r="G26700" s="3336"/>
      <c r="P26700" s="3337"/>
    </row>
    <row r="26701" spans="7:16" s="1634" customFormat="1">
      <c r="G26701" s="3336"/>
      <c r="P26701" s="3337"/>
    </row>
    <row r="26702" spans="7:16" s="1634" customFormat="1">
      <c r="G26702" s="3336"/>
      <c r="P26702" s="3337"/>
    </row>
    <row r="26703" spans="7:16" s="1634" customFormat="1">
      <c r="G26703" s="3336"/>
      <c r="P26703" s="3337"/>
    </row>
    <row r="26704" spans="7:16" s="1634" customFormat="1">
      <c r="G26704" s="3336"/>
      <c r="P26704" s="3337"/>
    </row>
    <row r="26705" spans="7:16" s="1634" customFormat="1">
      <c r="G26705" s="3336"/>
      <c r="P26705" s="3337"/>
    </row>
    <row r="26706" spans="7:16" s="1634" customFormat="1">
      <c r="G26706" s="3336"/>
      <c r="P26706" s="3337"/>
    </row>
    <row r="26707" spans="7:16" s="1634" customFormat="1">
      <c r="G26707" s="3336"/>
      <c r="P26707" s="3337"/>
    </row>
    <row r="26708" spans="7:16" s="1634" customFormat="1">
      <c r="G26708" s="3336"/>
      <c r="P26708" s="3337"/>
    </row>
    <row r="26709" spans="7:16" s="1634" customFormat="1">
      <c r="G26709" s="3336"/>
      <c r="P26709" s="3337"/>
    </row>
    <row r="26710" spans="7:16" s="1634" customFormat="1">
      <c r="G26710" s="3336"/>
      <c r="P26710" s="3337"/>
    </row>
    <row r="26711" spans="7:16" s="1634" customFormat="1">
      <c r="G26711" s="3336"/>
      <c r="P26711" s="3337"/>
    </row>
    <row r="26712" spans="7:16" s="1634" customFormat="1">
      <c r="G26712" s="3336"/>
      <c r="P26712" s="3337"/>
    </row>
    <row r="26713" spans="7:16" s="1634" customFormat="1">
      <c r="G26713" s="3336"/>
      <c r="P26713" s="3337"/>
    </row>
    <row r="26714" spans="7:16" s="1634" customFormat="1">
      <c r="G26714" s="3336"/>
      <c r="P26714" s="3337"/>
    </row>
    <row r="26715" spans="7:16" s="1634" customFormat="1">
      <c r="G26715" s="3336"/>
      <c r="P26715" s="3337"/>
    </row>
    <row r="26716" spans="7:16" s="1634" customFormat="1">
      <c r="G26716" s="3336"/>
      <c r="P26716" s="3337"/>
    </row>
    <row r="26717" spans="7:16" s="1634" customFormat="1">
      <c r="G26717" s="3336"/>
      <c r="P26717" s="3337"/>
    </row>
    <row r="26718" spans="7:16" s="1634" customFormat="1">
      <c r="G26718" s="3336"/>
      <c r="P26718" s="3337"/>
    </row>
    <row r="26719" spans="7:16" s="1634" customFormat="1">
      <c r="G26719" s="3336"/>
      <c r="P26719" s="3337"/>
    </row>
    <row r="26720" spans="7:16" s="1634" customFormat="1">
      <c r="G26720" s="3336"/>
      <c r="P26720" s="3337"/>
    </row>
    <row r="26721" spans="7:16" s="1634" customFormat="1">
      <c r="G26721" s="3336"/>
      <c r="P26721" s="3337"/>
    </row>
    <row r="26722" spans="7:16" s="1634" customFormat="1">
      <c r="G26722" s="3336"/>
      <c r="P26722" s="3337"/>
    </row>
    <row r="26723" spans="7:16" s="1634" customFormat="1">
      <c r="G26723" s="3336"/>
      <c r="P26723" s="3337"/>
    </row>
    <row r="26724" spans="7:16" s="1634" customFormat="1">
      <c r="G26724" s="3336"/>
      <c r="P26724" s="3337"/>
    </row>
    <row r="26725" spans="7:16" s="1634" customFormat="1">
      <c r="G26725" s="3336"/>
      <c r="P26725" s="3337"/>
    </row>
    <row r="26726" spans="7:16" s="1634" customFormat="1">
      <c r="G26726" s="3336"/>
      <c r="P26726" s="3337"/>
    </row>
    <row r="26727" spans="7:16" s="1634" customFormat="1">
      <c r="G26727" s="3336"/>
      <c r="P26727" s="3337"/>
    </row>
    <row r="26728" spans="7:16" s="1634" customFormat="1">
      <c r="G26728" s="3336"/>
      <c r="P26728" s="3337"/>
    </row>
    <row r="26729" spans="7:16" s="1634" customFormat="1">
      <c r="G26729" s="3336"/>
      <c r="P26729" s="3337"/>
    </row>
    <row r="26730" spans="7:16" s="1634" customFormat="1">
      <c r="G26730" s="3336"/>
      <c r="P26730" s="3337"/>
    </row>
    <row r="26731" spans="7:16" s="1634" customFormat="1">
      <c r="G26731" s="3336"/>
      <c r="P26731" s="3337"/>
    </row>
    <row r="26732" spans="7:16" s="1634" customFormat="1">
      <c r="G26732" s="3336"/>
      <c r="P26732" s="3337"/>
    </row>
    <row r="26733" spans="7:16" s="1634" customFormat="1">
      <c r="G26733" s="3336"/>
      <c r="P26733" s="3337"/>
    </row>
    <row r="26734" spans="7:16" s="1634" customFormat="1">
      <c r="G26734" s="3336"/>
      <c r="P26734" s="3337"/>
    </row>
    <row r="26735" spans="7:16" s="1634" customFormat="1">
      <c r="G26735" s="3336"/>
      <c r="P26735" s="3337"/>
    </row>
    <row r="26736" spans="7:16" s="1634" customFormat="1">
      <c r="G26736" s="3336"/>
      <c r="P26736" s="3337"/>
    </row>
    <row r="26737" spans="7:16" s="1634" customFormat="1">
      <c r="G26737" s="3336"/>
      <c r="P26737" s="3337"/>
    </row>
    <row r="26738" spans="7:16" s="1634" customFormat="1">
      <c r="G26738" s="3336"/>
      <c r="P26738" s="3337"/>
    </row>
    <row r="26739" spans="7:16" s="1634" customFormat="1">
      <c r="G26739" s="3336"/>
      <c r="P26739" s="3337"/>
    </row>
    <row r="26740" spans="7:16" s="1634" customFormat="1">
      <c r="G26740" s="3336"/>
      <c r="P26740" s="3337"/>
    </row>
    <row r="26741" spans="7:16" s="1634" customFormat="1">
      <c r="G26741" s="3336"/>
      <c r="P26741" s="3337"/>
    </row>
    <row r="26742" spans="7:16" s="1634" customFormat="1">
      <c r="G26742" s="3336"/>
      <c r="P26742" s="3337"/>
    </row>
    <row r="26743" spans="7:16" s="1634" customFormat="1">
      <c r="G26743" s="3336"/>
      <c r="P26743" s="3337"/>
    </row>
    <row r="26744" spans="7:16" s="1634" customFormat="1">
      <c r="G26744" s="3336"/>
      <c r="P26744" s="3337"/>
    </row>
    <row r="26745" spans="7:16" s="1634" customFormat="1">
      <c r="G26745" s="3336"/>
      <c r="P26745" s="3337"/>
    </row>
    <row r="26746" spans="7:16" s="1634" customFormat="1">
      <c r="G26746" s="3336"/>
      <c r="P26746" s="3337"/>
    </row>
    <row r="26747" spans="7:16" s="1634" customFormat="1">
      <c r="G26747" s="3336"/>
      <c r="P26747" s="3337"/>
    </row>
    <row r="26748" spans="7:16" s="1634" customFormat="1">
      <c r="G26748" s="3336"/>
      <c r="P26748" s="3337"/>
    </row>
    <row r="26749" spans="7:16" s="1634" customFormat="1">
      <c r="G26749" s="3336"/>
      <c r="P26749" s="3337"/>
    </row>
    <row r="26750" spans="7:16" s="1634" customFormat="1">
      <c r="G26750" s="3336"/>
      <c r="P26750" s="3337"/>
    </row>
    <row r="26751" spans="7:16" s="1634" customFormat="1">
      <c r="G26751" s="3336"/>
      <c r="P26751" s="3337"/>
    </row>
    <row r="26752" spans="7:16" s="1634" customFormat="1">
      <c r="G26752" s="3336"/>
      <c r="P26752" s="3337"/>
    </row>
    <row r="26753" spans="7:16" s="1634" customFormat="1">
      <c r="G26753" s="3336"/>
      <c r="P26753" s="3337"/>
    </row>
    <row r="26754" spans="7:16" s="1634" customFormat="1">
      <c r="G26754" s="3336"/>
      <c r="P26754" s="3337"/>
    </row>
    <row r="26755" spans="7:16" s="1634" customFormat="1">
      <c r="G26755" s="3336"/>
      <c r="P26755" s="3337"/>
    </row>
    <row r="26756" spans="7:16" s="1634" customFormat="1">
      <c r="G26756" s="3336"/>
      <c r="P26756" s="3337"/>
    </row>
    <row r="26757" spans="7:16" s="1634" customFormat="1">
      <c r="G26757" s="3336"/>
      <c r="P26757" s="3337"/>
    </row>
    <row r="26758" spans="7:16" s="1634" customFormat="1">
      <c r="G26758" s="3336"/>
      <c r="P26758" s="3337"/>
    </row>
    <row r="26759" spans="7:16" s="1634" customFormat="1">
      <c r="G26759" s="3336"/>
      <c r="P26759" s="3337"/>
    </row>
    <row r="26760" spans="7:16" s="1634" customFormat="1">
      <c r="G26760" s="3336"/>
      <c r="P26760" s="3337"/>
    </row>
    <row r="26761" spans="7:16" s="1634" customFormat="1">
      <c r="G26761" s="3336"/>
      <c r="P26761" s="3337"/>
    </row>
    <row r="26762" spans="7:16" s="1634" customFormat="1">
      <c r="G26762" s="3336"/>
      <c r="P26762" s="3337"/>
    </row>
    <row r="26763" spans="7:16" s="1634" customFormat="1">
      <c r="G26763" s="3336"/>
      <c r="P26763" s="3337"/>
    </row>
    <row r="26764" spans="7:16" s="1634" customFormat="1">
      <c r="G26764" s="3336"/>
      <c r="P26764" s="3337"/>
    </row>
    <row r="26765" spans="7:16" s="1634" customFormat="1">
      <c r="G26765" s="3336"/>
      <c r="P26765" s="3337"/>
    </row>
    <row r="26766" spans="7:16" s="1634" customFormat="1">
      <c r="G26766" s="3336"/>
      <c r="P26766" s="3337"/>
    </row>
    <row r="26767" spans="7:16" s="1634" customFormat="1">
      <c r="G26767" s="3336"/>
      <c r="P26767" s="3337"/>
    </row>
    <row r="26768" spans="7:16" s="1634" customFormat="1">
      <c r="G26768" s="3336"/>
      <c r="P26768" s="3337"/>
    </row>
    <row r="26769" spans="7:16" s="1634" customFormat="1">
      <c r="G26769" s="3336"/>
      <c r="P26769" s="3337"/>
    </row>
    <row r="26770" spans="7:16" s="1634" customFormat="1">
      <c r="G26770" s="3336"/>
      <c r="P26770" s="3337"/>
    </row>
    <row r="26771" spans="7:16" s="1634" customFormat="1">
      <c r="G26771" s="3336"/>
      <c r="P26771" s="3337"/>
    </row>
    <row r="26772" spans="7:16" s="1634" customFormat="1">
      <c r="G26772" s="3336"/>
      <c r="P26772" s="3337"/>
    </row>
    <row r="26773" spans="7:16" s="1634" customFormat="1">
      <c r="G26773" s="3336"/>
      <c r="P26773" s="3337"/>
    </row>
    <row r="26774" spans="7:16" s="1634" customFormat="1">
      <c r="G26774" s="3336"/>
      <c r="P26774" s="3337"/>
    </row>
    <row r="26775" spans="7:16" s="1634" customFormat="1">
      <c r="G26775" s="3336"/>
      <c r="P26775" s="3337"/>
    </row>
    <row r="26776" spans="7:16" s="1634" customFormat="1">
      <c r="G26776" s="3336"/>
      <c r="P26776" s="3337"/>
    </row>
    <row r="26777" spans="7:16" s="1634" customFormat="1">
      <c r="G26777" s="3336"/>
      <c r="P26777" s="3337"/>
    </row>
    <row r="26778" spans="7:16" s="1634" customFormat="1">
      <c r="G26778" s="3336"/>
      <c r="P26778" s="3337"/>
    </row>
    <row r="26779" spans="7:16" s="1634" customFormat="1">
      <c r="G26779" s="3336"/>
      <c r="P26779" s="3337"/>
    </row>
    <row r="26780" spans="7:16" s="1634" customFormat="1">
      <c r="G26780" s="3336"/>
      <c r="P26780" s="3337"/>
    </row>
    <row r="26781" spans="7:16" s="1634" customFormat="1">
      <c r="G26781" s="3336"/>
      <c r="P26781" s="3337"/>
    </row>
    <row r="26782" spans="7:16" s="1634" customFormat="1">
      <c r="G26782" s="3336"/>
      <c r="P26782" s="3337"/>
    </row>
    <row r="26783" spans="7:16" s="1634" customFormat="1">
      <c r="G26783" s="3336"/>
      <c r="P26783" s="3337"/>
    </row>
    <row r="26784" spans="7:16" s="1634" customFormat="1">
      <c r="G26784" s="3336"/>
      <c r="P26784" s="3337"/>
    </row>
    <row r="26785" spans="7:16" s="1634" customFormat="1">
      <c r="G26785" s="3336"/>
      <c r="P26785" s="3337"/>
    </row>
    <row r="26786" spans="7:16" s="1634" customFormat="1">
      <c r="G26786" s="3336"/>
      <c r="P26786" s="3337"/>
    </row>
    <row r="26787" spans="7:16" s="1634" customFormat="1">
      <c r="G26787" s="3336"/>
      <c r="P26787" s="3337"/>
    </row>
    <row r="26788" spans="7:16" s="1634" customFormat="1">
      <c r="G26788" s="3336"/>
      <c r="P26788" s="3337"/>
    </row>
    <row r="26789" spans="7:16" s="1634" customFormat="1">
      <c r="G26789" s="3336"/>
      <c r="P26789" s="3337"/>
    </row>
    <row r="26790" spans="7:16" s="1634" customFormat="1">
      <c r="G26790" s="3336"/>
      <c r="P26790" s="3337"/>
    </row>
    <row r="26791" spans="7:16" s="1634" customFormat="1">
      <c r="G26791" s="3336"/>
      <c r="P26791" s="3337"/>
    </row>
    <row r="26792" spans="7:16" s="1634" customFormat="1">
      <c r="G26792" s="3336"/>
      <c r="P26792" s="3337"/>
    </row>
    <row r="26793" spans="7:16" s="1634" customFormat="1">
      <c r="G26793" s="3336"/>
      <c r="P26793" s="3337"/>
    </row>
    <row r="26794" spans="7:16" s="1634" customFormat="1">
      <c r="G26794" s="3336"/>
      <c r="P26794" s="3337"/>
    </row>
    <row r="26795" spans="7:16" s="1634" customFormat="1">
      <c r="G26795" s="3336"/>
      <c r="P26795" s="3337"/>
    </row>
    <row r="26796" spans="7:16" s="1634" customFormat="1">
      <c r="G26796" s="3336"/>
      <c r="P26796" s="3337"/>
    </row>
    <row r="26797" spans="7:16" s="1634" customFormat="1">
      <c r="G26797" s="3336"/>
      <c r="P26797" s="3337"/>
    </row>
    <row r="26798" spans="7:16" s="1634" customFormat="1">
      <c r="G26798" s="3336"/>
      <c r="P26798" s="3337"/>
    </row>
    <row r="26799" spans="7:16" s="1634" customFormat="1">
      <c r="G26799" s="3336"/>
      <c r="P26799" s="3337"/>
    </row>
    <row r="26800" spans="7:16" s="1634" customFormat="1">
      <c r="G26800" s="3336"/>
      <c r="P26800" s="3337"/>
    </row>
    <row r="26801" spans="7:16" s="1634" customFormat="1">
      <c r="G26801" s="3336"/>
      <c r="P26801" s="3337"/>
    </row>
    <row r="26802" spans="7:16" s="1634" customFormat="1">
      <c r="G26802" s="3336"/>
      <c r="P26802" s="3337"/>
    </row>
    <row r="26803" spans="7:16" s="1634" customFormat="1">
      <c r="G26803" s="3336"/>
      <c r="P26803" s="3337"/>
    </row>
    <row r="26804" spans="7:16" s="1634" customFormat="1">
      <c r="G26804" s="3336"/>
      <c r="P26804" s="3337"/>
    </row>
    <row r="26805" spans="7:16" s="1634" customFormat="1">
      <c r="G26805" s="3336"/>
      <c r="P26805" s="3337"/>
    </row>
    <row r="26806" spans="7:16" s="1634" customFormat="1">
      <c r="G26806" s="3336"/>
      <c r="P26806" s="3337"/>
    </row>
    <row r="26807" spans="7:16" s="1634" customFormat="1">
      <c r="G26807" s="3336"/>
      <c r="P26807" s="3337"/>
    </row>
    <row r="26808" spans="7:16" s="1634" customFormat="1">
      <c r="G26808" s="3336"/>
      <c r="P26808" s="3337"/>
    </row>
    <row r="26809" spans="7:16" s="1634" customFormat="1">
      <c r="G26809" s="3336"/>
      <c r="P26809" s="3337"/>
    </row>
    <row r="26810" spans="7:16" s="1634" customFormat="1">
      <c r="G26810" s="3336"/>
      <c r="P26810" s="3337"/>
    </row>
    <row r="26811" spans="7:16" s="1634" customFormat="1">
      <c r="G26811" s="3336"/>
      <c r="P26811" s="3337"/>
    </row>
    <row r="26812" spans="7:16" s="1634" customFormat="1">
      <c r="G26812" s="3336"/>
      <c r="P26812" s="3337"/>
    </row>
    <row r="26813" spans="7:16" s="1634" customFormat="1">
      <c r="G26813" s="3336"/>
      <c r="P26813" s="3337"/>
    </row>
    <row r="26814" spans="7:16" s="1634" customFormat="1">
      <c r="G26814" s="3336"/>
      <c r="P26814" s="3337"/>
    </row>
    <row r="26815" spans="7:16" s="1634" customFormat="1">
      <c r="G26815" s="3336"/>
      <c r="P26815" s="3337"/>
    </row>
    <row r="26816" spans="7:16" s="1634" customFormat="1">
      <c r="G26816" s="3336"/>
      <c r="P26816" s="3337"/>
    </row>
    <row r="26817" spans="7:16" s="1634" customFormat="1">
      <c r="G26817" s="3336"/>
      <c r="P26817" s="3337"/>
    </row>
    <row r="26818" spans="7:16" s="1634" customFormat="1">
      <c r="G26818" s="3336"/>
      <c r="P26818" s="3337"/>
    </row>
    <row r="26819" spans="7:16" s="1634" customFormat="1">
      <c r="G26819" s="3336"/>
      <c r="P26819" s="3337"/>
    </row>
    <row r="26820" spans="7:16" s="1634" customFormat="1">
      <c r="G26820" s="3336"/>
      <c r="P26820" s="3337"/>
    </row>
    <row r="26821" spans="7:16" s="1634" customFormat="1">
      <c r="G26821" s="3336"/>
      <c r="P26821" s="3337"/>
    </row>
    <row r="26822" spans="7:16" s="1634" customFormat="1">
      <c r="G26822" s="3336"/>
      <c r="P26822" s="3337"/>
    </row>
    <row r="26823" spans="7:16" s="1634" customFormat="1">
      <c r="G26823" s="3336"/>
      <c r="P26823" s="3337"/>
    </row>
    <row r="26824" spans="7:16" s="1634" customFormat="1">
      <c r="G26824" s="3336"/>
      <c r="P26824" s="3337"/>
    </row>
    <row r="26825" spans="7:16" s="1634" customFormat="1">
      <c r="G26825" s="3336"/>
      <c r="P26825" s="3337"/>
    </row>
    <row r="26826" spans="7:16" s="1634" customFormat="1">
      <c r="G26826" s="3336"/>
      <c r="P26826" s="3337"/>
    </row>
    <row r="26827" spans="7:16" s="1634" customFormat="1">
      <c r="G26827" s="3336"/>
      <c r="P26827" s="3337"/>
    </row>
    <row r="26828" spans="7:16" s="1634" customFormat="1">
      <c r="G26828" s="3336"/>
      <c r="P26828" s="3337"/>
    </row>
    <row r="26829" spans="7:16" s="1634" customFormat="1">
      <c r="G26829" s="3336"/>
      <c r="P26829" s="3337"/>
    </row>
    <row r="26830" spans="7:16" s="1634" customFormat="1">
      <c r="G26830" s="3336"/>
      <c r="P26830" s="3337"/>
    </row>
    <row r="26831" spans="7:16" s="1634" customFormat="1">
      <c r="G26831" s="3336"/>
      <c r="P26831" s="3337"/>
    </row>
    <row r="26832" spans="7:16" s="1634" customFormat="1">
      <c r="G26832" s="3336"/>
      <c r="P26832" s="3337"/>
    </row>
    <row r="26833" spans="7:16" s="1634" customFormat="1">
      <c r="G26833" s="3336"/>
      <c r="P26833" s="3337"/>
    </row>
    <row r="26834" spans="7:16" s="1634" customFormat="1">
      <c r="G26834" s="3336"/>
      <c r="P26834" s="3337"/>
    </row>
    <row r="26835" spans="7:16" s="1634" customFormat="1">
      <c r="G26835" s="3336"/>
      <c r="P26835" s="3337"/>
    </row>
    <row r="26836" spans="7:16" s="1634" customFormat="1">
      <c r="G26836" s="3336"/>
      <c r="P26836" s="3337"/>
    </row>
    <row r="26837" spans="7:16" s="1634" customFormat="1">
      <c r="G26837" s="3336"/>
      <c r="P26837" s="3337"/>
    </row>
    <row r="26838" spans="7:16" s="1634" customFormat="1">
      <c r="G26838" s="3336"/>
      <c r="P26838" s="3337"/>
    </row>
    <row r="26839" spans="7:16" s="1634" customFormat="1">
      <c r="G26839" s="3336"/>
      <c r="P26839" s="3337"/>
    </row>
    <row r="26840" spans="7:16" s="1634" customFormat="1">
      <c r="G26840" s="3336"/>
      <c r="P26840" s="3337"/>
    </row>
    <row r="26841" spans="7:16" s="1634" customFormat="1">
      <c r="G26841" s="3336"/>
      <c r="P26841" s="3337"/>
    </row>
    <row r="26842" spans="7:16" s="1634" customFormat="1">
      <c r="G26842" s="3336"/>
      <c r="P26842" s="3337"/>
    </row>
    <row r="26843" spans="7:16" s="1634" customFormat="1">
      <c r="G26843" s="3336"/>
      <c r="P26843" s="3337"/>
    </row>
    <row r="26844" spans="7:16" s="1634" customFormat="1">
      <c r="G26844" s="3336"/>
      <c r="P26844" s="3337"/>
    </row>
    <row r="26845" spans="7:16" s="1634" customFormat="1">
      <c r="G26845" s="3336"/>
      <c r="P26845" s="3337"/>
    </row>
    <row r="26846" spans="7:16" s="1634" customFormat="1">
      <c r="G26846" s="3336"/>
      <c r="P26846" s="3337"/>
    </row>
    <row r="26847" spans="7:16" s="1634" customFormat="1">
      <c r="G26847" s="3336"/>
      <c r="P26847" s="3337"/>
    </row>
    <row r="26848" spans="7:16" s="1634" customFormat="1">
      <c r="G26848" s="3336"/>
      <c r="P26848" s="3337"/>
    </row>
    <row r="26849" spans="7:16" s="1634" customFormat="1">
      <c r="G26849" s="3336"/>
      <c r="P26849" s="3337"/>
    </row>
    <row r="26850" spans="7:16" s="1634" customFormat="1">
      <c r="G26850" s="3336"/>
      <c r="P26850" s="3337"/>
    </row>
    <row r="26851" spans="7:16" s="1634" customFormat="1">
      <c r="G26851" s="3336"/>
      <c r="P26851" s="3337"/>
    </row>
    <row r="26852" spans="7:16" s="1634" customFormat="1">
      <c r="G26852" s="3336"/>
      <c r="P26852" s="3337"/>
    </row>
    <row r="26853" spans="7:16" s="1634" customFormat="1">
      <c r="G26853" s="3336"/>
      <c r="P26853" s="3337"/>
    </row>
    <row r="26854" spans="7:16" s="1634" customFormat="1">
      <c r="G26854" s="3336"/>
      <c r="P26854" s="3337"/>
    </row>
    <row r="26855" spans="7:16" s="1634" customFormat="1">
      <c r="G26855" s="3336"/>
      <c r="P26855" s="3337"/>
    </row>
    <row r="26856" spans="7:16" s="1634" customFormat="1">
      <c r="G26856" s="3336"/>
      <c r="P26856" s="3337"/>
    </row>
    <row r="26857" spans="7:16" s="1634" customFormat="1">
      <c r="G26857" s="3336"/>
      <c r="P26857" s="3337"/>
    </row>
    <row r="26858" spans="7:16" s="1634" customFormat="1">
      <c r="G26858" s="3336"/>
      <c r="P26858" s="3337"/>
    </row>
    <row r="26859" spans="7:16" s="1634" customFormat="1">
      <c r="G26859" s="3336"/>
      <c r="P26859" s="3337"/>
    </row>
    <row r="26860" spans="7:16" s="1634" customFormat="1">
      <c r="G26860" s="3336"/>
      <c r="P26860" s="3337"/>
    </row>
    <row r="26861" spans="7:16" s="1634" customFormat="1">
      <c r="G26861" s="3336"/>
      <c r="P26861" s="3337"/>
    </row>
    <row r="26862" spans="7:16" s="1634" customFormat="1">
      <c r="G26862" s="3336"/>
      <c r="P26862" s="3337"/>
    </row>
    <row r="26863" spans="7:16" s="1634" customFormat="1">
      <c r="G26863" s="3336"/>
      <c r="P26863" s="3337"/>
    </row>
    <row r="26864" spans="7:16" s="1634" customFormat="1">
      <c r="G26864" s="3336"/>
      <c r="P26864" s="3337"/>
    </row>
    <row r="26865" spans="7:16" s="1634" customFormat="1">
      <c r="G26865" s="3336"/>
      <c r="P26865" s="3337"/>
    </row>
    <row r="26866" spans="7:16" s="1634" customFormat="1">
      <c r="G26866" s="3336"/>
      <c r="P26866" s="3337"/>
    </row>
    <row r="26867" spans="7:16" s="1634" customFormat="1">
      <c r="G26867" s="3336"/>
      <c r="P26867" s="3337"/>
    </row>
    <row r="26868" spans="7:16" s="1634" customFormat="1">
      <c r="G26868" s="3336"/>
      <c r="P26868" s="3337"/>
    </row>
    <row r="26869" spans="7:16" s="1634" customFormat="1">
      <c r="G26869" s="3336"/>
      <c r="P26869" s="3337"/>
    </row>
    <row r="26870" spans="7:16" s="1634" customFormat="1">
      <c r="G26870" s="3336"/>
      <c r="P26870" s="3337"/>
    </row>
    <row r="26871" spans="7:16" s="1634" customFormat="1">
      <c r="G26871" s="3336"/>
      <c r="P26871" s="3337"/>
    </row>
    <row r="26872" spans="7:16" s="1634" customFormat="1">
      <c r="G26872" s="3336"/>
      <c r="P26872" s="3337"/>
    </row>
    <row r="26873" spans="7:16" s="1634" customFormat="1">
      <c r="G26873" s="3336"/>
      <c r="P26873" s="3337"/>
    </row>
    <row r="26874" spans="7:16" s="1634" customFormat="1">
      <c r="G26874" s="3336"/>
      <c r="P26874" s="3337"/>
    </row>
    <row r="26875" spans="7:16" s="1634" customFormat="1">
      <c r="G26875" s="3336"/>
      <c r="P26875" s="3337"/>
    </row>
    <row r="26876" spans="7:16" s="1634" customFormat="1">
      <c r="G26876" s="3336"/>
      <c r="P26876" s="3337"/>
    </row>
    <row r="26877" spans="7:16" s="1634" customFormat="1">
      <c r="G26877" s="3336"/>
      <c r="P26877" s="3337"/>
    </row>
    <row r="26878" spans="7:16" s="1634" customFormat="1">
      <c r="G26878" s="3336"/>
      <c r="P26878" s="3337"/>
    </row>
    <row r="26879" spans="7:16" s="1634" customFormat="1">
      <c r="G26879" s="3336"/>
      <c r="P26879" s="3337"/>
    </row>
    <row r="26880" spans="7:16" s="1634" customFormat="1">
      <c r="G26880" s="3336"/>
      <c r="P26880" s="3337"/>
    </row>
    <row r="26881" spans="7:16" s="1634" customFormat="1">
      <c r="G26881" s="3336"/>
      <c r="P26881" s="3337"/>
    </row>
    <row r="26882" spans="7:16" s="1634" customFormat="1">
      <c r="G26882" s="3336"/>
      <c r="P26882" s="3337"/>
    </row>
    <row r="26883" spans="7:16" s="1634" customFormat="1">
      <c r="G26883" s="3336"/>
      <c r="P26883" s="3337"/>
    </row>
    <row r="26884" spans="7:16" s="1634" customFormat="1">
      <c r="G26884" s="3336"/>
      <c r="P26884" s="3337"/>
    </row>
    <row r="26885" spans="7:16" s="1634" customFormat="1">
      <c r="G26885" s="3336"/>
      <c r="P26885" s="3337"/>
    </row>
    <row r="26886" spans="7:16" s="1634" customFormat="1">
      <c r="G26886" s="3336"/>
      <c r="P26886" s="3337"/>
    </row>
    <row r="26887" spans="7:16" s="1634" customFormat="1">
      <c r="G26887" s="3336"/>
      <c r="P26887" s="3337"/>
    </row>
    <row r="26888" spans="7:16" s="1634" customFormat="1">
      <c r="G26888" s="3336"/>
      <c r="P26888" s="3337"/>
    </row>
    <row r="26889" spans="7:16" s="1634" customFormat="1">
      <c r="G26889" s="3336"/>
      <c r="P26889" s="3337"/>
    </row>
    <row r="26890" spans="7:16" s="1634" customFormat="1">
      <c r="G26890" s="3336"/>
      <c r="P26890" s="3337"/>
    </row>
    <row r="26891" spans="7:16" s="1634" customFormat="1">
      <c r="G26891" s="3336"/>
      <c r="P26891" s="3337"/>
    </row>
    <row r="26892" spans="7:16" s="1634" customFormat="1">
      <c r="G26892" s="3336"/>
      <c r="P26892" s="3337"/>
    </row>
    <row r="26893" spans="7:16" s="1634" customFormat="1">
      <c r="G26893" s="3336"/>
      <c r="P26893" s="3337"/>
    </row>
    <row r="26894" spans="7:16" s="1634" customFormat="1">
      <c r="G26894" s="3336"/>
      <c r="P26894" s="3337"/>
    </row>
    <row r="26895" spans="7:16" s="1634" customFormat="1">
      <c r="G26895" s="3336"/>
      <c r="P26895" s="3337"/>
    </row>
    <row r="26896" spans="7:16" s="1634" customFormat="1">
      <c r="G26896" s="3336"/>
      <c r="P26896" s="3337"/>
    </row>
    <row r="26897" spans="7:16" s="1634" customFormat="1">
      <c r="G26897" s="3336"/>
      <c r="P26897" s="3337"/>
    </row>
    <row r="26898" spans="7:16" s="1634" customFormat="1">
      <c r="G26898" s="3336"/>
      <c r="P26898" s="3337"/>
    </row>
    <row r="26899" spans="7:16" s="1634" customFormat="1">
      <c r="G26899" s="3336"/>
      <c r="P26899" s="3337"/>
    </row>
    <row r="26900" spans="7:16" s="1634" customFormat="1">
      <c r="G26900" s="3336"/>
      <c r="P26900" s="3337"/>
    </row>
    <row r="26901" spans="7:16" s="1634" customFormat="1">
      <c r="G26901" s="3336"/>
      <c r="P26901" s="3337"/>
    </row>
    <row r="26902" spans="7:16" s="1634" customFormat="1">
      <c r="G26902" s="3336"/>
      <c r="P26902" s="3337"/>
    </row>
    <row r="26903" spans="7:16" s="1634" customFormat="1">
      <c r="G26903" s="3336"/>
      <c r="P26903" s="3337"/>
    </row>
    <row r="26904" spans="7:16" s="1634" customFormat="1">
      <c r="G26904" s="3336"/>
      <c r="P26904" s="3337"/>
    </row>
    <row r="26905" spans="7:16" s="1634" customFormat="1">
      <c r="G26905" s="3336"/>
      <c r="P26905" s="3337"/>
    </row>
    <row r="26906" spans="7:16" s="1634" customFormat="1">
      <c r="G26906" s="3336"/>
      <c r="P26906" s="3337"/>
    </row>
    <row r="26907" spans="7:16" s="1634" customFormat="1">
      <c r="G26907" s="3336"/>
      <c r="P26907" s="3337"/>
    </row>
    <row r="26908" spans="7:16" s="1634" customFormat="1">
      <c r="G26908" s="3336"/>
      <c r="P26908" s="3337"/>
    </row>
    <row r="26909" spans="7:16" s="1634" customFormat="1">
      <c r="G26909" s="3336"/>
      <c r="P26909" s="3337"/>
    </row>
    <row r="26910" spans="7:16" s="1634" customFormat="1">
      <c r="G26910" s="3336"/>
      <c r="P26910" s="3337"/>
    </row>
    <row r="26911" spans="7:16" s="1634" customFormat="1">
      <c r="G26911" s="3336"/>
      <c r="P26911" s="3337"/>
    </row>
    <row r="26912" spans="7:16" s="1634" customFormat="1">
      <c r="G26912" s="3336"/>
      <c r="P26912" s="3337"/>
    </row>
    <row r="26913" spans="7:16" s="1634" customFormat="1">
      <c r="G26913" s="3336"/>
      <c r="P26913" s="3337"/>
    </row>
    <row r="26914" spans="7:16" s="1634" customFormat="1">
      <c r="G26914" s="3336"/>
      <c r="P26914" s="3337"/>
    </row>
    <row r="26915" spans="7:16" s="1634" customFormat="1">
      <c r="G26915" s="3336"/>
      <c r="P26915" s="3337"/>
    </row>
    <row r="26916" spans="7:16" s="1634" customFormat="1">
      <c r="G26916" s="3336"/>
      <c r="P26916" s="3337"/>
    </row>
    <row r="26917" spans="7:16" s="1634" customFormat="1">
      <c r="G26917" s="3336"/>
      <c r="P26917" s="3337"/>
    </row>
    <row r="26918" spans="7:16" s="1634" customFormat="1">
      <c r="G26918" s="3336"/>
      <c r="P26918" s="3337"/>
    </row>
    <row r="26919" spans="7:16" s="1634" customFormat="1">
      <c r="G26919" s="3336"/>
      <c r="P26919" s="3337"/>
    </row>
    <row r="26920" spans="7:16" s="1634" customFormat="1">
      <c r="G26920" s="3336"/>
      <c r="P26920" s="3337"/>
    </row>
    <row r="26921" spans="7:16" s="1634" customFormat="1">
      <c r="G26921" s="3336"/>
      <c r="P26921" s="3337"/>
    </row>
    <row r="26922" spans="7:16" s="1634" customFormat="1">
      <c r="G26922" s="3336"/>
      <c r="P26922" s="3337"/>
    </row>
    <row r="26923" spans="7:16" s="1634" customFormat="1">
      <c r="G26923" s="3336"/>
      <c r="P26923" s="3337"/>
    </row>
    <row r="26924" spans="7:16" s="1634" customFormat="1">
      <c r="G26924" s="3336"/>
      <c r="P26924" s="3337"/>
    </row>
    <row r="26925" spans="7:16" s="1634" customFormat="1">
      <c r="G26925" s="3336"/>
      <c r="P26925" s="3337"/>
    </row>
    <row r="26926" spans="7:16" s="1634" customFormat="1">
      <c r="G26926" s="3336"/>
      <c r="P26926" s="3337"/>
    </row>
    <row r="26927" spans="7:16" s="1634" customFormat="1">
      <c r="G26927" s="3336"/>
      <c r="P26927" s="3337"/>
    </row>
    <row r="26928" spans="7:16" s="1634" customFormat="1">
      <c r="G26928" s="3336"/>
      <c r="P26928" s="3337"/>
    </row>
    <row r="26929" spans="7:16" s="1634" customFormat="1">
      <c r="G26929" s="3336"/>
      <c r="P26929" s="3337"/>
    </row>
    <row r="26930" spans="7:16" s="1634" customFormat="1">
      <c r="G26930" s="3336"/>
      <c r="P26930" s="3337"/>
    </row>
    <row r="26931" spans="7:16" s="1634" customFormat="1">
      <c r="G26931" s="3336"/>
      <c r="P26931" s="3337"/>
    </row>
    <row r="26932" spans="7:16" s="1634" customFormat="1">
      <c r="G26932" s="3336"/>
      <c r="P26932" s="3337"/>
    </row>
    <row r="26933" spans="7:16" s="1634" customFormat="1">
      <c r="G26933" s="3336"/>
      <c r="P26933" s="3337"/>
    </row>
    <row r="26934" spans="7:16" s="1634" customFormat="1">
      <c r="G26934" s="3336"/>
      <c r="P26934" s="3337"/>
    </row>
    <row r="26935" spans="7:16" s="1634" customFormat="1">
      <c r="G26935" s="3336"/>
      <c r="P26935" s="3337"/>
    </row>
    <row r="26936" spans="7:16" s="1634" customFormat="1">
      <c r="G26936" s="3336"/>
      <c r="P26936" s="3337"/>
    </row>
    <row r="26937" spans="7:16" s="1634" customFormat="1">
      <c r="G26937" s="3336"/>
      <c r="P26937" s="3337"/>
    </row>
    <row r="26938" spans="7:16" s="1634" customFormat="1">
      <c r="G26938" s="3336"/>
      <c r="P26938" s="3337"/>
    </row>
    <row r="26939" spans="7:16" s="1634" customFormat="1">
      <c r="G26939" s="3336"/>
      <c r="P26939" s="3337"/>
    </row>
    <row r="26940" spans="7:16" s="1634" customFormat="1">
      <c r="G26940" s="3336"/>
      <c r="P26940" s="3337"/>
    </row>
    <row r="26941" spans="7:16" s="1634" customFormat="1">
      <c r="G26941" s="3336"/>
      <c r="P26941" s="3337"/>
    </row>
    <row r="26942" spans="7:16" s="1634" customFormat="1">
      <c r="G26942" s="3336"/>
      <c r="P26942" s="3337"/>
    </row>
    <row r="26943" spans="7:16" s="1634" customFormat="1">
      <c r="G26943" s="3336"/>
      <c r="P26943" s="3337"/>
    </row>
    <row r="26944" spans="7:16" s="1634" customFormat="1">
      <c r="G26944" s="3336"/>
      <c r="P26944" s="3337"/>
    </row>
    <row r="26945" spans="7:16" s="1634" customFormat="1">
      <c r="G26945" s="3336"/>
      <c r="P26945" s="3337"/>
    </row>
    <row r="26946" spans="7:16" s="1634" customFormat="1">
      <c r="G26946" s="3336"/>
      <c r="P26946" s="3337"/>
    </row>
    <row r="26947" spans="7:16" s="1634" customFormat="1">
      <c r="G26947" s="3336"/>
      <c r="P26947" s="3337"/>
    </row>
    <row r="26948" spans="7:16" s="1634" customFormat="1">
      <c r="G26948" s="3336"/>
      <c r="P26948" s="3337"/>
    </row>
    <row r="26949" spans="7:16" s="1634" customFormat="1">
      <c r="G26949" s="3336"/>
      <c r="P26949" s="3337"/>
    </row>
    <row r="26950" spans="7:16" s="1634" customFormat="1">
      <c r="G26950" s="3336"/>
      <c r="P26950" s="3337"/>
    </row>
    <row r="26951" spans="7:16" s="1634" customFormat="1">
      <c r="G26951" s="3336"/>
      <c r="P26951" s="3337"/>
    </row>
    <row r="26952" spans="7:16" s="1634" customFormat="1">
      <c r="G26952" s="3336"/>
      <c r="P26952" s="3337"/>
    </row>
    <row r="26953" spans="7:16" s="1634" customFormat="1">
      <c r="G26953" s="3336"/>
      <c r="P26953" s="3337"/>
    </row>
    <row r="26954" spans="7:16" s="1634" customFormat="1">
      <c r="G26954" s="3336"/>
      <c r="P26954" s="3337"/>
    </row>
    <row r="26955" spans="7:16" s="1634" customFormat="1">
      <c r="G26955" s="3336"/>
      <c r="P26955" s="3337"/>
    </row>
    <row r="26956" spans="7:16" s="1634" customFormat="1">
      <c r="G26956" s="3336"/>
      <c r="P26956" s="3337"/>
    </row>
    <row r="26957" spans="7:16" s="1634" customFormat="1">
      <c r="G26957" s="3336"/>
      <c r="P26957" s="3337"/>
    </row>
    <row r="26958" spans="7:16" s="1634" customFormat="1">
      <c r="G26958" s="3336"/>
      <c r="P26958" s="3337"/>
    </row>
    <row r="26959" spans="7:16" s="1634" customFormat="1">
      <c r="G26959" s="3336"/>
      <c r="P26959" s="3337"/>
    </row>
    <row r="26960" spans="7:16" s="1634" customFormat="1">
      <c r="G26960" s="3336"/>
      <c r="P26960" s="3337"/>
    </row>
    <row r="26961" spans="7:16" s="1634" customFormat="1">
      <c r="G26961" s="3336"/>
      <c r="P26961" s="3337"/>
    </row>
    <row r="26962" spans="7:16" s="1634" customFormat="1">
      <c r="G26962" s="3336"/>
      <c r="P26962" s="3337"/>
    </row>
    <row r="26963" spans="7:16" s="1634" customFormat="1">
      <c r="G26963" s="3336"/>
      <c r="P26963" s="3337"/>
    </row>
    <row r="26964" spans="7:16" s="1634" customFormat="1">
      <c r="G26964" s="3336"/>
      <c r="P26964" s="3337"/>
    </row>
    <row r="26965" spans="7:16" s="1634" customFormat="1">
      <c r="G26965" s="3336"/>
      <c r="P26965" s="3337"/>
    </row>
    <row r="26966" spans="7:16" s="1634" customFormat="1">
      <c r="G26966" s="3336"/>
      <c r="P26966" s="3337"/>
    </row>
    <row r="26967" spans="7:16" s="1634" customFormat="1">
      <c r="G26967" s="3336"/>
      <c r="P26967" s="3337"/>
    </row>
    <row r="26968" spans="7:16" s="1634" customFormat="1">
      <c r="G26968" s="3336"/>
      <c r="P26968" s="3337"/>
    </row>
    <row r="26969" spans="7:16" s="1634" customFormat="1">
      <c r="G26969" s="3336"/>
      <c r="P26969" s="3337"/>
    </row>
    <row r="26970" spans="7:16" s="1634" customFormat="1">
      <c r="G26970" s="3336"/>
      <c r="P26970" s="3337"/>
    </row>
    <row r="26971" spans="7:16" s="1634" customFormat="1">
      <c r="G26971" s="3336"/>
      <c r="P26971" s="3337"/>
    </row>
    <row r="26972" spans="7:16" s="1634" customFormat="1">
      <c r="G26972" s="3336"/>
      <c r="P26972" s="3337"/>
    </row>
    <row r="26973" spans="7:16" s="1634" customFormat="1">
      <c r="G26973" s="3336"/>
      <c r="P26973" s="3337"/>
    </row>
    <row r="26974" spans="7:16" s="1634" customFormat="1">
      <c r="G26974" s="3336"/>
      <c r="P26974" s="3337"/>
    </row>
    <row r="26975" spans="7:16" s="1634" customFormat="1">
      <c r="G26975" s="3336"/>
      <c r="P26975" s="3337"/>
    </row>
    <row r="26976" spans="7:16" s="1634" customFormat="1">
      <c r="G26976" s="3336"/>
      <c r="P26976" s="3337"/>
    </row>
    <row r="26977" spans="7:16" s="1634" customFormat="1">
      <c r="G26977" s="3336"/>
      <c r="P26977" s="3337"/>
    </row>
    <row r="26978" spans="7:16" s="1634" customFormat="1">
      <c r="G26978" s="3336"/>
      <c r="P26978" s="3337"/>
    </row>
    <row r="26979" spans="7:16" s="1634" customFormat="1">
      <c r="G26979" s="3336"/>
      <c r="P26979" s="3337"/>
    </row>
    <row r="26980" spans="7:16" s="1634" customFormat="1">
      <c r="G26980" s="3336"/>
      <c r="P26980" s="3337"/>
    </row>
    <row r="26981" spans="7:16" s="1634" customFormat="1">
      <c r="G26981" s="3336"/>
      <c r="P26981" s="3337"/>
    </row>
    <row r="26982" spans="7:16" s="1634" customFormat="1">
      <c r="G26982" s="3336"/>
      <c r="P26982" s="3337"/>
    </row>
    <row r="26983" spans="7:16" s="1634" customFormat="1">
      <c r="G26983" s="3336"/>
      <c r="P26983" s="3337"/>
    </row>
    <row r="26984" spans="7:16" s="1634" customFormat="1">
      <c r="G26984" s="3336"/>
      <c r="P26984" s="3337"/>
    </row>
    <row r="26985" spans="7:16" s="1634" customFormat="1">
      <c r="G26985" s="3336"/>
      <c r="P26985" s="3337"/>
    </row>
    <row r="26986" spans="7:16" s="1634" customFormat="1">
      <c r="G26986" s="3336"/>
      <c r="P26986" s="3337"/>
    </row>
    <row r="26987" spans="7:16" s="1634" customFormat="1">
      <c r="G26987" s="3336"/>
      <c r="P26987" s="3337"/>
    </row>
    <row r="26988" spans="7:16" s="1634" customFormat="1">
      <c r="G26988" s="3336"/>
      <c r="P26988" s="3337"/>
    </row>
    <row r="26989" spans="7:16" s="1634" customFormat="1">
      <c r="G26989" s="3336"/>
      <c r="P26989" s="3337"/>
    </row>
    <row r="26990" spans="7:16" s="1634" customFormat="1">
      <c r="G26990" s="3336"/>
      <c r="P26990" s="3337"/>
    </row>
    <row r="26991" spans="7:16" s="1634" customFormat="1">
      <c r="G26991" s="3336"/>
      <c r="P26991" s="3337"/>
    </row>
    <row r="26992" spans="7:16" s="1634" customFormat="1">
      <c r="G26992" s="3336"/>
      <c r="P26992" s="3337"/>
    </row>
    <row r="26993" spans="7:16" s="1634" customFormat="1">
      <c r="G26993" s="3336"/>
      <c r="P26993" s="3337"/>
    </row>
    <row r="26994" spans="7:16" s="1634" customFormat="1">
      <c r="G26994" s="3336"/>
      <c r="P26994" s="3337"/>
    </row>
    <row r="26995" spans="7:16" s="1634" customFormat="1">
      <c r="G26995" s="3336"/>
      <c r="P26995" s="3337"/>
    </row>
    <row r="26996" spans="7:16" s="1634" customFormat="1">
      <c r="G26996" s="3336"/>
      <c r="P26996" s="3337"/>
    </row>
    <row r="26997" spans="7:16" s="1634" customFormat="1">
      <c r="G26997" s="3336"/>
      <c r="P26997" s="3337"/>
    </row>
    <row r="26998" spans="7:16" s="1634" customFormat="1">
      <c r="G26998" s="3336"/>
      <c r="P26998" s="3337"/>
    </row>
    <row r="26999" spans="7:16" s="1634" customFormat="1">
      <c r="G26999" s="3336"/>
      <c r="P26999" s="3337"/>
    </row>
    <row r="27000" spans="7:16" s="1634" customFormat="1">
      <c r="G27000" s="3336"/>
      <c r="P27000" s="3337"/>
    </row>
    <row r="27001" spans="7:16" s="1634" customFormat="1">
      <c r="G27001" s="3336"/>
      <c r="P27001" s="3337"/>
    </row>
    <row r="27002" spans="7:16" s="1634" customFormat="1">
      <c r="G27002" s="3336"/>
      <c r="P27002" s="3337"/>
    </row>
    <row r="27003" spans="7:16" s="1634" customFormat="1">
      <c r="G27003" s="3336"/>
      <c r="P27003" s="3337"/>
    </row>
    <row r="27004" spans="7:16" s="1634" customFormat="1">
      <c r="G27004" s="3336"/>
      <c r="P27004" s="3337"/>
    </row>
    <row r="27005" spans="7:16" s="1634" customFormat="1">
      <c r="G27005" s="3336"/>
      <c r="P27005" s="3337"/>
    </row>
    <row r="27006" spans="7:16" s="1634" customFormat="1">
      <c r="G27006" s="3336"/>
      <c r="P27006" s="3337"/>
    </row>
    <row r="27007" spans="7:16" s="1634" customFormat="1">
      <c r="G27007" s="3336"/>
      <c r="P27007" s="3337"/>
    </row>
    <row r="27008" spans="7:16" s="1634" customFormat="1">
      <c r="G27008" s="3336"/>
      <c r="P27008" s="3337"/>
    </row>
    <row r="27009" spans="7:16" s="1634" customFormat="1">
      <c r="G27009" s="3336"/>
      <c r="P27009" s="3337"/>
    </row>
    <row r="27010" spans="7:16" s="1634" customFormat="1">
      <c r="G27010" s="3336"/>
      <c r="P27010" s="3337"/>
    </row>
    <row r="27011" spans="7:16" s="1634" customFormat="1">
      <c r="G27011" s="3336"/>
      <c r="P27011" s="3337"/>
    </row>
    <row r="27012" spans="7:16" s="1634" customFormat="1">
      <c r="G27012" s="3336"/>
      <c r="P27012" s="3337"/>
    </row>
    <row r="27013" spans="7:16" s="1634" customFormat="1">
      <c r="G27013" s="3336"/>
      <c r="P27013" s="3337"/>
    </row>
    <row r="27014" spans="7:16" s="1634" customFormat="1">
      <c r="G27014" s="3336"/>
      <c r="P27014" s="3337"/>
    </row>
    <row r="27015" spans="7:16" s="1634" customFormat="1">
      <c r="G27015" s="3336"/>
      <c r="P27015" s="3337"/>
    </row>
    <row r="27016" spans="7:16" s="1634" customFormat="1">
      <c r="G27016" s="3336"/>
      <c r="P27016" s="3337"/>
    </row>
    <row r="27017" spans="7:16" s="1634" customFormat="1">
      <c r="G27017" s="3336"/>
      <c r="P27017" s="3337"/>
    </row>
    <row r="27018" spans="7:16" s="1634" customFormat="1">
      <c r="G27018" s="3336"/>
      <c r="P27018" s="3337"/>
    </row>
    <row r="27019" spans="7:16" s="1634" customFormat="1">
      <c r="G27019" s="3336"/>
      <c r="P27019" s="3337"/>
    </row>
    <row r="27020" spans="7:16" s="1634" customFormat="1">
      <c r="G27020" s="3336"/>
      <c r="P27020" s="3337"/>
    </row>
    <row r="27021" spans="7:16" s="1634" customFormat="1">
      <c r="G27021" s="3336"/>
      <c r="P27021" s="3337"/>
    </row>
    <row r="27022" spans="7:16" s="1634" customFormat="1">
      <c r="G27022" s="3336"/>
      <c r="P27022" s="3337"/>
    </row>
    <row r="27023" spans="7:16" s="1634" customFormat="1">
      <c r="G27023" s="3336"/>
      <c r="P27023" s="3337"/>
    </row>
    <row r="27024" spans="7:16" s="1634" customFormat="1">
      <c r="G27024" s="3336"/>
      <c r="P27024" s="3337"/>
    </row>
    <row r="27025" spans="7:16" s="1634" customFormat="1">
      <c r="G27025" s="3336"/>
      <c r="P27025" s="3337"/>
    </row>
    <row r="27026" spans="7:16" s="1634" customFormat="1">
      <c r="G27026" s="3336"/>
      <c r="P27026" s="3337"/>
    </row>
    <row r="27027" spans="7:16" s="1634" customFormat="1">
      <c r="G27027" s="3336"/>
      <c r="P27027" s="3337"/>
    </row>
    <row r="27028" spans="7:16" s="1634" customFormat="1">
      <c r="G27028" s="3336"/>
      <c r="P27028" s="3337"/>
    </row>
    <row r="27029" spans="7:16" s="1634" customFormat="1">
      <c r="G27029" s="3336"/>
      <c r="P27029" s="3337"/>
    </row>
    <row r="27030" spans="7:16" s="1634" customFormat="1">
      <c r="G27030" s="3336"/>
      <c r="P27030" s="3337"/>
    </row>
    <row r="27031" spans="7:16" s="1634" customFormat="1">
      <c r="G27031" s="3336"/>
      <c r="P27031" s="3337"/>
    </row>
    <row r="27032" spans="7:16" s="1634" customFormat="1">
      <c r="G27032" s="3336"/>
      <c r="P27032" s="3337"/>
    </row>
    <row r="27033" spans="7:16" s="1634" customFormat="1">
      <c r="G27033" s="3336"/>
      <c r="P27033" s="3337"/>
    </row>
    <row r="27034" spans="7:16" s="1634" customFormat="1">
      <c r="G27034" s="3336"/>
      <c r="P27034" s="3337"/>
    </row>
    <row r="27035" spans="7:16" s="1634" customFormat="1">
      <c r="G27035" s="3336"/>
      <c r="P27035" s="3337"/>
    </row>
    <row r="27036" spans="7:16" s="1634" customFormat="1">
      <c r="G27036" s="3336"/>
      <c r="P27036" s="3337"/>
    </row>
    <row r="27037" spans="7:16" s="1634" customFormat="1">
      <c r="G27037" s="3336"/>
      <c r="P27037" s="3337"/>
    </row>
    <row r="27038" spans="7:16" s="1634" customFormat="1">
      <c r="G27038" s="3336"/>
      <c r="P27038" s="3337"/>
    </row>
    <row r="27039" spans="7:16" s="1634" customFormat="1">
      <c r="G27039" s="3336"/>
      <c r="P27039" s="3337"/>
    </row>
    <row r="27040" spans="7:16" s="1634" customFormat="1">
      <c r="G27040" s="3336"/>
      <c r="P27040" s="3337"/>
    </row>
    <row r="27041" spans="7:16" s="1634" customFormat="1">
      <c r="G27041" s="3336"/>
      <c r="P27041" s="3337"/>
    </row>
    <row r="27042" spans="7:16" s="1634" customFormat="1">
      <c r="G27042" s="3336"/>
      <c r="P27042" s="3337"/>
    </row>
    <row r="27043" spans="7:16" s="1634" customFormat="1">
      <c r="G27043" s="3336"/>
      <c r="P27043" s="3337"/>
    </row>
    <row r="27044" spans="7:16" s="1634" customFormat="1">
      <c r="G27044" s="3336"/>
      <c r="P27044" s="3337"/>
    </row>
    <row r="27045" spans="7:16" s="1634" customFormat="1">
      <c r="G27045" s="3336"/>
      <c r="P27045" s="3337"/>
    </row>
    <row r="27046" spans="7:16" s="1634" customFormat="1">
      <c r="G27046" s="3336"/>
      <c r="P27046" s="3337"/>
    </row>
    <row r="27047" spans="7:16" s="1634" customFormat="1">
      <c r="G27047" s="3336"/>
      <c r="P27047" s="3337"/>
    </row>
    <row r="27048" spans="7:16" s="1634" customFormat="1">
      <c r="G27048" s="3336"/>
      <c r="P27048" s="3337"/>
    </row>
    <row r="27049" spans="7:16" s="1634" customFormat="1">
      <c r="G27049" s="3336"/>
      <c r="P27049" s="3337"/>
    </row>
    <row r="27050" spans="7:16" s="1634" customFormat="1">
      <c r="G27050" s="3336"/>
      <c r="P27050" s="3337"/>
    </row>
    <row r="27051" spans="7:16" s="1634" customFormat="1">
      <c r="G27051" s="3336"/>
      <c r="P27051" s="3337"/>
    </row>
    <row r="27052" spans="7:16" s="1634" customFormat="1">
      <c r="G27052" s="3336"/>
      <c r="P27052" s="3337"/>
    </row>
    <row r="27053" spans="7:16" s="1634" customFormat="1">
      <c r="G27053" s="3336"/>
      <c r="P27053" s="3337"/>
    </row>
    <row r="27054" spans="7:16" s="1634" customFormat="1">
      <c r="G27054" s="3336"/>
      <c r="P27054" s="3337"/>
    </row>
    <row r="27055" spans="7:16" s="1634" customFormat="1">
      <c r="G27055" s="3336"/>
      <c r="P27055" s="3337"/>
    </row>
    <row r="27056" spans="7:16" s="1634" customFormat="1">
      <c r="G27056" s="3336"/>
      <c r="P27056" s="3337"/>
    </row>
    <row r="27057" spans="7:16" s="1634" customFormat="1">
      <c r="G27057" s="3336"/>
      <c r="P27057" s="3337"/>
    </row>
    <row r="27058" spans="7:16" s="1634" customFormat="1">
      <c r="G27058" s="3336"/>
      <c r="P27058" s="3337"/>
    </row>
    <row r="27059" spans="7:16" s="1634" customFormat="1">
      <c r="G27059" s="3336"/>
      <c r="P27059" s="3337"/>
    </row>
    <row r="27060" spans="7:16" s="1634" customFormat="1">
      <c r="G27060" s="3336"/>
      <c r="P27060" s="3337"/>
    </row>
    <row r="27061" spans="7:16" s="1634" customFormat="1">
      <c r="G27061" s="3336"/>
      <c r="P27061" s="3337"/>
    </row>
    <row r="27062" spans="7:16" s="1634" customFormat="1">
      <c r="G27062" s="3336"/>
      <c r="P27062" s="3337"/>
    </row>
    <row r="27063" spans="7:16" s="1634" customFormat="1">
      <c r="G27063" s="3336"/>
      <c r="P27063" s="3337"/>
    </row>
    <row r="27064" spans="7:16" s="1634" customFormat="1">
      <c r="G27064" s="3336"/>
      <c r="P27064" s="3337"/>
    </row>
    <row r="27065" spans="7:16" s="1634" customFormat="1">
      <c r="G27065" s="3336"/>
      <c r="P27065" s="3337"/>
    </row>
    <row r="27066" spans="7:16" s="1634" customFormat="1">
      <c r="G27066" s="3336"/>
      <c r="P27066" s="3337"/>
    </row>
    <row r="27067" spans="7:16" s="1634" customFormat="1">
      <c r="G27067" s="3336"/>
      <c r="P27067" s="3337"/>
    </row>
    <row r="27068" spans="7:16" s="1634" customFormat="1">
      <c r="G27068" s="3336"/>
      <c r="P27068" s="3337"/>
    </row>
    <row r="27069" spans="7:16" s="1634" customFormat="1">
      <c r="G27069" s="3336"/>
      <c r="P27069" s="3337"/>
    </row>
    <row r="27070" spans="7:16" s="1634" customFormat="1">
      <c r="G27070" s="3336"/>
      <c r="P27070" s="3337"/>
    </row>
    <row r="27071" spans="7:16" s="1634" customFormat="1">
      <c r="G27071" s="3336"/>
      <c r="P27071" s="3337"/>
    </row>
    <row r="27072" spans="7:16" s="1634" customFormat="1">
      <c r="G27072" s="3336"/>
      <c r="P27072" s="3337"/>
    </row>
    <row r="27073" spans="7:16" s="1634" customFormat="1">
      <c r="G27073" s="3336"/>
      <c r="P27073" s="3337"/>
    </row>
    <row r="27074" spans="7:16" s="1634" customFormat="1">
      <c r="G27074" s="3336"/>
      <c r="P27074" s="3337"/>
    </row>
    <row r="27075" spans="7:16" s="1634" customFormat="1">
      <c r="G27075" s="3336"/>
      <c r="P27075" s="3337"/>
    </row>
    <row r="27076" spans="7:16" s="1634" customFormat="1">
      <c r="G27076" s="3336"/>
      <c r="P27076" s="3337"/>
    </row>
    <row r="27077" spans="7:16" s="1634" customFormat="1">
      <c r="G27077" s="3336"/>
      <c r="P27077" s="3337"/>
    </row>
    <row r="27078" spans="7:16" s="1634" customFormat="1">
      <c r="G27078" s="3336"/>
      <c r="P27078" s="3337"/>
    </row>
    <row r="27079" spans="7:16" s="1634" customFormat="1">
      <c r="G27079" s="3336"/>
      <c r="P27079" s="3337"/>
    </row>
    <row r="27080" spans="7:16" s="1634" customFormat="1">
      <c r="G27080" s="3336"/>
      <c r="P27080" s="3337"/>
    </row>
    <row r="27081" spans="7:16" s="1634" customFormat="1">
      <c r="G27081" s="3336"/>
      <c r="P27081" s="3337"/>
    </row>
    <row r="27082" spans="7:16" s="1634" customFormat="1">
      <c r="G27082" s="3336"/>
      <c r="P27082" s="3337"/>
    </row>
    <row r="27083" spans="7:16" s="1634" customFormat="1">
      <c r="G27083" s="3336"/>
      <c r="P27083" s="3337"/>
    </row>
    <row r="27084" spans="7:16" s="1634" customFormat="1">
      <c r="G27084" s="3336"/>
      <c r="P27084" s="3337"/>
    </row>
    <row r="27085" spans="7:16" s="1634" customFormat="1">
      <c r="G27085" s="3336"/>
      <c r="P27085" s="3337"/>
    </row>
    <row r="27086" spans="7:16" s="1634" customFormat="1">
      <c r="G27086" s="3336"/>
      <c r="P27086" s="3337"/>
    </row>
    <row r="27087" spans="7:16" s="1634" customFormat="1">
      <c r="G27087" s="3336"/>
      <c r="P27087" s="3337"/>
    </row>
    <row r="27088" spans="7:16" s="1634" customFormat="1">
      <c r="G27088" s="3336"/>
      <c r="P27088" s="3337"/>
    </row>
    <row r="27089" spans="7:16" s="1634" customFormat="1">
      <c r="G27089" s="3336"/>
      <c r="P27089" s="3337"/>
    </row>
    <row r="27090" spans="7:16" s="1634" customFormat="1">
      <c r="G27090" s="3336"/>
      <c r="P27090" s="3337"/>
    </row>
    <row r="27091" spans="7:16" s="1634" customFormat="1">
      <c r="G27091" s="3336"/>
      <c r="P27091" s="3337"/>
    </row>
    <row r="27092" spans="7:16" s="1634" customFormat="1">
      <c r="G27092" s="3336"/>
      <c r="P27092" s="3337"/>
    </row>
    <row r="27093" spans="7:16" s="1634" customFormat="1">
      <c r="G27093" s="3336"/>
      <c r="P27093" s="3337"/>
    </row>
    <row r="27094" spans="7:16" s="1634" customFormat="1">
      <c r="G27094" s="3336"/>
      <c r="P27094" s="3337"/>
    </row>
    <row r="27095" spans="7:16" s="1634" customFormat="1">
      <c r="G27095" s="3336"/>
      <c r="P27095" s="3337"/>
    </row>
    <row r="27096" spans="7:16" s="1634" customFormat="1">
      <c r="G27096" s="3336"/>
      <c r="P27096" s="3337"/>
    </row>
    <row r="27097" spans="7:16" s="1634" customFormat="1">
      <c r="G27097" s="3336"/>
      <c r="P27097" s="3337"/>
    </row>
    <row r="27098" spans="7:16" s="1634" customFormat="1">
      <c r="G27098" s="3336"/>
      <c r="P27098" s="3337"/>
    </row>
    <row r="27099" spans="7:16" s="1634" customFormat="1">
      <c r="G27099" s="3336"/>
      <c r="P27099" s="3337"/>
    </row>
    <row r="27100" spans="7:16" s="1634" customFormat="1">
      <c r="G27100" s="3336"/>
      <c r="P27100" s="3337"/>
    </row>
    <row r="27101" spans="7:16" s="1634" customFormat="1">
      <c r="G27101" s="3336"/>
      <c r="P27101" s="3337"/>
    </row>
    <row r="27102" spans="7:16" s="1634" customFormat="1">
      <c r="G27102" s="3336"/>
      <c r="P27102" s="3337"/>
    </row>
    <row r="27103" spans="7:16" s="1634" customFormat="1">
      <c r="G27103" s="3336"/>
      <c r="P27103" s="3337"/>
    </row>
    <row r="27104" spans="7:16" s="1634" customFormat="1">
      <c r="G27104" s="3336"/>
      <c r="P27104" s="3337"/>
    </row>
    <row r="27105" spans="7:16" s="1634" customFormat="1">
      <c r="G27105" s="3336"/>
      <c r="P27105" s="3337"/>
    </row>
    <row r="27106" spans="7:16" s="1634" customFormat="1">
      <c r="G27106" s="3336"/>
      <c r="P27106" s="3337"/>
    </row>
    <row r="27107" spans="7:16" s="1634" customFormat="1">
      <c r="G27107" s="3336"/>
      <c r="P27107" s="3337"/>
    </row>
    <row r="27108" spans="7:16" s="1634" customFormat="1">
      <c r="G27108" s="3336"/>
      <c r="P27108" s="3337"/>
    </row>
    <row r="27109" spans="7:16" s="1634" customFormat="1">
      <c r="G27109" s="3336"/>
      <c r="P27109" s="3337"/>
    </row>
    <row r="27110" spans="7:16" s="1634" customFormat="1">
      <c r="G27110" s="3336"/>
      <c r="P27110" s="3337"/>
    </row>
    <row r="27111" spans="7:16" s="1634" customFormat="1">
      <c r="G27111" s="3336"/>
      <c r="P27111" s="3337"/>
    </row>
    <row r="27112" spans="7:16" s="1634" customFormat="1">
      <c r="G27112" s="3336"/>
      <c r="P27112" s="3337"/>
    </row>
    <row r="27113" spans="7:16" s="1634" customFormat="1">
      <c r="G27113" s="3336"/>
      <c r="P27113" s="3337"/>
    </row>
    <row r="27114" spans="7:16" s="1634" customFormat="1">
      <c r="G27114" s="3336"/>
      <c r="P27114" s="3337"/>
    </row>
    <row r="27115" spans="7:16" s="1634" customFormat="1">
      <c r="G27115" s="3336"/>
      <c r="P27115" s="3337"/>
    </row>
    <row r="27116" spans="7:16" s="1634" customFormat="1">
      <c r="G27116" s="3336"/>
      <c r="P27116" s="3337"/>
    </row>
    <row r="27117" spans="7:16" s="1634" customFormat="1">
      <c r="G27117" s="3336"/>
      <c r="P27117" s="3337"/>
    </row>
    <row r="27118" spans="7:16" s="1634" customFormat="1">
      <c r="G27118" s="3336"/>
      <c r="P27118" s="3337"/>
    </row>
    <row r="27119" spans="7:16" s="1634" customFormat="1">
      <c r="G27119" s="3336"/>
      <c r="P27119" s="3337"/>
    </row>
    <row r="27120" spans="7:16" s="1634" customFormat="1">
      <c r="G27120" s="3336"/>
      <c r="P27120" s="3337"/>
    </row>
    <row r="27121" spans="7:16" s="1634" customFormat="1">
      <c r="G27121" s="3336"/>
      <c r="P27121" s="3337"/>
    </row>
    <row r="27122" spans="7:16" s="1634" customFormat="1">
      <c r="G27122" s="3336"/>
      <c r="P27122" s="3337"/>
    </row>
    <row r="27123" spans="7:16" s="1634" customFormat="1">
      <c r="G27123" s="3336"/>
      <c r="P27123" s="3337"/>
    </row>
    <row r="27124" spans="7:16" s="1634" customFormat="1">
      <c r="G27124" s="3336"/>
      <c r="P27124" s="3337"/>
    </row>
    <row r="27125" spans="7:16" s="1634" customFormat="1">
      <c r="G27125" s="3336"/>
      <c r="P27125" s="3337"/>
    </row>
    <row r="27126" spans="7:16" s="1634" customFormat="1">
      <c r="G27126" s="3336"/>
      <c r="P27126" s="3337"/>
    </row>
    <row r="27127" spans="7:16" s="1634" customFormat="1">
      <c r="G27127" s="3336"/>
      <c r="P27127" s="3337"/>
    </row>
    <row r="27128" spans="7:16" s="1634" customFormat="1">
      <c r="G27128" s="3336"/>
      <c r="P27128" s="3337"/>
    </row>
    <row r="27129" spans="7:16" s="1634" customFormat="1">
      <c r="G27129" s="3336"/>
      <c r="P27129" s="3337"/>
    </row>
    <row r="27130" spans="7:16" s="1634" customFormat="1">
      <c r="G27130" s="3336"/>
      <c r="P27130" s="3337"/>
    </row>
    <row r="27131" spans="7:16" s="1634" customFormat="1">
      <c r="G27131" s="3336"/>
      <c r="P27131" s="3337"/>
    </row>
    <row r="27132" spans="7:16" s="1634" customFormat="1">
      <c r="G27132" s="3336"/>
      <c r="P27132" s="3337"/>
    </row>
    <row r="27133" spans="7:16" s="1634" customFormat="1">
      <c r="G27133" s="3336"/>
      <c r="P27133" s="3337"/>
    </row>
    <row r="27134" spans="7:16" s="1634" customFormat="1">
      <c r="G27134" s="3336"/>
      <c r="P27134" s="3337"/>
    </row>
    <row r="27135" spans="7:16" s="1634" customFormat="1">
      <c r="G27135" s="3336"/>
      <c r="P27135" s="3337"/>
    </row>
    <row r="27136" spans="7:16" s="1634" customFormat="1">
      <c r="G27136" s="3336"/>
      <c r="P27136" s="3337"/>
    </row>
    <row r="27137" spans="7:16" s="1634" customFormat="1">
      <c r="G27137" s="3336"/>
      <c r="P27137" s="3337"/>
    </row>
    <row r="27138" spans="7:16" s="1634" customFormat="1">
      <c r="G27138" s="3336"/>
      <c r="P27138" s="3337"/>
    </row>
    <row r="27139" spans="7:16" s="1634" customFormat="1">
      <c r="G27139" s="3336"/>
      <c r="P27139" s="3337"/>
    </row>
    <row r="27140" spans="7:16" s="1634" customFormat="1">
      <c r="G27140" s="3336"/>
      <c r="P27140" s="3337"/>
    </row>
    <row r="27141" spans="7:16" s="1634" customFormat="1">
      <c r="G27141" s="3336"/>
      <c r="P27141" s="3337"/>
    </row>
    <row r="27142" spans="7:16" s="1634" customFormat="1">
      <c r="G27142" s="3336"/>
      <c r="P27142" s="3337"/>
    </row>
    <row r="27143" spans="7:16" s="1634" customFormat="1">
      <c r="G27143" s="3336"/>
      <c r="P27143" s="3337"/>
    </row>
    <row r="27144" spans="7:16" s="1634" customFormat="1">
      <c r="G27144" s="3336"/>
      <c r="P27144" s="3337"/>
    </row>
    <row r="27145" spans="7:16" s="1634" customFormat="1">
      <c r="G27145" s="3336"/>
      <c r="P27145" s="3337"/>
    </row>
    <row r="27146" spans="7:16" s="1634" customFormat="1">
      <c r="G27146" s="3336"/>
      <c r="P27146" s="3337"/>
    </row>
    <row r="27147" spans="7:16" s="1634" customFormat="1">
      <c r="G27147" s="3336"/>
      <c r="P27147" s="3337"/>
    </row>
    <row r="27148" spans="7:16" s="1634" customFormat="1">
      <c r="G27148" s="3336"/>
      <c r="P27148" s="3337"/>
    </row>
    <row r="27149" spans="7:16" s="1634" customFormat="1">
      <c r="G27149" s="3336"/>
      <c r="P27149" s="3337"/>
    </row>
    <row r="27150" spans="7:16" s="1634" customFormat="1">
      <c r="G27150" s="3336"/>
      <c r="P27150" s="3337"/>
    </row>
    <row r="27151" spans="7:16" s="1634" customFormat="1">
      <c r="G27151" s="3336"/>
      <c r="P27151" s="3337"/>
    </row>
    <row r="27152" spans="7:16" s="1634" customFormat="1">
      <c r="G27152" s="3336"/>
      <c r="P27152" s="3337"/>
    </row>
    <row r="27153" spans="7:16" s="1634" customFormat="1">
      <c r="G27153" s="3336"/>
      <c r="P27153" s="3337"/>
    </row>
    <row r="27154" spans="7:16" s="1634" customFormat="1">
      <c r="G27154" s="3336"/>
      <c r="P27154" s="3337"/>
    </row>
    <row r="27155" spans="7:16" s="1634" customFormat="1">
      <c r="G27155" s="3336"/>
      <c r="P27155" s="3337"/>
    </row>
    <row r="27156" spans="7:16" s="1634" customFormat="1">
      <c r="G27156" s="3336"/>
      <c r="P27156" s="3337"/>
    </row>
    <row r="27157" spans="7:16" s="1634" customFormat="1">
      <c r="G27157" s="3336"/>
      <c r="P27157" s="3337"/>
    </row>
    <row r="27158" spans="7:16" s="1634" customFormat="1">
      <c r="G27158" s="3336"/>
      <c r="P27158" s="3337"/>
    </row>
    <row r="27159" spans="7:16" s="1634" customFormat="1">
      <c r="G27159" s="3336"/>
      <c r="P27159" s="3337"/>
    </row>
    <row r="27160" spans="7:16" s="1634" customFormat="1">
      <c r="G27160" s="3336"/>
      <c r="P27160" s="3337"/>
    </row>
    <row r="27161" spans="7:16" s="1634" customFormat="1">
      <c r="G27161" s="3336"/>
      <c r="P27161" s="3337"/>
    </row>
    <row r="27162" spans="7:16" s="1634" customFormat="1">
      <c r="G27162" s="3336"/>
      <c r="P27162" s="3337"/>
    </row>
    <row r="27163" spans="7:16" s="1634" customFormat="1">
      <c r="G27163" s="3336"/>
      <c r="P27163" s="3337"/>
    </row>
    <row r="27164" spans="7:16" s="1634" customFormat="1">
      <c r="G27164" s="3336"/>
      <c r="P27164" s="3337"/>
    </row>
    <row r="27165" spans="7:16" s="1634" customFormat="1">
      <c r="G27165" s="3336"/>
      <c r="P27165" s="3337"/>
    </row>
    <row r="27166" spans="7:16" s="1634" customFormat="1">
      <c r="G27166" s="3336"/>
      <c r="P27166" s="3337"/>
    </row>
    <row r="27167" spans="7:16" s="1634" customFormat="1">
      <c r="G27167" s="3336"/>
      <c r="P27167" s="3337"/>
    </row>
    <row r="27168" spans="7:16" s="1634" customFormat="1">
      <c r="G27168" s="3336"/>
      <c r="P27168" s="3337"/>
    </row>
    <row r="27169" spans="7:16" s="1634" customFormat="1">
      <c r="G27169" s="3336"/>
      <c r="P27169" s="3337"/>
    </row>
    <row r="27170" spans="7:16" s="1634" customFormat="1">
      <c r="G27170" s="3336"/>
      <c r="P27170" s="3337"/>
    </row>
    <row r="27171" spans="7:16" s="1634" customFormat="1">
      <c r="G27171" s="3336"/>
      <c r="P27171" s="3337"/>
    </row>
    <row r="27172" spans="7:16" s="1634" customFormat="1">
      <c r="G27172" s="3336"/>
      <c r="P27172" s="3337"/>
    </row>
    <row r="27173" spans="7:16" s="1634" customFormat="1">
      <c r="G27173" s="3336"/>
      <c r="P27173" s="3337"/>
    </row>
    <row r="27174" spans="7:16" s="1634" customFormat="1">
      <c r="G27174" s="3336"/>
      <c r="P27174" s="3337"/>
    </row>
    <row r="27175" spans="7:16" s="1634" customFormat="1">
      <c r="G27175" s="3336"/>
      <c r="P27175" s="3337"/>
    </row>
    <row r="27176" spans="7:16" s="1634" customFormat="1">
      <c r="G27176" s="3336"/>
      <c r="P27176" s="3337"/>
    </row>
    <row r="27177" spans="7:16" s="1634" customFormat="1">
      <c r="G27177" s="3336"/>
      <c r="P27177" s="3337"/>
    </row>
    <row r="27178" spans="7:16" s="1634" customFormat="1">
      <c r="G27178" s="3336"/>
      <c r="P27178" s="3337"/>
    </row>
    <row r="27179" spans="7:16" s="1634" customFormat="1">
      <c r="G27179" s="3336"/>
      <c r="P27179" s="3337"/>
    </row>
    <row r="27180" spans="7:16" s="1634" customFormat="1">
      <c r="G27180" s="3336"/>
      <c r="P27180" s="3337"/>
    </row>
    <row r="27181" spans="7:16" s="1634" customFormat="1">
      <c r="G27181" s="3336"/>
      <c r="P27181" s="3337"/>
    </row>
    <row r="27182" spans="7:16" s="1634" customFormat="1">
      <c r="G27182" s="3336"/>
      <c r="P27182" s="3337"/>
    </row>
    <row r="27183" spans="7:16" s="1634" customFormat="1">
      <c r="G27183" s="3336"/>
      <c r="P27183" s="3337"/>
    </row>
    <row r="27184" spans="7:16" s="1634" customFormat="1">
      <c r="G27184" s="3336"/>
      <c r="P27184" s="3337"/>
    </row>
    <row r="27185" spans="7:16" s="1634" customFormat="1">
      <c r="G27185" s="3336"/>
      <c r="P27185" s="3337"/>
    </row>
    <row r="27186" spans="7:16" s="1634" customFormat="1">
      <c r="G27186" s="3336"/>
      <c r="P27186" s="3337"/>
    </row>
    <row r="27187" spans="7:16" s="1634" customFormat="1">
      <c r="G27187" s="3336"/>
      <c r="P27187" s="3337"/>
    </row>
    <row r="27188" spans="7:16" s="1634" customFormat="1">
      <c r="G27188" s="3336"/>
      <c r="P27188" s="3337"/>
    </row>
    <row r="27189" spans="7:16" s="1634" customFormat="1">
      <c r="G27189" s="3336"/>
      <c r="P27189" s="3337"/>
    </row>
    <row r="27190" spans="7:16" s="1634" customFormat="1">
      <c r="G27190" s="3336"/>
      <c r="P27190" s="3337"/>
    </row>
    <row r="27191" spans="7:16" s="1634" customFormat="1">
      <c r="G27191" s="3336"/>
      <c r="P27191" s="3337"/>
    </row>
    <row r="27192" spans="7:16" s="1634" customFormat="1">
      <c r="G27192" s="3336"/>
      <c r="P27192" s="3337"/>
    </row>
    <row r="27193" spans="7:16" s="1634" customFormat="1">
      <c r="G27193" s="3336"/>
      <c r="P27193" s="3337"/>
    </row>
    <row r="27194" spans="7:16" s="1634" customFormat="1">
      <c r="G27194" s="3336"/>
      <c r="P27194" s="3337"/>
    </row>
    <row r="27195" spans="7:16" s="1634" customFormat="1">
      <c r="G27195" s="3336"/>
      <c r="P27195" s="3337"/>
    </row>
    <row r="27196" spans="7:16" s="1634" customFormat="1">
      <c r="G27196" s="3336"/>
      <c r="P27196" s="3337"/>
    </row>
    <row r="27197" spans="7:16" s="1634" customFormat="1">
      <c r="G27197" s="3336"/>
      <c r="P27197" s="3337"/>
    </row>
    <row r="27198" spans="7:16" s="1634" customFormat="1">
      <c r="G27198" s="3336"/>
      <c r="P27198" s="3337"/>
    </row>
    <row r="27199" spans="7:16" s="1634" customFormat="1">
      <c r="G27199" s="3336"/>
      <c r="P27199" s="3337"/>
    </row>
    <row r="27200" spans="7:16" s="1634" customFormat="1">
      <c r="G27200" s="3336"/>
      <c r="P27200" s="3337"/>
    </row>
    <row r="27201" spans="7:16" s="1634" customFormat="1">
      <c r="G27201" s="3336"/>
      <c r="P27201" s="3337"/>
    </row>
    <row r="27202" spans="7:16" s="1634" customFormat="1">
      <c r="G27202" s="3336"/>
      <c r="P27202" s="3337"/>
    </row>
    <row r="27203" spans="7:16" s="1634" customFormat="1">
      <c r="G27203" s="3336"/>
      <c r="P27203" s="3337"/>
    </row>
    <row r="27204" spans="7:16" s="1634" customFormat="1">
      <c r="G27204" s="3336"/>
      <c r="P27204" s="3337"/>
    </row>
    <row r="27205" spans="7:16" s="1634" customFormat="1">
      <c r="G27205" s="3336"/>
      <c r="P27205" s="3337"/>
    </row>
    <row r="27206" spans="7:16" s="1634" customFormat="1">
      <c r="G27206" s="3336"/>
      <c r="P27206" s="3337"/>
    </row>
    <row r="27207" spans="7:16" s="1634" customFormat="1">
      <c r="G27207" s="3336"/>
      <c r="P27207" s="3337"/>
    </row>
    <row r="27208" spans="7:16" s="1634" customFormat="1">
      <c r="G27208" s="3336"/>
      <c r="P27208" s="3337"/>
    </row>
    <row r="27209" spans="7:16" s="1634" customFormat="1">
      <c r="G27209" s="3336"/>
      <c r="P27209" s="3337"/>
    </row>
    <row r="27210" spans="7:16" s="1634" customFormat="1">
      <c r="G27210" s="3336"/>
      <c r="P27210" s="3337"/>
    </row>
    <row r="27211" spans="7:16" s="1634" customFormat="1">
      <c r="G27211" s="3336"/>
      <c r="P27211" s="3337"/>
    </row>
    <row r="27212" spans="7:16" s="1634" customFormat="1">
      <c r="G27212" s="3336"/>
      <c r="P27212" s="3337"/>
    </row>
    <row r="27213" spans="7:16" s="1634" customFormat="1">
      <c r="G27213" s="3336"/>
      <c r="P27213" s="3337"/>
    </row>
    <row r="27214" spans="7:16" s="1634" customFormat="1">
      <c r="G27214" s="3336"/>
      <c r="P27214" s="3337"/>
    </row>
    <row r="27215" spans="7:16" s="1634" customFormat="1">
      <c r="G27215" s="3336"/>
      <c r="P27215" s="3337"/>
    </row>
    <row r="27216" spans="7:16" s="1634" customFormat="1">
      <c r="G27216" s="3336"/>
      <c r="P27216" s="3337"/>
    </row>
    <row r="27217" spans="7:16" s="1634" customFormat="1">
      <c r="G27217" s="3336"/>
      <c r="P27217" s="3337"/>
    </row>
    <row r="27218" spans="7:16" s="1634" customFormat="1">
      <c r="G27218" s="3336"/>
      <c r="P27218" s="3337"/>
    </row>
    <row r="27219" spans="7:16" s="1634" customFormat="1">
      <c r="G27219" s="3336"/>
      <c r="P27219" s="3337"/>
    </row>
    <row r="27220" spans="7:16" s="1634" customFormat="1">
      <c r="G27220" s="3336"/>
      <c r="P27220" s="3337"/>
    </row>
    <row r="27221" spans="7:16" s="1634" customFormat="1">
      <c r="G27221" s="3336"/>
      <c r="P27221" s="3337"/>
    </row>
    <row r="27222" spans="7:16" s="1634" customFormat="1">
      <c r="G27222" s="3336"/>
      <c r="P27222" s="3337"/>
    </row>
    <row r="27223" spans="7:16" s="1634" customFormat="1">
      <c r="G27223" s="3336"/>
      <c r="P27223" s="3337"/>
    </row>
    <row r="27224" spans="7:16" s="1634" customFormat="1">
      <c r="G27224" s="3336"/>
      <c r="P27224" s="3337"/>
    </row>
    <row r="27225" spans="7:16" s="1634" customFormat="1">
      <c r="G27225" s="3336"/>
      <c r="P27225" s="3337"/>
    </row>
    <row r="27226" spans="7:16" s="1634" customFormat="1">
      <c r="G27226" s="3336"/>
      <c r="P27226" s="3337"/>
    </row>
    <row r="27227" spans="7:16" s="1634" customFormat="1">
      <c r="G27227" s="3336"/>
      <c r="P27227" s="3337"/>
    </row>
    <row r="27228" spans="7:16" s="1634" customFormat="1">
      <c r="G27228" s="3336"/>
      <c r="P27228" s="3337"/>
    </row>
    <row r="27229" spans="7:16" s="1634" customFormat="1">
      <c r="G27229" s="3336"/>
      <c r="P27229" s="3337"/>
    </row>
    <row r="27230" spans="7:16" s="1634" customFormat="1">
      <c r="G27230" s="3336"/>
      <c r="P27230" s="3337"/>
    </row>
    <row r="27231" spans="7:16" s="1634" customFormat="1">
      <c r="G27231" s="3336"/>
      <c r="P27231" s="3337"/>
    </row>
    <row r="27232" spans="7:16" s="1634" customFormat="1">
      <c r="G27232" s="3336"/>
      <c r="P27232" s="3337"/>
    </row>
    <row r="27233" spans="7:16" s="1634" customFormat="1">
      <c r="G27233" s="3336"/>
      <c r="P27233" s="3337"/>
    </row>
    <row r="27234" spans="7:16" s="1634" customFormat="1">
      <c r="G27234" s="3336"/>
      <c r="P27234" s="3337"/>
    </row>
    <row r="27235" spans="7:16" s="1634" customFormat="1">
      <c r="G27235" s="3336"/>
      <c r="P27235" s="3337"/>
    </row>
    <row r="27236" spans="7:16" s="1634" customFormat="1">
      <c r="G27236" s="3336"/>
      <c r="P27236" s="3337"/>
    </row>
    <row r="27237" spans="7:16" s="1634" customFormat="1">
      <c r="G27237" s="3336"/>
      <c r="P27237" s="3337"/>
    </row>
    <row r="27238" spans="7:16" s="1634" customFormat="1">
      <c r="G27238" s="3336"/>
      <c r="P27238" s="3337"/>
    </row>
    <row r="27239" spans="7:16" s="1634" customFormat="1">
      <c r="G27239" s="3336"/>
      <c r="P27239" s="3337"/>
    </row>
    <row r="27240" spans="7:16" s="1634" customFormat="1">
      <c r="G27240" s="3336"/>
      <c r="P27240" s="3337"/>
    </row>
    <row r="27241" spans="7:16" s="1634" customFormat="1">
      <c r="G27241" s="3336"/>
      <c r="P27241" s="3337"/>
    </row>
    <row r="27242" spans="7:16" s="1634" customFormat="1">
      <c r="G27242" s="3336"/>
      <c r="P27242" s="3337"/>
    </row>
    <row r="27243" spans="7:16" s="1634" customFormat="1">
      <c r="G27243" s="3336"/>
      <c r="P27243" s="3337"/>
    </row>
    <row r="27244" spans="7:16" s="1634" customFormat="1">
      <c r="G27244" s="3336"/>
      <c r="P27244" s="3337"/>
    </row>
    <row r="27245" spans="7:16" s="1634" customFormat="1">
      <c r="G27245" s="3336"/>
      <c r="P27245" s="3337"/>
    </row>
    <row r="27246" spans="7:16" s="1634" customFormat="1">
      <c r="G27246" s="3336"/>
      <c r="P27246" s="3337"/>
    </row>
    <row r="27247" spans="7:16" s="1634" customFormat="1">
      <c r="G27247" s="3336"/>
      <c r="P27247" s="3337"/>
    </row>
    <row r="27248" spans="7:16" s="1634" customFormat="1">
      <c r="G27248" s="3336"/>
      <c r="P27248" s="3337"/>
    </row>
    <row r="27249" spans="7:16" s="1634" customFormat="1">
      <c r="G27249" s="3336"/>
      <c r="P27249" s="3337"/>
    </row>
    <row r="27250" spans="7:16" s="1634" customFormat="1">
      <c r="G27250" s="3336"/>
      <c r="P27250" s="3337"/>
    </row>
    <row r="27251" spans="7:16" s="1634" customFormat="1">
      <c r="G27251" s="3336"/>
      <c r="P27251" s="3337"/>
    </row>
    <row r="27252" spans="7:16" s="1634" customFormat="1">
      <c r="G27252" s="3336"/>
      <c r="P27252" s="3337"/>
    </row>
    <row r="27253" spans="7:16" s="1634" customFormat="1">
      <c r="G27253" s="3336"/>
      <c r="P27253" s="3337"/>
    </row>
    <row r="27254" spans="7:16" s="1634" customFormat="1">
      <c r="G27254" s="3336"/>
      <c r="P27254" s="3337"/>
    </row>
    <row r="27255" spans="7:16" s="1634" customFormat="1">
      <c r="G27255" s="3336"/>
      <c r="P27255" s="3337"/>
    </row>
    <row r="27256" spans="7:16" s="1634" customFormat="1">
      <c r="G27256" s="3336"/>
      <c r="P27256" s="3337"/>
    </row>
    <row r="27257" spans="7:16" s="1634" customFormat="1">
      <c r="G27257" s="3336"/>
      <c r="P27257" s="3337"/>
    </row>
    <row r="27258" spans="7:16" s="1634" customFormat="1">
      <c r="G27258" s="3336"/>
      <c r="P27258" s="3337"/>
    </row>
    <row r="27259" spans="7:16" s="1634" customFormat="1">
      <c r="G27259" s="3336"/>
      <c r="P27259" s="3337"/>
    </row>
    <row r="27260" spans="7:16" s="1634" customFormat="1">
      <c r="G27260" s="3336"/>
      <c r="P27260" s="3337"/>
    </row>
    <row r="27261" spans="7:16" s="1634" customFormat="1">
      <c r="G27261" s="3336"/>
      <c r="P27261" s="3337"/>
    </row>
    <row r="27262" spans="7:16" s="1634" customFormat="1">
      <c r="G27262" s="3336"/>
      <c r="P27262" s="3337"/>
    </row>
    <row r="27263" spans="7:16" s="1634" customFormat="1">
      <c r="G27263" s="3336"/>
      <c r="P27263" s="3337"/>
    </row>
    <row r="27264" spans="7:16" s="1634" customFormat="1">
      <c r="G27264" s="3336"/>
      <c r="P27264" s="3337"/>
    </row>
    <row r="27265" spans="7:16" s="1634" customFormat="1">
      <c r="G27265" s="3336"/>
      <c r="P27265" s="3337"/>
    </row>
    <row r="27266" spans="7:16" s="1634" customFormat="1">
      <c r="G27266" s="3336"/>
      <c r="P27266" s="3337"/>
    </row>
    <row r="27267" spans="7:16" s="1634" customFormat="1">
      <c r="G27267" s="3336"/>
      <c r="P27267" s="3337"/>
    </row>
    <row r="27268" spans="7:16" s="1634" customFormat="1">
      <c r="G27268" s="3336"/>
      <c r="P27268" s="3337"/>
    </row>
    <row r="27269" spans="7:16" s="1634" customFormat="1">
      <c r="G27269" s="3336"/>
      <c r="P27269" s="3337"/>
    </row>
    <row r="27270" spans="7:16" s="1634" customFormat="1">
      <c r="G27270" s="3336"/>
      <c r="P27270" s="3337"/>
    </row>
    <row r="27271" spans="7:16" s="1634" customFormat="1">
      <c r="G27271" s="3336"/>
      <c r="P27271" s="3337"/>
    </row>
    <row r="27272" spans="7:16" s="1634" customFormat="1">
      <c r="G27272" s="3336"/>
      <c r="P27272" s="3337"/>
    </row>
    <row r="27273" spans="7:16" s="1634" customFormat="1">
      <c r="G27273" s="3336"/>
      <c r="P27273" s="3337"/>
    </row>
    <row r="27274" spans="7:16" s="1634" customFormat="1">
      <c r="G27274" s="3336"/>
      <c r="P27274" s="3337"/>
    </row>
    <row r="27275" spans="7:16" s="1634" customFormat="1">
      <c r="G27275" s="3336"/>
      <c r="P27275" s="3337"/>
    </row>
    <row r="27276" spans="7:16" s="1634" customFormat="1">
      <c r="G27276" s="3336"/>
      <c r="P27276" s="3337"/>
    </row>
    <row r="27277" spans="7:16" s="1634" customFormat="1">
      <c r="G27277" s="3336"/>
      <c r="P27277" s="3337"/>
    </row>
    <row r="27278" spans="7:16" s="1634" customFormat="1">
      <c r="G27278" s="3336"/>
      <c r="P27278" s="3337"/>
    </row>
    <row r="27279" spans="7:16" s="1634" customFormat="1">
      <c r="G27279" s="3336"/>
      <c r="P27279" s="3337"/>
    </row>
    <row r="27280" spans="7:16" s="1634" customFormat="1">
      <c r="G27280" s="3336"/>
      <c r="P27280" s="3337"/>
    </row>
    <row r="27281" spans="7:16" s="1634" customFormat="1">
      <c r="G27281" s="3336"/>
      <c r="P27281" s="3337"/>
    </row>
    <row r="27282" spans="7:16" s="1634" customFormat="1">
      <c r="G27282" s="3336"/>
      <c r="P27282" s="3337"/>
    </row>
    <row r="27283" spans="7:16" s="1634" customFormat="1">
      <c r="G27283" s="3336"/>
      <c r="P27283" s="3337"/>
    </row>
    <row r="27284" spans="7:16" s="1634" customFormat="1">
      <c r="G27284" s="3336"/>
      <c r="P27284" s="3337"/>
    </row>
    <row r="27285" spans="7:16" s="1634" customFormat="1">
      <c r="G27285" s="3336"/>
      <c r="P27285" s="3337"/>
    </row>
    <row r="27286" spans="7:16" s="1634" customFormat="1">
      <c r="G27286" s="3336"/>
      <c r="P27286" s="3337"/>
    </row>
    <row r="27287" spans="7:16" s="1634" customFormat="1">
      <c r="G27287" s="3336"/>
      <c r="P27287" s="3337"/>
    </row>
    <row r="27288" spans="7:16" s="1634" customFormat="1">
      <c r="G27288" s="3336"/>
      <c r="P27288" s="3337"/>
    </row>
    <row r="27289" spans="7:16" s="1634" customFormat="1">
      <c r="G27289" s="3336"/>
      <c r="P27289" s="3337"/>
    </row>
    <row r="27290" spans="7:16" s="1634" customFormat="1">
      <c r="G27290" s="3336"/>
      <c r="P27290" s="3337"/>
    </row>
    <row r="27291" spans="7:16" s="1634" customFormat="1">
      <c r="G27291" s="3336"/>
      <c r="P27291" s="3337"/>
    </row>
    <row r="27292" spans="7:16" s="1634" customFormat="1">
      <c r="G27292" s="3336"/>
      <c r="P27292" s="3337"/>
    </row>
    <row r="27293" spans="7:16" s="1634" customFormat="1">
      <c r="G27293" s="3336"/>
      <c r="P27293" s="3337"/>
    </row>
    <row r="27294" spans="7:16" s="1634" customFormat="1">
      <c r="G27294" s="3336"/>
      <c r="P27294" s="3337"/>
    </row>
    <row r="27295" spans="7:16" s="1634" customFormat="1">
      <c r="G27295" s="3336"/>
      <c r="P27295" s="3337"/>
    </row>
    <row r="27296" spans="7:16" s="1634" customFormat="1">
      <c r="G27296" s="3336"/>
      <c r="P27296" s="3337"/>
    </row>
    <row r="27297" spans="7:16" s="1634" customFormat="1">
      <c r="G27297" s="3336"/>
      <c r="P27297" s="3337"/>
    </row>
    <row r="27298" spans="7:16" s="1634" customFormat="1">
      <c r="G27298" s="3336"/>
      <c r="P27298" s="3337"/>
    </row>
    <row r="27299" spans="7:16" s="1634" customFormat="1">
      <c r="G27299" s="3336"/>
      <c r="P27299" s="3337"/>
    </row>
    <row r="27300" spans="7:16" s="1634" customFormat="1">
      <c r="G27300" s="3336"/>
      <c r="P27300" s="3337"/>
    </row>
    <row r="27301" spans="7:16" s="1634" customFormat="1">
      <c r="G27301" s="3336"/>
      <c r="P27301" s="3337"/>
    </row>
    <row r="27302" spans="7:16" s="1634" customFormat="1">
      <c r="G27302" s="3336"/>
      <c r="P27302" s="3337"/>
    </row>
    <row r="27303" spans="7:16" s="1634" customFormat="1">
      <c r="G27303" s="3336"/>
      <c r="P27303" s="3337"/>
    </row>
    <row r="27304" spans="7:16" s="1634" customFormat="1">
      <c r="G27304" s="3336"/>
      <c r="P27304" s="3337"/>
    </row>
    <row r="27305" spans="7:16" s="1634" customFormat="1">
      <c r="G27305" s="3336"/>
      <c r="P27305" s="3337"/>
    </row>
    <row r="27306" spans="7:16" s="1634" customFormat="1">
      <c r="G27306" s="3336"/>
      <c r="P27306" s="3337"/>
    </row>
    <row r="27307" spans="7:16" s="1634" customFormat="1">
      <c r="G27307" s="3336"/>
      <c r="P27307" s="3337"/>
    </row>
    <row r="27308" spans="7:16" s="1634" customFormat="1">
      <c r="G27308" s="3336"/>
      <c r="P27308" s="3337"/>
    </row>
    <row r="27309" spans="7:16" s="1634" customFormat="1">
      <c r="G27309" s="3336"/>
      <c r="P27309" s="3337"/>
    </row>
    <row r="27310" spans="7:16" s="1634" customFormat="1">
      <c r="G27310" s="3336"/>
      <c r="P27310" s="3337"/>
    </row>
    <row r="27311" spans="7:16" s="1634" customFormat="1">
      <c r="G27311" s="3336"/>
      <c r="P27311" s="3337"/>
    </row>
    <row r="27312" spans="7:16" s="1634" customFormat="1">
      <c r="G27312" s="3336"/>
      <c r="P27312" s="3337"/>
    </row>
    <row r="27313" spans="7:16" s="1634" customFormat="1">
      <c r="G27313" s="3336"/>
      <c r="P27313" s="3337"/>
    </row>
    <row r="27314" spans="7:16" s="1634" customFormat="1">
      <c r="G27314" s="3336"/>
      <c r="P27314" s="3337"/>
    </row>
    <row r="27315" spans="7:16" s="1634" customFormat="1">
      <c r="G27315" s="3336"/>
      <c r="P27315" s="3337"/>
    </row>
    <row r="27316" spans="7:16" s="1634" customFormat="1">
      <c r="G27316" s="3336"/>
      <c r="P27316" s="3337"/>
    </row>
    <row r="27317" spans="7:16" s="1634" customFormat="1">
      <c r="G27317" s="3336"/>
      <c r="P27317" s="3337"/>
    </row>
    <row r="27318" spans="7:16" s="1634" customFormat="1">
      <c r="G27318" s="3336"/>
      <c r="P27318" s="3337"/>
    </row>
    <row r="27319" spans="7:16" s="1634" customFormat="1">
      <c r="G27319" s="3336"/>
      <c r="P27319" s="3337"/>
    </row>
    <row r="27320" spans="7:16" s="1634" customFormat="1">
      <c r="G27320" s="3336"/>
      <c r="P27320" s="3337"/>
    </row>
    <row r="27321" spans="7:16" s="1634" customFormat="1">
      <c r="G27321" s="3336"/>
      <c r="P27321" s="3337"/>
    </row>
    <row r="27322" spans="7:16" s="1634" customFormat="1">
      <c r="G27322" s="3336"/>
      <c r="P27322" s="3337"/>
    </row>
    <row r="27323" spans="7:16" s="1634" customFormat="1">
      <c r="G27323" s="3336"/>
      <c r="P27323" s="3337"/>
    </row>
    <row r="27324" spans="7:16" s="1634" customFormat="1">
      <c r="G27324" s="3336"/>
      <c r="P27324" s="3337"/>
    </row>
    <row r="27325" spans="7:16" s="1634" customFormat="1">
      <c r="G27325" s="3336"/>
      <c r="P27325" s="3337"/>
    </row>
    <row r="27326" spans="7:16" s="1634" customFormat="1">
      <c r="G27326" s="3336"/>
      <c r="P27326" s="3337"/>
    </row>
    <row r="27327" spans="7:16" s="1634" customFormat="1">
      <c r="G27327" s="3336"/>
      <c r="P27327" s="3337"/>
    </row>
    <row r="27328" spans="7:16" s="1634" customFormat="1">
      <c r="G27328" s="3336"/>
      <c r="P27328" s="3337"/>
    </row>
    <row r="27329" spans="7:16" s="1634" customFormat="1">
      <c r="G27329" s="3336"/>
      <c r="P27329" s="3337"/>
    </row>
    <row r="27330" spans="7:16" s="1634" customFormat="1">
      <c r="G27330" s="3336"/>
      <c r="P27330" s="3337"/>
    </row>
    <row r="27331" spans="7:16" s="1634" customFormat="1">
      <c r="G27331" s="3336"/>
      <c r="P27331" s="3337"/>
    </row>
    <row r="27332" spans="7:16" s="1634" customFormat="1">
      <c r="G27332" s="3336"/>
      <c r="P27332" s="3337"/>
    </row>
    <row r="27333" spans="7:16" s="1634" customFormat="1">
      <c r="G27333" s="3336"/>
      <c r="P27333" s="3337"/>
    </row>
    <row r="27334" spans="7:16" s="1634" customFormat="1">
      <c r="G27334" s="3336"/>
      <c r="P27334" s="3337"/>
    </row>
    <row r="27335" spans="7:16" s="1634" customFormat="1">
      <c r="G27335" s="3336"/>
      <c r="P27335" s="3337"/>
    </row>
    <row r="27336" spans="7:16" s="1634" customFormat="1">
      <c r="G27336" s="3336"/>
      <c r="P27336" s="3337"/>
    </row>
    <row r="27337" spans="7:16" s="1634" customFormat="1">
      <c r="G27337" s="3336"/>
      <c r="P27337" s="3337"/>
    </row>
    <row r="27338" spans="7:16" s="1634" customFormat="1">
      <c r="G27338" s="3336"/>
      <c r="P27338" s="3337"/>
    </row>
    <row r="27339" spans="7:16" s="1634" customFormat="1">
      <c r="G27339" s="3336"/>
      <c r="P27339" s="3337"/>
    </row>
    <row r="27340" spans="7:16" s="1634" customFormat="1">
      <c r="G27340" s="3336"/>
      <c r="P27340" s="3337"/>
    </row>
    <row r="27341" spans="7:16" s="1634" customFormat="1">
      <c r="G27341" s="3336"/>
      <c r="P27341" s="3337"/>
    </row>
    <row r="27342" spans="7:16" s="1634" customFormat="1">
      <c r="G27342" s="3336"/>
      <c r="P27342" s="3337"/>
    </row>
    <row r="27343" spans="7:16" s="1634" customFormat="1">
      <c r="G27343" s="3336"/>
      <c r="P27343" s="3337"/>
    </row>
    <row r="27344" spans="7:16" s="1634" customFormat="1">
      <c r="G27344" s="3336"/>
      <c r="P27344" s="3337"/>
    </row>
    <row r="27345" spans="7:16" s="1634" customFormat="1">
      <c r="G27345" s="3336"/>
      <c r="P27345" s="3337"/>
    </row>
    <row r="27346" spans="7:16" s="1634" customFormat="1">
      <c r="G27346" s="3336"/>
      <c r="P27346" s="3337"/>
    </row>
    <row r="27347" spans="7:16" s="1634" customFormat="1">
      <c r="G27347" s="3336"/>
      <c r="P27347" s="3337"/>
    </row>
    <row r="27348" spans="7:16" s="1634" customFormat="1">
      <c r="G27348" s="3336"/>
      <c r="P27348" s="3337"/>
    </row>
    <row r="27349" spans="7:16" s="1634" customFormat="1">
      <c r="G27349" s="3336"/>
      <c r="P27349" s="3337"/>
    </row>
    <row r="27350" spans="7:16" s="1634" customFormat="1">
      <c r="G27350" s="3336"/>
      <c r="P27350" s="3337"/>
    </row>
    <row r="27351" spans="7:16" s="1634" customFormat="1">
      <c r="G27351" s="3336"/>
      <c r="P27351" s="3337"/>
    </row>
    <row r="27352" spans="7:16" s="1634" customFormat="1">
      <c r="G27352" s="3336"/>
      <c r="P27352" s="3337"/>
    </row>
    <row r="27353" spans="7:16" s="1634" customFormat="1">
      <c r="G27353" s="3336"/>
      <c r="P27353" s="3337"/>
    </row>
    <row r="27354" spans="7:16" s="1634" customFormat="1">
      <c r="G27354" s="3336"/>
      <c r="P27354" s="3337"/>
    </row>
    <row r="27355" spans="7:16" s="1634" customFormat="1">
      <c r="G27355" s="3336"/>
      <c r="P27355" s="3337"/>
    </row>
    <row r="27356" spans="7:16" s="1634" customFormat="1">
      <c r="G27356" s="3336"/>
      <c r="P27356" s="3337"/>
    </row>
    <row r="27357" spans="7:16" s="1634" customFormat="1">
      <c r="G27357" s="3336"/>
      <c r="P27357" s="3337"/>
    </row>
    <row r="27358" spans="7:16" s="1634" customFormat="1">
      <c r="G27358" s="3336"/>
      <c r="P27358" s="3337"/>
    </row>
    <row r="27359" spans="7:16" s="1634" customFormat="1">
      <c r="G27359" s="3336"/>
      <c r="P27359" s="3337"/>
    </row>
    <row r="27360" spans="7:16" s="1634" customFormat="1">
      <c r="G27360" s="3336"/>
      <c r="P27360" s="3337"/>
    </row>
    <row r="27361" spans="7:16" s="1634" customFormat="1">
      <c r="G27361" s="3336"/>
      <c r="P27361" s="3337"/>
    </row>
    <row r="27362" spans="7:16" s="1634" customFormat="1">
      <c r="G27362" s="3336"/>
      <c r="P27362" s="3337"/>
    </row>
    <row r="27363" spans="7:16" s="1634" customFormat="1">
      <c r="G27363" s="3336"/>
      <c r="P27363" s="3337"/>
    </row>
    <row r="27364" spans="7:16" s="1634" customFormat="1">
      <c r="G27364" s="3336"/>
      <c r="P27364" s="3337"/>
    </row>
    <row r="27365" spans="7:16" s="1634" customFormat="1">
      <c r="G27365" s="3336"/>
      <c r="P27365" s="3337"/>
    </row>
    <row r="27366" spans="7:16" s="1634" customFormat="1">
      <c r="G27366" s="3336"/>
      <c r="P27366" s="3337"/>
    </row>
    <row r="27367" spans="7:16" s="1634" customFormat="1">
      <c r="G27367" s="3336"/>
      <c r="P27367" s="3337"/>
    </row>
    <row r="27368" spans="7:16" s="1634" customFormat="1">
      <c r="G27368" s="3336"/>
      <c r="P27368" s="3337"/>
    </row>
    <row r="27369" spans="7:16" s="1634" customFormat="1">
      <c r="G27369" s="3336"/>
      <c r="P27369" s="3337"/>
    </row>
    <row r="27370" spans="7:16" s="1634" customFormat="1">
      <c r="G27370" s="3336"/>
      <c r="P27370" s="3337"/>
    </row>
    <row r="27371" spans="7:16" s="1634" customFormat="1">
      <c r="G27371" s="3336"/>
      <c r="P27371" s="3337"/>
    </row>
    <row r="27372" spans="7:16" s="1634" customFormat="1">
      <c r="G27372" s="3336"/>
      <c r="P27372" s="3337"/>
    </row>
    <row r="27373" spans="7:16" s="1634" customFormat="1">
      <c r="G27373" s="3336"/>
      <c r="P27373" s="3337"/>
    </row>
    <row r="27374" spans="7:16" s="1634" customFormat="1">
      <c r="G27374" s="3336"/>
      <c r="P27374" s="3337"/>
    </row>
    <row r="27375" spans="7:16" s="1634" customFormat="1">
      <c r="G27375" s="3336"/>
      <c r="P27375" s="3337"/>
    </row>
    <row r="27376" spans="7:16" s="1634" customFormat="1">
      <c r="G27376" s="3336"/>
      <c r="P27376" s="3337"/>
    </row>
    <row r="27377" spans="7:16" s="1634" customFormat="1">
      <c r="G27377" s="3336"/>
      <c r="P27377" s="3337"/>
    </row>
    <row r="27378" spans="7:16" s="1634" customFormat="1">
      <c r="G27378" s="3336"/>
      <c r="P27378" s="3337"/>
    </row>
    <row r="27379" spans="7:16" s="1634" customFormat="1">
      <c r="G27379" s="3336"/>
      <c r="P27379" s="3337"/>
    </row>
    <row r="27380" spans="7:16" s="1634" customFormat="1">
      <c r="G27380" s="3336"/>
      <c r="P27380" s="3337"/>
    </row>
    <row r="27381" spans="7:16" s="1634" customFormat="1">
      <c r="G27381" s="3336"/>
      <c r="P27381" s="3337"/>
    </row>
    <row r="27382" spans="7:16" s="1634" customFormat="1">
      <c r="G27382" s="3336"/>
      <c r="P27382" s="3337"/>
    </row>
    <row r="27383" spans="7:16" s="1634" customFormat="1">
      <c r="G27383" s="3336"/>
      <c r="P27383" s="3337"/>
    </row>
    <row r="27384" spans="7:16" s="1634" customFormat="1">
      <c r="G27384" s="3336"/>
      <c r="P27384" s="3337"/>
    </row>
    <row r="27385" spans="7:16" s="1634" customFormat="1">
      <c r="G27385" s="3336"/>
      <c r="P27385" s="3337"/>
    </row>
    <row r="27386" spans="7:16" s="1634" customFormat="1">
      <c r="G27386" s="3336"/>
      <c r="P27386" s="3337"/>
    </row>
    <row r="27387" spans="7:16" s="1634" customFormat="1">
      <c r="G27387" s="3336"/>
      <c r="P27387" s="3337"/>
    </row>
    <row r="27388" spans="7:16" s="1634" customFormat="1">
      <c r="G27388" s="3336"/>
      <c r="P27388" s="3337"/>
    </row>
    <row r="27389" spans="7:16" s="1634" customFormat="1">
      <c r="G27389" s="3336"/>
      <c r="P27389" s="3337"/>
    </row>
    <row r="27390" spans="7:16" s="1634" customFormat="1">
      <c r="G27390" s="3336"/>
      <c r="P27390" s="3337"/>
    </row>
    <row r="27391" spans="7:16" s="1634" customFormat="1">
      <c r="G27391" s="3336"/>
      <c r="P27391" s="3337"/>
    </row>
    <row r="27392" spans="7:16" s="1634" customFormat="1">
      <c r="G27392" s="3336"/>
      <c r="P27392" s="3337"/>
    </row>
    <row r="27393" spans="7:16" s="1634" customFormat="1">
      <c r="G27393" s="3336"/>
      <c r="P27393" s="3337"/>
    </row>
    <row r="27394" spans="7:16" s="1634" customFormat="1">
      <c r="G27394" s="3336"/>
      <c r="P27394" s="3337"/>
    </row>
    <row r="27395" spans="7:16" s="1634" customFormat="1">
      <c r="G27395" s="3336"/>
      <c r="P27395" s="3337"/>
    </row>
    <row r="27396" spans="7:16" s="1634" customFormat="1">
      <c r="G27396" s="3336"/>
      <c r="P27396" s="3337"/>
    </row>
    <row r="27397" spans="7:16" s="1634" customFormat="1">
      <c r="G27397" s="3336"/>
      <c r="P27397" s="3337"/>
    </row>
    <row r="27398" spans="7:16" s="1634" customFormat="1">
      <c r="G27398" s="3336"/>
      <c r="P27398" s="3337"/>
    </row>
    <row r="27399" spans="7:16" s="1634" customFormat="1">
      <c r="G27399" s="3336"/>
      <c r="P27399" s="3337"/>
    </row>
    <row r="27400" spans="7:16" s="1634" customFormat="1">
      <c r="G27400" s="3336"/>
      <c r="P27400" s="3337"/>
    </row>
    <row r="27401" spans="7:16" s="1634" customFormat="1">
      <c r="G27401" s="3336"/>
      <c r="P27401" s="3337"/>
    </row>
    <row r="27402" spans="7:16" s="1634" customFormat="1">
      <c r="G27402" s="3336"/>
      <c r="P27402" s="3337"/>
    </row>
    <row r="27403" spans="7:16" s="1634" customFormat="1">
      <c r="G27403" s="3336"/>
      <c r="P27403" s="3337"/>
    </row>
    <row r="27404" spans="7:16" s="1634" customFormat="1">
      <c r="G27404" s="3336"/>
      <c r="P27404" s="3337"/>
    </row>
    <row r="27405" spans="7:16" s="1634" customFormat="1">
      <c r="G27405" s="3336"/>
      <c r="P27405" s="3337"/>
    </row>
    <row r="27406" spans="7:16" s="1634" customFormat="1">
      <c r="G27406" s="3336"/>
      <c r="P27406" s="3337"/>
    </row>
    <row r="27407" spans="7:16" s="1634" customFormat="1">
      <c r="G27407" s="3336"/>
      <c r="P27407" s="3337"/>
    </row>
    <row r="27408" spans="7:16" s="1634" customFormat="1">
      <c r="G27408" s="3336"/>
      <c r="P27408" s="3337"/>
    </row>
    <row r="27409" spans="7:16" s="1634" customFormat="1">
      <c r="G27409" s="3336"/>
      <c r="P27409" s="3337"/>
    </row>
    <row r="27410" spans="7:16" s="1634" customFormat="1">
      <c r="G27410" s="3336"/>
      <c r="P27410" s="3337"/>
    </row>
    <row r="27411" spans="7:16" s="1634" customFormat="1">
      <c r="G27411" s="3336"/>
      <c r="P27411" s="3337"/>
    </row>
    <row r="27412" spans="7:16" s="1634" customFormat="1">
      <c r="G27412" s="3336"/>
      <c r="P27412" s="3337"/>
    </row>
    <row r="27413" spans="7:16" s="1634" customFormat="1">
      <c r="G27413" s="3336"/>
      <c r="P27413" s="3337"/>
    </row>
    <row r="27414" spans="7:16" s="1634" customFormat="1">
      <c r="G27414" s="3336"/>
      <c r="P27414" s="3337"/>
    </row>
    <row r="27415" spans="7:16" s="1634" customFormat="1">
      <c r="G27415" s="3336"/>
      <c r="P27415" s="3337"/>
    </row>
    <row r="27416" spans="7:16" s="1634" customFormat="1">
      <c r="G27416" s="3336"/>
      <c r="P27416" s="3337"/>
    </row>
    <row r="27417" spans="7:16" s="1634" customFormat="1">
      <c r="G27417" s="3336"/>
      <c r="P27417" s="3337"/>
    </row>
    <row r="27418" spans="7:16" s="1634" customFormat="1">
      <c r="G27418" s="3336"/>
      <c r="P27418" s="3337"/>
    </row>
    <row r="27419" spans="7:16" s="1634" customFormat="1">
      <c r="G27419" s="3336"/>
      <c r="P27419" s="3337"/>
    </row>
    <row r="27420" spans="7:16" s="1634" customFormat="1">
      <c r="G27420" s="3336"/>
      <c r="P27420" s="3337"/>
    </row>
    <row r="27421" spans="7:16" s="1634" customFormat="1">
      <c r="G27421" s="3336"/>
      <c r="P27421" s="3337"/>
    </row>
    <row r="27422" spans="7:16" s="1634" customFormat="1">
      <c r="G27422" s="3336"/>
      <c r="P27422" s="3337"/>
    </row>
    <row r="27423" spans="7:16" s="1634" customFormat="1">
      <c r="G27423" s="3336"/>
      <c r="P27423" s="3337"/>
    </row>
    <row r="27424" spans="7:16" s="1634" customFormat="1">
      <c r="G27424" s="3336"/>
      <c r="P27424" s="3337"/>
    </row>
    <row r="27425" spans="7:16" s="1634" customFormat="1">
      <c r="G27425" s="3336"/>
      <c r="P27425" s="3337"/>
    </row>
    <row r="27426" spans="7:16" s="1634" customFormat="1">
      <c r="G27426" s="3336"/>
      <c r="P27426" s="3337"/>
    </row>
    <row r="27427" spans="7:16" s="1634" customFormat="1">
      <c r="G27427" s="3336"/>
      <c r="P27427" s="3337"/>
    </row>
    <row r="27428" spans="7:16" s="1634" customFormat="1">
      <c r="G27428" s="3336"/>
      <c r="P27428" s="3337"/>
    </row>
    <row r="27429" spans="7:16" s="1634" customFormat="1">
      <c r="G27429" s="3336"/>
      <c r="P27429" s="3337"/>
    </row>
    <row r="27430" spans="7:16" s="1634" customFormat="1">
      <c r="G27430" s="3336"/>
      <c r="P27430" s="3337"/>
    </row>
    <row r="27431" spans="7:16" s="1634" customFormat="1">
      <c r="G27431" s="3336"/>
      <c r="P27431" s="3337"/>
    </row>
    <row r="27432" spans="7:16" s="1634" customFormat="1">
      <c r="G27432" s="3336"/>
      <c r="P27432" s="3337"/>
    </row>
    <row r="27433" spans="7:16" s="1634" customFormat="1">
      <c r="G27433" s="3336"/>
      <c r="P27433" s="3337"/>
    </row>
    <row r="27434" spans="7:16" s="1634" customFormat="1">
      <c r="G27434" s="3336"/>
      <c r="P27434" s="3337"/>
    </row>
    <row r="27435" spans="7:16" s="1634" customFormat="1">
      <c r="G27435" s="3336"/>
      <c r="P27435" s="3337"/>
    </row>
    <row r="27436" spans="7:16" s="1634" customFormat="1">
      <c r="G27436" s="3336"/>
      <c r="P27436" s="3337"/>
    </row>
    <row r="27437" spans="7:16" s="1634" customFormat="1">
      <c r="G27437" s="3336"/>
      <c r="P27437" s="3337"/>
    </row>
    <row r="27438" spans="7:16" s="1634" customFormat="1">
      <c r="G27438" s="3336"/>
      <c r="P27438" s="3337"/>
    </row>
    <row r="27439" spans="7:16" s="1634" customFormat="1">
      <c r="G27439" s="3336"/>
      <c r="P27439" s="3337"/>
    </row>
    <row r="27440" spans="7:16" s="1634" customFormat="1">
      <c r="G27440" s="3336"/>
      <c r="P27440" s="3337"/>
    </row>
    <row r="27441" spans="7:16" s="1634" customFormat="1">
      <c r="G27441" s="3336"/>
      <c r="P27441" s="3337"/>
    </row>
    <row r="27442" spans="7:16" s="1634" customFormat="1">
      <c r="G27442" s="3336"/>
      <c r="P27442" s="3337"/>
    </row>
    <row r="27443" spans="7:16" s="1634" customFormat="1">
      <c r="G27443" s="3336"/>
      <c r="P27443" s="3337"/>
    </row>
    <row r="27444" spans="7:16" s="1634" customFormat="1">
      <c r="G27444" s="3336"/>
      <c r="P27444" s="3337"/>
    </row>
    <row r="27445" spans="7:16" s="1634" customFormat="1">
      <c r="G27445" s="3336"/>
      <c r="P27445" s="3337"/>
    </row>
    <row r="27446" spans="7:16" s="1634" customFormat="1">
      <c r="G27446" s="3336"/>
      <c r="P27446" s="3337"/>
    </row>
    <row r="27447" spans="7:16" s="1634" customFormat="1">
      <c r="G27447" s="3336"/>
      <c r="P27447" s="3337"/>
    </row>
    <row r="27448" spans="7:16" s="1634" customFormat="1">
      <c r="G27448" s="3336"/>
      <c r="P27448" s="3337"/>
    </row>
    <row r="27449" spans="7:16" s="1634" customFormat="1">
      <c r="G27449" s="3336"/>
      <c r="P27449" s="3337"/>
    </row>
    <row r="27450" spans="7:16" s="1634" customFormat="1">
      <c r="G27450" s="3336"/>
      <c r="P27450" s="3337"/>
    </row>
    <row r="27451" spans="7:16" s="1634" customFormat="1">
      <c r="G27451" s="3336"/>
      <c r="P27451" s="3337"/>
    </row>
    <row r="27452" spans="7:16" s="1634" customFormat="1">
      <c r="G27452" s="3336"/>
      <c r="P27452" s="3337"/>
    </row>
    <row r="27453" spans="7:16" s="1634" customFormat="1">
      <c r="G27453" s="3336"/>
      <c r="P27453" s="3337"/>
    </row>
    <row r="27454" spans="7:16" s="1634" customFormat="1">
      <c r="G27454" s="3336"/>
      <c r="P27454" s="3337"/>
    </row>
    <row r="27455" spans="7:16" s="1634" customFormat="1">
      <c r="G27455" s="3336"/>
      <c r="P27455" s="3337"/>
    </row>
    <row r="27456" spans="7:16" s="1634" customFormat="1">
      <c r="G27456" s="3336"/>
      <c r="P27456" s="3337"/>
    </row>
    <row r="27457" spans="7:16" s="1634" customFormat="1">
      <c r="G27457" s="3336"/>
      <c r="P27457" s="3337"/>
    </row>
    <row r="27458" spans="7:16" s="1634" customFormat="1">
      <c r="G27458" s="3336"/>
      <c r="P27458" s="3337"/>
    </row>
    <row r="27459" spans="7:16" s="1634" customFormat="1">
      <c r="G27459" s="3336"/>
      <c r="P27459" s="3337"/>
    </row>
    <row r="27460" spans="7:16" s="1634" customFormat="1">
      <c r="G27460" s="3336"/>
      <c r="P27460" s="3337"/>
    </row>
    <row r="27461" spans="7:16" s="1634" customFormat="1">
      <c r="G27461" s="3336"/>
      <c r="P27461" s="3337"/>
    </row>
    <row r="27462" spans="7:16" s="1634" customFormat="1">
      <c r="G27462" s="3336"/>
      <c r="P27462" s="3337"/>
    </row>
    <row r="27463" spans="7:16" s="1634" customFormat="1">
      <c r="G27463" s="3336"/>
      <c r="P27463" s="3337"/>
    </row>
    <row r="27464" spans="7:16" s="1634" customFormat="1">
      <c r="G27464" s="3336"/>
      <c r="P27464" s="3337"/>
    </row>
    <row r="27465" spans="7:16" s="1634" customFormat="1">
      <c r="G27465" s="3336"/>
      <c r="P27465" s="3337"/>
    </row>
    <row r="27466" spans="7:16" s="1634" customFormat="1">
      <c r="G27466" s="3336"/>
      <c r="P27466" s="3337"/>
    </row>
    <row r="27467" spans="7:16" s="1634" customFormat="1">
      <c r="G27467" s="3336"/>
      <c r="P27467" s="3337"/>
    </row>
    <row r="27468" spans="7:16" s="1634" customFormat="1">
      <c r="G27468" s="3336"/>
      <c r="P27468" s="3337"/>
    </row>
    <row r="27469" spans="7:16" s="1634" customFormat="1">
      <c r="G27469" s="3336"/>
      <c r="P27469" s="3337"/>
    </row>
    <row r="27470" spans="7:16" s="1634" customFormat="1">
      <c r="G27470" s="3336"/>
      <c r="P27470" s="3337"/>
    </row>
    <row r="27471" spans="7:16" s="1634" customFormat="1">
      <c r="G27471" s="3336"/>
      <c r="P27471" s="3337"/>
    </row>
    <row r="27472" spans="7:16" s="1634" customFormat="1">
      <c r="G27472" s="3336"/>
      <c r="P27472" s="3337"/>
    </row>
    <row r="27473" spans="7:16" s="1634" customFormat="1">
      <c r="G27473" s="3336"/>
      <c r="P27473" s="3337"/>
    </row>
    <row r="27474" spans="7:16" s="1634" customFormat="1">
      <c r="G27474" s="3336"/>
      <c r="P27474" s="3337"/>
    </row>
    <row r="27475" spans="7:16" s="1634" customFormat="1">
      <c r="G27475" s="3336"/>
      <c r="P27475" s="3337"/>
    </row>
    <row r="27476" spans="7:16" s="1634" customFormat="1">
      <c r="G27476" s="3336"/>
      <c r="P27476" s="3337"/>
    </row>
    <row r="27477" spans="7:16" s="1634" customFormat="1">
      <c r="G27477" s="3336"/>
      <c r="P27477" s="3337"/>
    </row>
    <row r="27478" spans="7:16" s="1634" customFormat="1">
      <c r="G27478" s="3336"/>
      <c r="P27478" s="3337"/>
    </row>
    <row r="27479" spans="7:16" s="1634" customFormat="1">
      <c r="G27479" s="3336"/>
      <c r="P27479" s="3337"/>
    </row>
    <row r="27480" spans="7:16" s="1634" customFormat="1">
      <c r="G27480" s="3336"/>
      <c r="P27480" s="3337"/>
    </row>
    <row r="27481" spans="7:16" s="1634" customFormat="1">
      <c r="G27481" s="3336"/>
      <c r="P27481" s="3337"/>
    </row>
    <row r="27482" spans="7:16" s="1634" customFormat="1">
      <c r="G27482" s="3336"/>
      <c r="P27482" s="3337"/>
    </row>
    <row r="27483" spans="7:16" s="1634" customFormat="1">
      <c r="G27483" s="3336"/>
      <c r="P27483" s="3337"/>
    </row>
    <row r="27484" spans="7:16" s="1634" customFormat="1">
      <c r="G27484" s="3336"/>
      <c r="P27484" s="3337"/>
    </row>
    <row r="27485" spans="7:16" s="1634" customFormat="1">
      <c r="G27485" s="3336"/>
      <c r="P27485" s="3337"/>
    </row>
    <row r="27486" spans="7:16" s="1634" customFormat="1">
      <c r="G27486" s="3336"/>
      <c r="P27486" s="3337"/>
    </row>
    <row r="27487" spans="7:16" s="1634" customFormat="1">
      <c r="G27487" s="3336"/>
      <c r="P27487" s="3337"/>
    </row>
    <row r="27488" spans="7:16" s="1634" customFormat="1">
      <c r="G27488" s="3336"/>
      <c r="P27488" s="3337"/>
    </row>
    <row r="27489" spans="7:16" s="1634" customFormat="1">
      <c r="G27489" s="3336"/>
      <c r="P27489" s="3337"/>
    </row>
    <row r="27490" spans="7:16" s="1634" customFormat="1">
      <c r="G27490" s="3336"/>
      <c r="P27490" s="3337"/>
    </row>
    <row r="27491" spans="7:16" s="1634" customFormat="1">
      <c r="G27491" s="3336"/>
      <c r="P27491" s="3337"/>
    </row>
    <row r="27492" spans="7:16" s="1634" customFormat="1">
      <c r="G27492" s="3336"/>
      <c r="P27492" s="3337"/>
    </row>
    <row r="27493" spans="7:16" s="1634" customFormat="1">
      <c r="G27493" s="3336"/>
      <c r="P27493" s="3337"/>
    </row>
    <row r="27494" spans="7:16" s="1634" customFormat="1">
      <c r="G27494" s="3336"/>
      <c r="P27494" s="3337"/>
    </row>
    <row r="27495" spans="7:16" s="1634" customFormat="1">
      <c r="G27495" s="3336"/>
      <c r="P27495" s="3337"/>
    </row>
    <row r="27496" spans="7:16" s="1634" customFormat="1">
      <c r="G27496" s="3336"/>
      <c r="P27496" s="3337"/>
    </row>
    <row r="27497" spans="7:16" s="1634" customFormat="1">
      <c r="G27497" s="3336"/>
      <c r="P27497" s="3337"/>
    </row>
    <row r="27498" spans="7:16" s="1634" customFormat="1">
      <c r="G27498" s="3336"/>
      <c r="P27498" s="3337"/>
    </row>
    <row r="27499" spans="7:16" s="1634" customFormat="1">
      <c r="G27499" s="3336"/>
      <c r="P27499" s="3337"/>
    </row>
    <row r="27500" spans="7:16" s="1634" customFormat="1">
      <c r="G27500" s="3336"/>
      <c r="P27500" s="3337"/>
    </row>
    <row r="27501" spans="7:16" s="1634" customFormat="1">
      <c r="G27501" s="3336"/>
      <c r="P27501" s="3337"/>
    </row>
    <row r="27502" spans="7:16" s="1634" customFormat="1">
      <c r="G27502" s="3336"/>
      <c r="P27502" s="3337"/>
    </row>
    <row r="27503" spans="7:16" s="1634" customFormat="1">
      <c r="G27503" s="3336"/>
      <c r="P27503" s="3337"/>
    </row>
    <row r="27504" spans="7:16" s="1634" customFormat="1">
      <c r="G27504" s="3336"/>
      <c r="P27504" s="3337"/>
    </row>
    <row r="27505" spans="7:16" s="1634" customFormat="1">
      <c r="G27505" s="3336"/>
      <c r="P27505" s="3337"/>
    </row>
    <row r="27506" spans="7:16" s="1634" customFormat="1">
      <c r="G27506" s="3336"/>
      <c r="P27506" s="3337"/>
    </row>
    <row r="27507" spans="7:16" s="1634" customFormat="1">
      <c r="G27507" s="3336"/>
      <c r="P27507" s="3337"/>
    </row>
    <row r="27508" spans="7:16" s="1634" customFormat="1">
      <c r="G27508" s="3336"/>
      <c r="P27508" s="3337"/>
    </row>
    <row r="27509" spans="7:16" s="1634" customFormat="1">
      <c r="G27509" s="3336"/>
      <c r="P27509" s="3337"/>
    </row>
    <row r="27510" spans="7:16" s="1634" customFormat="1">
      <c r="G27510" s="3336"/>
      <c r="P27510" s="3337"/>
    </row>
    <row r="27511" spans="7:16" s="1634" customFormat="1">
      <c r="G27511" s="3336"/>
      <c r="P27511" s="3337"/>
    </row>
    <row r="27512" spans="7:16" s="1634" customFormat="1">
      <c r="G27512" s="3336"/>
      <c r="P27512" s="3337"/>
    </row>
    <row r="27513" spans="7:16" s="1634" customFormat="1">
      <c r="G27513" s="3336"/>
      <c r="P27513" s="3337"/>
    </row>
    <row r="27514" spans="7:16" s="1634" customFormat="1">
      <c r="G27514" s="3336"/>
      <c r="P27514" s="3337"/>
    </row>
    <row r="27515" spans="7:16" s="1634" customFormat="1">
      <c r="G27515" s="3336"/>
      <c r="P27515" s="3337"/>
    </row>
    <row r="27516" spans="7:16" s="1634" customFormat="1">
      <c r="G27516" s="3336"/>
      <c r="P27516" s="3337"/>
    </row>
    <row r="27517" spans="7:16" s="1634" customFormat="1">
      <c r="G27517" s="3336"/>
      <c r="P27517" s="3337"/>
    </row>
    <row r="27518" spans="7:16" s="1634" customFormat="1">
      <c r="G27518" s="3336"/>
      <c r="P27518" s="3337"/>
    </row>
    <row r="27519" spans="7:16" s="1634" customFormat="1">
      <c r="G27519" s="3336"/>
      <c r="P27519" s="3337"/>
    </row>
    <row r="27520" spans="7:16" s="1634" customFormat="1">
      <c r="G27520" s="3336"/>
      <c r="P27520" s="3337"/>
    </row>
    <row r="27521" spans="7:16" s="1634" customFormat="1">
      <c r="G27521" s="3336"/>
      <c r="P27521" s="3337"/>
    </row>
    <row r="27522" spans="7:16" s="1634" customFormat="1">
      <c r="G27522" s="3336"/>
      <c r="P27522" s="3337"/>
    </row>
    <row r="27523" spans="7:16" s="1634" customFormat="1">
      <c r="G27523" s="3336"/>
      <c r="P27523" s="3337"/>
    </row>
    <row r="27524" spans="7:16" s="1634" customFormat="1">
      <c r="G27524" s="3336"/>
      <c r="P27524" s="3337"/>
    </row>
    <row r="27525" spans="7:16" s="1634" customFormat="1">
      <c r="G27525" s="3336"/>
      <c r="P27525" s="3337"/>
    </row>
    <row r="27526" spans="7:16" s="1634" customFormat="1">
      <c r="G27526" s="3336"/>
      <c r="P27526" s="3337"/>
    </row>
    <row r="27527" spans="7:16" s="1634" customFormat="1">
      <c r="G27527" s="3336"/>
      <c r="P27527" s="3337"/>
    </row>
    <row r="27528" spans="7:16" s="1634" customFormat="1">
      <c r="G27528" s="3336"/>
      <c r="P27528" s="3337"/>
    </row>
    <row r="27529" spans="7:16" s="1634" customFormat="1">
      <c r="G27529" s="3336"/>
      <c r="P27529" s="3337"/>
    </row>
    <row r="27530" spans="7:16" s="1634" customFormat="1">
      <c r="G27530" s="3336"/>
      <c r="P27530" s="3337"/>
    </row>
    <row r="27531" spans="7:16" s="1634" customFormat="1">
      <c r="G27531" s="3336"/>
      <c r="P27531" s="3337"/>
    </row>
    <row r="27532" spans="7:16" s="1634" customFormat="1">
      <c r="G27532" s="3336"/>
      <c r="P27532" s="3337"/>
    </row>
    <row r="27533" spans="7:16" s="1634" customFormat="1">
      <c r="G27533" s="3336"/>
      <c r="P27533" s="3337"/>
    </row>
    <row r="27534" spans="7:16" s="1634" customFormat="1">
      <c r="G27534" s="3336"/>
      <c r="P27534" s="3337"/>
    </row>
    <row r="27535" spans="7:16" s="1634" customFormat="1">
      <c r="G27535" s="3336"/>
      <c r="P27535" s="3337"/>
    </row>
    <row r="27536" spans="7:16" s="1634" customFormat="1">
      <c r="G27536" s="3336"/>
      <c r="P27536" s="3337"/>
    </row>
    <row r="27537" spans="7:16" s="1634" customFormat="1">
      <c r="G27537" s="3336"/>
      <c r="P27537" s="3337"/>
    </row>
    <row r="27538" spans="7:16" s="1634" customFormat="1">
      <c r="G27538" s="3336"/>
      <c r="P27538" s="3337"/>
    </row>
    <row r="27539" spans="7:16" s="1634" customFormat="1">
      <c r="G27539" s="3336"/>
      <c r="P27539" s="3337"/>
    </row>
    <row r="27540" spans="7:16" s="1634" customFormat="1">
      <c r="G27540" s="3336"/>
      <c r="P27540" s="3337"/>
    </row>
    <row r="27541" spans="7:16" s="1634" customFormat="1">
      <c r="G27541" s="3336"/>
      <c r="P27541" s="3337"/>
    </row>
    <row r="27542" spans="7:16" s="1634" customFormat="1">
      <c r="G27542" s="3336"/>
      <c r="P27542" s="3337"/>
    </row>
    <row r="27543" spans="7:16" s="1634" customFormat="1">
      <c r="G27543" s="3336"/>
      <c r="P27543" s="3337"/>
    </row>
    <row r="27544" spans="7:16" s="1634" customFormat="1">
      <c r="G27544" s="3336"/>
      <c r="P27544" s="3337"/>
    </row>
    <row r="27545" spans="7:16" s="1634" customFormat="1">
      <c r="G27545" s="3336"/>
      <c r="P27545" s="3337"/>
    </row>
    <row r="27546" spans="7:16" s="1634" customFormat="1">
      <c r="G27546" s="3336"/>
      <c r="P27546" s="3337"/>
    </row>
    <row r="27547" spans="7:16" s="1634" customFormat="1">
      <c r="G27547" s="3336"/>
      <c r="P27547" s="3337"/>
    </row>
    <row r="27548" spans="7:16" s="1634" customFormat="1">
      <c r="G27548" s="3336"/>
      <c r="P27548" s="3337"/>
    </row>
    <row r="27549" spans="7:16" s="1634" customFormat="1">
      <c r="G27549" s="3336"/>
      <c r="P27549" s="3337"/>
    </row>
    <row r="27550" spans="7:16" s="1634" customFormat="1">
      <c r="G27550" s="3336"/>
      <c r="P27550" s="3337"/>
    </row>
    <row r="27551" spans="7:16" s="1634" customFormat="1">
      <c r="G27551" s="3336"/>
      <c r="P27551" s="3337"/>
    </row>
    <row r="27552" spans="7:16" s="1634" customFormat="1">
      <c r="G27552" s="3336"/>
      <c r="P27552" s="3337"/>
    </row>
    <row r="27553" spans="7:16" s="1634" customFormat="1">
      <c r="G27553" s="3336"/>
      <c r="P27553" s="3337"/>
    </row>
    <row r="27554" spans="7:16" s="1634" customFormat="1">
      <c r="G27554" s="3336"/>
      <c r="P27554" s="3337"/>
    </row>
    <row r="27555" spans="7:16" s="1634" customFormat="1">
      <c r="G27555" s="3336"/>
      <c r="P27555" s="3337"/>
    </row>
    <row r="27556" spans="7:16" s="1634" customFormat="1">
      <c r="G27556" s="3336"/>
      <c r="P27556" s="3337"/>
    </row>
    <row r="27557" spans="7:16" s="1634" customFormat="1">
      <c r="G27557" s="3336"/>
      <c r="P27557" s="3337"/>
    </row>
    <row r="27558" spans="7:16" s="1634" customFormat="1">
      <c r="G27558" s="3336"/>
      <c r="P27558" s="3337"/>
    </row>
    <row r="27559" spans="7:16" s="1634" customFormat="1">
      <c r="G27559" s="3336"/>
      <c r="P27559" s="3337"/>
    </row>
    <row r="27560" spans="7:16" s="1634" customFormat="1">
      <c r="G27560" s="3336"/>
      <c r="P27560" s="3337"/>
    </row>
    <row r="27561" spans="7:16" s="1634" customFormat="1">
      <c r="G27561" s="3336"/>
      <c r="P27561" s="3337"/>
    </row>
    <row r="27562" spans="7:16" s="1634" customFormat="1">
      <c r="G27562" s="3336"/>
      <c r="P27562" s="3337"/>
    </row>
    <row r="27563" spans="7:16" s="1634" customFormat="1">
      <c r="G27563" s="3336"/>
      <c r="P27563" s="3337"/>
    </row>
    <row r="27564" spans="7:16" s="1634" customFormat="1">
      <c r="G27564" s="3336"/>
      <c r="P27564" s="3337"/>
    </row>
    <row r="27565" spans="7:16" s="1634" customFormat="1">
      <c r="G27565" s="3336"/>
      <c r="P27565" s="3337"/>
    </row>
    <row r="27566" spans="7:16" s="1634" customFormat="1">
      <c r="G27566" s="3336"/>
      <c r="P27566" s="3337"/>
    </row>
    <row r="27567" spans="7:16" s="1634" customFormat="1">
      <c r="G27567" s="3336"/>
      <c r="P27567" s="3337"/>
    </row>
    <row r="27568" spans="7:16" s="1634" customFormat="1">
      <c r="G27568" s="3336"/>
      <c r="P27568" s="3337"/>
    </row>
    <row r="27569" spans="7:16" s="1634" customFormat="1">
      <c r="G27569" s="3336"/>
      <c r="P27569" s="3337"/>
    </row>
    <row r="27570" spans="7:16" s="1634" customFormat="1">
      <c r="G27570" s="3336"/>
      <c r="P27570" s="3337"/>
    </row>
    <row r="27571" spans="7:16" s="1634" customFormat="1">
      <c r="G27571" s="3336"/>
      <c r="P27571" s="3337"/>
    </row>
    <row r="27572" spans="7:16" s="1634" customFormat="1">
      <c r="G27572" s="3336"/>
      <c r="P27572" s="3337"/>
    </row>
    <row r="27573" spans="7:16" s="1634" customFormat="1">
      <c r="G27573" s="3336"/>
      <c r="P27573" s="3337"/>
    </row>
    <row r="27574" spans="7:16" s="1634" customFormat="1">
      <c r="G27574" s="3336"/>
      <c r="P27574" s="3337"/>
    </row>
    <row r="27575" spans="7:16" s="1634" customFormat="1">
      <c r="G27575" s="3336"/>
      <c r="P27575" s="3337"/>
    </row>
    <row r="27576" spans="7:16" s="1634" customFormat="1">
      <c r="G27576" s="3336"/>
      <c r="P27576" s="3337"/>
    </row>
    <row r="27577" spans="7:16" s="1634" customFormat="1">
      <c r="G27577" s="3336"/>
      <c r="P27577" s="3337"/>
    </row>
    <row r="27578" spans="7:16" s="1634" customFormat="1">
      <c r="G27578" s="3336"/>
      <c r="P27578" s="3337"/>
    </row>
    <row r="27579" spans="7:16" s="1634" customFormat="1">
      <c r="G27579" s="3336"/>
      <c r="P27579" s="3337"/>
    </row>
    <row r="27580" spans="7:16" s="1634" customFormat="1">
      <c r="G27580" s="3336"/>
      <c r="P27580" s="3337"/>
    </row>
    <row r="27581" spans="7:16" s="1634" customFormat="1">
      <c r="G27581" s="3336"/>
      <c r="P27581" s="3337"/>
    </row>
    <row r="27582" spans="7:16" s="1634" customFormat="1">
      <c r="G27582" s="3336"/>
      <c r="P27582" s="3337"/>
    </row>
    <row r="27583" spans="7:16" s="1634" customFormat="1">
      <c r="G27583" s="3336"/>
      <c r="P27583" s="3337"/>
    </row>
    <row r="27584" spans="7:16" s="1634" customFormat="1">
      <c r="G27584" s="3336"/>
      <c r="P27584" s="3337"/>
    </row>
    <row r="27585" spans="7:16" s="1634" customFormat="1">
      <c r="G27585" s="3336"/>
      <c r="P27585" s="3337"/>
    </row>
    <row r="27586" spans="7:16" s="1634" customFormat="1">
      <c r="G27586" s="3336"/>
      <c r="P27586" s="3337"/>
    </row>
    <row r="27587" spans="7:16" s="1634" customFormat="1">
      <c r="G27587" s="3336"/>
      <c r="P27587" s="3337"/>
    </row>
    <row r="27588" spans="7:16" s="1634" customFormat="1">
      <c r="G27588" s="3336"/>
      <c r="P27588" s="3337"/>
    </row>
    <row r="27589" spans="7:16" s="1634" customFormat="1">
      <c r="G27589" s="3336"/>
      <c r="P27589" s="3337"/>
    </row>
    <row r="27590" spans="7:16" s="1634" customFormat="1">
      <c r="G27590" s="3336"/>
      <c r="P27590" s="3337"/>
    </row>
    <row r="27591" spans="7:16" s="1634" customFormat="1">
      <c r="G27591" s="3336"/>
      <c r="P27591" s="3337"/>
    </row>
    <row r="27592" spans="7:16" s="1634" customFormat="1">
      <c r="G27592" s="3336"/>
      <c r="P27592" s="3337"/>
    </row>
    <row r="27593" spans="7:16" s="1634" customFormat="1">
      <c r="G27593" s="3336"/>
      <c r="P27593" s="3337"/>
    </row>
    <row r="27594" spans="7:16" s="1634" customFormat="1">
      <c r="G27594" s="3336"/>
      <c r="P27594" s="3337"/>
    </row>
    <row r="27595" spans="7:16" s="1634" customFormat="1">
      <c r="G27595" s="3336"/>
      <c r="P27595" s="3337"/>
    </row>
    <row r="27596" spans="7:16" s="1634" customFormat="1">
      <c r="G27596" s="3336"/>
      <c r="P27596" s="3337"/>
    </row>
    <row r="27597" spans="7:16" s="1634" customFormat="1">
      <c r="G27597" s="3336"/>
      <c r="P27597" s="3337"/>
    </row>
    <row r="27598" spans="7:16" s="1634" customFormat="1">
      <c r="G27598" s="3336"/>
      <c r="P27598" s="3337"/>
    </row>
    <row r="27599" spans="7:16" s="1634" customFormat="1">
      <c r="G27599" s="3336"/>
      <c r="P27599" s="3337"/>
    </row>
    <row r="27600" spans="7:16" s="1634" customFormat="1">
      <c r="G27600" s="3336"/>
      <c r="P27600" s="3337"/>
    </row>
    <row r="27601" spans="7:16" s="1634" customFormat="1">
      <c r="G27601" s="3336"/>
      <c r="P27601" s="3337"/>
    </row>
    <row r="27602" spans="7:16" s="1634" customFormat="1">
      <c r="G27602" s="3336"/>
      <c r="P27602" s="3337"/>
    </row>
    <row r="27603" spans="7:16" s="1634" customFormat="1">
      <c r="G27603" s="3336"/>
      <c r="P27603" s="3337"/>
    </row>
    <row r="27604" spans="7:16" s="1634" customFormat="1">
      <c r="G27604" s="3336"/>
      <c r="P27604" s="3337"/>
    </row>
    <row r="27605" spans="7:16" s="1634" customFormat="1">
      <c r="G27605" s="3336"/>
      <c r="P27605" s="3337"/>
    </row>
    <row r="27606" spans="7:16" s="1634" customFormat="1">
      <c r="G27606" s="3336"/>
      <c r="P27606" s="3337"/>
    </row>
    <row r="27607" spans="7:16" s="1634" customFormat="1">
      <c r="G27607" s="3336"/>
      <c r="P27607" s="3337"/>
    </row>
    <row r="27608" spans="7:16" s="1634" customFormat="1">
      <c r="G27608" s="3336"/>
      <c r="P27608" s="3337"/>
    </row>
    <row r="27609" spans="7:16" s="1634" customFormat="1">
      <c r="G27609" s="3336"/>
      <c r="P27609" s="3337"/>
    </row>
    <row r="27610" spans="7:16" s="1634" customFormat="1">
      <c r="G27610" s="3336"/>
      <c r="P27610" s="3337"/>
    </row>
    <row r="27611" spans="7:16" s="1634" customFormat="1">
      <c r="G27611" s="3336"/>
      <c r="P27611" s="3337"/>
    </row>
    <row r="27612" spans="7:16" s="1634" customFormat="1">
      <c r="G27612" s="3336"/>
      <c r="P27612" s="3337"/>
    </row>
    <row r="27613" spans="7:16" s="1634" customFormat="1">
      <c r="G27613" s="3336"/>
      <c r="P27613" s="3337"/>
    </row>
    <row r="27614" spans="7:16" s="1634" customFormat="1">
      <c r="G27614" s="3336"/>
      <c r="P27614" s="3337"/>
    </row>
    <row r="27615" spans="7:16" s="1634" customFormat="1">
      <c r="G27615" s="3336"/>
      <c r="P27615" s="3337"/>
    </row>
    <row r="27616" spans="7:16" s="1634" customFormat="1">
      <c r="G27616" s="3336"/>
      <c r="P27616" s="3337"/>
    </row>
    <row r="27617" spans="7:16" s="1634" customFormat="1">
      <c r="G27617" s="3336"/>
      <c r="P27617" s="3337"/>
    </row>
    <row r="27618" spans="7:16" s="1634" customFormat="1">
      <c r="G27618" s="3336"/>
      <c r="P27618" s="3337"/>
    </row>
    <row r="27619" spans="7:16" s="1634" customFormat="1">
      <c r="G27619" s="3336"/>
      <c r="P27619" s="3337"/>
    </row>
    <row r="27620" spans="7:16" s="1634" customFormat="1">
      <c r="G27620" s="3336"/>
      <c r="P27620" s="3337"/>
    </row>
    <row r="27621" spans="7:16" s="1634" customFormat="1">
      <c r="G27621" s="3336"/>
      <c r="P27621" s="3337"/>
    </row>
    <row r="27622" spans="7:16" s="1634" customFormat="1">
      <c r="G27622" s="3336"/>
      <c r="P27622" s="3337"/>
    </row>
    <row r="27623" spans="7:16" s="1634" customFormat="1">
      <c r="G27623" s="3336"/>
      <c r="P27623" s="3337"/>
    </row>
    <row r="27624" spans="7:16" s="1634" customFormat="1">
      <c r="G27624" s="3336"/>
      <c r="P27624" s="3337"/>
    </row>
    <row r="27625" spans="7:16" s="1634" customFormat="1">
      <c r="G27625" s="3336"/>
      <c r="P27625" s="3337"/>
    </row>
    <row r="27626" spans="7:16" s="1634" customFormat="1">
      <c r="G27626" s="3336"/>
      <c r="P27626" s="3337"/>
    </row>
    <row r="27627" spans="7:16" s="1634" customFormat="1">
      <c r="G27627" s="3336"/>
      <c r="P27627" s="3337"/>
    </row>
    <row r="27628" spans="7:16" s="1634" customFormat="1">
      <c r="G27628" s="3336"/>
      <c r="P27628" s="3337"/>
    </row>
    <row r="27629" spans="7:16" s="1634" customFormat="1">
      <c r="G27629" s="3336"/>
      <c r="P27629" s="3337"/>
    </row>
    <row r="27630" spans="7:16" s="1634" customFormat="1">
      <c r="G27630" s="3336"/>
      <c r="P27630" s="3337"/>
    </row>
    <row r="27631" spans="7:16" s="1634" customFormat="1">
      <c r="G27631" s="3336"/>
      <c r="P27631" s="3337"/>
    </row>
    <row r="27632" spans="7:16" s="1634" customFormat="1">
      <c r="G27632" s="3336"/>
      <c r="P27632" s="3337"/>
    </row>
    <row r="27633" spans="7:16" s="1634" customFormat="1">
      <c r="G27633" s="3336"/>
      <c r="P27633" s="3337"/>
    </row>
    <row r="27634" spans="7:16" s="1634" customFormat="1">
      <c r="G27634" s="3336"/>
      <c r="P27634" s="3337"/>
    </row>
    <row r="27635" spans="7:16" s="1634" customFormat="1">
      <c r="G27635" s="3336"/>
      <c r="P27635" s="3337"/>
    </row>
    <row r="27636" spans="7:16" s="1634" customFormat="1">
      <c r="G27636" s="3336"/>
      <c r="P27636" s="3337"/>
    </row>
    <row r="27637" spans="7:16" s="1634" customFormat="1">
      <c r="G27637" s="3336"/>
      <c r="P27637" s="3337"/>
    </row>
    <row r="27638" spans="7:16" s="1634" customFormat="1">
      <c r="G27638" s="3336"/>
      <c r="P27638" s="3337"/>
    </row>
    <row r="27639" spans="7:16" s="1634" customFormat="1">
      <c r="G27639" s="3336"/>
      <c r="P27639" s="3337"/>
    </row>
    <row r="27640" spans="7:16" s="1634" customFormat="1">
      <c r="G27640" s="3336"/>
      <c r="P27640" s="3337"/>
    </row>
    <row r="27641" spans="7:16" s="1634" customFormat="1">
      <c r="G27641" s="3336"/>
      <c r="P27641" s="3337"/>
    </row>
    <row r="27642" spans="7:16" s="1634" customFormat="1">
      <c r="G27642" s="3336"/>
      <c r="P27642" s="3337"/>
    </row>
    <row r="27643" spans="7:16" s="1634" customFormat="1">
      <c r="G27643" s="3336"/>
      <c r="P27643" s="3337"/>
    </row>
    <row r="27644" spans="7:16" s="1634" customFormat="1">
      <c r="G27644" s="3336"/>
      <c r="P27644" s="3337"/>
    </row>
    <row r="27645" spans="7:16" s="1634" customFormat="1">
      <c r="G27645" s="3336"/>
      <c r="P27645" s="3337"/>
    </row>
    <row r="27646" spans="7:16" s="1634" customFormat="1">
      <c r="G27646" s="3336"/>
      <c r="P27646" s="3337"/>
    </row>
    <row r="27647" spans="7:16" s="1634" customFormat="1">
      <c r="G27647" s="3336"/>
      <c r="P27647" s="3337"/>
    </row>
    <row r="27648" spans="7:16" s="1634" customFormat="1">
      <c r="G27648" s="3336"/>
      <c r="P27648" s="3337"/>
    </row>
    <row r="27649" spans="7:16" s="1634" customFormat="1">
      <c r="G27649" s="3336"/>
      <c r="P27649" s="3337"/>
    </row>
    <row r="27650" spans="7:16" s="1634" customFormat="1">
      <c r="G27650" s="3336"/>
      <c r="P27650" s="3337"/>
    </row>
    <row r="27651" spans="7:16" s="1634" customFormat="1">
      <c r="G27651" s="3336"/>
      <c r="P27651" s="3337"/>
    </row>
    <row r="27652" spans="7:16" s="1634" customFormat="1">
      <c r="G27652" s="3336"/>
      <c r="P27652" s="3337"/>
    </row>
    <row r="27653" spans="7:16" s="1634" customFormat="1">
      <c r="G27653" s="3336"/>
      <c r="P27653" s="3337"/>
    </row>
    <row r="27654" spans="7:16" s="1634" customFormat="1">
      <c r="G27654" s="3336"/>
      <c r="P27654" s="3337"/>
    </row>
    <row r="27655" spans="7:16" s="1634" customFormat="1">
      <c r="G27655" s="3336"/>
      <c r="P27655" s="3337"/>
    </row>
    <row r="27656" spans="7:16" s="1634" customFormat="1">
      <c r="G27656" s="3336"/>
      <c r="P27656" s="3337"/>
    </row>
    <row r="27657" spans="7:16" s="1634" customFormat="1">
      <c r="G27657" s="3336"/>
      <c r="P27657" s="3337"/>
    </row>
    <row r="27658" spans="7:16" s="1634" customFormat="1">
      <c r="G27658" s="3336"/>
      <c r="P27658" s="3337"/>
    </row>
    <row r="27659" spans="7:16" s="1634" customFormat="1">
      <c r="G27659" s="3336"/>
      <c r="P27659" s="3337"/>
    </row>
    <row r="27660" spans="7:16" s="1634" customFormat="1">
      <c r="G27660" s="3336"/>
      <c r="P27660" s="3337"/>
    </row>
    <row r="27661" spans="7:16" s="1634" customFormat="1">
      <c r="G27661" s="3336"/>
      <c r="P27661" s="3337"/>
    </row>
    <row r="27662" spans="7:16" s="1634" customFormat="1">
      <c r="G27662" s="3336"/>
      <c r="P27662" s="3337"/>
    </row>
    <row r="27663" spans="7:16" s="1634" customFormat="1">
      <c r="G27663" s="3336"/>
      <c r="P27663" s="3337"/>
    </row>
    <row r="27664" spans="7:16" s="1634" customFormat="1">
      <c r="G27664" s="3336"/>
      <c r="P27664" s="3337"/>
    </row>
    <row r="27665" spans="7:16" s="1634" customFormat="1">
      <c r="G27665" s="3336"/>
      <c r="P27665" s="3337"/>
    </row>
    <row r="27666" spans="7:16" s="1634" customFormat="1">
      <c r="G27666" s="3336"/>
      <c r="P27666" s="3337"/>
    </row>
    <row r="27667" spans="7:16" s="1634" customFormat="1">
      <c r="G27667" s="3336"/>
      <c r="P27667" s="3337"/>
    </row>
    <row r="27668" spans="7:16" s="1634" customFormat="1">
      <c r="G27668" s="3336"/>
      <c r="P27668" s="3337"/>
    </row>
    <row r="27669" spans="7:16" s="1634" customFormat="1">
      <c r="G27669" s="3336"/>
      <c r="P27669" s="3337"/>
    </row>
    <row r="27670" spans="7:16" s="1634" customFormat="1">
      <c r="G27670" s="3336"/>
      <c r="P27670" s="3337"/>
    </row>
    <row r="27671" spans="7:16" s="1634" customFormat="1">
      <c r="G27671" s="3336"/>
      <c r="P27671" s="3337"/>
    </row>
    <row r="27672" spans="7:16" s="1634" customFormat="1">
      <c r="G27672" s="3336"/>
      <c r="P27672" s="3337"/>
    </row>
    <row r="27673" spans="7:16" s="1634" customFormat="1">
      <c r="G27673" s="3336"/>
      <c r="P27673" s="3337"/>
    </row>
    <row r="27674" spans="7:16" s="1634" customFormat="1">
      <c r="G27674" s="3336"/>
      <c r="P27674" s="3337"/>
    </row>
    <row r="27675" spans="7:16" s="1634" customFormat="1">
      <c r="G27675" s="3336"/>
      <c r="P27675" s="3337"/>
    </row>
    <row r="27676" spans="7:16" s="1634" customFormat="1">
      <c r="G27676" s="3336"/>
      <c r="P27676" s="3337"/>
    </row>
    <row r="27677" spans="7:16" s="1634" customFormat="1">
      <c r="G27677" s="3336"/>
      <c r="P27677" s="3337"/>
    </row>
    <row r="27678" spans="7:16" s="1634" customFormat="1">
      <c r="G27678" s="3336"/>
      <c r="P27678" s="3337"/>
    </row>
    <row r="27679" spans="7:16" s="1634" customFormat="1">
      <c r="G27679" s="3336"/>
      <c r="P27679" s="3337"/>
    </row>
    <row r="27680" spans="7:16" s="1634" customFormat="1">
      <c r="G27680" s="3336"/>
      <c r="P27680" s="3337"/>
    </row>
    <row r="27681" spans="7:16" s="1634" customFormat="1">
      <c r="G27681" s="3336"/>
      <c r="P27681" s="3337"/>
    </row>
    <row r="27682" spans="7:16" s="1634" customFormat="1">
      <c r="G27682" s="3336"/>
      <c r="P27682" s="3337"/>
    </row>
    <row r="27683" spans="7:16" s="1634" customFormat="1">
      <c r="G27683" s="3336"/>
      <c r="P27683" s="3337"/>
    </row>
    <row r="27684" spans="7:16" s="1634" customFormat="1">
      <c r="G27684" s="3336"/>
      <c r="P27684" s="3337"/>
    </row>
    <row r="27685" spans="7:16" s="1634" customFormat="1">
      <c r="G27685" s="3336"/>
      <c r="P27685" s="3337"/>
    </row>
    <row r="27686" spans="7:16" s="1634" customFormat="1">
      <c r="G27686" s="3336"/>
      <c r="P27686" s="3337"/>
    </row>
    <row r="27687" spans="7:16" s="1634" customFormat="1">
      <c r="G27687" s="3336"/>
      <c r="P27687" s="3337"/>
    </row>
    <row r="27688" spans="7:16" s="1634" customFormat="1">
      <c r="G27688" s="3336"/>
      <c r="P27688" s="3337"/>
    </row>
    <row r="27689" spans="7:16" s="1634" customFormat="1">
      <c r="G27689" s="3336"/>
      <c r="P27689" s="3337"/>
    </row>
    <row r="27690" spans="7:16" s="1634" customFormat="1">
      <c r="G27690" s="3336"/>
      <c r="P27690" s="3337"/>
    </row>
    <row r="27691" spans="7:16" s="1634" customFormat="1">
      <c r="G27691" s="3336"/>
      <c r="P27691" s="3337"/>
    </row>
    <row r="27692" spans="7:16" s="1634" customFormat="1">
      <c r="G27692" s="3336"/>
      <c r="P27692" s="3337"/>
    </row>
    <row r="27693" spans="7:16" s="1634" customFormat="1">
      <c r="G27693" s="3336"/>
      <c r="P27693" s="3337"/>
    </row>
    <row r="27694" spans="7:16" s="1634" customFormat="1">
      <c r="G27694" s="3336"/>
      <c r="P27694" s="3337"/>
    </row>
    <row r="27695" spans="7:16" s="1634" customFormat="1">
      <c r="G27695" s="3336"/>
      <c r="P27695" s="3337"/>
    </row>
    <row r="27696" spans="7:16" s="1634" customFormat="1">
      <c r="G27696" s="3336"/>
      <c r="P27696" s="3337"/>
    </row>
    <row r="27697" spans="7:16" s="1634" customFormat="1">
      <c r="G27697" s="3336"/>
      <c r="P27697" s="3337"/>
    </row>
    <row r="27698" spans="7:16" s="1634" customFormat="1">
      <c r="G27698" s="3336"/>
      <c r="P27698" s="3337"/>
    </row>
    <row r="27699" spans="7:16" s="1634" customFormat="1">
      <c r="G27699" s="3336"/>
      <c r="P27699" s="3337"/>
    </row>
    <row r="27700" spans="7:16" s="1634" customFormat="1">
      <c r="G27700" s="3336"/>
      <c r="P27700" s="3337"/>
    </row>
    <row r="27701" spans="7:16" s="1634" customFormat="1">
      <c r="G27701" s="3336"/>
      <c r="P27701" s="3337"/>
    </row>
    <row r="27702" spans="7:16" s="1634" customFormat="1">
      <c r="G27702" s="3336"/>
      <c r="P27702" s="3337"/>
    </row>
    <row r="27703" spans="7:16" s="1634" customFormat="1">
      <c r="G27703" s="3336"/>
      <c r="P27703" s="3337"/>
    </row>
    <row r="27704" spans="7:16" s="1634" customFormat="1">
      <c r="G27704" s="3336"/>
      <c r="P27704" s="3337"/>
    </row>
    <row r="27705" spans="7:16" s="1634" customFormat="1">
      <c r="G27705" s="3336"/>
      <c r="P27705" s="3337"/>
    </row>
    <row r="27706" spans="7:16" s="1634" customFormat="1">
      <c r="G27706" s="3336"/>
      <c r="P27706" s="3337"/>
    </row>
    <row r="27707" spans="7:16" s="1634" customFormat="1">
      <c r="G27707" s="3336"/>
      <c r="P27707" s="3337"/>
    </row>
    <row r="27708" spans="7:16" s="1634" customFormat="1">
      <c r="G27708" s="3336"/>
      <c r="P27708" s="3337"/>
    </row>
    <row r="27709" spans="7:16" s="1634" customFormat="1">
      <c r="G27709" s="3336"/>
      <c r="P27709" s="3337"/>
    </row>
    <row r="27710" spans="7:16" s="1634" customFormat="1">
      <c r="G27710" s="3336"/>
      <c r="P27710" s="3337"/>
    </row>
    <row r="27711" spans="7:16" s="1634" customFormat="1">
      <c r="G27711" s="3336"/>
      <c r="P27711" s="3337"/>
    </row>
    <row r="27712" spans="7:16" s="1634" customFormat="1">
      <c r="G27712" s="3336"/>
      <c r="P27712" s="3337"/>
    </row>
    <row r="27713" spans="7:16" s="1634" customFormat="1">
      <c r="G27713" s="3336"/>
      <c r="P27713" s="3337"/>
    </row>
    <row r="27714" spans="7:16" s="1634" customFormat="1">
      <c r="G27714" s="3336"/>
      <c r="P27714" s="3337"/>
    </row>
    <row r="27715" spans="7:16" s="1634" customFormat="1">
      <c r="G27715" s="3336"/>
      <c r="P27715" s="3337"/>
    </row>
    <row r="27716" spans="7:16" s="1634" customFormat="1">
      <c r="G27716" s="3336"/>
      <c r="P27716" s="3337"/>
    </row>
    <row r="27717" spans="7:16" s="1634" customFormat="1">
      <c r="G27717" s="3336"/>
      <c r="P27717" s="3337"/>
    </row>
    <row r="27718" spans="7:16" s="1634" customFormat="1">
      <c r="G27718" s="3336"/>
      <c r="P27718" s="3337"/>
    </row>
    <row r="27719" spans="7:16" s="1634" customFormat="1">
      <c r="G27719" s="3336"/>
      <c r="P27719" s="3337"/>
    </row>
    <row r="27720" spans="7:16" s="1634" customFormat="1">
      <c r="G27720" s="3336"/>
      <c r="P27720" s="3337"/>
    </row>
    <row r="27721" spans="7:16" s="1634" customFormat="1">
      <c r="G27721" s="3336"/>
      <c r="P27721" s="3337"/>
    </row>
    <row r="27722" spans="7:16" s="1634" customFormat="1">
      <c r="G27722" s="3336"/>
      <c r="P27722" s="3337"/>
    </row>
    <row r="27723" spans="7:16" s="1634" customFormat="1">
      <c r="G27723" s="3336"/>
      <c r="P27723" s="3337"/>
    </row>
    <row r="27724" spans="7:16" s="1634" customFormat="1">
      <c r="G27724" s="3336"/>
      <c r="P27724" s="3337"/>
    </row>
    <row r="27725" spans="7:16" s="1634" customFormat="1">
      <c r="G27725" s="3336"/>
      <c r="P27725" s="3337"/>
    </row>
    <row r="27726" spans="7:16" s="1634" customFormat="1">
      <c r="G27726" s="3336"/>
      <c r="P27726" s="3337"/>
    </row>
    <row r="27727" spans="7:16" s="1634" customFormat="1">
      <c r="G27727" s="3336"/>
      <c r="P27727" s="3337"/>
    </row>
    <row r="27728" spans="7:16" s="1634" customFormat="1">
      <c r="G27728" s="3336"/>
      <c r="P27728" s="3337"/>
    </row>
    <row r="27729" spans="7:16" s="1634" customFormat="1">
      <c r="G27729" s="3336"/>
      <c r="P27729" s="3337"/>
    </row>
    <row r="27730" spans="7:16" s="1634" customFormat="1">
      <c r="G27730" s="3336"/>
      <c r="P27730" s="3337"/>
    </row>
    <row r="27731" spans="7:16" s="1634" customFormat="1">
      <c r="G27731" s="3336"/>
      <c r="P27731" s="3337"/>
    </row>
    <row r="27732" spans="7:16" s="1634" customFormat="1">
      <c r="G27732" s="3336"/>
      <c r="P27732" s="3337"/>
    </row>
    <row r="27733" spans="7:16" s="1634" customFormat="1">
      <c r="G27733" s="3336"/>
      <c r="P27733" s="3337"/>
    </row>
    <row r="27734" spans="7:16" s="1634" customFormat="1">
      <c r="G27734" s="3336"/>
      <c r="P27734" s="3337"/>
    </row>
    <row r="27735" spans="7:16" s="1634" customFormat="1">
      <c r="G27735" s="3336"/>
      <c r="P27735" s="3337"/>
    </row>
    <row r="27736" spans="7:16" s="1634" customFormat="1">
      <c r="G27736" s="3336"/>
      <c r="P27736" s="3337"/>
    </row>
    <row r="27737" spans="7:16" s="1634" customFormat="1">
      <c r="G27737" s="3336"/>
      <c r="P27737" s="3337"/>
    </row>
    <row r="27738" spans="7:16" s="1634" customFormat="1">
      <c r="G27738" s="3336"/>
      <c r="P27738" s="3337"/>
    </row>
    <row r="27739" spans="7:16" s="1634" customFormat="1">
      <c r="G27739" s="3336"/>
      <c r="P27739" s="3337"/>
    </row>
    <row r="27740" spans="7:16" s="1634" customFormat="1">
      <c r="G27740" s="3336"/>
      <c r="P27740" s="3337"/>
    </row>
    <row r="27741" spans="7:16" s="1634" customFormat="1">
      <c r="G27741" s="3336"/>
      <c r="P27741" s="3337"/>
    </row>
    <row r="27742" spans="7:16" s="1634" customFormat="1">
      <c r="G27742" s="3336"/>
      <c r="P27742" s="3337"/>
    </row>
    <row r="27743" spans="7:16" s="1634" customFormat="1">
      <c r="G27743" s="3336"/>
      <c r="P27743" s="3337"/>
    </row>
    <row r="27744" spans="7:16" s="1634" customFormat="1">
      <c r="G27744" s="3336"/>
      <c r="P27744" s="3337"/>
    </row>
    <row r="27745" spans="7:16" s="1634" customFormat="1">
      <c r="G27745" s="3336"/>
      <c r="P27745" s="3337"/>
    </row>
    <row r="27746" spans="7:16" s="1634" customFormat="1">
      <c r="G27746" s="3336"/>
      <c r="P27746" s="3337"/>
    </row>
    <row r="27747" spans="7:16" s="1634" customFormat="1">
      <c r="G27747" s="3336"/>
      <c r="P27747" s="3337"/>
    </row>
    <row r="27748" spans="7:16" s="1634" customFormat="1">
      <c r="G27748" s="3336"/>
      <c r="P27748" s="3337"/>
    </row>
    <row r="27749" spans="7:16" s="1634" customFormat="1">
      <c r="G27749" s="3336"/>
      <c r="P27749" s="3337"/>
    </row>
    <row r="27750" spans="7:16" s="1634" customFormat="1">
      <c r="G27750" s="3336"/>
      <c r="P27750" s="3337"/>
    </row>
    <row r="27751" spans="7:16" s="1634" customFormat="1">
      <c r="G27751" s="3336"/>
      <c r="P27751" s="3337"/>
    </row>
    <row r="27752" spans="7:16" s="1634" customFormat="1">
      <c r="G27752" s="3336"/>
      <c r="P27752" s="3337"/>
    </row>
    <row r="27753" spans="7:16" s="1634" customFormat="1">
      <c r="G27753" s="3336"/>
      <c r="P27753" s="3337"/>
    </row>
    <row r="27754" spans="7:16" s="1634" customFormat="1">
      <c r="G27754" s="3336"/>
      <c r="P27754" s="3337"/>
    </row>
    <row r="27755" spans="7:16" s="1634" customFormat="1">
      <c r="G27755" s="3336"/>
      <c r="P27755" s="3337"/>
    </row>
    <row r="27756" spans="7:16" s="1634" customFormat="1">
      <c r="G27756" s="3336"/>
      <c r="P27756" s="3337"/>
    </row>
    <row r="27757" spans="7:16" s="1634" customFormat="1">
      <c r="G27757" s="3336"/>
      <c r="P27757" s="3337"/>
    </row>
    <row r="27758" spans="7:16" s="1634" customFormat="1">
      <c r="G27758" s="3336"/>
      <c r="P27758" s="3337"/>
    </row>
    <row r="27759" spans="7:16" s="1634" customFormat="1">
      <c r="G27759" s="3336"/>
      <c r="P27759" s="3337"/>
    </row>
    <row r="27760" spans="7:16" s="1634" customFormat="1">
      <c r="G27760" s="3336"/>
      <c r="P27760" s="3337"/>
    </row>
    <row r="27761" spans="7:16" s="1634" customFormat="1">
      <c r="G27761" s="3336"/>
      <c r="P27761" s="3337"/>
    </row>
    <row r="27762" spans="7:16" s="1634" customFormat="1">
      <c r="G27762" s="3336"/>
      <c r="P27762" s="3337"/>
    </row>
    <row r="27763" spans="7:16" s="1634" customFormat="1">
      <c r="G27763" s="3336"/>
      <c r="P27763" s="3337"/>
    </row>
    <row r="27764" spans="7:16" s="1634" customFormat="1">
      <c r="G27764" s="3336"/>
      <c r="P27764" s="3337"/>
    </row>
    <row r="27765" spans="7:16" s="1634" customFormat="1">
      <c r="G27765" s="3336"/>
      <c r="P27765" s="3337"/>
    </row>
    <row r="27766" spans="7:16" s="1634" customFormat="1">
      <c r="G27766" s="3336"/>
      <c r="P27766" s="3337"/>
    </row>
    <row r="27767" spans="7:16" s="1634" customFormat="1">
      <c r="G27767" s="3336"/>
      <c r="P27767" s="3337"/>
    </row>
    <row r="27768" spans="7:16" s="1634" customFormat="1">
      <c r="G27768" s="3336"/>
      <c r="P27768" s="3337"/>
    </row>
    <row r="27769" spans="7:16" s="1634" customFormat="1">
      <c r="G27769" s="3336"/>
      <c r="P27769" s="3337"/>
    </row>
    <row r="27770" spans="7:16" s="1634" customFormat="1">
      <c r="G27770" s="3336"/>
      <c r="P27770" s="3337"/>
    </row>
    <row r="27771" spans="7:16" s="1634" customFormat="1">
      <c r="G27771" s="3336"/>
      <c r="P27771" s="3337"/>
    </row>
    <row r="27772" spans="7:16" s="1634" customFormat="1">
      <c r="G27772" s="3336"/>
      <c r="P27772" s="3337"/>
    </row>
    <row r="27773" spans="7:16" s="1634" customFormat="1">
      <c r="G27773" s="3336"/>
      <c r="P27773" s="3337"/>
    </row>
    <row r="27774" spans="7:16" s="1634" customFormat="1">
      <c r="G27774" s="3336"/>
      <c r="P27774" s="3337"/>
    </row>
    <row r="27775" spans="7:16" s="1634" customFormat="1">
      <c r="G27775" s="3336"/>
      <c r="P27775" s="3337"/>
    </row>
    <row r="27776" spans="7:16" s="1634" customFormat="1">
      <c r="G27776" s="3336"/>
      <c r="P27776" s="3337"/>
    </row>
    <row r="27777" spans="7:16" s="1634" customFormat="1">
      <c r="G27777" s="3336"/>
      <c r="P27777" s="3337"/>
    </row>
    <row r="27778" spans="7:16" s="1634" customFormat="1">
      <c r="G27778" s="3336"/>
      <c r="P27778" s="3337"/>
    </row>
    <row r="27779" spans="7:16" s="1634" customFormat="1">
      <c r="G27779" s="3336"/>
      <c r="P27779" s="3337"/>
    </row>
    <row r="27780" spans="7:16" s="1634" customFormat="1">
      <c r="G27780" s="3336"/>
      <c r="P27780" s="3337"/>
    </row>
    <row r="27781" spans="7:16" s="1634" customFormat="1">
      <c r="G27781" s="3336"/>
      <c r="P27781" s="3337"/>
    </row>
    <row r="27782" spans="7:16" s="1634" customFormat="1">
      <c r="G27782" s="3336"/>
      <c r="P27782" s="3337"/>
    </row>
    <row r="27783" spans="7:16" s="1634" customFormat="1">
      <c r="G27783" s="3336"/>
      <c r="P27783" s="3337"/>
    </row>
    <row r="27784" spans="7:16" s="1634" customFormat="1">
      <c r="G27784" s="3336"/>
      <c r="P27784" s="3337"/>
    </row>
    <row r="27785" spans="7:16" s="1634" customFormat="1">
      <c r="G27785" s="3336"/>
      <c r="P27785" s="3337"/>
    </row>
    <row r="27786" spans="7:16" s="1634" customFormat="1">
      <c r="G27786" s="3336"/>
      <c r="P27786" s="3337"/>
    </row>
    <row r="27787" spans="7:16" s="1634" customFormat="1">
      <c r="G27787" s="3336"/>
      <c r="P27787" s="3337"/>
    </row>
    <row r="27788" spans="7:16" s="1634" customFormat="1">
      <c r="G27788" s="3336"/>
      <c r="P27788" s="3337"/>
    </row>
    <row r="27789" spans="7:16" s="1634" customFormat="1">
      <c r="G27789" s="3336"/>
      <c r="P27789" s="3337"/>
    </row>
    <row r="27790" spans="7:16" s="1634" customFormat="1">
      <c r="G27790" s="3336"/>
      <c r="P27790" s="3337"/>
    </row>
    <row r="27791" spans="7:16" s="1634" customFormat="1">
      <c r="G27791" s="3336"/>
      <c r="P27791" s="3337"/>
    </row>
    <row r="27792" spans="7:16" s="1634" customFormat="1">
      <c r="G27792" s="3336"/>
      <c r="P27792" s="3337"/>
    </row>
    <row r="27793" spans="7:16" s="1634" customFormat="1">
      <c r="G27793" s="3336"/>
      <c r="P27793" s="3337"/>
    </row>
    <row r="27794" spans="7:16" s="1634" customFormat="1">
      <c r="G27794" s="3336"/>
      <c r="P27794" s="3337"/>
    </row>
    <row r="27795" spans="7:16" s="1634" customFormat="1">
      <c r="G27795" s="3336"/>
      <c r="P27795" s="3337"/>
    </row>
    <row r="27796" spans="7:16" s="1634" customFormat="1">
      <c r="G27796" s="3336"/>
      <c r="P27796" s="3337"/>
    </row>
    <row r="27797" spans="7:16" s="1634" customFormat="1">
      <c r="G27797" s="3336"/>
      <c r="P27797" s="3337"/>
    </row>
    <row r="27798" spans="7:16" s="1634" customFormat="1">
      <c r="G27798" s="3336"/>
      <c r="P27798" s="3337"/>
    </row>
    <row r="27799" spans="7:16" s="1634" customFormat="1">
      <c r="G27799" s="3336"/>
      <c r="P27799" s="3337"/>
    </row>
    <row r="27800" spans="7:16" s="1634" customFormat="1">
      <c r="G27800" s="3336"/>
      <c r="P27800" s="3337"/>
    </row>
    <row r="27801" spans="7:16" s="1634" customFormat="1">
      <c r="G27801" s="3336"/>
      <c r="P27801" s="3337"/>
    </row>
    <row r="27802" spans="7:16" s="1634" customFormat="1">
      <c r="G27802" s="3336"/>
      <c r="P27802" s="3337"/>
    </row>
    <row r="27803" spans="7:16" s="1634" customFormat="1">
      <c r="G27803" s="3336"/>
      <c r="P27803" s="3337"/>
    </row>
    <row r="27804" spans="7:16" s="1634" customFormat="1">
      <c r="G27804" s="3336"/>
      <c r="P27804" s="3337"/>
    </row>
    <row r="27805" spans="7:16" s="1634" customFormat="1">
      <c r="G27805" s="3336"/>
      <c r="P27805" s="3337"/>
    </row>
    <row r="27806" spans="7:16" s="1634" customFormat="1">
      <c r="G27806" s="3336"/>
      <c r="P27806" s="3337"/>
    </row>
    <row r="27807" spans="7:16" s="1634" customFormat="1">
      <c r="G27807" s="3336"/>
      <c r="P27807" s="3337"/>
    </row>
    <row r="27808" spans="7:16" s="1634" customFormat="1">
      <c r="G27808" s="3336"/>
      <c r="P27808" s="3337"/>
    </row>
    <row r="27809" spans="7:16" s="1634" customFormat="1">
      <c r="G27809" s="3336"/>
      <c r="P27809" s="3337"/>
    </row>
    <row r="27810" spans="7:16" s="1634" customFormat="1">
      <c r="G27810" s="3336"/>
      <c r="P27810" s="3337"/>
    </row>
    <row r="27811" spans="7:16" s="1634" customFormat="1">
      <c r="G27811" s="3336"/>
      <c r="P27811" s="3337"/>
    </row>
    <row r="27812" spans="7:16" s="1634" customFormat="1">
      <c r="G27812" s="3336"/>
      <c r="P27812" s="3337"/>
    </row>
    <row r="27813" spans="7:16" s="1634" customFormat="1">
      <c r="G27813" s="3336"/>
      <c r="P27813" s="3337"/>
    </row>
    <row r="27814" spans="7:16" s="1634" customFormat="1">
      <c r="G27814" s="3336"/>
      <c r="P27814" s="3337"/>
    </row>
    <row r="27815" spans="7:16" s="1634" customFormat="1">
      <c r="G27815" s="3336"/>
      <c r="P27815" s="3337"/>
    </row>
    <row r="27816" spans="7:16" s="1634" customFormat="1">
      <c r="G27816" s="3336"/>
      <c r="P27816" s="3337"/>
    </row>
    <row r="27817" spans="7:16" s="1634" customFormat="1">
      <c r="G27817" s="3336"/>
      <c r="P27817" s="3337"/>
    </row>
    <row r="27818" spans="7:16" s="1634" customFormat="1">
      <c r="G27818" s="3336"/>
      <c r="P27818" s="3337"/>
    </row>
    <row r="27819" spans="7:16" s="1634" customFormat="1">
      <c r="G27819" s="3336"/>
      <c r="P27819" s="3337"/>
    </row>
    <row r="27820" spans="7:16" s="1634" customFormat="1">
      <c r="G27820" s="3336"/>
      <c r="P27820" s="3337"/>
    </row>
    <row r="27821" spans="7:16" s="1634" customFormat="1">
      <c r="G27821" s="3336"/>
      <c r="P27821" s="3337"/>
    </row>
    <row r="27822" spans="7:16" s="1634" customFormat="1">
      <c r="G27822" s="3336"/>
      <c r="P27822" s="3337"/>
    </row>
    <row r="27823" spans="7:16" s="1634" customFormat="1">
      <c r="G27823" s="3336"/>
      <c r="P27823" s="3337"/>
    </row>
    <row r="27824" spans="7:16" s="1634" customFormat="1">
      <c r="G27824" s="3336"/>
      <c r="P27824" s="3337"/>
    </row>
    <row r="27825" spans="7:16" s="1634" customFormat="1">
      <c r="G27825" s="3336"/>
      <c r="P27825" s="3337"/>
    </row>
    <row r="27826" spans="7:16" s="1634" customFormat="1">
      <c r="G27826" s="3336"/>
      <c r="P27826" s="3337"/>
    </row>
    <row r="27827" spans="7:16" s="1634" customFormat="1">
      <c r="G27827" s="3336"/>
      <c r="P27827" s="3337"/>
    </row>
    <row r="27828" spans="7:16" s="1634" customFormat="1">
      <c r="G27828" s="3336"/>
      <c r="P27828" s="3337"/>
    </row>
    <row r="27829" spans="7:16" s="1634" customFormat="1">
      <c r="G27829" s="3336"/>
      <c r="P27829" s="3337"/>
    </row>
    <row r="27830" spans="7:16" s="1634" customFormat="1">
      <c r="G27830" s="3336"/>
      <c r="P27830" s="3337"/>
    </row>
    <row r="27831" spans="7:16" s="1634" customFormat="1">
      <c r="G27831" s="3336"/>
      <c r="P27831" s="3337"/>
    </row>
    <row r="27832" spans="7:16" s="1634" customFormat="1">
      <c r="G27832" s="3336"/>
      <c r="P27832" s="3337"/>
    </row>
    <row r="27833" spans="7:16" s="1634" customFormat="1">
      <c r="G27833" s="3336"/>
      <c r="P27833" s="3337"/>
    </row>
    <row r="27834" spans="7:16" s="1634" customFormat="1">
      <c r="G27834" s="3336"/>
      <c r="P27834" s="3337"/>
    </row>
    <row r="27835" spans="7:16" s="1634" customFormat="1">
      <c r="G27835" s="3336"/>
      <c r="P27835" s="3337"/>
    </row>
    <row r="27836" spans="7:16" s="1634" customFormat="1">
      <c r="G27836" s="3336"/>
      <c r="P27836" s="3337"/>
    </row>
    <row r="27837" spans="7:16" s="1634" customFormat="1">
      <c r="G27837" s="3336"/>
      <c r="P27837" s="3337"/>
    </row>
    <row r="27838" spans="7:16" s="1634" customFormat="1">
      <c r="G27838" s="3336"/>
      <c r="P27838" s="3337"/>
    </row>
    <row r="27839" spans="7:16" s="1634" customFormat="1">
      <c r="G27839" s="3336"/>
      <c r="P27839" s="3337"/>
    </row>
    <row r="27840" spans="7:16" s="1634" customFormat="1">
      <c r="G27840" s="3336"/>
      <c r="P27840" s="3337"/>
    </row>
    <row r="27841" spans="7:16" s="1634" customFormat="1">
      <c r="G27841" s="3336"/>
      <c r="P27841" s="3337"/>
    </row>
    <row r="27842" spans="7:16" s="1634" customFormat="1">
      <c r="G27842" s="3336"/>
      <c r="P27842" s="3337"/>
    </row>
    <row r="27843" spans="7:16" s="1634" customFormat="1">
      <c r="G27843" s="3336"/>
      <c r="P27843" s="3337"/>
    </row>
    <row r="27844" spans="7:16" s="1634" customFormat="1">
      <c r="G27844" s="3336"/>
      <c r="P27844" s="3337"/>
    </row>
    <row r="27845" spans="7:16" s="1634" customFormat="1">
      <c r="G27845" s="3336"/>
      <c r="P27845" s="3337"/>
    </row>
    <row r="27846" spans="7:16" s="1634" customFormat="1">
      <c r="G27846" s="3336"/>
      <c r="P27846" s="3337"/>
    </row>
    <row r="27847" spans="7:16" s="1634" customFormat="1">
      <c r="G27847" s="3336"/>
      <c r="P27847" s="3337"/>
    </row>
    <row r="27848" spans="7:16" s="1634" customFormat="1">
      <c r="G27848" s="3336"/>
      <c r="P27848" s="3337"/>
    </row>
    <row r="27849" spans="7:16" s="1634" customFormat="1">
      <c r="G27849" s="3336"/>
      <c r="P27849" s="3337"/>
    </row>
    <row r="27850" spans="7:16" s="1634" customFormat="1">
      <c r="G27850" s="3336"/>
      <c r="P27850" s="3337"/>
    </row>
    <row r="27851" spans="7:16" s="1634" customFormat="1">
      <c r="G27851" s="3336"/>
      <c r="P27851" s="3337"/>
    </row>
    <row r="27852" spans="7:16" s="1634" customFormat="1">
      <c r="G27852" s="3336"/>
      <c r="P27852" s="3337"/>
    </row>
    <row r="27853" spans="7:16" s="1634" customFormat="1">
      <c r="G27853" s="3336"/>
      <c r="P27853" s="3337"/>
    </row>
    <row r="27854" spans="7:16" s="1634" customFormat="1">
      <c r="G27854" s="3336"/>
      <c r="P27854" s="3337"/>
    </row>
    <row r="27855" spans="7:16" s="1634" customFormat="1">
      <c r="G27855" s="3336"/>
      <c r="P27855" s="3337"/>
    </row>
    <row r="27856" spans="7:16" s="1634" customFormat="1">
      <c r="G27856" s="3336"/>
      <c r="P27856" s="3337"/>
    </row>
    <row r="27857" spans="7:16" s="1634" customFormat="1">
      <c r="G27857" s="3336"/>
      <c r="P27857" s="3337"/>
    </row>
    <row r="27858" spans="7:16" s="1634" customFormat="1">
      <c r="G27858" s="3336"/>
      <c r="P27858" s="3337"/>
    </row>
    <row r="27859" spans="7:16" s="1634" customFormat="1">
      <c r="G27859" s="3336"/>
      <c r="P27859" s="3337"/>
    </row>
    <row r="27860" spans="7:16" s="1634" customFormat="1">
      <c r="G27860" s="3336"/>
      <c r="P27860" s="3337"/>
    </row>
    <row r="27861" spans="7:16" s="1634" customFormat="1">
      <c r="G27861" s="3336"/>
      <c r="P27861" s="3337"/>
    </row>
    <row r="27862" spans="7:16" s="1634" customFormat="1">
      <c r="G27862" s="3336"/>
      <c r="P27862" s="3337"/>
    </row>
    <row r="27863" spans="7:16" s="1634" customFormat="1">
      <c r="G27863" s="3336"/>
      <c r="P27863" s="3337"/>
    </row>
    <row r="27864" spans="7:16" s="1634" customFormat="1">
      <c r="G27864" s="3336"/>
      <c r="P27864" s="3337"/>
    </row>
    <row r="27865" spans="7:16" s="1634" customFormat="1">
      <c r="G27865" s="3336"/>
      <c r="P27865" s="3337"/>
    </row>
    <row r="27866" spans="7:16" s="1634" customFormat="1">
      <c r="G27866" s="3336"/>
      <c r="P27866" s="3337"/>
    </row>
    <row r="27867" spans="7:16" s="1634" customFormat="1">
      <c r="G27867" s="3336"/>
      <c r="P27867" s="3337"/>
    </row>
    <row r="27868" spans="7:16" s="1634" customFormat="1">
      <c r="G27868" s="3336"/>
      <c r="P27868" s="3337"/>
    </row>
    <row r="27869" spans="7:16" s="1634" customFormat="1">
      <c r="G27869" s="3336"/>
      <c r="P27869" s="3337"/>
    </row>
    <row r="27870" spans="7:16" s="1634" customFormat="1">
      <c r="G27870" s="3336"/>
      <c r="P27870" s="3337"/>
    </row>
    <row r="27871" spans="7:16" s="1634" customFormat="1">
      <c r="G27871" s="3336"/>
      <c r="P27871" s="3337"/>
    </row>
    <row r="27872" spans="7:16" s="1634" customFormat="1">
      <c r="G27872" s="3336"/>
      <c r="P27872" s="3337"/>
    </row>
    <row r="27873" spans="7:16" s="1634" customFormat="1">
      <c r="G27873" s="3336"/>
      <c r="P27873" s="3337"/>
    </row>
    <row r="27874" spans="7:16" s="1634" customFormat="1">
      <c r="G27874" s="3336"/>
      <c r="P27874" s="3337"/>
    </row>
    <row r="27875" spans="7:16" s="1634" customFormat="1">
      <c r="G27875" s="3336"/>
      <c r="P27875" s="3337"/>
    </row>
    <row r="27876" spans="7:16" s="1634" customFormat="1">
      <c r="G27876" s="3336"/>
      <c r="P27876" s="3337"/>
    </row>
    <row r="27877" spans="7:16" s="1634" customFormat="1">
      <c r="G27877" s="3336"/>
      <c r="P27877" s="3337"/>
    </row>
    <row r="27878" spans="7:16" s="1634" customFormat="1">
      <c r="G27878" s="3336"/>
      <c r="P27878" s="3337"/>
    </row>
    <row r="27879" spans="7:16" s="1634" customFormat="1">
      <c r="G27879" s="3336"/>
      <c r="P27879" s="3337"/>
    </row>
    <row r="27880" spans="7:16" s="1634" customFormat="1">
      <c r="G27880" s="3336"/>
      <c r="P27880" s="3337"/>
    </row>
    <row r="27881" spans="7:16" s="1634" customFormat="1">
      <c r="G27881" s="3336"/>
      <c r="P27881" s="3337"/>
    </row>
    <row r="27882" spans="7:16" s="1634" customFormat="1">
      <c r="G27882" s="3336"/>
      <c r="P27882" s="3337"/>
    </row>
    <row r="27883" spans="7:16" s="1634" customFormat="1">
      <c r="G27883" s="3336"/>
      <c r="P27883" s="3337"/>
    </row>
    <row r="27884" spans="7:16" s="1634" customFormat="1">
      <c r="G27884" s="3336"/>
      <c r="P27884" s="3337"/>
    </row>
    <row r="27885" spans="7:16" s="1634" customFormat="1">
      <c r="G27885" s="3336"/>
      <c r="P27885" s="3337"/>
    </row>
    <row r="27886" spans="7:16" s="1634" customFormat="1">
      <c r="G27886" s="3336"/>
      <c r="P27886" s="3337"/>
    </row>
    <row r="27887" spans="7:16" s="1634" customFormat="1">
      <c r="G27887" s="3336"/>
      <c r="P27887" s="3337"/>
    </row>
    <row r="27888" spans="7:16" s="1634" customFormat="1">
      <c r="G27888" s="3336"/>
      <c r="P27888" s="3337"/>
    </row>
    <row r="27889" spans="7:16" s="1634" customFormat="1">
      <c r="G27889" s="3336"/>
      <c r="P27889" s="3337"/>
    </row>
    <row r="27890" spans="7:16" s="1634" customFormat="1">
      <c r="G27890" s="3336"/>
      <c r="P27890" s="3337"/>
    </row>
    <row r="27891" spans="7:16" s="1634" customFormat="1">
      <c r="G27891" s="3336"/>
      <c r="P27891" s="3337"/>
    </row>
    <row r="27892" spans="7:16" s="1634" customFormat="1">
      <c r="G27892" s="3336"/>
      <c r="P27892" s="3337"/>
    </row>
    <row r="27893" spans="7:16" s="1634" customFormat="1">
      <c r="G27893" s="3336"/>
      <c r="P27893" s="3337"/>
    </row>
    <row r="27894" spans="7:16" s="1634" customFormat="1">
      <c r="G27894" s="3336"/>
      <c r="P27894" s="3337"/>
    </row>
    <row r="27895" spans="7:16" s="1634" customFormat="1">
      <c r="G27895" s="3336"/>
      <c r="P27895" s="3337"/>
    </row>
    <row r="27896" spans="7:16" s="1634" customFormat="1">
      <c r="G27896" s="3336"/>
      <c r="P27896" s="3337"/>
    </row>
    <row r="27897" spans="7:16" s="1634" customFormat="1">
      <c r="G27897" s="3336"/>
      <c r="P27897" s="3337"/>
    </row>
    <row r="27898" spans="7:16" s="1634" customFormat="1">
      <c r="G27898" s="3336"/>
      <c r="P27898" s="3337"/>
    </row>
    <row r="27899" spans="7:16" s="1634" customFormat="1">
      <c r="G27899" s="3336"/>
      <c r="P27899" s="3337"/>
    </row>
    <row r="27900" spans="7:16" s="1634" customFormat="1">
      <c r="G27900" s="3336"/>
      <c r="P27900" s="3337"/>
    </row>
    <row r="27901" spans="7:16" s="1634" customFormat="1">
      <c r="G27901" s="3336"/>
      <c r="P27901" s="3337"/>
    </row>
    <row r="27902" spans="7:16" s="1634" customFormat="1">
      <c r="G27902" s="3336"/>
      <c r="P27902" s="3337"/>
    </row>
    <row r="27903" spans="7:16" s="1634" customFormat="1">
      <c r="G27903" s="3336"/>
      <c r="P27903" s="3337"/>
    </row>
    <row r="27904" spans="7:16" s="1634" customFormat="1">
      <c r="G27904" s="3336"/>
      <c r="P27904" s="3337"/>
    </row>
    <row r="27905" spans="7:16" s="1634" customFormat="1">
      <c r="G27905" s="3336"/>
      <c r="P27905" s="3337"/>
    </row>
    <row r="27906" spans="7:16" s="1634" customFormat="1">
      <c r="G27906" s="3336"/>
      <c r="P27906" s="3337"/>
    </row>
    <row r="27907" spans="7:16" s="1634" customFormat="1">
      <c r="G27907" s="3336"/>
      <c r="P27907" s="3337"/>
    </row>
    <row r="27908" spans="7:16" s="1634" customFormat="1">
      <c r="G27908" s="3336"/>
      <c r="P27908" s="3337"/>
    </row>
    <row r="27909" spans="7:16" s="1634" customFormat="1">
      <c r="G27909" s="3336"/>
      <c r="P27909" s="3337"/>
    </row>
    <row r="27910" spans="7:16" s="1634" customFormat="1">
      <c r="G27910" s="3336"/>
      <c r="P27910" s="3337"/>
    </row>
    <row r="27911" spans="7:16" s="1634" customFormat="1">
      <c r="G27911" s="3336"/>
      <c r="P27911" s="3337"/>
    </row>
    <row r="27912" spans="7:16" s="1634" customFormat="1">
      <c r="G27912" s="3336"/>
      <c r="P27912" s="3337"/>
    </row>
    <row r="27913" spans="7:16" s="1634" customFormat="1">
      <c r="G27913" s="3336"/>
      <c r="P27913" s="3337"/>
    </row>
    <row r="27914" spans="7:16" s="1634" customFormat="1">
      <c r="G27914" s="3336"/>
      <c r="P27914" s="3337"/>
    </row>
    <row r="27915" spans="7:16" s="1634" customFormat="1">
      <c r="G27915" s="3336"/>
      <c r="P27915" s="3337"/>
    </row>
    <row r="27916" spans="7:16" s="1634" customFormat="1">
      <c r="G27916" s="3336"/>
      <c r="P27916" s="3337"/>
    </row>
    <row r="27917" spans="7:16" s="1634" customFormat="1">
      <c r="G27917" s="3336"/>
      <c r="P27917" s="3337"/>
    </row>
    <row r="27918" spans="7:16" s="1634" customFormat="1">
      <c r="G27918" s="3336"/>
      <c r="P27918" s="3337"/>
    </row>
    <row r="27919" spans="7:16" s="1634" customFormat="1">
      <c r="G27919" s="3336"/>
      <c r="P27919" s="3337"/>
    </row>
    <row r="27920" spans="7:16" s="1634" customFormat="1">
      <c r="G27920" s="3336"/>
      <c r="P27920" s="3337"/>
    </row>
    <row r="27921" spans="7:16" s="1634" customFormat="1">
      <c r="G27921" s="3336"/>
      <c r="P27921" s="3337"/>
    </row>
    <row r="27922" spans="7:16" s="1634" customFormat="1">
      <c r="G27922" s="3336"/>
      <c r="P27922" s="3337"/>
    </row>
    <row r="27923" spans="7:16" s="1634" customFormat="1">
      <c r="G27923" s="3336"/>
      <c r="P27923" s="3337"/>
    </row>
    <row r="27924" spans="7:16" s="1634" customFormat="1">
      <c r="G27924" s="3336"/>
      <c r="P27924" s="3337"/>
    </row>
    <row r="27925" spans="7:16" s="1634" customFormat="1">
      <c r="G27925" s="3336"/>
      <c r="P27925" s="3337"/>
    </row>
    <row r="27926" spans="7:16" s="1634" customFormat="1">
      <c r="G27926" s="3336"/>
      <c r="P27926" s="3337"/>
    </row>
    <row r="27927" spans="7:16" s="1634" customFormat="1">
      <c r="G27927" s="3336"/>
      <c r="P27927" s="3337"/>
    </row>
    <row r="27928" spans="7:16" s="1634" customFormat="1">
      <c r="G27928" s="3336"/>
      <c r="P27928" s="3337"/>
    </row>
    <row r="27929" spans="7:16" s="1634" customFormat="1">
      <c r="G27929" s="3336"/>
      <c r="P27929" s="3337"/>
    </row>
    <row r="27930" spans="7:16" s="1634" customFormat="1">
      <c r="G27930" s="3336"/>
      <c r="P27930" s="3337"/>
    </row>
    <row r="27931" spans="7:16" s="1634" customFormat="1">
      <c r="G27931" s="3336"/>
      <c r="P27931" s="3337"/>
    </row>
    <row r="27932" spans="7:16" s="1634" customFormat="1">
      <c r="G27932" s="3336"/>
      <c r="P27932" s="3337"/>
    </row>
    <row r="27933" spans="7:16" s="1634" customFormat="1">
      <c r="G27933" s="3336"/>
      <c r="P27933" s="3337"/>
    </row>
    <row r="27934" spans="7:16" s="1634" customFormat="1">
      <c r="G27934" s="3336"/>
      <c r="P27934" s="3337"/>
    </row>
    <row r="27935" spans="7:16" s="1634" customFormat="1">
      <c r="G27935" s="3336"/>
      <c r="P27935" s="3337"/>
    </row>
    <row r="27936" spans="7:16" s="1634" customFormat="1">
      <c r="G27936" s="3336"/>
      <c r="P27936" s="3337"/>
    </row>
    <row r="27937" spans="7:16" s="1634" customFormat="1">
      <c r="G27937" s="3336"/>
      <c r="P27937" s="3337"/>
    </row>
    <row r="27938" spans="7:16" s="1634" customFormat="1">
      <c r="G27938" s="3336"/>
      <c r="P27938" s="3337"/>
    </row>
    <row r="27939" spans="7:16" s="1634" customFormat="1">
      <c r="G27939" s="3336"/>
      <c r="P27939" s="3337"/>
    </row>
    <row r="27940" spans="7:16" s="1634" customFormat="1">
      <c r="G27940" s="3336"/>
      <c r="P27940" s="3337"/>
    </row>
    <row r="27941" spans="7:16" s="1634" customFormat="1">
      <c r="G27941" s="3336"/>
      <c r="P27941" s="3337"/>
    </row>
    <row r="27942" spans="7:16" s="1634" customFormat="1">
      <c r="G27942" s="3336"/>
      <c r="P27942" s="3337"/>
    </row>
    <row r="27943" spans="7:16" s="1634" customFormat="1">
      <c r="G27943" s="3336"/>
      <c r="P27943" s="3337"/>
    </row>
    <row r="27944" spans="7:16" s="1634" customFormat="1">
      <c r="G27944" s="3336"/>
      <c r="P27944" s="3337"/>
    </row>
    <row r="27945" spans="7:16" s="1634" customFormat="1">
      <c r="G27945" s="3336"/>
      <c r="P27945" s="3337"/>
    </row>
    <row r="27946" spans="7:16" s="1634" customFormat="1">
      <c r="G27946" s="3336"/>
      <c r="P27946" s="3337"/>
    </row>
    <row r="27947" spans="7:16" s="1634" customFormat="1">
      <c r="G27947" s="3336"/>
      <c r="P27947" s="3337"/>
    </row>
    <row r="27948" spans="7:16" s="1634" customFormat="1">
      <c r="G27948" s="3336"/>
      <c r="P27948" s="3337"/>
    </row>
    <row r="27949" spans="7:16" s="1634" customFormat="1">
      <c r="G27949" s="3336"/>
      <c r="P27949" s="3337"/>
    </row>
    <row r="27950" spans="7:16" s="1634" customFormat="1">
      <c r="G27950" s="3336"/>
      <c r="P27950" s="3337"/>
    </row>
    <row r="27951" spans="7:16" s="1634" customFormat="1">
      <c r="G27951" s="3336"/>
      <c r="P27951" s="3337"/>
    </row>
    <row r="27952" spans="7:16" s="1634" customFormat="1">
      <c r="G27952" s="3336"/>
      <c r="P27952" s="3337"/>
    </row>
    <row r="27953" spans="7:16" s="1634" customFormat="1">
      <c r="G27953" s="3336"/>
      <c r="P27953" s="3337"/>
    </row>
    <row r="27954" spans="7:16" s="1634" customFormat="1">
      <c r="G27954" s="3336"/>
      <c r="P27954" s="3337"/>
    </row>
    <row r="27955" spans="7:16" s="1634" customFormat="1">
      <c r="G27955" s="3336"/>
      <c r="P27955" s="3337"/>
    </row>
    <row r="27956" spans="7:16" s="1634" customFormat="1">
      <c r="G27956" s="3336"/>
      <c r="P27956" s="3337"/>
    </row>
    <row r="27957" spans="7:16" s="1634" customFormat="1">
      <c r="G27957" s="3336"/>
      <c r="P27957" s="3337"/>
    </row>
    <row r="27958" spans="7:16" s="1634" customFormat="1">
      <c r="G27958" s="3336"/>
      <c r="P27958" s="3337"/>
    </row>
    <row r="27959" spans="7:16" s="1634" customFormat="1">
      <c r="G27959" s="3336"/>
      <c r="P27959" s="3337"/>
    </row>
    <row r="27960" spans="7:16" s="1634" customFormat="1">
      <c r="G27960" s="3336"/>
      <c r="P27960" s="3337"/>
    </row>
    <row r="27961" spans="7:16" s="1634" customFormat="1">
      <c r="G27961" s="3336"/>
      <c r="P27961" s="3337"/>
    </row>
    <row r="27962" spans="7:16" s="1634" customFormat="1">
      <c r="G27962" s="3336"/>
      <c r="P27962" s="3337"/>
    </row>
    <row r="27963" spans="7:16" s="1634" customFormat="1">
      <c r="G27963" s="3336"/>
      <c r="P27963" s="3337"/>
    </row>
    <row r="27964" spans="7:16" s="1634" customFormat="1">
      <c r="G27964" s="3336"/>
      <c r="P27964" s="3337"/>
    </row>
    <row r="27965" spans="7:16" s="1634" customFormat="1">
      <c r="G27965" s="3336"/>
      <c r="P27965" s="3337"/>
    </row>
    <row r="27966" spans="7:16" s="1634" customFormat="1">
      <c r="G27966" s="3336"/>
      <c r="P27966" s="3337"/>
    </row>
    <row r="27967" spans="7:16" s="1634" customFormat="1">
      <c r="G27967" s="3336"/>
      <c r="P27967" s="3337"/>
    </row>
    <row r="27968" spans="7:16" s="1634" customFormat="1">
      <c r="G27968" s="3336"/>
      <c r="P27968" s="3337"/>
    </row>
    <row r="27969" spans="7:16" s="1634" customFormat="1">
      <c r="G27969" s="3336"/>
      <c r="P27969" s="3337"/>
    </row>
    <row r="27970" spans="7:16" s="1634" customFormat="1">
      <c r="G27970" s="3336"/>
      <c r="P27970" s="3337"/>
    </row>
    <row r="27971" spans="7:16" s="1634" customFormat="1">
      <c r="G27971" s="3336"/>
      <c r="P27971" s="3337"/>
    </row>
    <row r="27972" spans="7:16" s="1634" customFormat="1">
      <c r="G27972" s="3336"/>
      <c r="P27972" s="3337"/>
    </row>
    <row r="27973" spans="7:16" s="1634" customFormat="1">
      <c r="G27973" s="3336"/>
      <c r="P27973" s="3337"/>
    </row>
    <row r="27974" spans="7:16" s="1634" customFormat="1">
      <c r="G27974" s="3336"/>
      <c r="P27974" s="3337"/>
    </row>
    <row r="27975" spans="7:16" s="1634" customFormat="1">
      <c r="G27975" s="3336"/>
      <c r="P27975" s="3337"/>
    </row>
    <row r="27976" spans="7:16" s="1634" customFormat="1">
      <c r="G27976" s="3336"/>
      <c r="P27976" s="3337"/>
    </row>
    <row r="27977" spans="7:16" s="1634" customFormat="1">
      <c r="G27977" s="3336"/>
      <c r="P27977" s="3337"/>
    </row>
    <row r="27978" spans="7:16" s="1634" customFormat="1">
      <c r="G27978" s="3336"/>
      <c r="P27978" s="3337"/>
    </row>
    <row r="27979" spans="7:16" s="1634" customFormat="1">
      <c r="G27979" s="3336"/>
      <c r="P27979" s="3337"/>
    </row>
    <row r="27980" spans="7:16" s="1634" customFormat="1">
      <c r="G27980" s="3336"/>
      <c r="P27980" s="3337"/>
    </row>
    <row r="27981" spans="7:16" s="1634" customFormat="1">
      <c r="G27981" s="3336"/>
      <c r="P27981" s="3337"/>
    </row>
    <row r="27982" spans="7:16" s="1634" customFormat="1">
      <c r="G27982" s="3336"/>
      <c r="P27982" s="3337"/>
    </row>
    <row r="27983" spans="7:16" s="1634" customFormat="1">
      <c r="G27983" s="3336"/>
      <c r="P27983" s="3337"/>
    </row>
    <row r="27984" spans="7:16" s="1634" customFormat="1">
      <c r="G27984" s="3336"/>
      <c r="P27984" s="3337"/>
    </row>
    <row r="27985" spans="7:16" s="1634" customFormat="1">
      <c r="G27985" s="3336"/>
      <c r="P27985" s="3337"/>
    </row>
    <row r="27986" spans="7:16" s="1634" customFormat="1">
      <c r="G27986" s="3336"/>
      <c r="P27986" s="3337"/>
    </row>
    <row r="27987" spans="7:16" s="1634" customFormat="1">
      <c r="G27987" s="3336"/>
      <c r="P27987" s="3337"/>
    </row>
    <row r="27988" spans="7:16" s="1634" customFormat="1">
      <c r="G27988" s="3336"/>
      <c r="P27988" s="3337"/>
    </row>
    <row r="27989" spans="7:16" s="1634" customFormat="1">
      <c r="G27989" s="3336"/>
      <c r="P27989" s="3337"/>
    </row>
    <row r="27990" spans="7:16" s="1634" customFormat="1">
      <c r="G27990" s="3336"/>
      <c r="P27990" s="3337"/>
    </row>
    <row r="27991" spans="7:16" s="1634" customFormat="1">
      <c r="G27991" s="3336"/>
      <c r="P27991" s="3337"/>
    </row>
    <row r="27992" spans="7:16" s="1634" customFormat="1">
      <c r="G27992" s="3336"/>
      <c r="P27992" s="3337"/>
    </row>
    <row r="27993" spans="7:16" s="1634" customFormat="1">
      <c r="G27993" s="3336"/>
      <c r="P27993" s="3337"/>
    </row>
    <row r="27994" spans="7:16" s="1634" customFormat="1">
      <c r="G27994" s="3336"/>
      <c r="P27994" s="3337"/>
    </row>
    <row r="27995" spans="7:16" s="1634" customFormat="1">
      <c r="G27995" s="3336"/>
      <c r="P27995" s="3337"/>
    </row>
    <row r="27996" spans="7:16" s="1634" customFormat="1">
      <c r="G27996" s="3336"/>
      <c r="P27996" s="3337"/>
    </row>
    <row r="27997" spans="7:16" s="1634" customFormat="1">
      <c r="G27997" s="3336"/>
      <c r="P27997" s="3337"/>
    </row>
    <row r="27998" spans="7:16" s="1634" customFormat="1">
      <c r="G27998" s="3336"/>
      <c r="P27998" s="3337"/>
    </row>
    <row r="27999" spans="7:16" s="1634" customFormat="1">
      <c r="G27999" s="3336"/>
      <c r="P27999" s="3337"/>
    </row>
    <row r="28000" spans="7:16" s="1634" customFormat="1">
      <c r="G28000" s="3336"/>
      <c r="P28000" s="3337"/>
    </row>
    <row r="28001" spans="7:16" s="1634" customFormat="1">
      <c r="G28001" s="3336"/>
      <c r="P28001" s="3337"/>
    </row>
    <row r="28002" spans="7:16" s="1634" customFormat="1">
      <c r="G28002" s="3336"/>
      <c r="P28002" s="3337"/>
    </row>
    <row r="28003" spans="7:16" s="1634" customFormat="1">
      <c r="G28003" s="3336"/>
      <c r="P28003" s="3337"/>
    </row>
    <row r="28004" spans="7:16" s="1634" customFormat="1">
      <c r="G28004" s="3336"/>
      <c r="P28004" s="3337"/>
    </row>
    <row r="28005" spans="7:16" s="1634" customFormat="1">
      <c r="G28005" s="3336"/>
      <c r="P28005" s="3337"/>
    </row>
    <row r="28006" spans="7:16" s="1634" customFormat="1">
      <c r="G28006" s="3336"/>
      <c r="P28006" s="3337"/>
    </row>
    <row r="28007" spans="7:16" s="1634" customFormat="1">
      <c r="G28007" s="3336"/>
      <c r="P28007" s="3337"/>
    </row>
    <row r="28008" spans="7:16" s="1634" customFormat="1">
      <c r="G28008" s="3336"/>
      <c r="P28008" s="3337"/>
    </row>
    <row r="28009" spans="7:16" s="1634" customFormat="1">
      <c r="G28009" s="3336"/>
      <c r="P28009" s="3337"/>
    </row>
    <row r="28010" spans="7:16" s="1634" customFormat="1">
      <c r="G28010" s="3336"/>
      <c r="P28010" s="3337"/>
    </row>
    <row r="28011" spans="7:16" s="1634" customFormat="1">
      <c r="G28011" s="3336"/>
      <c r="P28011" s="3337"/>
    </row>
    <row r="28012" spans="7:16" s="1634" customFormat="1">
      <c r="G28012" s="3336"/>
      <c r="P28012" s="3337"/>
    </row>
    <row r="28013" spans="7:16" s="1634" customFormat="1">
      <c r="G28013" s="3336"/>
      <c r="P28013" s="3337"/>
    </row>
    <row r="28014" spans="7:16" s="1634" customFormat="1">
      <c r="G28014" s="3336"/>
      <c r="P28014" s="3337"/>
    </row>
    <row r="28015" spans="7:16" s="1634" customFormat="1">
      <c r="G28015" s="3336"/>
      <c r="P28015" s="3337"/>
    </row>
    <row r="28016" spans="7:16" s="1634" customFormat="1">
      <c r="G28016" s="3336"/>
      <c r="P28016" s="3337"/>
    </row>
    <row r="28017" spans="7:16" s="1634" customFormat="1">
      <c r="G28017" s="3336"/>
      <c r="P28017" s="3337"/>
    </row>
    <row r="28018" spans="7:16" s="1634" customFormat="1">
      <c r="G28018" s="3336"/>
      <c r="P28018" s="3337"/>
    </row>
    <row r="28019" spans="7:16" s="1634" customFormat="1">
      <c r="G28019" s="3336"/>
      <c r="P28019" s="3337"/>
    </row>
    <row r="28020" spans="7:16" s="1634" customFormat="1">
      <c r="G28020" s="3336"/>
      <c r="P28020" s="3337"/>
    </row>
    <row r="28021" spans="7:16" s="1634" customFormat="1">
      <c r="G28021" s="3336"/>
      <c r="P28021" s="3337"/>
    </row>
    <row r="28022" spans="7:16" s="1634" customFormat="1">
      <c r="G28022" s="3336"/>
      <c r="P28022" s="3337"/>
    </row>
    <row r="28023" spans="7:16" s="1634" customFormat="1">
      <c r="G28023" s="3336"/>
      <c r="P28023" s="3337"/>
    </row>
    <row r="28024" spans="7:16" s="1634" customFormat="1">
      <c r="G28024" s="3336"/>
      <c r="P28024" s="3337"/>
    </row>
    <row r="28025" spans="7:16" s="1634" customFormat="1">
      <c r="G28025" s="3336"/>
      <c r="P28025" s="3337"/>
    </row>
    <row r="28026" spans="7:16" s="1634" customFormat="1">
      <c r="G28026" s="3336"/>
      <c r="P28026" s="3337"/>
    </row>
    <row r="28027" spans="7:16" s="1634" customFormat="1">
      <c r="G28027" s="3336"/>
      <c r="P28027" s="3337"/>
    </row>
    <row r="28028" spans="7:16" s="1634" customFormat="1">
      <c r="G28028" s="3336"/>
      <c r="P28028" s="3337"/>
    </row>
    <row r="28029" spans="7:16" s="1634" customFormat="1">
      <c r="G28029" s="3336"/>
      <c r="P28029" s="3337"/>
    </row>
    <row r="28030" spans="7:16" s="1634" customFormat="1">
      <c r="G28030" s="3336"/>
      <c r="P28030" s="3337"/>
    </row>
    <row r="28031" spans="7:16" s="1634" customFormat="1">
      <c r="G28031" s="3336"/>
      <c r="P28031" s="3337"/>
    </row>
    <row r="28032" spans="7:16" s="1634" customFormat="1">
      <c r="G28032" s="3336"/>
      <c r="P28032" s="3337"/>
    </row>
    <row r="28033" spans="7:16" s="1634" customFormat="1">
      <c r="G28033" s="3336"/>
      <c r="P28033" s="3337"/>
    </row>
    <row r="28034" spans="7:16" s="1634" customFormat="1">
      <c r="G28034" s="3336"/>
      <c r="P28034" s="3337"/>
    </row>
    <row r="28035" spans="7:16" s="1634" customFormat="1">
      <c r="G28035" s="3336"/>
      <c r="P28035" s="3337"/>
    </row>
    <row r="28036" spans="7:16" s="1634" customFormat="1">
      <c r="G28036" s="3336"/>
      <c r="P28036" s="3337"/>
    </row>
    <row r="28037" spans="7:16" s="1634" customFormat="1">
      <c r="G28037" s="3336"/>
      <c r="P28037" s="3337"/>
    </row>
    <row r="28038" spans="7:16" s="1634" customFormat="1">
      <c r="G28038" s="3336"/>
      <c r="P28038" s="3337"/>
    </row>
    <row r="28039" spans="7:16" s="1634" customFormat="1">
      <c r="G28039" s="3336"/>
      <c r="P28039" s="3337"/>
    </row>
    <row r="28040" spans="7:16" s="1634" customFormat="1">
      <c r="G28040" s="3336"/>
      <c r="P28040" s="3337"/>
    </row>
    <row r="28041" spans="7:16" s="1634" customFormat="1">
      <c r="G28041" s="3336"/>
      <c r="P28041" s="3337"/>
    </row>
    <row r="28042" spans="7:16" s="1634" customFormat="1">
      <c r="G28042" s="3336"/>
      <c r="P28042" s="3337"/>
    </row>
    <row r="28043" spans="7:16" s="1634" customFormat="1">
      <c r="G28043" s="3336"/>
      <c r="P28043" s="3337"/>
    </row>
    <row r="28044" spans="7:16" s="1634" customFormat="1">
      <c r="G28044" s="3336"/>
      <c r="P28044" s="3337"/>
    </row>
    <row r="28045" spans="7:16" s="1634" customFormat="1">
      <c r="G28045" s="3336"/>
      <c r="P28045" s="3337"/>
    </row>
    <row r="28046" spans="7:16" s="1634" customFormat="1">
      <c r="G28046" s="3336"/>
      <c r="P28046" s="3337"/>
    </row>
    <row r="28047" spans="7:16" s="1634" customFormat="1">
      <c r="G28047" s="3336"/>
      <c r="P28047" s="3337"/>
    </row>
    <row r="28048" spans="7:16" s="1634" customFormat="1">
      <c r="G28048" s="3336"/>
      <c r="P28048" s="3337"/>
    </row>
    <row r="28049" spans="7:16" s="1634" customFormat="1">
      <c r="G28049" s="3336"/>
      <c r="P28049" s="3337"/>
    </row>
    <row r="28050" spans="7:16" s="1634" customFormat="1">
      <c r="G28050" s="3336"/>
      <c r="P28050" s="3337"/>
    </row>
    <row r="28051" spans="7:16" s="1634" customFormat="1">
      <c r="G28051" s="3336"/>
      <c r="P28051" s="3337"/>
    </row>
    <row r="28052" spans="7:16" s="1634" customFormat="1">
      <c r="G28052" s="3336"/>
      <c r="P28052" s="3337"/>
    </row>
    <row r="28053" spans="7:16" s="1634" customFormat="1">
      <c r="G28053" s="3336"/>
      <c r="P28053" s="3337"/>
    </row>
    <row r="28054" spans="7:16" s="1634" customFormat="1">
      <c r="G28054" s="3336"/>
      <c r="P28054" s="3337"/>
    </row>
    <row r="28055" spans="7:16" s="1634" customFormat="1">
      <c r="G28055" s="3336"/>
      <c r="P28055" s="3337"/>
    </row>
    <row r="28056" spans="7:16" s="1634" customFormat="1">
      <c r="G28056" s="3336"/>
      <c r="P28056" s="3337"/>
    </row>
    <row r="28057" spans="7:16" s="1634" customFormat="1">
      <c r="G28057" s="3336"/>
      <c r="P28057" s="3337"/>
    </row>
    <row r="28058" spans="7:16" s="1634" customFormat="1">
      <c r="G28058" s="3336"/>
      <c r="P28058" s="3337"/>
    </row>
    <row r="28059" spans="7:16" s="1634" customFormat="1">
      <c r="G28059" s="3336"/>
      <c r="P28059" s="3337"/>
    </row>
    <row r="28060" spans="7:16" s="1634" customFormat="1">
      <c r="G28060" s="3336"/>
      <c r="P28060" s="3337"/>
    </row>
    <row r="28061" spans="7:16" s="1634" customFormat="1">
      <c r="G28061" s="3336"/>
      <c r="P28061" s="3337"/>
    </row>
    <row r="28062" spans="7:16" s="1634" customFormat="1">
      <c r="G28062" s="3336"/>
      <c r="P28062" s="3337"/>
    </row>
    <row r="28063" spans="7:16" s="1634" customFormat="1">
      <c r="G28063" s="3336"/>
      <c r="P28063" s="3337"/>
    </row>
    <row r="28064" spans="7:16" s="1634" customFormat="1">
      <c r="G28064" s="3336"/>
      <c r="P28064" s="3337"/>
    </row>
    <row r="28065" spans="7:16" s="1634" customFormat="1">
      <c r="G28065" s="3336"/>
      <c r="P28065" s="3337"/>
    </row>
    <row r="28066" spans="7:16" s="1634" customFormat="1">
      <c r="G28066" s="3336"/>
      <c r="P28066" s="3337"/>
    </row>
    <row r="28067" spans="7:16" s="1634" customFormat="1">
      <c r="G28067" s="3336"/>
      <c r="P28067" s="3337"/>
    </row>
    <row r="28068" spans="7:16" s="1634" customFormat="1">
      <c r="G28068" s="3336"/>
      <c r="P28068" s="3337"/>
    </row>
    <row r="28069" spans="7:16" s="1634" customFormat="1">
      <c r="G28069" s="3336"/>
      <c r="P28069" s="3337"/>
    </row>
    <row r="28070" spans="7:16" s="1634" customFormat="1">
      <c r="G28070" s="3336"/>
      <c r="P28070" s="3337"/>
    </row>
    <row r="28071" spans="7:16" s="1634" customFormat="1">
      <c r="G28071" s="3336"/>
      <c r="P28071" s="3337"/>
    </row>
    <row r="28072" spans="7:16" s="1634" customFormat="1">
      <c r="G28072" s="3336"/>
      <c r="P28072" s="3337"/>
    </row>
    <row r="28073" spans="7:16" s="1634" customFormat="1">
      <c r="G28073" s="3336"/>
      <c r="P28073" s="3337"/>
    </row>
    <row r="28074" spans="7:16" s="1634" customFormat="1">
      <c r="G28074" s="3336"/>
      <c r="P28074" s="3337"/>
    </row>
    <row r="28075" spans="7:16" s="1634" customFormat="1">
      <c r="G28075" s="3336"/>
      <c r="P28075" s="3337"/>
    </row>
    <row r="28076" spans="7:16" s="1634" customFormat="1">
      <c r="G28076" s="3336"/>
      <c r="P28076" s="3337"/>
    </row>
    <row r="28077" spans="7:16" s="1634" customFormat="1">
      <c r="G28077" s="3336"/>
      <c r="P28077" s="3337"/>
    </row>
    <row r="28078" spans="7:16" s="1634" customFormat="1">
      <c r="G28078" s="3336"/>
      <c r="P28078" s="3337"/>
    </row>
    <row r="28079" spans="7:16" s="1634" customFormat="1">
      <c r="G28079" s="3336"/>
      <c r="P28079" s="3337"/>
    </row>
    <row r="28080" spans="7:16" s="1634" customFormat="1">
      <c r="G28080" s="3336"/>
      <c r="P28080" s="3337"/>
    </row>
    <row r="28081" spans="7:16" s="1634" customFormat="1">
      <c r="G28081" s="3336"/>
      <c r="P28081" s="3337"/>
    </row>
    <row r="28082" spans="7:16" s="1634" customFormat="1">
      <c r="G28082" s="3336"/>
      <c r="P28082" s="3337"/>
    </row>
    <row r="28083" spans="7:16" s="1634" customFormat="1">
      <c r="G28083" s="3336"/>
      <c r="P28083" s="3337"/>
    </row>
    <row r="28084" spans="7:16" s="1634" customFormat="1">
      <c r="G28084" s="3336"/>
      <c r="P28084" s="3337"/>
    </row>
    <row r="28085" spans="7:16" s="1634" customFormat="1">
      <c r="G28085" s="3336"/>
      <c r="P28085" s="3337"/>
    </row>
    <row r="28086" spans="7:16" s="1634" customFormat="1">
      <c r="G28086" s="3336"/>
      <c r="P28086" s="3337"/>
    </row>
    <row r="28087" spans="7:16" s="1634" customFormat="1">
      <c r="G28087" s="3336"/>
      <c r="P28087" s="3337"/>
    </row>
    <row r="28088" spans="7:16" s="1634" customFormat="1">
      <c r="G28088" s="3336"/>
      <c r="P28088" s="3337"/>
    </row>
    <row r="28089" spans="7:16" s="1634" customFormat="1">
      <c r="G28089" s="3336"/>
      <c r="P28089" s="3337"/>
    </row>
    <row r="28090" spans="7:16" s="1634" customFormat="1">
      <c r="G28090" s="3336"/>
      <c r="P28090" s="3337"/>
    </row>
    <row r="28091" spans="7:16" s="1634" customFormat="1">
      <c r="G28091" s="3336"/>
      <c r="P28091" s="3337"/>
    </row>
    <row r="28092" spans="7:16" s="1634" customFormat="1">
      <c r="G28092" s="3336"/>
      <c r="P28092" s="3337"/>
    </row>
    <row r="28093" spans="7:16" s="1634" customFormat="1">
      <c r="G28093" s="3336"/>
      <c r="P28093" s="3337"/>
    </row>
    <row r="28094" spans="7:16" s="1634" customFormat="1">
      <c r="G28094" s="3336"/>
      <c r="P28094" s="3337"/>
    </row>
    <row r="28095" spans="7:16" s="1634" customFormat="1">
      <c r="G28095" s="3336"/>
      <c r="P28095" s="3337"/>
    </row>
    <row r="28096" spans="7:16" s="1634" customFormat="1">
      <c r="G28096" s="3336"/>
      <c r="P28096" s="3337"/>
    </row>
    <row r="28097" spans="7:16" s="1634" customFormat="1">
      <c r="G28097" s="3336"/>
      <c r="P28097" s="3337"/>
    </row>
    <row r="28098" spans="7:16" s="1634" customFormat="1">
      <c r="G28098" s="3336"/>
      <c r="P28098" s="3337"/>
    </row>
    <row r="28099" spans="7:16" s="1634" customFormat="1">
      <c r="G28099" s="3336"/>
      <c r="P28099" s="3337"/>
    </row>
    <row r="28100" spans="7:16" s="1634" customFormat="1">
      <c r="G28100" s="3336"/>
      <c r="P28100" s="3337"/>
    </row>
    <row r="28101" spans="7:16" s="1634" customFormat="1">
      <c r="G28101" s="3336"/>
      <c r="P28101" s="3337"/>
    </row>
    <row r="28102" spans="7:16" s="1634" customFormat="1">
      <c r="G28102" s="3336"/>
      <c r="P28102" s="3337"/>
    </row>
    <row r="28103" spans="7:16" s="1634" customFormat="1">
      <c r="G28103" s="3336"/>
      <c r="P28103" s="3337"/>
    </row>
    <row r="28104" spans="7:16" s="1634" customFormat="1">
      <c r="G28104" s="3336"/>
      <c r="P28104" s="3337"/>
    </row>
    <row r="28105" spans="7:16" s="1634" customFormat="1">
      <c r="G28105" s="3336"/>
      <c r="P28105" s="3337"/>
    </row>
    <row r="28106" spans="7:16" s="1634" customFormat="1">
      <c r="G28106" s="3336"/>
      <c r="P28106" s="3337"/>
    </row>
    <row r="28107" spans="7:16" s="1634" customFormat="1">
      <c r="G28107" s="3336"/>
      <c r="P28107" s="3337"/>
    </row>
    <row r="28108" spans="7:16" s="1634" customFormat="1">
      <c r="G28108" s="3336"/>
      <c r="P28108" s="3337"/>
    </row>
    <row r="28109" spans="7:16" s="1634" customFormat="1">
      <c r="G28109" s="3336"/>
      <c r="P28109" s="3337"/>
    </row>
    <row r="28110" spans="7:16" s="1634" customFormat="1">
      <c r="G28110" s="3336"/>
      <c r="P28110" s="3337"/>
    </row>
    <row r="28111" spans="7:16" s="1634" customFormat="1">
      <c r="G28111" s="3336"/>
      <c r="P28111" s="3337"/>
    </row>
    <row r="28112" spans="7:16" s="1634" customFormat="1">
      <c r="G28112" s="3336"/>
      <c r="P28112" s="3337"/>
    </row>
    <row r="28113" spans="7:16" s="1634" customFormat="1">
      <c r="G28113" s="3336"/>
      <c r="P28113" s="3337"/>
    </row>
    <row r="28114" spans="7:16" s="1634" customFormat="1">
      <c r="G28114" s="3336"/>
      <c r="P28114" s="3337"/>
    </row>
    <row r="28115" spans="7:16" s="1634" customFormat="1">
      <c r="G28115" s="3336"/>
      <c r="P28115" s="3337"/>
    </row>
    <row r="28116" spans="7:16" s="1634" customFormat="1">
      <c r="G28116" s="3336"/>
      <c r="P28116" s="3337"/>
    </row>
    <row r="28117" spans="7:16" s="1634" customFormat="1">
      <c r="G28117" s="3336"/>
      <c r="P28117" s="3337"/>
    </row>
    <row r="28118" spans="7:16" s="1634" customFormat="1">
      <c r="G28118" s="3336"/>
      <c r="P28118" s="3337"/>
    </row>
    <row r="28119" spans="7:16" s="1634" customFormat="1">
      <c r="G28119" s="3336"/>
      <c r="P28119" s="3337"/>
    </row>
    <row r="28120" spans="7:16" s="1634" customFormat="1">
      <c r="G28120" s="3336"/>
      <c r="P28120" s="3337"/>
    </row>
    <row r="28121" spans="7:16" s="1634" customFormat="1">
      <c r="G28121" s="3336"/>
      <c r="P28121" s="3337"/>
    </row>
    <row r="28122" spans="7:16" s="1634" customFormat="1">
      <c r="G28122" s="3336"/>
      <c r="P28122" s="3337"/>
    </row>
    <row r="28123" spans="7:16" s="1634" customFormat="1">
      <c r="G28123" s="3336"/>
      <c r="P28123" s="3337"/>
    </row>
    <row r="28124" spans="7:16" s="1634" customFormat="1">
      <c r="G28124" s="3336"/>
      <c r="P28124" s="3337"/>
    </row>
    <row r="28125" spans="7:16" s="1634" customFormat="1">
      <c r="G28125" s="3336"/>
      <c r="P28125" s="3337"/>
    </row>
    <row r="28126" spans="7:16" s="1634" customFormat="1">
      <c r="G28126" s="3336"/>
      <c r="P28126" s="3337"/>
    </row>
    <row r="28127" spans="7:16" s="1634" customFormat="1">
      <c r="G28127" s="3336"/>
      <c r="P28127" s="3337"/>
    </row>
    <row r="28128" spans="7:16" s="1634" customFormat="1">
      <c r="G28128" s="3336"/>
      <c r="P28128" s="3337"/>
    </row>
    <row r="28129" spans="7:16" s="1634" customFormat="1">
      <c r="G28129" s="3336"/>
      <c r="P28129" s="3337"/>
    </row>
    <row r="28130" spans="7:16" s="1634" customFormat="1">
      <c r="G28130" s="3336"/>
      <c r="P28130" s="3337"/>
    </row>
    <row r="28131" spans="7:16" s="1634" customFormat="1">
      <c r="G28131" s="3336"/>
      <c r="P28131" s="3337"/>
    </row>
    <row r="28132" spans="7:16" s="1634" customFormat="1">
      <c r="G28132" s="3336"/>
      <c r="P28132" s="3337"/>
    </row>
    <row r="28133" spans="7:16" s="1634" customFormat="1">
      <c r="G28133" s="3336"/>
      <c r="P28133" s="3337"/>
    </row>
    <row r="28134" spans="7:16" s="1634" customFormat="1">
      <c r="G28134" s="3336"/>
      <c r="P28134" s="3337"/>
    </row>
    <row r="28135" spans="7:16" s="1634" customFormat="1">
      <c r="G28135" s="3336"/>
      <c r="P28135" s="3337"/>
    </row>
    <row r="28136" spans="7:16" s="1634" customFormat="1">
      <c r="G28136" s="3336"/>
      <c r="P28136" s="3337"/>
    </row>
    <row r="28137" spans="7:16" s="1634" customFormat="1">
      <c r="G28137" s="3336"/>
      <c r="P28137" s="3337"/>
    </row>
    <row r="28138" spans="7:16" s="1634" customFormat="1">
      <c r="G28138" s="3336"/>
      <c r="P28138" s="3337"/>
    </row>
    <row r="28139" spans="7:16" s="1634" customFormat="1">
      <c r="G28139" s="3336"/>
      <c r="P28139" s="3337"/>
    </row>
    <row r="28140" spans="7:16" s="1634" customFormat="1">
      <c r="G28140" s="3336"/>
      <c r="P28140" s="3337"/>
    </row>
    <row r="28141" spans="7:16" s="1634" customFormat="1">
      <c r="G28141" s="3336"/>
      <c r="P28141" s="3337"/>
    </row>
    <row r="28142" spans="7:16" s="1634" customFormat="1">
      <c r="G28142" s="3336"/>
      <c r="P28142" s="3337"/>
    </row>
    <row r="28143" spans="7:16" s="1634" customFormat="1">
      <c r="G28143" s="3336"/>
      <c r="P28143" s="3337"/>
    </row>
    <row r="28144" spans="7:16" s="1634" customFormat="1">
      <c r="G28144" s="3336"/>
      <c r="P28144" s="3337"/>
    </row>
    <row r="28145" spans="7:16" s="1634" customFormat="1">
      <c r="G28145" s="3336"/>
      <c r="P28145" s="3337"/>
    </row>
    <row r="28146" spans="7:16" s="1634" customFormat="1">
      <c r="G28146" s="3336"/>
      <c r="P28146" s="3337"/>
    </row>
    <row r="28147" spans="7:16" s="1634" customFormat="1">
      <c r="G28147" s="3336"/>
      <c r="P28147" s="3337"/>
    </row>
    <row r="28148" spans="7:16" s="1634" customFormat="1">
      <c r="G28148" s="3336"/>
      <c r="P28148" s="3337"/>
    </row>
    <row r="28149" spans="7:16" s="1634" customFormat="1">
      <c r="G28149" s="3336"/>
      <c r="P28149" s="3337"/>
    </row>
    <row r="28150" spans="7:16" s="1634" customFormat="1">
      <c r="G28150" s="3336"/>
      <c r="P28150" s="3337"/>
    </row>
    <row r="28151" spans="7:16" s="1634" customFormat="1">
      <c r="G28151" s="3336"/>
      <c r="P28151" s="3337"/>
    </row>
    <row r="28152" spans="7:16" s="1634" customFormat="1">
      <c r="G28152" s="3336"/>
      <c r="P28152" s="3337"/>
    </row>
    <row r="28153" spans="7:16" s="1634" customFormat="1">
      <c r="G28153" s="3336"/>
      <c r="P28153" s="3337"/>
    </row>
    <row r="28154" spans="7:16" s="1634" customFormat="1">
      <c r="G28154" s="3336"/>
      <c r="P28154" s="3337"/>
    </row>
    <row r="28155" spans="7:16" s="1634" customFormat="1">
      <c r="G28155" s="3336"/>
      <c r="P28155" s="3337"/>
    </row>
    <row r="28156" spans="7:16" s="1634" customFormat="1">
      <c r="G28156" s="3336"/>
      <c r="P28156" s="3337"/>
    </row>
    <row r="28157" spans="7:16" s="1634" customFormat="1">
      <c r="G28157" s="3336"/>
      <c r="P28157" s="3337"/>
    </row>
    <row r="28158" spans="7:16" s="1634" customFormat="1">
      <c r="G28158" s="3336"/>
      <c r="P28158" s="3337"/>
    </row>
    <row r="28159" spans="7:16" s="1634" customFormat="1">
      <c r="G28159" s="3336"/>
      <c r="P28159" s="3337"/>
    </row>
    <row r="28160" spans="7:16" s="1634" customFormat="1">
      <c r="G28160" s="3336"/>
      <c r="P28160" s="3337"/>
    </row>
    <row r="28161" spans="7:16" s="1634" customFormat="1">
      <c r="G28161" s="3336"/>
      <c r="P28161" s="3337"/>
    </row>
    <row r="28162" spans="7:16" s="1634" customFormat="1">
      <c r="G28162" s="3336"/>
      <c r="P28162" s="3337"/>
    </row>
    <row r="28163" spans="7:16" s="1634" customFormat="1">
      <c r="G28163" s="3336"/>
      <c r="P28163" s="3337"/>
    </row>
    <row r="28164" spans="7:16" s="1634" customFormat="1">
      <c r="G28164" s="3336"/>
      <c r="P28164" s="3337"/>
    </row>
    <row r="28165" spans="7:16" s="1634" customFormat="1">
      <c r="G28165" s="3336"/>
      <c r="P28165" s="3337"/>
    </row>
    <row r="28166" spans="7:16" s="1634" customFormat="1">
      <c r="G28166" s="3336"/>
      <c r="P28166" s="3337"/>
    </row>
    <row r="28167" spans="7:16" s="1634" customFormat="1">
      <c r="G28167" s="3336"/>
      <c r="P28167" s="3337"/>
    </row>
    <row r="28168" spans="7:16" s="1634" customFormat="1">
      <c r="G28168" s="3336"/>
      <c r="P28168" s="3337"/>
    </row>
    <row r="28169" spans="7:16" s="1634" customFormat="1">
      <c r="G28169" s="3336"/>
      <c r="P28169" s="3337"/>
    </row>
    <row r="28170" spans="7:16" s="1634" customFormat="1">
      <c r="G28170" s="3336"/>
      <c r="P28170" s="3337"/>
    </row>
    <row r="28171" spans="7:16" s="1634" customFormat="1">
      <c r="G28171" s="3336"/>
      <c r="P28171" s="3337"/>
    </row>
    <row r="28172" spans="7:16" s="1634" customFormat="1">
      <c r="G28172" s="3336"/>
      <c r="P28172" s="3337"/>
    </row>
    <row r="28173" spans="7:16" s="1634" customFormat="1">
      <c r="G28173" s="3336"/>
      <c r="P28173" s="3337"/>
    </row>
    <row r="28174" spans="7:16" s="1634" customFormat="1">
      <c r="G28174" s="3336"/>
      <c r="P28174" s="3337"/>
    </row>
    <row r="28175" spans="7:16" s="1634" customFormat="1">
      <c r="G28175" s="3336"/>
      <c r="P28175" s="3337"/>
    </row>
    <row r="28176" spans="7:16" s="1634" customFormat="1">
      <c r="G28176" s="3336"/>
      <c r="P28176" s="3337"/>
    </row>
    <row r="28177" spans="7:16" s="1634" customFormat="1">
      <c r="G28177" s="3336"/>
      <c r="P28177" s="3337"/>
    </row>
    <row r="28178" spans="7:16" s="1634" customFormat="1">
      <c r="G28178" s="3336"/>
      <c r="P28178" s="3337"/>
    </row>
    <row r="28179" spans="7:16" s="1634" customFormat="1">
      <c r="G28179" s="3336"/>
      <c r="P28179" s="3337"/>
    </row>
    <row r="28180" spans="7:16" s="1634" customFormat="1">
      <c r="G28180" s="3336"/>
      <c r="P28180" s="3337"/>
    </row>
    <row r="28181" spans="7:16" s="1634" customFormat="1">
      <c r="G28181" s="3336"/>
      <c r="P28181" s="3337"/>
    </row>
    <row r="28182" spans="7:16" s="1634" customFormat="1">
      <c r="G28182" s="3336"/>
      <c r="P28182" s="3337"/>
    </row>
    <row r="28183" spans="7:16" s="1634" customFormat="1">
      <c r="G28183" s="3336"/>
      <c r="P28183" s="3337"/>
    </row>
    <row r="28184" spans="7:16" s="1634" customFormat="1">
      <c r="G28184" s="3336"/>
      <c r="P28184" s="3337"/>
    </row>
    <row r="28185" spans="7:16" s="1634" customFormat="1">
      <c r="G28185" s="3336"/>
      <c r="P28185" s="3337"/>
    </row>
    <row r="28186" spans="7:16" s="1634" customFormat="1">
      <c r="G28186" s="3336"/>
      <c r="P28186" s="3337"/>
    </row>
    <row r="28187" spans="7:16" s="1634" customFormat="1">
      <c r="G28187" s="3336"/>
      <c r="P28187" s="3337"/>
    </row>
    <row r="28188" spans="7:16" s="1634" customFormat="1">
      <c r="G28188" s="3336"/>
      <c r="P28188" s="3337"/>
    </row>
    <row r="28189" spans="7:16" s="1634" customFormat="1">
      <c r="G28189" s="3336"/>
      <c r="P28189" s="3337"/>
    </row>
    <row r="28190" spans="7:16" s="1634" customFormat="1">
      <c r="G28190" s="3336"/>
      <c r="P28190" s="3337"/>
    </row>
    <row r="28191" spans="7:16" s="1634" customFormat="1">
      <c r="G28191" s="3336"/>
      <c r="P28191" s="3337"/>
    </row>
    <row r="28192" spans="7:16" s="1634" customFormat="1">
      <c r="G28192" s="3336"/>
      <c r="P28192" s="3337"/>
    </row>
    <row r="28193" spans="7:16" s="1634" customFormat="1">
      <c r="G28193" s="3336"/>
      <c r="P28193" s="3337"/>
    </row>
    <row r="28194" spans="7:16" s="1634" customFormat="1">
      <c r="G28194" s="3336"/>
      <c r="P28194" s="3337"/>
    </row>
    <row r="28195" spans="7:16" s="1634" customFormat="1">
      <c r="G28195" s="3336"/>
      <c r="P28195" s="3337"/>
    </row>
    <row r="28196" spans="7:16" s="1634" customFormat="1">
      <c r="G28196" s="3336"/>
      <c r="P28196" s="3337"/>
    </row>
    <row r="28197" spans="7:16" s="1634" customFormat="1">
      <c r="G28197" s="3336"/>
      <c r="P28197" s="3337"/>
    </row>
    <row r="28198" spans="7:16" s="1634" customFormat="1">
      <c r="G28198" s="3336"/>
      <c r="P28198" s="3337"/>
    </row>
    <row r="28199" spans="7:16" s="1634" customFormat="1">
      <c r="G28199" s="3336"/>
      <c r="P28199" s="3337"/>
    </row>
    <row r="28200" spans="7:16" s="1634" customFormat="1">
      <c r="G28200" s="3336"/>
      <c r="P28200" s="3337"/>
    </row>
    <row r="28201" spans="7:16" s="1634" customFormat="1">
      <c r="G28201" s="3336"/>
      <c r="P28201" s="3337"/>
    </row>
    <row r="28202" spans="7:16" s="1634" customFormat="1">
      <c r="G28202" s="3336"/>
      <c r="P28202" s="3337"/>
    </row>
    <row r="28203" spans="7:16" s="1634" customFormat="1">
      <c r="G28203" s="3336"/>
      <c r="P28203" s="3337"/>
    </row>
    <row r="28204" spans="7:16" s="1634" customFormat="1">
      <c r="G28204" s="3336"/>
      <c r="P28204" s="3337"/>
    </row>
    <row r="28205" spans="7:16" s="1634" customFormat="1">
      <c r="G28205" s="3336"/>
      <c r="P28205" s="3337"/>
    </row>
    <row r="28206" spans="7:16" s="1634" customFormat="1">
      <c r="G28206" s="3336"/>
      <c r="P28206" s="3337"/>
    </row>
    <row r="28207" spans="7:16" s="1634" customFormat="1">
      <c r="G28207" s="3336"/>
      <c r="P28207" s="3337"/>
    </row>
    <row r="28208" spans="7:16" s="1634" customFormat="1">
      <c r="G28208" s="3336"/>
      <c r="P28208" s="3337"/>
    </row>
    <row r="28209" spans="7:16" s="1634" customFormat="1">
      <c r="G28209" s="3336"/>
      <c r="P28209" s="3337"/>
    </row>
    <row r="28210" spans="7:16" s="1634" customFormat="1">
      <c r="G28210" s="3336"/>
      <c r="P28210" s="3337"/>
    </row>
    <row r="28211" spans="7:16" s="1634" customFormat="1">
      <c r="G28211" s="3336"/>
      <c r="P28211" s="3337"/>
    </row>
    <row r="28212" spans="7:16" s="1634" customFormat="1">
      <c r="G28212" s="3336"/>
      <c r="P28212" s="3337"/>
    </row>
    <row r="28213" spans="7:16" s="1634" customFormat="1">
      <c r="G28213" s="3336"/>
      <c r="P28213" s="3337"/>
    </row>
    <row r="28214" spans="7:16" s="1634" customFormat="1">
      <c r="G28214" s="3336"/>
      <c r="P28214" s="3337"/>
    </row>
    <row r="28215" spans="7:16" s="1634" customFormat="1">
      <c r="G28215" s="3336"/>
      <c r="P28215" s="3337"/>
    </row>
    <row r="28216" spans="7:16" s="1634" customFormat="1">
      <c r="G28216" s="3336"/>
      <c r="P28216" s="3337"/>
    </row>
    <row r="28217" spans="7:16" s="1634" customFormat="1">
      <c r="G28217" s="3336"/>
      <c r="P28217" s="3337"/>
    </row>
    <row r="28218" spans="7:16" s="1634" customFormat="1">
      <c r="G28218" s="3336"/>
      <c r="P28218" s="3337"/>
    </row>
    <row r="28219" spans="7:16" s="1634" customFormat="1">
      <c r="G28219" s="3336"/>
      <c r="P28219" s="3337"/>
    </row>
    <row r="28220" spans="7:16" s="1634" customFormat="1">
      <c r="G28220" s="3336"/>
      <c r="P28220" s="3337"/>
    </row>
    <row r="28221" spans="7:16" s="1634" customFormat="1">
      <c r="G28221" s="3336"/>
      <c r="P28221" s="3337"/>
    </row>
    <row r="28222" spans="7:16" s="1634" customFormat="1">
      <c r="G28222" s="3336"/>
      <c r="P28222" s="3337"/>
    </row>
    <row r="28223" spans="7:16" s="1634" customFormat="1">
      <c r="G28223" s="3336"/>
      <c r="P28223" s="3337"/>
    </row>
    <row r="28224" spans="7:16" s="1634" customFormat="1">
      <c r="G28224" s="3336"/>
      <c r="P28224" s="3337"/>
    </row>
    <row r="28225" spans="7:16" s="1634" customFormat="1">
      <c r="G28225" s="3336"/>
      <c r="P28225" s="3337"/>
    </row>
    <row r="28226" spans="7:16" s="1634" customFormat="1">
      <c r="G28226" s="3336"/>
      <c r="P28226" s="3337"/>
    </row>
    <row r="28227" spans="7:16" s="1634" customFormat="1">
      <c r="G28227" s="3336"/>
      <c r="P28227" s="3337"/>
    </row>
    <row r="28228" spans="7:16" s="1634" customFormat="1">
      <c r="G28228" s="3336"/>
      <c r="P28228" s="3337"/>
    </row>
    <row r="28229" spans="7:16" s="1634" customFormat="1">
      <c r="G28229" s="3336"/>
      <c r="P28229" s="3337"/>
    </row>
    <row r="28230" spans="7:16" s="1634" customFormat="1">
      <c r="G28230" s="3336"/>
      <c r="P28230" s="3337"/>
    </row>
    <row r="28231" spans="7:16" s="1634" customFormat="1">
      <c r="G28231" s="3336"/>
      <c r="P28231" s="3337"/>
    </row>
    <row r="28232" spans="7:16" s="1634" customFormat="1">
      <c r="G28232" s="3336"/>
      <c r="P28232" s="3337"/>
    </row>
    <row r="28233" spans="7:16" s="1634" customFormat="1">
      <c r="G28233" s="3336"/>
      <c r="P28233" s="3337"/>
    </row>
    <row r="28234" spans="7:16" s="1634" customFormat="1">
      <c r="G28234" s="3336"/>
      <c r="P28234" s="3337"/>
    </row>
    <row r="28235" spans="7:16" s="1634" customFormat="1">
      <c r="G28235" s="3336"/>
      <c r="P28235" s="3337"/>
    </row>
    <row r="28236" spans="7:16" s="1634" customFormat="1">
      <c r="G28236" s="3336"/>
      <c r="P28236" s="3337"/>
    </row>
    <row r="28237" spans="7:16" s="1634" customFormat="1">
      <c r="G28237" s="3336"/>
      <c r="P28237" s="3337"/>
    </row>
    <row r="28238" spans="7:16" s="1634" customFormat="1">
      <c r="G28238" s="3336"/>
      <c r="P28238" s="3337"/>
    </row>
    <row r="28239" spans="7:16" s="1634" customFormat="1">
      <c r="G28239" s="3336"/>
      <c r="P28239" s="3337"/>
    </row>
    <row r="28240" spans="7:16" s="1634" customFormat="1">
      <c r="G28240" s="3336"/>
      <c r="P28240" s="3337"/>
    </row>
    <row r="28241" spans="7:16" s="1634" customFormat="1">
      <c r="G28241" s="3336"/>
      <c r="P28241" s="3337"/>
    </row>
    <row r="28242" spans="7:16" s="1634" customFormat="1">
      <c r="G28242" s="3336"/>
      <c r="P28242" s="3337"/>
    </row>
    <row r="28243" spans="7:16" s="1634" customFormat="1">
      <c r="G28243" s="3336"/>
      <c r="P28243" s="3337"/>
    </row>
    <row r="28244" spans="7:16" s="1634" customFormat="1">
      <c r="G28244" s="3336"/>
      <c r="P28244" s="3337"/>
    </row>
    <row r="28245" spans="7:16" s="1634" customFormat="1">
      <c r="G28245" s="3336"/>
      <c r="P28245" s="3337"/>
    </row>
    <row r="28246" spans="7:16" s="1634" customFormat="1">
      <c r="G28246" s="3336"/>
      <c r="P28246" s="3337"/>
    </row>
    <row r="28247" spans="7:16" s="1634" customFormat="1">
      <c r="G28247" s="3336"/>
      <c r="P28247" s="3337"/>
    </row>
    <row r="28248" spans="7:16" s="1634" customFormat="1">
      <c r="G28248" s="3336"/>
      <c r="P28248" s="3337"/>
    </row>
    <row r="28249" spans="7:16" s="1634" customFormat="1">
      <c r="G28249" s="3336"/>
      <c r="P28249" s="3337"/>
    </row>
    <row r="28250" spans="7:16" s="1634" customFormat="1">
      <c r="G28250" s="3336"/>
      <c r="P28250" s="3337"/>
    </row>
    <row r="28251" spans="7:16" s="1634" customFormat="1">
      <c r="G28251" s="3336"/>
      <c r="P28251" s="3337"/>
    </row>
    <row r="28252" spans="7:16" s="1634" customFormat="1">
      <c r="G28252" s="3336"/>
      <c r="P28252" s="3337"/>
    </row>
    <row r="28253" spans="7:16" s="1634" customFormat="1">
      <c r="G28253" s="3336"/>
      <c r="P28253" s="3337"/>
    </row>
    <row r="28254" spans="7:16" s="1634" customFormat="1">
      <c r="G28254" s="3336"/>
      <c r="P28254" s="3337"/>
    </row>
    <row r="28255" spans="7:16" s="1634" customFormat="1">
      <c r="G28255" s="3336"/>
      <c r="P28255" s="3337"/>
    </row>
    <row r="28256" spans="7:16" s="1634" customFormat="1">
      <c r="G28256" s="3336"/>
      <c r="P28256" s="3337"/>
    </row>
    <row r="28257" spans="7:16" s="1634" customFormat="1">
      <c r="G28257" s="3336"/>
      <c r="P28257" s="3337"/>
    </row>
    <row r="28258" spans="7:16" s="1634" customFormat="1">
      <c r="G28258" s="3336"/>
      <c r="P28258" s="3337"/>
    </row>
    <row r="28259" spans="7:16" s="1634" customFormat="1">
      <c r="G28259" s="3336"/>
      <c r="P28259" s="3337"/>
    </row>
    <row r="28260" spans="7:16" s="1634" customFormat="1">
      <c r="G28260" s="3336"/>
      <c r="P28260" s="3337"/>
    </row>
    <row r="28261" spans="7:16" s="1634" customFormat="1">
      <c r="G28261" s="3336"/>
      <c r="P28261" s="3337"/>
    </row>
    <row r="28262" spans="7:16" s="1634" customFormat="1">
      <c r="G28262" s="3336"/>
      <c r="P28262" s="3337"/>
    </row>
    <row r="28263" spans="7:16" s="1634" customFormat="1">
      <c r="G28263" s="3336"/>
      <c r="P28263" s="3337"/>
    </row>
    <row r="28264" spans="7:16" s="1634" customFormat="1">
      <c r="G28264" s="3336"/>
      <c r="P28264" s="3337"/>
    </row>
    <row r="28265" spans="7:16" s="1634" customFormat="1">
      <c r="G28265" s="3336"/>
      <c r="P28265" s="3337"/>
    </row>
    <row r="28266" spans="7:16" s="1634" customFormat="1">
      <c r="G28266" s="3336"/>
      <c r="P28266" s="3337"/>
    </row>
    <row r="28267" spans="7:16" s="1634" customFormat="1">
      <c r="G28267" s="3336"/>
      <c r="P28267" s="3337"/>
    </row>
    <row r="28268" spans="7:16" s="1634" customFormat="1">
      <c r="G28268" s="3336"/>
      <c r="P28268" s="3337"/>
    </row>
    <row r="28269" spans="7:16" s="1634" customFormat="1">
      <c r="G28269" s="3336"/>
      <c r="P28269" s="3337"/>
    </row>
    <row r="28270" spans="7:16" s="1634" customFormat="1">
      <c r="G28270" s="3336"/>
      <c r="P28270" s="3337"/>
    </row>
    <row r="28271" spans="7:16" s="1634" customFormat="1">
      <c r="G28271" s="3336"/>
      <c r="P28271" s="3337"/>
    </row>
    <row r="28272" spans="7:16" s="1634" customFormat="1">
      <c r="G28272" s="3336"/>
      <c r="P28272" s="3337"/>
    </row>
    <row r="28273" spans="7:16" s="1634" customFormat="1">
      <c r="G28273" s="3336"/>
      <c r="P28273" s="3337"/>
    </row>
    <row r="28274" spans="7:16" s="1634" customFormat="1">
      <c r="G28274" s="3336"/>
      <c r="P28274" s="3337"/>
    </row>
    <row r="28275" spans="7:16" s="1634" customFormat="1">
      <c r="G28275" s="3336"/>
      <c r="P28275" s="3337"/>
    </row>
    <row r="28276" spans="7:16" s="1634" customFormat="1">
      <c r="G28276" s="3336"/>
      <c r="P28276" s="3337"/>
    </row>
    <row r="28277" spans="7:16" s="1634" customFormat="1">
      <c r="G28277" s="3336"/>
      <c r="P28277" s="3337"/>
    </row>
    <row r="28278" spans="7:16" s="1634" customFormat="1">
      <c r="G28278" s="3336"/>
      <c r="P28278" s="3337"/>
    </row>
    <row r="28279" spans="7:16" s="1634" customFormat="1">
      <c r="G28279" s="3336"/>
      <c r="P28279" s="3337"/>
    </row>
    <row r="28280" spans="7:16" s="1634" customFormat="1">
      <c r="G28280" s="3336"/>
      <c r="P28280" s="3337"/>
    </row>
    <row r="28281" spans="7:16" s="1634" customFormat="1">
      <c r="G28281" s="3336"/>
      <c r="P28281" s="3337"/>
    </row>
    <row r="28282" spans="7:16" s="1634" customFormat="1">
      <c r="G28282" s="3336"/>
      <c r="P28282" s="3337"/>
    </row>
    <row r="28283" spans="7:16" s="1634" customFormat="1">
      <c r="G28283" s="3336"/>
      <c r="P28283" s="3337"/>
    </row>
    <row r="28284" spans="7:16" s="1634" customFormat="1">
      <c r="G28284" s="3336"/>
      <c r="P28284" s="3337"/>
    </row>
    <row r="28285" spans="7:16" s="1634" customFormat="1">
      <c r="G28285" s="3336"/>
      <c r="P28285" s="3337"/>
    </row>
    <row r="28286" spans="7:16" s="1634" customFormat="1">
      <c r="G28286" s="3336"/>
      <c r="P28286" s="3337"/>
    </row>
    <row r="28287" spans="7:16" s="1634" customFormat="1">
      <c r="G28287" s="3336"/>
      <c r="P28287" s="3337"/>
    </row>
    <row r="28288" spans="7:16" s="1634" customFormat="1">
      <c r="G28288" s="3336"/>
      <c r="P28288" s="3337"/>
    </row>
    <row r="28289" spans="7:16" s="1634" customFormat="1">
      <c r="G28289" s="3336"/>
      <c r="P28289" s="3337"/>
    </row>
    <row r="28290" spans="7:16" s="1634" customFormat="1">
      <c r="G28290" s="3336"/>
      <c r="P28290" s="3337"/>
    </row>
    <row r="28291" spans="7:16" s="1634" customFormat="1">
      <c r="G28291" s="3336"/>
      <c r="P28291" s="3337"/>
    </row>
    <row r="28292" spans="7:16" s="1634" customFormat="1">
      <c r="G28292" s="3336"/>
      <c r="P28292" s="3337"/>
    </row>
    <row r="28293" spans="7:16" s="1634" customFormat="1">
      <c r="G28293" s="3336"/>
      <c r="P28293" s="3337"/>
    </row>
    <row r="28294" spans="7:16" s="1634" customFormat="1">
      <c r="G28294" s="3336"/>
      <c r="P28294" s="3337"/>
    </row>
    <row r="28295" spans="7:16" s="1634" customFormat="1">
      <c r="G28295" s="3336"/>
      <c r="P28295" s="3337"/>
    </row>
    <row r="28296" spans="7:16" s="1634" customFormat="1">
      <c r="G28296" s="3336"/>
      <c r="P28296" s="3337"/>
    </row>
    <row r="28297" spans="7:16" s="1634" customFormat="1">
      <c r="G28297" s="3336"/>
      <c r="P28297" s="3337"/>
    </row>
    <row r="28298" spans="7:16" s="1634" customFormat="1">
      <c r="G28298" s="3336"/>
      <c r="P28298" s="3337"/>
    </row>
    <row r="28299" spans="7:16" s="1634" customFormat="1">
      <c r="G28299" s="3336"/>
      <c r="P28299" s="3337"/>
    </row>
    <row r="28300" spans="7:16" s="1634" customFormat="1">
      <c r="G28300" s="3336"/>
      <c r="P28300" s="3337"/>
    </row>
    <row r="28301" spans="7:16" s="1634" customFormat="1">
      <c r="G28301" s="3336"/>
      <c r="P28301" s="3337"/>
    </row>
    <row r="28302" spans="7:16" s="1634" customFormat="1">
      <c r="G28302" s="3336"/>
      <c r="P28302" s="3337"/>
    </row>
    <row r="28303" spans="7:16" s="1634" customFormat="1">
      <c r="G28303" s="3336"/>
      <c r="P28303" s="3337"/>
    </row>
    <row r="28304" spans="7:16" s="1634" customFormat="1">
      <c r="G28304" s="3336"/>
      <c r="P28304" s="3337"/>
    </row>
    <row r="28305" spans="7:16" s="1634" customFormat="1">
      <c r="G28305" s="3336"/>
      <c r="P28305" s="3337"/>
    </row>
    <row r="28306" spans="7:16" s="1634" customFormat="1">
      <c r="G28306" s="3336"/>
      <c r="P28306" s="3337"/>
    </row>
    <row r="28307" spans="7:16" s="1634" customFormat="1">
      <c r="G28307" s="3336"/>
      <c r="P28307" s="3337"/>
    </row>
    <row r="28308" spans="7:16" s="1634" customFormat="1">
      <c r="G28308" s="3336"/>
      <c r="P28308" s="3337"/>
    </row>
    <row r="28309" spans="7:16" s="1634" customFormat="1">
      <c r="G28309" s="3336"/>
      <c r="P28309" s="3337"/>
    </row>
    <row r="28310" spans="7:16" s="1634" customFormat="1">
      <c r="G28310" s="3336"/>
      <c r="P28310" s="3337"/>
    </row>
    <row r="28311" spans="7:16" s="1634" customFormat="1">
      <c r="G28311" s="3336"/>
      <c r="P28311" s="3337"/>
    </row>
    <row r="28312" spans="7:16" s="1634" customFormat="1">
      <c r="G28312" s="3336"/>
      <c r="P28312" s="3337"/>
    </row>
    <row r="28313" spans="7:16" s="1634" customFormat="1">
      <c r="G28313" s="3336"/>
      <c r="P28313" s="3337"/>
    </row>
    <row r="28314" spans="7:16" s="1634" customFormat="1">
      <c r="G28314" s="3336"/>
      <c r="P28314" s="3337"/>
    </row>
    <row r="28315" spans="7:16" s="1634" customFormat="1">
      <c r="G28315" s="3336"/>
      <c r="P28315" s="3337"/>
    </row>
    <row r="28316" spans="7:16" s="1634" customFormat="1">
      <c r="G28316" s="3336"/>
      <c r="P28316" s="3337"/>
    </row>
    <row r="28317" spans="7:16" s="1634" customFormat="1">
      <c r="G28317" s="3336"/>
      <c r="P28317" s="3337"/>
    </row>
    <row r="28318" spans="7:16" s="1634" customFormat="1">
      <c r="G28318" s="3336"/>
      <c r="P28318" s="3337"/>
    </row>
    <row r="28319" spans="7:16" s="1634" customFormat="1">
      <c r="G28319" s="3336"/>
      <c r="P28319" s="3337"/>
    </row>
    <row r="28320" spans="7:16" s="1634" customFormat="1">
      <c r="G28320" s="3336"/>
      <c r="P28320" s="3337"/>
    </row>
    <row r="28321" spans="7:16" s="1634" customFormat="1">
      <c r="G28321" s="3336"/>
      <c r="P28321" s="3337"/>
    </row>
    <row r="28322" spans="7:16" s="1634" customFormat="1">
      <c r="G28322" s="3336"/>
      <c r="P28322" s="3337"/>
    </row>
    <row r="28323" spans="7:16" s="1634" customFormat="1">
      <c r="G28323" s="3336"/>
      <c r="P28323" s="3337"/>
    </row>
    <row r="28324" spans="7:16" s="1634" customFormat="1">
      <c r="G28324" s="3336"/>
      <c r="P28324" s="3337"/>
    </row>
    <row r="28325" spans="7:16" s="1634" customFormat="1">
      <c r="G28325" s="3336"/>
      <c r="P28325" s="3337"/>
    </row>
    <row r="28326" spans="7:16" s="1634" customFormat="1">
      <c r="G28326" s="3336"/>
      <c r="P28326" s="3337"/>
    </row>
    <row r="28327" spans="7:16" s="1634" customFormat="1">
      <c r="G28327" s="3336"/>
      <c r="P28327" s="3337"/>
    </row>
    <row r="28328" spans="7:16" s="1634" customFormat="1">
      <c r="G28328" s="3336"/>
      <c r="P28328" s="3337"/>
    </row>
    <row r="28329" spans="7:16" s="1634" customFormat="1">
      <c r="G28329" s="3336"/>
      <c r="P28329" s="3337"/>
    </row>
    <row r="28330" spans="7:16" s="1634" customFormat="1">
      <c r="G28330" s="3336"/>
      <c r="P28330" s="3337"/>
    </row>
    <row r="28331" spans="7:16" s="1634" customFormat="1">
      <c r="G28331" s="3336"/>
      <c r="P28331" s="3337"/>
    </row>
    <row r="28332" spans="7:16" s="1634" customFormat="1">
      <c r="G28332" s="3336"/>
      <c r="P28332" s="3337"/>
    </row>
    <row r="28333" spans="7:16" s="1634" customFormat="1">
      <c r="G28333" s="3336"/>
      <c r="P28333" s="3337"/>
    </row>
    <row r="28334" spans="7:16" s="1634" customFormat="1">
      <c r="G28334" s="3336"/>
      <c r="P28334" s="3337"/>
    </row>
    <row r="28335" spans="7:16" s="1634" customFormat="1">
      <c r="G28335" s="3336"/>
      <c r="P28335" s="3337"/>
    </row>
    <row r="28336" spans="7:16" s="1634" customFormat="1">
      <c r="G28336" s="3336"/>
      <c r="P28336" s="3337"/>
    </row>
    <row r="28337" spans="7:16" s="1634" customFormat="1">
      <c r="G28337" s="3336"/>
      <c r="P28337" s="3337"/>
    </row>
    <row r="28338" spans="7:16" s="1634" customFormat="1">
      <c r="G28338" s="3336"/>
      <c r="P28338" s="3337"/>
    </row>
    <row r="28339" spans="7:16" s="1634" customFormat="1">
      <c r="G28339" s="3336"/>
      <c r="P28339" s="3337"/>
    </row>
    <row r="28340" spans="7:16" s="1634" customFormat="1">
      <c r="G28340" s="3336"/>
      <c r="P28340" s="3337"/>
    </row>
    <row r="28341" spans="7:16" s="1634" customFormat="1">
      <c r="G28341" s="3336"/>
      <c r="P28341" s="3337"/>
    </row>
    <row r="28342" spans="7:16" s="1634" customFormat="1">
      <c r="G28342" s="3336"/>
      <c r="P28342" s="3337"/>
    </row>
    <row r="28343" spans="7:16" s="1634" customFormat="1">
      <c r="G28343" s="3336"/>
      <c r="P28343" s="3337"/>
    </row>
    <row r="28344" spans="7:16" s="1634" customFormat="1">
      <c r="G28344" s="3336"/>
      <c r="P28344" s="3337"/>
    </row>
    <row r="28345" spans="7:16" s="1634" customFormat="1">
      <c r="G28345" s="3336"/>
      <c r="P28345" s="3337"/>
    </row>
    <row r="28346" spans="7:16" s="1634" customFormat="1">
      <c r="G28346" s="3336"/>
      <c r="P28346" s="3337"/>
    </row>
    <row r="28347" spans="7:16" s="1634" customFormat="1">
      <c r="G28347" s="3336"/>
      <c r="P28347" s="3337"/>
    </row>
    <row r="28348" spans="7:16" s="1634" customFormat="1">
      <c r="G28348" s="3336"/>
      <c r="P28348" s="3337"/>
    </row>
    <row r="28349" spans="7:16" s="1634" customFormat="1">
      <c r="G28349" s="3336"/>
      <c r="P28349" s="3337"/>
    </row>
    <row r="28350" spans="7:16" s="1634" customFormat="1">
      <c r="G28350" s="3336"/>
      <c r="P28350" s="3337"/>
    </row>
    <row r="28351" spans="7:16" s="1634" customFormat="1">
      <c r="G28351" s="3336"/>
      <c r="P28351" s="3337"/>
    </row>
    <row r="28352" spans="7:16" s="1634" customFormat="1">
      <c r="G28352" s="3336"/>
      <c r="P28352" s="3337"/>
    </row>
    <row r="28353" spans="7:16" s="1634" customFormat="1">
      <c r="G28353" s="3336"/>
      <c r="P28353" s="3337"/>
    </row>
    <row r="28354" spans="7:16" s="1634" customFormat="1">
      <c r="G28354" s="3336"/>
      <c r="P28354" s="3337"/>
    </row>
    <row r="28355" spans="7:16" s="1634" customFormat="1">
      <c r="G28355" s="3336"/>
      <c r="P28355" s="3337"/>
    </row>
    <row r="28356" spans="7:16" s="1634" customFormat="1">
      <c r="G28356" s="3336"/>
      <c r="P28356" s="3337"/>
    </row>
    <row r="28357" spans="7:16" s="1634" customFormat="1">
      <c r="G28357" s="3336"/>
      <c r="P28357" s="3337"/>
    </row>
    <row r="28358" spans="7:16" s="1634" customFormat="1">
      <c r="G28358" s="3336"/>
      <c r="P28358" s="3337"/>
    </row>
    <row r="28359" spans="7:16" s="1634" customFormat="1">
      <c r="G28359" s="3336"/>
      <c r="P28359" s="3337"/>
    </row>
    <row r="28360" spans="7:16" s="1634" customFormat="1">
      <c r="G28360" s="3336"/>
      <c r="P28360" s="3337"/>
    </row>
    <row r="28361" spans="7:16" s="1634" customFormat="1">
      <c r="G28361" s="3336"/>
      <c r="P28361" s="3337"/>
    </row>
    <row r="28362" spans="7:16" s="1634" customFormat="1">
      <c r="G28362" s="3336"/>
      <c r="P28362" s="3337"/>
    </row>
    <row r="28363" spans="7:16" s="1634" customFormat="1">
      <c r="G28363" s="3336"/>
      <c r="P28363" s="3337"/>
    </row>
    <row r="28364" spans="7:16" s="1634" customFormat="1">
      <c r="G28364" s="3336"/>
      <c r="P28364" s="3337"/>
    </row>
    <row r="28365" spans="7:16" s="1634" customFormat="1">
      <c r="G28365" s="3336"/>
      <c r="P28365" s="3337"/>
    </row>
    <row r="28366" spans="7:16" s="1634" customFormat="1">
      <c r="G28366" s="3336"/>
      <c r="P28366" s="3337"/>
    </row>
    <row r="28367" spans="7:16" s="1634" customFormat="1">
      <c r="G28367" s="3336"/>
      <c r="P28367" s="3337"/>
    </row>
    <row r="28368" spans="7:16" s="1634" customFormat="1">
      <c r="G28368" s="3336"/>
      <c r="P28368" s="3337"/>
    </row>
    <row r="28369" spans="7:16" s="1634" customFormat="1">
      <c r="G28369" s="3336"/>
      <c r="P28369" s="3337"/>
    </row>
    <row r="28370" spans="7:16" s="1634" customFormat="1">
      <c r="G28370" s="3336"/>
      <c r="P28370" s="3337"/>
    </row>
    <row r="28371" spans="7:16" s="1634" customFormat="1">
      <c r="G28371" s="3336"/>
      <c r="P28371" s="3337"/>
    </row>
    <row r="28372" spans="7:16" s="1634" customFormat="1">
      <c r="G28372" s="3336"/>
      <c r="P28372" s="3337"/>
    </row>
    <row r="28373" spans="7:16" s="1634" customFormat="1">
      <c r="G28373" s="3336"/>
      <c r="P28373" s="3337"/>
    </row>
    <row r="28374" spans="7:16" s="1634" customFormat="1">
      <c r="G28374" s="3336"/>
      <c r="P28374" s="3337"/>
    </row>
    <row r="28375" spans="7:16" s="1634" customFormat="1">
      <c r="G28375" s="3336"/>
      <c r="P28375" s="3337"/>
    </row>
    <row r="28376" spans="7:16" s="1634" customFormat="1">
      <c r="G28376" s="3336"/>
      <c r="P28376" s="3337"/>
    </row>
    <row r="28377" spans="7:16" s="1634" customFormat="1">
      <c r="G28377" s="3336"/>
      <c r="P28377" s="3337"/>
    </row>
    <row r="28378" spans="7:16" s="1634" customFormat="1">
      <c r="G28378" s="3336"/>
      <c r="P28378" s="3337"/>
    </row>
    <row r="28379" spans="7:16" s="1634" customFormat="1">
      <c r="G28379" s="3336"/>
      <c r="P28379" s="3337"/>
    </row>
    <row r="28380" spans="7:16" s="1634" customFormat="1">
      <c r="G28380" s="3336"/>
      <c r="P28380" s="3337"/>
    </row>
    <row r="28381" spans="7:16" s="1634" customFormat="1">
      <c r="G28381" s="3336"/>
      <c r="P28381" s="3337"/>
    </row>
    <row r="28382" spans="7:16" s="1634" customFormat="1">
      <c r="G28382" s="3336"/>
      <c r="P28382" s="3337"/>
    </row>
    <row r="28383" spans="7:16" s="1634" customFormat="1">
      <c r="G28383" s="3336"/>
      <c r="P28383" s="3337"/>
    </row>
    <row r="28384" spans="7:16" s="1634" customFormat="1">
      <c r="G28384" s="3336"/>
      <c r="P28384" s="3337"/>
    </row>
    <row r="28385" spans="7:16" s="1634" customFormat="1">
      <c r="G28385" s="3336"/>
      <c r="P28385" s="3337"/>
    </row>
    <row r="28386" spans="7:16" s="1634" customFormat="1">
      <c r="G28386" s="3336"/>
      <c r="P28386" s="3337"/>
    </row>
    <row r="28387" spans="7:16" s="1634" customFormat="1">
      <c r="G28387" s="3336"/>
      <c r="P28387" s="3337"/>
    </row>
    <row r="28388" spans="7:16" s="1634" customFormat="1">
      <c r="G28388" s="3336"/>
      <c r="P28388" s="3337"/>
    </row>
    <row r="28389" spans="7:16" s="1634" customFormat="1">
      <c r="G28389" s="3336"/>
      <c r="P28389" s="3337"/>
    </row>
    <row r="28390" spans="7:16" s="1634" customFormat="1">
      <c r="G28390" s="3336"/>
      <c r="P28390" s="3337"/>
    </row>
    <row r="28391" spans="7:16" s="1634" customFormat="1">
      <c r="G28391" s="3336"/>
      <c r="P28391" s="3337"/>
    </row>
    <row r="28392" spans="7:16" s="1634" customFormat="1">
      <c r="G28392" s="3336"/>
      <c r="P28392" s="3337"/>
    </row>
    <row r="28393" spans="7:16" s="1634" customFormat="1">
      <c r="G28393" s="3336"/>
      <c r="P28393" s="3337"/>
    </row>
    <row r="28394" spans="7:16" s="1634" customFormat="1">
      <c r="G28394" s="3336"/>
      <c r="P28394" s="3337"/>
    </row>
    <row r="28395" spans="7:16" s="1634" customFormat="1">
      <c r="G28395" s="3336"/>
      <c r="P28395" s="3337"/>
    </row>
    <row r="28396" spans="7:16" s="1634" customFormat="1">
      <c r="G28396" s="3336"/>
      <c r="P28396" s="3337"/>
    </row>
    <row r="28397" spans="7:16" s="1634" customFormat="1">
      <c r="G28397" s="3336"/>
      <c r="P28397" s="3337"/>
    </row>
    <row r="28398" spans="7:16" s="1634" customFormat="1">
      <c r="G28398" s="3336"/>
      <c r="P28398" s="3337"/>
    </row>
    <row r="28399" spans="7:16" s="1634" customFormat="1">
      <c r="G28399" s="3336"/>
      <c r="P28399" s="3337"/>
    </row>
    <row r="28400" spans="7:16" s="1634" customFormat="1">
      <c r="G28400" s="3336"/>
      <c r="P28400" s="3337"/>
    </row>
    <row r="28401" spans="7:16" s="1634" customFormat="1">
      <c r="G28401" s="3336"/>
      <c r="P28401" s="3337"/>
    </row>
    <row r="28402" spans="7:16" s="1634" customFormat="1">
      <c r="G28402" s="3336"/>
      <c r="P28402" s="3337"/>
    </row>
    <row r="28403" spans="7:16" s="1634" customFormat="1">
      <c r="G28403" s="3336"/>
      <c r="P28403" s="3337"/>
    </row>
    <row r="28404" spans="7:16" s="1634" customFormat="1">
      <c r="G28404" s="3336"/>
      <c r="P28404" s="3337"/>
    </row>
    <row r="28405" spans="7:16" s="1634" customFormat="1">
      <c r="G28405" s="3336"/>
      <c r="P28405" s="3337"/>
    </row>
    <row r="28406" spans="7:16" s="1634" customFormat="1">
      <c r="G28406" s="3336"/>
      <c r="P28406" s="3337"/>
    </row>
    <row r="28407" spans="7:16" s="1634" customFormat="1">
      <c r="G28407" s="3336"/>
      <c r="P28407" s="3337"/>
    </row>
    <row r="28408" spans="7:16" s="1634" customFormat="1">
      <c r="G28408" s="3336"/>
      <c r="P28408" s="3337"/>
    </row>
    <row r="28409" spans="7:16" s="1634" customFormat="1">
      <c r="G28409" s="3336"/>
      <c r="P28409" s="3337"/>
    </row>
    <row r="28410" spans="7:16" s="1634" customFormat="1">
      <c r="G28410" s="3336"/>
      <c r="P28410" s="3337"/>
    </row>
    <row r="28411" spans="7:16" s="1634" customFormat="1">
      <c r="G28411" s="3336"/>
      <c r="P28411" s="3337"/>
    </row>
    <row r="28412" spans="7:16" s="1634" customFormat="1">
      <c r="G28412" s="3336"/>
      <c r="P28412" s="3337"/>
    </row>
    <row r="28413" spans="7:16" s="1634" customFormat="1">
      <c r="G28413" s="3336"/>
      <c r="P28413" s="3337"/>
    </row>
    <row r="28414" spans="7:16" s="1634" customFormat="1">
      <c r="G28414" s="3336"/>
      <c r="P28414" s="3337"/>
    </row>
    <row r="28415" spans="7:16" s="1634" customFormat="1">
      <c r="G28415" s="3336"/>
      <c r="P28415" s="3337"/>
    </row>
    <row r="28416" spans="7:16" s="1634" customFormat="1">
      <c r="G28416" s="3336"/>
      <c r="P28416" s="3337"/>
    </row>
    <row r="28417" spans="7:16" s="1634" customFormat="1">
      <c r="G28417" s="3336"/>
      <c r="P28417" s="3337"/>
    </row>
    <row r="28418" spans="7:16" s="1634" customFormat="1">
      <c r="G28418" s="3336"/>
      <c r="P28418" s="3337"/>
    </row>
    <row r="28419" spans="7:16" s="1634" customFormat="1">
      <c r="G28419" s="3336"/>
      <c r="P28419" s="3337"/>
    </row>
    <row r="28420" spans="7:16" s="1634" customFormat="1">
      <c r="G28420" s="3336"/>
      <c r="P28420" s="3337"/>
    </row>
    <row r="28421" spans="7:16" s="1634" customFormat="1">
      <c r="G28421" s="3336"/>
      <c r="P28421" s="3337"/>
    </row>
    <row r="28422" spans="7:16" s="1634" customFormat="1">
      <c r="G28422" s="3336"/>
      <c r="P28422" s="3337"/>
    </row>
    <row r="28423" spans="7:16" s="1634" customFormat="1">
      <c r="G28423" s="3336"/>
      <c r="P28423" s="3337"/>
    </row>
    <row r="28424" spans="7:16" s="1634" customFormat="1">
      <c r="G28424" s="3336"/>
      <c r="P28424" s="3337"/>
    </row>
    <row r="28425" spans="7:16" s="1634" customFormat="1">
      <c r="G28425" s="3336"/>
      <c r="P28425" s="3337"/>
    </row>
    <row r="28426" spans="7:16" s="1634" customFormat="1">
      <c r="G28426" s="3336"/>
      <c r="P28426" s="3337"/>
    </row>
    <row r="28427" spans="7:16" s="1634" customFormat="1">
      <c r="G28427" s="3336"/>
      <c r="P28427" s="3337"/>
    </row>
    <row r="28428" spans="7:16" s="1634" customFormat="1">
      <c r="G28428" s="3336"/>
      <c r="P28428" s="3337"/>
    </row>
    <row r="28429" spans="7:16" s="1634" customFormat="1">
      <c r="G28429" s="3336"/>
      <c r="P28429" s="3337"/>
    </row>
    <row r="28430" spans="7:16" s="1634" customFormat="1">
      <c r="G28430" s="3336"/>
      <c r="P28430" s="3337"/>
    </row>
    <row r="28431" spans="7:16" s="1634" customFormat="1">
      <c r="G28431" s="3336"/>
      <c r="P28431" s="3337"/>
    </row>
    <row r="28432" spans="7:16" s="1634" customFormat="1">
      <c r="G28432" s="3336"/>
      <c r="P28432" s="3337"/>
    </row>
    <row r="28433" spans="7:16" s="1634" customFormat="1">
      <c r="G28433" s="3336"/>
      <c r="P28433" s="3337"/>
    </row>
    <row r="28434" spans="7:16" s="1634" customFormat="1">
      <c r="G28434" s="3336"/>
      <c r="P28434" s="3337"/>
    </row>
    <row r="28435" spans="7:16" s="1634" customFormat="1">
      <c r="G28435" s="3336"/>
      <c r="P28435" s="3337"/>
    </row>
    <row r="28436" spans="7:16" s="1634" customFormat="1">
      <c r="G28436" s="3336"/>
      <c r="P28436" s="3337"/>
    </row>
    <row r="28437" spans="7:16" s="1634" customFormat="1">
      <c r="G28437" s="3336"/>
      <c r="P28437" s="3337"/>
    </row>
    <row r="28438" spans="7:16" s="1634" customFormat="1">
      <c r="G28438" s="3336"/>
      <c r="P28438" s="3337"/>
    </row>
    <row r="28439" spans="7:16" s="1634" customFormat="1">
      <c r="G28439" s="3336"/>
      <c r="P28439" s="3337"/>
    </row>
    <row r="28440" spans="7:16" s="1634" customFormat="1">
      <c r="G28440" s="3336"/>
      <c r="P28440" s="3337"/>
    </row>
    <row r="28441" spans="7:16" s="1634" customFormat="1">
      <c r="G28441" s="3336"/>
      <c r="P28441" s="3337"/>
    </row>
    <row r="28442" spans="7:16" s="1634" customFormat="1">
      <c r="G28442" s="3336"/>
      <c r="P28442" s="3337"/>
    </row>
    <row r="28443" spans="7:16" s="1634" customFormat="1">
      <c r="G28443" s="3336"/>
      <c r="P28443" s="3337"/>
    </row>
    <row r="28444" spans="7:16" s="1634" customFormat="1">
      <c r="G28444" s="3336"/>
      <c r="P28444" s="3337"/>
    </row>
    <row r="28445" spans="7:16" s="1634" customFormat="1">
      <c r="G28445" s="3336"/>
      <c r="P28445" s="3337"/>
    </row>
    <row r="28446" spans="7:16" s="1634" customFormat="1">
      <c r="G28446" s="3336"/>
      <c r="P28446" s="3337"/>
    </row>
    <row r="28447" spans="7:16" s="1634" customFormat="1">
      <c r="G28447" s="3336"/>
      <c r="P28447" s="3337"/>
    </row>
    <row r="28448" spans="7:16" s="1634" customFormat="1">
      <c r="G28448" s="3336"/>
      <c r="P28448" s="3337"/>
    </row>
    <row r="28449" spans="7:16" s="1634" customFormat="1">
      <c r="G28449" s="3336"/>
      <c r="P28449" s="3337"/>
    </row>
    <row r="28450" spans="7:16" s="1634" customFormat="1">
      <c r="G28450" s="3336"/>
      <c r="P28450" s="3337"/>
    </row>
    <row r="28451" spans="7:16" s="1634" customFormat="1">
      <c r="G28451" s="3336"/>
      <c r="P28451" s="3337"/>
    </row>
    <row r="28452" spans="7:16" s="1634" customFormat="1">
      <c r="G28452" s="3336"/>
      <c r="P28452" s="3337"/>
    </row>
    <row r="28453" spans="7:16" s="1634" customFormat="1">
      <c r="G28453" s="3336"/>
      <c r="P28453" s="3337"/>
    </row>
    <row r="28454" spans="7:16" s="1634" customFormat="1">
      <c r="G28454" s="3336"/>
      <c r="P28454" s="3337"/>
    </row>
    <row r="28455" spans="7:16" s="1634" customFormat="1">
      <c r="G28455" s="3336"/>
      <c r="P28455" s="3337"/>
    </row>
    <row r="28456" spans="7:16" s="1634" customFormat="1">
      <c r="G28456" s="3336"/>
      <c r="P28456" s="3337"/>
    </row>
    <row r="28457" spans="7:16" s="1634" customFormat="1">
      <c r="G28457" s="3336"/>
      <c r="P28457" s="3337"/>
    </row>
    <row r="28458" spans="7:16" s="1634" customFormat="1">
      <c r="G28458" s="3336"/>
      <c r="P28458" s="3337"/>
    </row>
    <row r="28459" spans="7:16" s="1634" customFormat="1">
      <c r="G28459" s="3336"/>
      <c r="P28459" s="3337"/>
    </row>
    <row r="28460" spans="7:16" s="1634" customFormat="1">
      <c r="G28460" s="3336"/>
      <c r="P28460" s="3337"/>
    </row>
    <row r="28461" spans="7:16" s="1634" customFormat="1">
      <c r="G28461" s="3336"/>
      <c r="P28461" s="3337"/>
    </row>
    <row r="28462" spans="7:16" s="1634" customFormat="1">
      <c r="G28462" s="3336"/>
      <c r="P28462" s="3337"/>
    </row>
    <row r="28463" spans="7:16" s="1634" customFormat="1">
      <c r="G28463" s="3336"/>
      <c r="P28463" s="3337"/>
    </row>
    <row r="28464" spans="7:16" s="1634" customFormat="1">
      <c r="G28464" s="3336"/>
      <c r="P28464" s="3337"/>
    </row>
    <row r="28465" spans="7:16" s="1634" customFormat="1">
      <c r="G28465" s="3336"/>
      <c r="P28465" s="3337"/>
    </row>
    <row r="28466" spans="7:16" s="1634" customFormat="1">
      <c r="G28466" s="3336"/>
      <c r="P28466" s="3337"/>
    </row>
    <row r="28467" spans="7:16" s="1634" customFormat="1">
      <c r="G28467" s="3336"/>
      <c r="P28467" s="3337"/>
    </row>
    <row r="28468" spans="7:16" s="1634" customFormat="1">
      <c r="G28468" s="3336"/>
      <c r="P28468" s="3337"/>
    </row>
    <row r="28469" spans="7:16" s="1634" customFormat="1">
      <c r="G28469" s="3336"/>
      <c r="P28469" s="3337"/>
    </row>
    <row r="28470" spans="7:16" s="1634" customFormat="1">
      <c r="G28470" s="3336"/>
      <c r="P28470" s="3337"/>
    </row>
    <row r="28471" spans="7:16" s="1634" customFormat="1">
      <c r="G28471" s="3336"/>
      <c r="P28471" s="3337"/>
    </row>
    <row r="28472" spans="7:16" s="1634" customFormat="1">
      <c r="G28472" s="3336"/>
      <c r="P28472" s="3337"/>
    </row>
    <row r="28473" spans="7:16" s="1634" customFormat="1">
      <c r="G28473" s="3336"/>
      <c r="P28473" s="3337"/>
    </row>
    <row r="28474" spans="7:16" s="1634" customFormat="1">
      <c r="G28474" s="3336"/>
      <c r="P28474" s="3337"/>
    </row>
    <row r="28475" spans="7:16" s="1634" customFormat="1">
      <c r="G28475" s="3336"/>
      <c r="P28475" s="3337"/>
    </row>
    <row r="28476" spans="7:16" s="1634" customFormat="1">
      <c r="G28476" s="3336"/>
      <c r="P28476" s="3337"/>
    </row>
    <row r="28477" spans="7:16" s="1634" customFormat="1">
      <c r="G28477" s="3336"/>
      <c r="P28477" s="3337"/>
    </row>
    <row r="28478" spans="7:16" s="1634" customFormat="1">
      <c r="G28478" s="3336"/>
      <c r="P28478" s="3337"/>
    </row>
    <row r="28479" spans="7:16" s="1634" customFormat="1">
      <c r="G28479" s="3336"/>
      <c r="P28479" s="3337"/>
    </row>
    <row r="28480" spans="7:16" s="1634" customFormat="1">
      <c r="G28480" s="3336"/>
      <c r="P28480" s="3337"/>
    </row>
    <row r="28481" spans="7:16" s="1634" customFormat="1">
      <c r="G28481" s="3336"/>
      <c r="P28481" s="3337"/>
    </row>
    <row r="28482" spans="7:16" s="1634" customFormat="1">
      <c r="G28482" s="3336"/>
      <c r="P28482" s="3337"/>
    </row>
    <row r="28483" spans="7:16" s="1634" customFormat="1">
      <c r="G28483" s="3336"/>
      <c r="P28483" s="3337"/>
    </row>
    <row r="28484" spans="7:16" s="1634" customFormat="1">
      <c r="G28484" s="3336"/>
      <c r="P28484" s="3337"/>
    </row>
    <row r="28485" spans="7:16" s="1634" customFormat="1">
      <c r="G28485" s="3336"/>
      <c r="P28485" s="3337"/>
    </row>
    <row r="28486" spans="7:16" s="1634" customFormat="1">
      <c r="G28486" s="3336"/>
      <c r="P28486" s="3337"/>
    </row>
    <row r="28487" spans="7:16" s="1634" customFormat="1">
      <c r="G28487" s="3336"/>
      <c r="P28487" s="3337"/>
    </row>
    <row r="28488" spans="7:16" s="1634" customFormat="1">
      <c r="G28488" s="3336"/>
      <c r="P28488" s="3337"/>
    </row>
    <row r="28489" spans="7:16" s="1634" customFormat="1">
      <c r="G28489" s="3336"/>
      <c r="P28489" s="3337"/>
    </row>
    <row r="28490" spans="7:16" s="1634" customFormat="1">
      <c r="G28490" s="3336"/>
      <c r="P28490" s="3337"/>
    </row>
    <row r="28491" spans="7:16" s="1634" customFormat="1">
      <c r="G28491" s="3336"/>
      <c r="P28491" s="3337"/>
    </row>
    <row r="28492" spans="7:16" s="1634" customFormat="1">
      <c r="G28492" s="3336"/>
      <c r="P28492" s="3337"/>
    </row>
    <row r="28493" spans="7:16" s="1634" customFormat="1">
      <c r="G28493" s="3336"/>
      <c r="P28493" s="3337"/>
    </row>
    <row r="28494" spans="7:16" s="1634" customFormat="1">
      <c r="G28494" s="3336"/>
      <c r="P28494" s="3337"/>
    </row>
    <row r="28495" spans="7:16" s="1634" customFormat="1">
      <c r="G28495" s="3336"/>
      <c r="P28495" s="3337"/>
    </row>
    <row r="28496" spans="7:16" s="1634" customFormat="1">
      <c r="G28496" s="3336"/>
      <c r="P28496" s="3337"/>
    </row>
    <row r="28497" spans="7:16" s="1634" customFormat="1">
      <c r="G28497" s="3336"/>
      <c r="P28497" s="3337"/>
    </row>
    <row r="28498" spans="7:16" s="1634" customFormat="1">
      <c r="G28498" s="3336"/>
      <c r="P28498" s="3337"/>
    </row>
    <row r="28499" spans="7:16" s="1634" customFormat="1">
      <c r="G28499" s="3336"/>
      <c r="P28499" s="3337"/>
    </row>
    <row r="28500" spans="7:16" s="1634" customFormat="1">
      <c r="G28500" s="3336"/>
      <c r="P28500" s="3337"/>
    </row>
    <row r="28501" spans="7:16" s="1634" customFormat="1">
      <c r="G28501" s="3336"/>
      <c r="P28501" s="3337"/>
    </row>
    <row r="28502" spans="7:16" s="1634" customFormat="1">
      <c r="G28502" s="3336"/>
      <c r="P28502" s="3337"/>
    </row>
    <row r="28503" spans="7:16" s="1634" customFormat="1">
      <c r="G28503" s="3336"/>
      <c r="P28503" s="3337"/>
    </row>
    <row r="28504" spans="7:16" s="1634" customFormat="1">
      <c r="G28504" s="3336"/>
      <c r="P28504" s="3337"/>
    </row>
    <row r="28505" spans="7:16" s="1634" customFormat="1">
      <c r="G28505" s="3336"/>
      <c r="P28505" s="3337"/>
    </row>
    <row r="28506" spans="7:16" s="1634" customFormat="1">
      <c r="G28506" s="3336"/>
      <c r="P28506" s="3337"/>
    </row>
    <row r="28507" spans="7:16" s="1634" customFormat="1">
      <c r="G28507" s="3336"/>
      <c r="P28507" s="3337"/>
    </row>
    <row r="28508" spans="7:16" s="1634" customFormat="1">
      <c r="G28508" s="3336"/>
      <c r="P28508" s="3337"/>
    </row>
    <row r="28509" spans="7:16" s="1634" customFormat="1">
      <c r="G28509" s="3336"/>
      <c r="P28509" s="3337"/>
    </row>
    <row r="28510" spans="7:16" s="1634" customFormat="1">
      <c r="G28510" s="3336"/>
      <c r="P28510" s="3337"/>
    </row>
    <row r="28511" spans="7:16" s="1634" customFormat="1">
      <c r="G28511" s="3336"/>
      <c r="P28511" s="3337"/>
    </row>
    <row r="28512" spans="7:16" s="1634" customFormat="1">
      <c r="G28512" s="3336"/>
      <c r="P28512" s="3337"/>
    </row>
    <row r="28513" spans="7:16" s="1634" customFormat="1">
      <c r="G28513" s="3336"/>
      <c r="P28513" s="3337"/>
    </row>
    <row r="28514" spans="7:16" s="1634" customFormat="1">
      <c r="G28514" s="3336"/>
      <c r="P28514" s="3337"/>
    </row>
    <row r="28515" spans="7:16" s="1634" customFormat="1">
      <c r="G28515" s="3336"/>
      <c r="P28515" s="3337"/>
    </row>
    <row r="28516" spans="7:16" s="1634" customFormat="1">
      <c r="G28516" s="3336"/>
      <c r="P28516" s="3337"/>
    </row>
    <row r="28517" spans="7:16" s="1634" customFormat="1">
      <c r="G28517" s="3336"/>
      <c r="P28517" s="3337"/>
    </row>
    <row r="28518" spans="7:16" s="1634" customFormat="1">
      <c r="G28518" s="3336"/>
      <c r="P28518" s="3337"/>
    </row>
    <row r="28519" spans="7:16" s="1634" customFormat="1">
      <c r="G28519" s="3336"/>
      <c r="P28519" s="3337"/>
    </row>
    <row r="28520" spans="7:16" s="1634" customFormat="1">
      <c r="G28520" s="3336"/>
      <c r="P28520" s="3337"/>
    </row>
    <row r="28521" spans="7:16" s="1634" customFormat="1">
      <c r="G28521" s="3336"/>
      <c r="P28521" s="3337"/>
    </row>
    <row r="28522" spans="7:16" s="1634" customFormat="1">
      <c r="G28522" s="3336"/>
      <c r="P28522" s="3337"/>
    </row>
    <row r="28523" spans="7:16" s="1634" customFormat="1">
      <c r="G28523" s="3336"/>
      <c r="P28523" s="3337"/>
    </row>
    <row r="28524" spans="7:16" s="1634" customFormat="1">
      <c r="G28524" s="3336"/>
      <c r="P28524" s="3337"/>
    </row>
    <row r="28525" spans="7:16" s="1634" customFormat="1">
      <c r="G28525" s="3336"/>
      <c r="P28525" s="3337"/>
    </row>
    <row r="28526" spans="7:16" s="1634" customFormat="1">
      <c r="G28526" s="3336"/>
      <c r="P28526" s="3337"/>
    </row>
    <row r="28527" spans="7:16" s="1634" customFormat="1">
      <c r="G28527" s="3336"/>
      <c r="P28527" s="3337"/>
    </row>
    <row r="28528" spans="7:16" s="1634" customFormat="1">
      <c r="G28528" s="3336"/>
      <c r="P28528" s="3337"/>
    </row>
    <row r="28529" spans="7:16" s="1634" customFormat="1">
      <c r="G28529" s="3336"/>
      <c r="P28529" s="3337"/>
    </row>
    <row r="28530" spans="7:16" s="1634" customFormat="1">
      <c r="G28530" s="3336"/>
      <c r="P28530" s="3337"/>
    </row>
    <row r="28531" spans="7:16" s="1634" customFormat="1">
      <c r="G28531" s="3336"/>
      <c r="P28531" s="3337"/>
    </row>
    <row r="28532" spans="7:16" s="1634" customFormat="1">
      <c r="G28532" s="3336"/>
      <c r="P28532" s="3337"/>
    </row>
    <row r="28533" spans="7:16" s="1634" customFormat="1">
      <c r="G28533" s="3336"/>
      <c r="P28533" s="3337"/>
    </row>
    <row r="28534" spans="7:16" s="1634" customFormat="1">
      <c r="G28534" s="3336"/>
      <c r="P28534" s="3337"/>
    </row>
    <row r="28535" spans="7:16" s="1634" customFormat="1">
      <c r="G28535" s="3336"/>
      <c r="P28535" s="3337"/>
    </row>
    <row r="28536" spans="7:16" s="1634" customFormat="1">
      <c r="G28536" s="3336"/>
      <c r="P28536" s="3337"/>
    </row>
    <row r="28537" spans="7:16" s="1634" customFormat="1">
      <c r="G28537" s="3336"/>
      <c r="P28537" s="3337"/>
    </row>
    <row r="28538" spans="7:16" s="1634" customFormat="1">
      <c r="G28538" s="3336"/>
      <c r="P28538" s="3337"/>
    </row>
    <row r="28539" spans="7:16" s="1634" customFormat="1">
      <c r="G28539" s="3336"/>
      <c r="P28539" s="3337"/>
    </row>
    <row r="28540" spans="7:16" s="1634" customFormat="1">
      <c r="G28540" s="3336"/>
      <c r="P28540" s="3337"/>
    </row>
    <row r="28541" spans="7:16" s="1634" customFormat="1">
      <c r="G28541" s="3336"/>
      <c r="P28541" s="3337"/>
    </row>
    <row r="28542" spans="7:16" s="1634" customFormat="1">
      <c r="G28542" s="3336"/>
      <c r="P28542" s="3337"/>
    </row>
    <row r="28543" spans="7:16" s="1634" customFormat="1">
      <c r="G28543" s="3336"/>
      <c r="P28543" s="3337"/>
    </row>
    <row r="28544" spans="7:16" s="1634" customFormat="1">
      <c r="G28544" s="3336"/>
      <c r="P28544" s="3337"/>
    </row>
    <row r="28545" spans="7:16" s="1634" customFormat="1">
      <c r="G28545" s="3336"/>
      <c r="P28545" s="3337"/>
    </row>
    <row r="28546" spans="7:16" s="1634" customFormat="1">
      <c r="G28546" s="3336"/>
      <c r="P28546" s="3337"/>
    </row>
    <row r="28547" spans="7:16" s="1634" customFormat="1">
      <c r="G28547" s="3336"/>
      <c r="P28547" s="3337"/>
    </row>
    <row r="28548" spans="7:16" s="1634" customFormat="1">
      <c r="G28548" s="3336"/>
      <c r="P28548" s="3337"/>
    </row>
    <row r="28549" spans="7:16" s="1634" customFormat="1">
      <c r="G28549" s="3336"/>
      <c r="P28549" s="3337"/>
    </row>
    <row r="28550" spans="7:16" s="1634" customFormat="1">
      <c r="G28550" s="3336"/>
      <c r="P28550" s="3337"/>
    </row>
    <row r="28551" spans="7:16" s="1634" customFormat="1">
      <c r="G28551" s="3336"/>
      <c r="P28551" s="3337"/>
    </row>
    <row r="28552" spans="7:16" s="1634" customFormat="1">
      <c r="G28552" s="3336"/>
      <c r="P28552" s="3337"/>
    </row>
    <row r="28553" spans="7:16" s="1634" customFormat="1">
      <c r="G28553" s="3336"/>
      <c r="P28553" s="3337"/>
    </row>
    <row r="28554" spans="7:16" s="1634" customFormat="1">
      <c r="G28554" s="3336"/>
      <c r="P28554" s="3337"/>
    </row>
    <row r="28555" spans="7:16" s="1634" customFormat="1">
      <c r="G28555" s="3336"/>
      <c r="P28555" s="3337"/>
    </row>
    <row r="28556" spans="7:16" s="1634" customFormat="1">
      <c r="G28556" s="3336"/>
      <c r="P28556" s="3337"/>
    </row>
    <row r="28557" spans="7:16" s="1634" customFormat="1">
      <c r="G28557" s="3336"/>
      <c r="P28557" s="3337"/>
    </row>
    <row r="28558" spans="7:16" s="1634" customFormat="1">
      <c r="G28558" s="3336"/>
      <c r="P28558" s="3337"/>
    </row>
    <row r="28559" spans="7:16" s="1634" customFormat="1">
      <c r="G28559" s="3336"/>
      <c r="P28559" s="3337"/>
    </row>
    <row r="28560" spans="7:16" s="1634" customFormat="1">
      <c r="G28560" s="3336"/>
      <c r="P28560" s="3337"/>
    </row>
    <row r="28561" spans="7:16" s="1634" customFormat="1">
      <c r="G28561" s="3336"/>
      <c r="P28561" s="3337"/>
    </row>
    <row r="28562" spans="7:16" s="1634" customFormat="1">
      <c r="G28562" s="3336"/>
      <c r="P28562" s="3337"/>
    </row>
    <row r="28563" spans="7:16" s="1634" customFormat="1">
      <c r="G28563" s="3336"/>
      <c r="P28563" s="3337"/>
    </row>
    <row r="28564" spans="7:16" s="1634" customFormat="1">
      <c r="G28564" s="3336"/>
      <c r="P28564" s="3337"/>
    </row>
    <row r="28565" spans="7:16" s="1634" customFormat="1">
      <c r="G28565" s="3336"/>
      <c r="P28565" s="3337"/>
    </row>
    <row r="28566" spans="7:16" s="1634" customFormat="1">
      <c r="G28566" s="3336"/>
      <c r="P28566" s="3337"/>
    </row>
    <row r="28567" spans="7:16" s="1634" customFormat="1">
      <c r="G28567" s="3336"/>
      <c r="P28567" s="3337"/>
    </row>
    <row r="28568" spans="7:16" s="1634" customFormat="1">
      <c r="G28568" s="3336"/>
      <c r="P28568" s="3337"/>
    </row>
    <row r="28569" spans="7:16" s="1634" customFormat="1">
      <c r="G28569" s="3336"/>
      <c r="P28569" s="3337"/>
    </row>
    <row r="28570" spans="7:16" s="1634" customFormat="1">
      <c r="G28570" s="3336"/>
      <c r="P28570" s="3337"/>
    </row>
    <row r="28571" spans="7:16" s="1634" customFormat="1">
      <c r="G28571" s="3336"/>
      <c r="P28571" s="3337"/>
    </row>
    <row r="28572" spans="7:16" s="1634" customFormat="1">
      <c r="G28572" s="3336"/>
      <c r="P28572" s="3337"/>
    </row>
    <row r="28573" spans="7:16" s="1634" customFormat="1">
      <c r="G28573" s="3336"/>
      <c r="P28573" s="3337"/>
    </row>
    <row r="28574" spans="7:16" s="1634" customFormat="1">
      <c r="G28574" s="3336"/>
      <c r="P28574" s="3337"/>
    </row>
    <row r="28575" spans="7:16" s="1634" customFormat="1">
      <c r="G28575" s="3336"/>
      <c r="P28575" s="3337"/>
    </row>
    <row r="28576" spans="7:16" s="1634" customFormat="1">
      <c r="G28576" s="3336"/>
      <c r="P28576" s="3337"/>
    </row>
    <row r="28577" spans="7:16" s="1634" customFormat="1">
      <c r="G28577" s="3336"/>
      <c r="P28577" s="3337"/>
    </row>
    <row r="28578" spans="7:16" s="1634" customFormat="1">
      <c r="G28578" s="3336"/>
      <c r="P28578" s="3337"/>
    </row>
    <row r="28579" spans="7:16" s="1634" customFormat="1">
      <c r="G28579" s="3336"/>
      <c r="P28579" s="3337"/>
    </row>
    <row r="28580" spans="7:16" s="1634" customFormat="1">
      <c r="G28580" s="3336"/>
      <c r="P28580" s="3337"/>
    </row>
    <row r="28581" spans="7:16" s="1634" customFormat="1">
      <c r="G28581" s="3336"/>
      <c r="P28581" s="3337"/>
    </row>
    <row r="28582" spans="7:16" s="1634" customFormat="1">
      <c r="G28582" s="3336"/>
      <c r="P28582" s="3337"/>
    </row>
    <row r="28583" spans="7:16" s="1634" customFormat="1">
      <c r="G28583" s="3336"/>
      <c r="P28583" s="3337"/>
    </row>
    <row r="28584" spans="7:16" s="1634" customFormat="1">
      <c r="G28584" s="3336"/>
      <c r="P28584" s="3337"/>
    </row>
    <row r="28585" spans="7:16" s="1634" customFormat="1">
      <c r="G28585" s="3336"/>
      <c r="P28585" s="3337"/>
    </row>
    <row r="28586" spans="7:16" s="1634" customFormat="1">
      <c r="G28586" s="3336"/>
      <c r="P28586" s="3337"/>
    </row>
    <row r="28587" spans="7:16" s="1634" customFormat="1">
      <c r="G28587" s="3336"/>
      <c r="P28587" s="3337"/>
    </row>
    <row r="28588" spans="7:16" s="1634" customFormat="1">
      <c r="G28588" s="3336"/>
      <c r="P28588" s="3337"/>
    </row>
    <row r="28589" spans="7:16" s="1634" customFormat="1">
      <c r="G28589" s="3336"/>
      <c r="P28589" s="3337"/>
    </row>
    <row r="28590" spans="7:16" s="1634" customFormat="1">
      <c r="G28590" s="3336"/>
      <c r="P28590" s="3337"/>
    </row>
    <row r="28591" spans="7:16" s="1634" customFormat="1">
      <c r="G28591" s="3336"/>
      <c r="P28591" s="3337"/>
    </row>
    <row r="28592" spans="7:16" s="1634" customFormat="1">
      <c r="G28592" s="3336"/>
      <c r="P28592" s="3337"/>
    </row>
    <row r="28593" spans="7:16" s="1634" customFormat="1">
      <c r="G28593" s="3336"/>
      <c r="P28593" s="3337"/>
    </row>
    <row r="28594" spans="7:16" s="1634" customFormat="1">
      <c r="G28594" s="3336"/>
      <c r="P28594" s="3337"/>
    </row>
    <row r="28595" spans="7:16" s="1634" customFormat="1">
      <c r="G28595" s="3336"/>
      <c r="P28595" s="3337"/>
    </row>
    <row r="28596" spans="7:16" s="1634" customFormat="1">
      <c r="G28596" s="3336"/>
      <c r="P28596" s="3337"/>
    </row>
    <row r="28597" spans="7:16" s="1634" customFormat="1">
      <c r="G28597" s="3336"/>
      <c r="P28597" s="3337"/>
    </row>
    <row r="28598" spans="7:16" s="1634" customFormat="1">
      <c r="G28598" s="3336"/>
      <c r="P28598" s="3337"/>
    </row>
    <row r="28599" spans="7:16" s="1634" customFormat="1">
      <c r="G28599" s="3336"/>
      <c r="P28599" s="3337"/>
    </row>
    <row r="28600" spans="7:16" s="1634" customFormat="1">
      <c r="G28600" s="3336"/>
      <c r="P28600" s="3337"/>
    </row>
    <row r="28601" spans="7:16" s="1634" customFormat="1">
      <c r="G28601" s="3336"/>
      <c r="P28601" s="3337"/>
    </row>
    <row r="28602" spans="7:16" s="1634" customFormat="1">
      <c r="G28602" s="3336"/>
      <c r="P28602" s="3337"/>
    </row>
    <row r="28603" spans="7:16" s="1634" customFormat="1">
      <c r="G28603" s="3336"/>
      <c r="P28603" s="3337"/>
    </row>
    <row r="28604" spans="7:16" s="1634" customFormat="1">
      <c r="G28604" s="3336"/>
      <c r="P28604" s="3337"/>
    </row>
    <row r="28605" spans="7:16" s="1634" customFormat="1">
      <c r="G28605" s="3336"/>
      <c r="P28605" s="3337"/>
    </row>
    <row r="28606" spans="7:16" s="1634" customFormat="1">
      <c r="G28606" s="3336"/>
      <c r="P28606" s="3337"/>
    </row>
    <row r="28607" spans="7:16" s="1634" customFormat="1">
      <c r="G28607" s="3336"/>
      <c r="P28607" s="3337"/>
    </row>
    <row r="28608" spans="7:16" s="1634" customFormat="1">
      <c r="G28608" s="3336"/>
      <c r="P28608" s="3337"/>
    </row>
    <row r="28609" spans="7:16" s="1634" customFormat="1">
      <c r="G28609" s="3336"/>
      <c r="P28609" s="3337"/>
    </row>
    <row r="28610" spans="7:16" s="1634" customFormat="1">
      <c r="G28610" s="3336"/>
      <c r="P28610" s="3337"/>
    </row>
    <row r="28611" spans="7:16" s="1634" customFormat="1">
      <c r="G28611" s="3336"/>
      <c r="P28611" s="3337"/>
    </row>
    <row r="28612" spans="7:16" s="1634" customFormat="1">
      <c r="G28612" s="3336"/>
      <c r="P28612" s="3337"/>
    </row>
    <row r="28613" spans="7:16" s="1634" customFormat="1">
      <c r="G28613" s="3336"/>
      <c r="P28613" s="3337"/>
    </row>
    <row r="28614" spans="7:16" s="1634" customFormat="1">
      <c r="G28614" s="3336"/>
      <c r="P28614" s="3337"/>
    </row>
    <row r="28615" spans="7:16" s="1634" customFormat="1">
      <c r="G28615" s="3336"/>
      <c r="P28615" s="3337"/>
    </row>
    <row r="28616" spans="7:16" s="1634" customFormat="1">
      <c r="G28616" s="3336"/>
      <c r="P28616" s="3337"/>
    </row>
    <row r="28617" spans="7:16" s="1634" customFormat="1">
      <c r="G28617" s="3336"/>
      <c r="P28617" s="3337"/>
    </row>
    <row r="28618" spans="7:16" s="1634" customFormat="1">
      <c r="G28618" s="3336"/>
      <c r="P28618" s="3337"/>
    </row>
    <row r="28619" spans="7:16" s="1634" customFormat="1">
      <c r="G28619" s="3336"/>
      <c r="P28619" s="3337"/>
    </row>
    <row r="28620" spans="7:16" s="1634" customFormat="1">
      <c r="G28620" s="3336"/>
      <c r="P28620" s="3337"/>
    </row>
    <row r="28621" spans="7:16" s="1634" customFormat="1">
      <c r="G28621" s="3336"/>
      <c r="P28621" s="3337"/>
    </row>
    <row r="28622" spans="7:16" s="1634" customFormat="1">
      <c r="G28622" s="3336"/>
      <c r="P28622" s="3337"/>
    </row>
    <row r="28623" spans="7:16" s="1634" customFormat="1">
      <c r="G28623" s="3336"/>
      <c r="P28623" s="3337"/>
    </row>
    <row r="28624" spans="7:16" s="1634" customFormat="1">
      <c r="G28624" s="3336"/>
      <c r="P28624" s="3337"/>
    </row>
    <row r="28625" spans="7:16" s="1634" customFormat="1">
      <c r="G28625" s="3336"/>
      <c r="P28625" s="3337"/>
    </row>
    <row r="28626" spans="7:16" s="1634" customFormat="1">
      <c r="G28626" s="3336"/>
      <c r="P28626" s="3337"/>
    </row>
    <row r="28627" spans="7:16" s="1634" customFormat="1">
      <c r="G28627" s="3336"/>
      <c r="P28627" s="3337"/>
    </row>
    <row r="28628" spans="7:16" s="1634" customFormat="1">
      <c r="G28628" s="3336"/>
      <c r="P28628" s="3337"/>
    </row>
    <row r="28629" spans="7:16" s="1634" customFormat="1">
      <c r="G28629" s="3336"/>
      <c r="P28629" s="3337"/>
    </row>
    <row r="28630" spans="7:16" s="1634" customFormat="1">
      <c r="G28630" s="3336"/>
      <c r="P28630" s="3337"/>
    </row>
    <row r="28631" spans="7:16" s="1634" customFormat="1">
      <c r="G28631" s="3336"/>
      <c r="P28631" s="3337"/>
    </row>
    <row r="28632" spans="7:16" s="1634" customFormat="1">
      <c r="G28632" s="3336"/>
      <c r="P28632" s="3337"/>
    </row>
    <row r="28633" spans="7:16" s="1634" customFormat="1">
      <c r="G28633" s="3336"/>
      <c r="P28633" s="3337"/>
    </row>
    <row r="28634" spans="7:16" s="1634" customFormat="1">
      <c r="G28634" s="3336"/>
      <c r="P28634" s="3337"/>
    </row>
    <row r="28635" spans="7:16" s="1634" customFormat="1">
      <c r="G28635" s="3336"/>
      <c r="P28635" s="3337"/>
    </row>
    <row r="28636" spans="7:16" s="1634" customFormat="1">
      <c r="G28636" s="3336"/>
      <c r="P28636" s="3337"/>
    </row>
    <row r="28637" spans="7:16" s="1634" customFormat="1">
      <c r="G28637" s="3336"/>
      <c r="P28637" s="3337"/>
    </row>
    <row r="28638" spans="7:16" s="1634" customFormat="1">
      <c r="G28638" s="3336"/>
      <c r="P28638" s="3337"/>
    </row>
    <row r="28639" spans="7:16" s="1634" customFormat="1">
      <c r="G28639" s="3336"/>
      <c r="P28639" s="3337"/>
    </row>
    <row r="28640" spans="7:16" s="1634" customFormat="1">
      <c r="G28640" s="3336"/>
      <c r="P28640" s="3337"/>
    </row>
    <row r="28641" spans="7:16" s="1634" customFormat="1">
      <c r="G28641" s="3336"/>
      <c r="P28641" s="3337"/>
    </row>
    <row r="28642" spans="7:16" s="1634" customFormat="1">
      <c r="G28642" s="3336"/>
      <c r="P28642" s="3337"/>
    </row>
    <row r="28643" spans="7:16" s="1634" customFormat="1">
      <c r="G28643" s="3336"/>
      <c r="P28643" s="3337"/>
    </row>
    <row r="28644" spans="7:16" s="1634" customFormat="1">
      <c r="G28644" s="3336"/>
      <c r="P28644" s="3337"/>
    </row>
    <row r="28645" spans="7:16" s="1634" customFormat="1">
      <c r="G28645" s="3336"/>
      <c r="P28645" s="3337"/>
    </row>
    <row r="28646" spans="7:16" s="1634" customFormat="1">
      <c r="G28646" s="3336"/>
      <c r="P28646" s="3337"/>
    </row>
    <row r="28647" spans="7:16" s="1634" customFormat="1">
      <c r="G28647" s="3336"/>
      <c r="P28647" s="3337"/>
    </row>
    <row r="28648" spans="7:16" s="1634" customFormat="1">
      <c r="G28648" s="3336"/>
      <c r="P28648" s="3337"/>
    </row>
    <row r="28649" spans="7:16" s="1634" customFormat="1">
      <c r="G28649" s="3336"/>
      <c r="P28649" s="3337"/>
    </row>
    <row r="28650" spans="7:16" s="1634" customFormat="1">
      <c r="G28650" s="3336"/>
      <c r="P28650" s="3337"/>
    </row>
    <row r="28651" spans="7:16" s="1634" customFormat="1">
      <c r="G28651" s="3336"/>
      <c r="P28651" s="3337"/>
    </row>
    <row r="28652" spans="7:16" s="1634" customFormat="1">
      <c r="G28652" s="3336"/>
      <c r="P28652" s="3337"/>
    </row>
    <row r="28653" spans="7:16" s="1634" customFormat="1">
      <c r="G28653" s="3336"/>
      <c r="P28653" s="3337"/>
    </row>
    <row r="28654" spans="7:16" s="1634" customFormat="1">
      <c r="G28654" s="3336"/>
      <c r="P28654" s="3337"/>
    </row>
    <row r="28655" spans="7:16" s="1634" customFormat="1">
      <c r="G28655" s="3336"/>
      <c r="P28655" s="3337"/>
    </row>
    <row r="28656" spans="7:16" s="1634" customFormat="1">
      <c r="G28656" s="3336"/>
      <c r="P28656" s="3337"/>
    </row>
    <row r="28657" spans="7:16" s="1634" customFormat="1">
      <c r="G28657" s="3336"/>
      <c r="P28657" s="3337"/>
    </row>
    <row r="28658" spans="7:16" s="1634" customFormat="1">
      <c r="G28658" s="3336"/>
      <c r="P28658" s="3337"/>
    </row>
    <row r="28659" spans="7:16" s="1634" customFormat="1">
      <c r="G28659" s="3336"/>
      <c r="P28659" s="3337"/>
    </row>
    <row r="28660" spans="7:16" s="1634" customFormat="1">
      <c r="G28660" s="3336"/>
      <c r="P28660" s="3337"/>
    </row>
    <row r="28661" spans="7:16" s="1634" customFormat="1">
      <c r="G28661" s="3336"/>
      <c r="P28661" s="3337"/>
    </row>
    <row r="28662" spans="7:16" s="1634" customFormat="1">
      <c r="G28662" s="3336"/>
      <c r="P28662" s="3337"/>
    </row>
    <row r="28663" spans="7:16" s="1634" customFormat="1">
      <c r="G28663" s="3336"/>
      <c r="P28663" s="3337"/>
    </row>
    <row r="28664" spans="7:16" s="1634" customFormat="1">
      <c r="G28664" s="3336"/>
      <c r="P28664" s="3337"/>
    </row>
    <row r="28665" spans="7:16" s="1634" customFormat="1">
      <c r="G28665" s="3336"/>
      <c r="P28665" s="3337"/>
    </row>
    <row r="28666" spans="7:16" s="1634" customFormat="1">
      <c r="G28666" s="3336"/>
      <c r="P28666" s="3337"/>
    </row>
    <row r="28667" spans="7:16" s="1634" customFormat="1">
      <c r="G28667" s="3336"/>
      <c r="P28667" s="3337"/>
    </row>
    <row r="28668" spans="7:16" s="1634" customFormat="1">
      <c r="G28668" s="3336"/>
      <c r="P28668" s="3337"/>
    </row>
    <row r="28669" spans="7:16" s="1634" customFormat="1">
      <c r="G28669" s="3336"/>
      <c r="P28669" s="3337"/>
    </row>
    <row r="28670" spans="7:16" s="1634" customFormat="1">
      <c r="G28670" s="3336"/>
      <c r="P28670" s="3337"/>
    </row>
    <row r="28671" spans="7:16" s="1634" customFormat="1">
      <c r="G28671" s="3336"/>
      <c r="P28671" s="3337"/>
    </row>
    <row r="28672" spans="7:16" s="1634" customFormat="1">
      <c r="G28672" s="3336"/>
      <c r="P28672" s="3337"/>
    </row>
    <row r="28673" spans="7:16" s="1634" customFormat="1">
      <c r="G28673" s="3336"/>
      <c r="P28673" s="3337"/>
    </row>
    <row r="28674" spans="7:16" s="1634" customFormat="1">
      <c r="G28674" s="3336"/>
      <c r="P28674" s="3337"/>
    </row>
    <row r="28675" spans="7:16" s="1634" customFormat="1">
      <c r="G28675" s="3336"/>
      <c r="P28675" s="3337"/>
    </row>
    <row r="28676" spans="7:16" s="1634" customFormat="1">
      <c r="G28676" s="3336"/>
      <c r="P28676" s="3337"/>
    </row>
    <row r="28677" spans="7:16" s="1634" customFormat="1">
      <c r="G28677" s="3336"/>
      <c r="P28677" s="3337"/>
    </row>
    <row r="28678" spans="7:16" s="1634" customFormat="1">
      <c r="G28678" s="3336"/>
      <c r="P28678" s="3337"/>
    </row>
    <row r="28679" spans="7:16" s="1634" customFormat="1">
      <c r="G28679" s="3336"/>
      <c r="P28679" s="3337"/>
    </row>
    <row r="28680" spans="7:16" s="1634" customFormat="1">
      <c r="G28680" s="3336"/>
      <c r="P28680" s="3337"/>
    </row>
    <row r="28681" spans="7:16" s="1634" customFormat="1">
      <c r="G28681" s="3336"/>
      <c r="P28681" s="3337"/>
    </row>
    <row r="28682" spans="7:16" s="1634" customFormat="1">
      <c r="G28682" s="3336"/>
      <c r="P28682" s="3337"/>
    </row>
    <row r="28683" spans="7:16" s="1634" customFormat="1">
      <c r="G28683" s="3336"/>
      <c r="P28683" s="3337"/>
    </row>
    <row r="28684" spans="7:16" s="1634" customFormat="1">
      <c r="G28684" s="3336"/>
      <c r="P28684" s="3337"/>
    </row>
    <row r="28685" spans="7:16" s="1634" customFormat="1">
      <c r="G28685" s="3336"/>
      <c r="P28685" s="3337"/>
    </row>
    <row r="28686" spans="7:16" s="1634" customFormat="1">
      <c r="G28686" s="3336"/>
      <c r="P28686" s="3337"/>
    </row>
    <row r="28687" spans="7:16" s="1634" customFormat="1">
      <c r="G28687" s="3336"/>
      <c r="P28687" s="3337"/>
    </row>
    <row r="28688" spans="7:16" s="1634" customFormat="1">
      <c r="G28688" s="3336"/>
      <c r="P28688" s="3337"/>
    </row>
    <row r="28689" spans="7:16" s="1634" customFormat="1">
      <c r="G28689" s="3336"/>
      <c r="P28689" s="3337"/>
    </row>
    <row r="28690" spans="7:16" s="1634" customFormat="1">
      <c r="G28690" s="3336"/>
      <c r="P28690" s="3337"/>
    </row>
    <row r="28691" spans="7:16" s="1634" customFormat="1">
      <c r="G28691" s="3336"/>
      <c r="P28691" s="3337"/>
    </row>
    <row r="28692" spans="7:16" s="1634" customFormat="1">
      <c r="G28692" s="3336"/>
      <c r="P28692" s="3337"/>
    </row>
    <row r="28693" spans="7:16" s="1634" customFormat="1">
      <c r="G28693" s="3336"/>
      <c r="P28693" s="3337"/>
    </row>
    <row r="28694" spans="7:16" s="1634" customFormat="1">
      <c r="G28694" s="3336"/>
      <c r="P28694" s="3337"/>
    </row>
    <row r="28695" spans="7:16" s="1634" customFormat="1">
      <c r="G28695" s="3336"/>
      <c r="P28695" s="3337"/>
    </row>
    <row r="28696" spans="7:16" s="1634" customFormat="1">
      <c r="G28696" s="3336"/>
      <c r="P28696" s="3337"/>
    </row>
    <row r="28697" spans="7:16" s="1634" customFormat="1">
      <c r="G28697" s="3336"/>
      <c r="P28697" s="3337"/>
    </row>
    <row r="28698" spans="7:16" s="1634" customFormat="1">
      <c r="G28698" s="3336"/>
      <c r="P28698" s="3337"/>
    </row>
    <row r="28699" spans="7:16" s="1634" customFormat="1">
      <c r="G28699" s="3336"/>
      <c r="P28699" s="3337"/>
    </row>
    <row r="28700" spans="7:16" s="1634" customFormat="1">
      <c r="G28700" s="3336"/>
      <c r="P28700" s="3337"/>
    </row>
    <row r="28701" spans="7:16" s="1634" customFormat="1">
      <c r="G28701" s="3336"/>
      <c r="P28701" s="3337"/>
    </row>
    <row r="28702" spans="7:16" s="1634" customFormat="1">
      <c r="G28702" s="3336"/>
      <c r="P28702" s="3337"/>
    </row>
    <row r="28703" spans="7:16" s="1634" customFormat="1">
      <c r="G28703" s="3336"/>
      <c r="P28703" s="3337"/>
    </row>
    <row r="28704" spans="7:16" s="1634" customFormat="1">
      <c r="G28704" s="3336"/>
      <c r="P28704" s="3337"/>
    </row>
    <row r="28705" spans="7:16" s="1634" customFormat="1">
      <c r="G28705" s="3336"/>
      <c r="P28705" s="3337"/>
    </row>
    <row r="28706" spans="7:16" s="1634" customFormat="1">
      <c r="G28706" s="3336"/>
      <c r="P28706" s="3337"/>
    </row>
    <row r="28707" spans="7:16" s="1634" customFormat="1">
      <c r="G28707" s="3336"/>
      <c r="P28707" s="3337"/>
    </row>
    <row r="28708" spans="7:16" s="1634" customFormat="1">
      <c r="G28708" s="3336"/>
      <c r="P28708" s="3337"/>
    </row>
    <row r="28709" spans="7:16" s="1634" customFormat="1">
      <c r="G28709" s="3336"/>
      <c r="P28709" s="3337"/>
    </row>
    <row r="28710" spans="7:16" s="1634" customFormat="1">
      <c r="G28710" s="3336"/>
      <c r="P28710" s="3337"/>
    </row>
    <row r="28711" spans="7:16" s="1634" customFormat="1">
      <c r="G28711" s="3336"/>
      <c r="P28711" s="3337"/>
    </row>
    <row r="28712" spans="7:16" s="1634" customFormat="1">
      <c r="G28712" s="3336"/>
      <c r="P28712" s="3337"/>
    </row>
    <row r="28713" spans="7:16" s="1634" customFormat="1">
      <c r="G28713" s="3336"/>
      <c r="P28713" s="3337"/>
    </row>
    <row r="28714" spans="7:16" s="1634" customFormat="1">
      <c r="G28714" s="3336"/>
      <c r="P28714" s="3337"/>
    </row>
    <row r="28715" spans="7:16" s="1634" customFormat="1">
      <c r="G28715" s="3336"/>
      <c r="P28715" s="3337"/>
    </row>
    <row r="28716" spans="7:16" s="1634" customFormat="1">
      <c r="G28716" s="3336"/>
      <c r="P28716" s="3337"/>
    </row>
    <row r="28717" spans="7:16" s="1634" customFormat="1">
      <c r="G28717" s="3336"/>
      <c r="P28717" s="3337"/>
    </row>
    <row r="28718" spans="7:16" s="1634" customFormat="1">
      <c r="G28718" s="3336"/>
      <c r="P28718" s="3337"/>
    </row>
    <row r="28719" spans="7:16" s="1634" customFormat="1">
      <c r="G28719" s="3336"/>
      <c r="P28719" s="3337"/>
    </row>
    <row r="28720" spans="7:16" s="1634" customFormat="1">
      <c r="G28720" s="3336"/>
      <c r="P28720" s="3337"/>
    </row>
    <row r="28721" spans="7:16" s="1634" customFormat="1">
      <c r="G28721" s="3336"/>
      <c r="P28721" s="3337"/>
    </row>
    <row r="28722" spans="7:16" s="1634" customFormat="1">
      <c r="G28722" s="3336"/>
      <c r="P28722" s="3337"/>
    </row>
    <row r="28723" spans="7:16" s="1634" customFormat="1">
      <c r="G28723" s="3336"/>
      <c r="P28723" s="3337"/>
    </row>
    <row r="28724" spans="7:16" s="1634" customFormat="1">
      <c r="G28724" s="3336"/>
      <c r="P28724" s="3337"/>
    </row>
    <row r="28725" spans="7:16" s="1634" customFormat="1">
      <c r="G28725" s="3336"/>
      <c r="P28725" s="3337"/>
    </row>
    <row r="28726" spans="7:16" s="1634" customFormat="1">
      <c r="G28726" s="3336"/>
      <c r="P28726" s="3337"/>
    </row>
    <row r="28727" spans="7:16" s="1634" customFormat="1">
      <c r="G28727" s="3336"/>
      <c r="P28727" s="3337"/>
    </row>
    <row r="28728" spans="7:16" s="1634" customFormat="1">
      <c r="G28728" s="3336"/>
      <c r="P28728" s="3337"/>
    </row>
    <row r="28729" spans="7:16" s="1634" customFormat="1">
      <c r="G28729" s="3336"/>
      <c r="P28729" s="3337"/>
    </row>
    <row r="28730" spans="7:16" s="1634" customFormat="1">
      <c r="G28730" s="3336"/>
      <c r="P28730" s="3337"/>
    </row>
    <row r="28731" spans="7:16" s="1634" customFormat="1">
      <c r="G28731" s="3336"/>
      <c r="P28731" s="3337"/>
    </row>
    <row r="28732" spans="7:16" s="1634" customFormat="1">
      <c r="G28732" s="3336"/>
      <c r="P28732" s="3337"/>
    </row>
    <row r="28733" spans="7:16" s="1634" customFormat="1">
      <c r="G28733" s="3336"/>
      <c r="P28733" s="3337"/>
    </row>
    <row r="28734" spans="7:16" s="1634" customFormat="1">
      <c r="G28734" s="3336"/>
      <c r="P28734" s="3337"/>
    </row>
    <row r="28735" spans="7:16" s="1634" customFormat="1">
      <c r="G28735" s="3336"/>
      <c r="P28735" s="3337"/>
    </row>
    <row r="28736" spans="7:16" s="1634" customFormat="1">
      <c r="G28736" s="3336"/>
      <c r="P28736" s="3337"/>
    </row>
    <row r="28737" spans="7:16" s="1634" customFormat="1">
      <c r="G28737" s="3336"/>
      <c r="P28737" s="3337"/>
    </row>
    <row r="28738" spans="7:16" s="1634" customFormat="1">
      <c r="G28738" s="3336"/>
      <c r="P28738" s="3337"/>
    </row>
    <row r="28739" spans="7:16" s="1634" customFormat="1">
      <c r="G28739" s="3336"/>
      <c r="P28739" s="3337"/>
    </row>
    <row r="28740" spans="7:16" s="1634" customFormat="1">
      <c r="G28740" s="3336"/>
      <c r="P28740" s="3337"/>
    </row>
    <row r="28741" spans="7:16" s="1634" customFormat="1">
      <c r="G28741" s="3336"/>
      <c r="P28741" s="3337"/>
    </row>
    <row r="28742" spans="7:16" s="1634" customFormat="1">
      <c r="G28742" s="3336"/>
      <c r="P28742" s="3337"/>
    </row>
    <row r="28743" spans="7:16" s="1634" customFormat="1">
      <c r="G28743" s="3336"/>
      <c r="P28743" s="3337"/>
    </row>
    <row r="28744" spans="7:16" s="1634" customFormat="1">
      <c r="G28744" s="3336"/>
      <c r="P28744" s="3337"/>
    </row>
    <row r="28745" spans="7:16" s="1634" customFormat="1">
      <c r="G28745" s="3336"/>
      <c r="P28745" s="3337"/>
    </row>
    <row r="28746" spans="7:16" s="1634" customFormat="1">
      <c r="G28746" s="3336"/>
      <c r="P28746" s="3337"/>
    </row>
    <row r="28747" spans="7:16" s="1634" customFormat="1">
      <c r="G28747" s="3336"/>
      <c r="P28747" s="3337"/>
    </row>
    <row r="28748" spans="7:16" s="1634" customFormat="1">
      <c r="G28748" s="3336"/>
      <c r="P28748" s="3337"/>
    </row>
    <row r="28749" spans="7:16" s="1634" customFormat="1">
      <c r="G28749" s="3336"/>
      <c r="P28749" s="3337"/>
    </row>
    <row r="28750" spans="7:16" s="1634" customFormat="1">
      <c r="G28750" s="3336"/>
      <c r="P28750" s="3337"/>
    </row>
    <row r="28751" spans="7:16" s="1634" customFormat="1">
      <c r="G28751" s="3336"/>
      <c r="P28751" s="3337"/>
    </row>
    <row r="28752" spans="7:16" s="1634" customFormat="1">
      <c r="G28752" s="3336"/>
      <c r="P28752" s="3337"/>
    </row>
    <row r="28753" spans="7:16" s="1634" customFormat="1">
      <c r="G28753" s="3336"/>
      <c r="P28753" s="3337"/>
    </row>
    <row r="28754" spans="7:16" s="1634" customFormat="1">
      <c r="G28754" s="3336"/>
      <c r="P28754" s="3337"/>
    </row>
    <row r="28755" spans="7:16" s="1634" customFormat="1">
      <c r="G28755" s="3336"/>
      <c r="P28755" s="3337"/>
    </row>
    <row r="28756" spans="7:16" s="1634" customFormat="1">
      <c r="G28756" s="3336"/>
      <c r="P28756" s="3337"/>
    </row>
    <row r="28757" spans="7:16" s="1634" customFormat="1">
      <c r="G28757" s="3336"/>
      <c r="P28757" s="3337"/>
    </row>
    <row r="28758" spans="7:16" s="1634" customFormat="1">
      <c r="G28758" s="3336"/>
      <c r="P28758" s="3337"/>
    </row>
    <row r="28759" spans="7:16" s="1634" customFormat="1">
      <c r="G28759" s="3336"/>
      <c r="P28759" s="3337"/>
    </row>
    <row r="28760" spans="7:16" s="1634" customFormat="1">
      <c r="G28760" s="3336"/>
      <c r="P28760" s="3337"/>
    </row>
    <row r="28761" spans="7:16" s="1634" customFormat="1">
      <c r="G28761" s="3336"/>
      <c r="P28761" s="3337"/>
    </row>
    <row r="28762" spans="7:16" s="1634" customFormat="1">
      <c r="G28762" s="3336"/>
      <c r="P28762" s="3337"/>
    </row>
    <row r="28763" spans="7:16" s="1634" customFormat="1">
      <c r="G28763" s="3336"/>
      <c r="P28763" s="3337"/>
    </row>
    <row r="28764" spans="7:16" s="1634" customFormat="1">
      <c r="G28764" s="3336"/>
      <c r="P28764" s="3337"/>
    </row>
    <row r="28765" spans="7:16" s="1634" customFormat="1">
      <c r="G28765" s="3336"/>
      <c r="P28765" s="3337"/>
    </row>
    <row r="28766" spans="7:16" s="1634" customFormat="1">
      <c r="G28766" s="3336"/>
      <c r="P28766" s="3337"/>
    </row>
    <row r="28767" spans="7:16" s="1634" customFormat="1">
      <c r="G28767" s="3336"/>
      <c r="P28767" s="3337"/>
    </row>
    <row r="28768" spans="7:16" s="1634" customFormat="1">
      <c r="G28768" s="3336"/>
      <c r="P28768" s="3337"/>
    </row>
    <row r="28769" spans="7:16" s="1634" customFormat="1">
      <c r="G28769" s="3336"/>
      <c r="P28769" s="3337"/>
    </row>
    <row r="28770" spans="7:16" s="1634" customFormat="1">
      <c r="G28770" s="3336"/>
      <c r="P28770" s="3337"/>
    </row>
    <row r="28771" spans="7:16" s="1634" customFormat="1">
      <c r="G28771" s="3336"/>
      <c r="P28771" s="3337"/>
    </row>
    <row r="28772" spans="7:16" s="1634" customFormat="1">
      <c r="G28772" s="3336"/>
      <c r="P28772" s="3337"/>
    </row>
    <row r="28773" spans="7:16" s="1634" customFormat="1">
      <c r="G28773" s="3336"/>
      <c r="P28773" s="3337"/>
    </row>
    <row r="28774" spans="7:16" s="1634" customFormat="1">
      <c r="G28774" s="3336"/>
      <c r="P28774" s="3337"/>
    </row>
    <row r="28775" spans="7:16" s="1634" customFormat="1">
      <c r="G28775" s="3336"/>
      <c r="P28775" s="3337"/>
    </row>
    <row r="28776" spans="7:16" s="1634" customFormat="1">
      <c r="G28776" s="3336"/>
      <c r="P28776" s="3337"/>
    </row>
    <row r="28777" spans="7:16" s="1634" customFormat="1">
      <c r="G28777" s="3336"/>
      <c r="P28777" s="3337"/>
    </row>
    <row r="28778" spans="7:16" s="1634" customFormat="1">
      <c r="G28778" s="3336"/>
      <c r="P28778" s="3337"/>
    </row>
    <row r="28779" spans="7:16" s="1634" customFormat="1">
      <c r="G28779" s="3336"/>
      <c r="P28779" s="3337"/>
    </row>
    <row r="28780" spans="7:16" s="1634" customFormat="1">
      <c r="G28780" s="3336"/>
      <c r="P28780" s="3337"/>
    </row>
    <row r="28781" spans="7:16" s="1634" customFormat="1">
      <c r="G28781" s="3336"/>
      <c r="P28781" s="3337"/>
    </row>
    <row r="28782" spans="7:16" s="1634" customFormat="1">
      <c r="G28782" s="3336"/>
      <c r="P28782" s="3337"/>
    </row>
    <row r="28783" spans="7:16" s="1634" customFormat="1">
      <c r="G28783" s="3336"/>
      <c r="P28783" s="3337"/>
    </row>
    <row r="28784" spans="7:16" s="1634" customFormat="1">
      <c r="G28784" s="3336"/>
      <c r="P28784" s="3337"/>
    </row>
    <row r="28785" spans="7:16" s="1634" customFormat="1">
      <c r="G28785" s="3336"/>
      <c r="P28785" s="3337"/>
    </row>
    <row r="28786" spans="7:16" s="1634" customFormat="1">
      <c r="G28786" s="3336"/>
      <c r="P28786" s="3337"/>
    </row>
    <row r="28787" spans="7:16" s="1634" customFormat="1">
      <c r="G28787" s="3336"/>
      <c r="P28787" s="3337"/>
    </row>
    <row r="28788" spans="7:16" s="1634" customFormat="1">
      <c r="G28788" s="3336"/>
      <c r="P28788" s="3337"/>
    </row>
    <row r="28789" spans="7:16" s="1634" customFormat="1">
      <c r="G28789" s="3336"/>
      <c r="P28789" s="3337"/>
    </row>
    <row r="28790" spans="7:16" s="1634" customFormat="1">
      <c r="G28790" s="3336"/>
      <c r="P28790" s="3337"/>
    </row>
    <row r="28791" spans="7:16" s="1634" customFormat="1">
      <c r="G28791" s="3336"/>
      <c r="P28791" s="3337"/>
    </row>
    <row r="28792" spans="7:16" s="1634" customFormat="1">
      <c r="G28792" s="3336"/>
      <c r="P28792" s="3337"/>
    </row>
    <row r="28793" spans="7:16" s="1634" customFormat="1">
      <c r="G28793" s="3336"/>
      <c r="P28793" s="3337"/>
    </row>
    <row r="28794" spans="7:16" s="1634" customFormat="1">
      <c r="G28794" s="3336"/>
      <c r="P28794" s="3337"/>
    </row>
    <row r="28795" spans="7:16" s="1634" customFormat="1">
      <c r="G28795" s="3336"/>
      <c r="P28795" s="3337"/>
    </row>
    <row r="28796" spans="7:16" s="1634" customFormat="1">
      <c r="G28796" s="3336"/>
      <c r="P28796" s="3337"/>
    </row>
    <row r="28797" spans="7:16" s="1634" customFormat="1">
      <c r="G28797" s="3336"/>
      <c r="P28797" s="3337"/>
    </row>
    <row r="28798" spans="7:16" s="1634" customFormat="1">
      <c r="G28798" s="3336"/>
      <c r="P28798" s="3337"/>
    </row>
    <row r="28799" spans="7:16" s="1634" customFormat="1">
      <c r="G28799" s="3336"/>
      <c r="P28799" s="3337"/>
    </row>
    <row r="28800" spans="7:16" s="1634" customFormat="1">
      <c r="G28800" s="3336"/>
      <c r="P28800" s="3337"/>
    </row>
    <row r="28801" spans="7:16" s="1634" customFormat="1">
      <c r="G28801" s="3336"/>
      <c r="P28801" s="3337"/>
    </row>
    <row r="28802" spans="7:16" s="1634" customFormat="1">
      <c r="G28802" s="3336"/>
      <c r="P28802" s="3337"/>
    </row>
    <row r="28803" spans="7:16" s="1634" customFormat="1">
      <c r="G28803" s="3336"/>
      <c r="P28803" s="3337"/>
    </row>
    <row r="28804" spans="7:16" s="1634" customFormat="1">
      <c r="G28804" s="3336"/>
      <c r="P28804" s="3337"/>
    </row>
    <row r="28805" spans="7:16" s="1634" customFormat="1">
      <c r="G28805" s="3336"/>
      <c r="P28805" s="3337"/>
    </row>
    <row r="28806" spans="7:16" s="1634" customFormat="1">
      <c r="G28806" s="3336"/>
      <c r="P28806" s="3337"/>
    </row>
    <row r="28807" spans="7:16" s="1634" customFormat="1">
      <c r="G28807" s="3336"/>
      <c r="P28807" s="3337"/>
    </row>
    <row r="28808" spans="7:16" s="1634" customFormat="1">
      <c r="G28808" s="3336"/>
      <c r="P28808" s="3337"/>
    </row>
    <row r="28809" spans="7:16" s="1634" customFormat="1">
      <c r="G28809" s="3336"/>
      <c r="P28809" s="3337"/>
    </row>
    <row r="28810" spans="7:16" s="1634" customFormat="1">
      <c r="G28810" s="3336"/>
      <c r="P28810" s="3337"/>
    </row>
    <row r="28811" spans="7:16" s="1634" customFormat="1">
      <c r="G28811" s="3336"/>
      <c r="P28811" s="3337"/>
    </row>
    <row r="28812" spans="7:16" s="1634" customFormat="1">
      <c r="G28812" s="3336"/>
      <c r="P28812" s="3337"/>
    </row>
    <row r="28813" spans="7:16" s="1634" customFormat="1">
      <c r="G28813" s="3336"/>
      <c r="P28813" s="3337"/>
    </row>
    <row r="28814" spans="7:16" s="1634" customFormat="1">
      <c r="G28814" s="3336"/>
      <c r="P28814" s="3337"/>
    </row>
    <row r="28815" spans="7:16" s="1634" customFormat="1">
      <c r="G28815" s="3336"/>
      <c r="P28815" s="3337"/>
    </row>
    <row r="28816" spans="7:16" s="1634" customFormat="1">
      <c r="G28816" s="3336"/>
      <c r="P28816" s="3337"/>
    </row>
    <row r="28817" spans="7:16" s="1634" customFormat="1">
      <c r="G28817" s="3336"/>
      <c r="P28817" s="3337"/>
    </row>
    <row r="28818" spans="7:16" s="1634" customFormat="1">
      <c r="G28818" s="3336"/>
      <c r="P28818" s="3337"/>
    </row>
    <row r="28819" spans="7:16" s="1634" customFormat="1">
      <c r="G28819" s="3336"/>
      <c r="P28819" s="3337"/>
    </row>
    <row r="28820" spans="7:16" s="1634" customFormat="1">
      <c r="G28820" s="3336"/>
      <c r="P28820" s="3337"/>
    </row>
    <row r="28821" spans="7:16" s="1634" customFormat="1">
      <c r="G28821" s="3336"/>
      <c r="P28821" s="3337"/>
    </row>
    <row r="28822" spans="7:16" s="1634" customFormat="1">
      <c r="G28822" s="3336"/>
      <c r="P28822" s="3337"/>
    </row>
    <row r="28823" spans="7:16" s="1634" customFormat="1">
      <c r="G28823" s="3336"/>
      <c r="P28823" s="3337"/>
    </row>
    <row r="28824" spans="7:16" s="1634" customFormat="1">
      <c r="G28824" s="3336"/>
      <c r="P28824" s="3337"/>
    </row>
    <row r="28825" spans="7:16" s="1634" customFormat="1">
      <c r="G28825" s="3336"/>
      <c r="P28825" s="3337"/>
    </row>
    <row r="28826" spans="7:16" s="1634" customFormat="1">
      <c r="G28826" s="3336"/>
      <c r="P28826" s="3337"/>
    </row>
    <row r="28827" spans="7:16" s="1634" customFormat="1">
      <c r="G28827" s="3336"/>
      <c r="P28827" s="3337"/>
    </row>
    <row r="28828" spans="7:16" s="1634" customFormat="1">
      <c r="G28828" s="3336"/>
      <c r="P28828" s="3337"/>
    </row>
    <row r="28829" spans="7:16" s="1634" customFormat="1">
      <c r="G28829" s="3336"/>
      <c r="P28829" s="3337"/>
    </row>
    <row r="28830" spans="7:16" s="1634" customFormat="1">
      <c r="G28830" s="3336"/>
      <c r="P28830" s="3337"/>
    </row>
    <row r="28831" spans="7:16" s="1634" customFormat="1">
      <c r="G28831" s="3336"/>
      <c r="P28831" s="3337"/>
    </row>
    <row r="28832" spans="7:16" s="1634" customFormat="1">
      <c r="G28832" s="3336"/>
      <c r="P28832" s="3337"/>
    </row>
    <row r="28833" spans="7:16" s="1634" customFormat="1">
      <c r="G28833" s="3336"/>
      <c r="P28833" s="3337"/>
    </row>
    <row r="28834" spans="7:16" s="1634" customFormat="1">
      <c r="G28834" s="3336"/>
      <c r="P28834" s="3337"/>
    </row>
    <row r="28835" spans="7:16" s="1634" customFormat="1">
      <c r="G28835" s="3336"/>
      <c r="P28835" s="3337"/>
    </row>
    <row r="28836" spans="7:16" s="1634" customFormat="1">
      <c r="G28836" s="3336"/>
      <c r="P28836" s="3337"/>
    </row>
    <row r="28837" spans="7:16" s="1634" customFormat="1">
      <c r="G28837" s="3336"/>
      <c r="P28837" s="3337"/>
    </row>
    <row r="28838" spans="7:16" s="1634" customFormat="1">
      <c r="G28838" s="3336"/>
      <c r="P28838" s="3337"/>
    </row>
    <row r="28839" spans="7:16" s="1634" customFormat="1">
      <c r="G28839" s="3336"/>
      <c r="P28839" s="3337"/>
    </row>
    <row r="28840" spans="7:16" s="1634" customFormat="1">
      <c r="G28840" s="3336"/>
      <c r="P28840" s="3337"/>
    </row>
    <row r="28841" spans="7:16" s="1634" customFormat="1">
      <c r="G28841" s="3336"/>
      <c r="P28841" s="3337"/>
    </row>
    <row r="28842" spans="7:16" s="1634" customFormat="1">
      <c r="G28842" s="3336"/>
      <c r="P28842" s="3337"/>
    </row>
    <row r="28843" spans="7:16" s="1634" customFormat="1">
      <c r="G28843" s="3336"/>
      <c r="P28843" s="3337"/>
    </row>
    <row r="28844" spans="7:16" s="1634" customFormat="1">
      <c r="G28844" s="3336"/>
      <c r="P28844" s="3337"/>
    </row>
    <row r="28845" spans="7:16" s="1634" customFormat="1">
      <c r="G28845" s="3336"/>
      <c r="P28845" s="3337"/>
    </row>
    <row r="28846" spans="7:16" s="1634" customFormat="1">
      <c r="G28846" s="3336"/>
      <c r="P28846" s="3337"/>
    </row>
    <row r="28847" spans="7:16" s="1634" customFormat="1">
      <c r="G28847" s="3336"/>
      <c r="P28847" s="3337"/>
    </row>
    <row r="28848" spans="7:16" s="1634" customFormat="1">
      <c r="G28848" s="3336"/>
      <c r="P28848" s="3337"/>
    </row>
    <row r="28849" spans="7:16" s="1634" customFormat="1">
      <c r="G28849" s="3336"/>
      <c r="P28849" s="3337"/>
    </row>
    <row r="28850" spans="7:16" s="1634" customFormat="1">
      <c r="G28850" s="3336"/>
      <c r="P28850" s="3337"/>
    </row>
    <row r="28851" spans="7:16" s="1634" customFormat="1">
      <c r="G28851" s="3336"/>
      <c r="P28851" s="3337"/>
    </row>
    <row r="28852" spans="7:16" s="1634" customFormat="1">
      <c r="G28852" s="3336"/>
      <c r="P28852" s="3337"/>
    </row>
    <row r="28853" spans="7:16" s="1634" customFormat="1">
      <c r="G28853" s="3336"/>
      <c r="P28853" s="3337"/>
    </row>
    <row r="28854" spans="7:16" s="1634" customFormat="1">
      <c r="G28854" s="3336"/>
      <c r="P28854" s="3337"/>
    </row>
    <row r="28855" spans="7:16" s="1634" customFormat="1">
      <c r="G28855" s="3336"/>
      <c r="P28855" s="3337"/>
    </row>
    <row r="28856" spans="7:16" s="1634" customFormat="1">
      <c r="G28856" s="3336"/>
      <c r="P28856" s="3337"/>
    </row>
    <row r="28857" spans="7:16" s="1634" customFormat="1">
      <c r="G28857" s="3336"/>
      <c r="P28857" s="3337"/>
    </row>
    <row r="28858" spans="7:16" s="1634" customFormat="1">
      <c r="G28858" s="3336"/>
      <c r="P28858" s="3337"/>
    </row>
    <row r="28859" spans="7:16" s="1634" customFormat="1">
      <c r="G28859" s="3336"/>
      <c r="P28859" s="3337"/>
    </row>
    <row r="28860" spans="7:16" s="1634" customFormat="1">
      <c r="G28860" s="3336"/>
      <c r="P28860" s="3337"/>
    </row>
    <row r="28861" spans="7:16" s="1634" customFormat="1">
      <c r="G28861" s="3336"/>
      <c r="P28861" s="3337"/>
    </row>
    <row r="28862" spans="7:16" s="1634" customFormat="1">
      <c r="G28862" s="3336"/>
      <c r="P28862" s="3337"/>
    </row>
    <row r="28863" spans="7:16" s="1634" customFormat="1">
      <c r="G28863" s="3336"/>
      <c r="P28863" s="3337"/>
    </row>
    <row r="28864" spans="7:16" s="1634" customFormat="1">
      <c r="G28864" s="3336"/>
      <c r="P28864" s="3337"/>
    </row>
    <row r="28865" spans="7:16" s="1634" customFormat="1">
      <c r="G28865" s="3336"/>
      <c r="P28865" s="3337"/>
    </row>
    <row r="28866" spans="7:16" s="1634" customFormat="1">
      <c r="G28866" s="3336"/>
      <c r="P28866" s="3337"/>
    </row>
    <row r="28867" spans="7:16" s="1634" customFormat="1">
      <c r="G28867" s="3336"/>
      <c r="P28867" s="3337"/>
    </row>
    <row r="28868" spans="7:16" s="1634" customFormat="1">
      <c r="G28868" s="3336"/>
      <c r="P28868" s="3337"/>
    </row>
    <row r="28869" spans="7:16" s="1634" customFormat="1">
      <c r="G28869" s="3336"/>
      <c r="P28869" s="3337"/>
    </row>
    <row r="28870" spans="7:16" s="1634" customFormat="1">
      <c r="G28870" s="3336"/>
      <c r="P28870" s="3337"/>
    </row>
    <row r="28871" spans="7:16" s="1634" customFormat="1">
      <c r="G28871" s="3336"/>
      <c r="P28871" s="3337"/>
    </row>
    <row r="28872" spans="7:16" s="1634" customFormat="1">
      <c r="G28872" s="3336"/>
      <c r="P28872" s="3337"/>
    </row>
    <row r="28873" spans="7:16" s="1634" customFormat="1">
      <c r="G28873" s="3336"/>
      <c r="P28873" s="3337"/>
    </row>
    <row r="28874" spans="7:16" s="1634" customFormat="1">
      <c r="G28874" s="3336"/>
      <c r="P28874" s="3337"/>
    </row>
    <row r="28875" spans="7:16" s="1634" customFormat="1">
      <c r="G28875" s="3336"/>
      <c r="P28875" s="3337"/>
    </row>
    <row r="28876" spans="7:16" s="1634" customFormat="1">
      <c r="G28876" s="3336"/>
      <c r="P28876" s="3337"/>
    </row>
    <row r="28877" spans="7:16" s="1634" customFormat="1">
      <c r="G28877" s="3336"/>
      <c r="P28877" s="3337"/>
    </row>
    <row r="28878" spans="7:16" s="1634" customFormat="1">
      <c r="G28878" s="3336"/>
      <c r="P28878" s="3337"/>
    </row>
    <row r="28879" spans="7:16" s="1634" customFormat="1">
      <c r="G28879" s="3336"/>
      <c r="P28879" s="3337"/>
    </row>
    <row r="28880" spans="7:16" s="1634" customFormat="1">
      <c r="G28880" s="3336"/>
      <c r="P28880" s="3337"/>
    </row>
    <row r="28881" spans="7:16" s="1634" customFormat="1">
      <c r="G28881" s="3336"/>
      <c r="P28881" s="3337"/>
    </row>
    <row r="28882" spans="7:16" s="1634" customFormat="1">
      <c r="G28882" s="3336"/>
      <c r="P28882" s="3337"/>
    </row>
    <row r="28883" spans="7:16" s="1634" customFormat="1">
      <c r="G28883" s="3336"/>
      <c r="P28883" s="3337"/>
    </row>
    <row r="28884" spans="7:16" s="1634" customFormat="1">
      <c r="G28884" s="3336"/>
      <c r="P28884" s="3337"/>
    </row>
    <row r="28885" spans="7:16" s="1634" customFormat="1">
      <c r="G28885" s="3336"/>
      <c r="P28885" s="3337"/>
    </row>
    <row r="28886" spans="7:16" s="1634" customFormat="1">
      <c r="G28886" s="3336"/>
      <c r="P28886" s="3337"/>
    </row>
    <row r="28887" spans="7:16" s="1634" customFormat="1">
      <c r="G28887" s="3336"/>
      <c r="P28887" s="3337"/>
    </row>
    <row r="28888" spans="7:16" s="1634" customFormat="1">
      <c r="G28888" s="3336"/>
      <c r="P28888" s="3337"/>
    </row>
    <row r="28889" spans="7:16" s="1634" customFormat="1">
      <c r="G28889" s="3336"/>
      <c r="P28889" s="3337"/>
    </row>
    <row r="28890" spans="7:16" s="1634" customFormat="1">
      <c r="G28890" s="3336"/>
      <c r="P28890" s="3337"/>
    </row>
    <row r="28891" spans="7:16" s="1634" customFormat="1">
      <c r="G28891" s="3336"/>
      <c r="P28891" s="3337"/>
    </row>
    <row r="28892" spans="7:16" s="1634" customFormat="1">
      <c r="G28892" s="3336"/>
      <c r="P28892" s="3337"/>
    </row>
    <row r="28893" spans="7:16" s="1634" customFormat="1">
      <c r="G28893" s="3336"/>
      <c r="P28893" s="3337"/>
    </row>
    <row r="28894" spans="7:16" s="1634" customFormat="1">
      <c r="G28894" s="3336"/>
      <c r="P28894" s="3337"/>
    </row>
    <row r="28895" spans="7:16" s="1634" customFormat="1">
      <c r="G28895" s="3336"/>
      <c r="P28895" s="3337"/>
    </row>
    <row r="28896" spans="7:16" s="1634" customFormat="1">
      <c r="G28896" s="3336"/>
      <c r="P28896" s="3337"/>
    </row>
    <row r="28897" spans="7:16" s="1634" customFormat="1">
      <c r="G28897" s="3336"/>
      <c r="P28897" s="3337"/>
    </row>
    <row r="28898" spans="7:16" s="1634" customFormat="1">
      <c r="G28898" s="3336"/>
      <c r="P28898" s="3337"/>
    </row>
    <row r="28899" spans="7:16" s="1634" customFormat="1">
      <c r="G28899" s="3336"/>
      <c r="P28899" s="3337"/>
    </row>
    <row r="28900" spans="7:16" s="1634" customFormat="1">
      <c r="G28900" s="3336"/>
      <c r="P28900" s="3337"/>
    </row>
    <row r="28901" spans="7:16" s="1634" customFormat="1">
      <c r="G28901" s="3336"/>
      <c r="P28901" s="3337"/>
    </row>
    <row r="28902" spans="7:16" s="1634" customFormat="1">
      <c r="G28902" s="3336"/>
      <c r="P28902" s="3337"/>
    </row>
    <row r="28903" spans="7:16" s="1634" customFormat="1">
      <c r="G28903" s="3336"/>
      <c r="P28903" s="3337"/>
    </row>
    <row r="28904" spans="7:16" s="1634" customFormat="1">
      <c r="G28904" s="3336"/>
      <c r="P28904" s="3337"/>
    </row>
    <row r="28905" spans="7:16" s="1634" customFormat="1">
      <c r="G28905" s="3336"/>
      <c r="P28905" s="3337"/>
    </row>
    <row r="28906" spans="7:16" s="1634" customFormat="1">
      <c r="G28906" s="3336"/>
      <c r="P28906" s="3337"/>
    </row>
    <row r="28907" spans="7:16" s="1634" customFormat="1">
      <c r="G28907" s="3336"/>
      <c r="P28907" s="3337"/>
    </row>
    <row r="28908" spans="7:16" s="1634" customFormat="1">
      <c r="G28908" s="3336"/>
      <c r="P28908" s="3337"/>
    </row>
    <row r="28909" spans="7:16" s="1634" customFormat="1">
      <c r="G28909" s="3336"/>
      <c r="P28909" s="3337"/>
    </row>
    <row r="28910" spans="7:16" s="1634" customFormat="1">
      <c r="G28910" s="3336"/>
      <c r="P28910" s="3337"/>
    </row>
    <row r="28911" spans="7:16" s="1634" customFormat="1">
      <c r="G28911" s="3336"/>
      <c r="P28911" s="3337"/>
    </row>
    <row r="28912" spans="7:16" s="1634" customFormat="1">
      <c r="G28912" s="3336"/>
      <c r="P28912" s="3337"/>
    </row>
    <row r="28913" spans="7:16" s="1634" customFormat="1">
      <c r="G28913" s="3336"/>
      <c r="P28913" s="3337"/>
    </row>
    <row r="28914" spans="7:16" s="1634" customFormat="1">
      <c r="G28914" s="3336"/>
      <c r="P28914" s="3337"/>
    </row>
    <row r="28915" spans="7:16" s="1634" customFormat="1">
      <c r="G28915" s="3336"/>
      <c r="P28915" s="3337"/>
    </row>
    <row r="28916" spans="7:16" s="1634" customFormat="1">
      <c r="G28916" s="3336"/>
      <c r="P28916" s="3337"/>
    </row>
    <row r="28917" spans="7:16" s="1634" customFormat="1">
      <c r="G28917" s="3336"/>
      <c r="P28917" s="3337"/>
    </row>
    <row r="28918" spans="7:16" s="1634" customFormat="1">
      <c r="G28918" s="3336"/>
      <c r="P28918" s="3337"/>
    </row>
    <row r="28919" spans="7:16" s="1634" customFormat="1">
      <c r="G28919" s="3336"/>
      <c r="P28919" s="3337"/>
    </row>
    <row r="28920" spans="7:16" s="1634" customFormat="1">
      <c r="G28920" s="3336"/>
      <c r="P28920" s="3337"/>
    </row>
    <row r="28921" spans="7:16" s="1634" customFormat="1">
      <c r="G28921" s="3336"/>
      <c r="P28921" s="3337"/>
    </row>
    <row r="28922" spans="7:16" s="1634" customFormat="1">
      <c r="G28922" s="3336"/>
      <c r="P28922" s="3337"/>
    </row>
    <row r="28923" spans="7:16" s="1634" customFormat="1">
      <c r="G28923" s="3336"/>
      <c r="P28923" s="3337"/>
    </row>
    <row r="28924" spans="7:16" s="1634" customFormat="1">
      <c r="G28924" s="3336"/>
      <c r="P28924" s="3337"/>
    </row>
    <row r="28925" spans="7:16" s="1634" customFormat="1">
      <c r="G28925" s="3336"/>
      <c r="P28925" s="3337"/>
    </row>
    <row r="28926" spans="7:16" s="1634" customFormat="1">
      <c r="G28926" s="3336"/>
      <c r="P28926" s="3337"/>
    </row>
    <row r="28927" spans="7:16" s="1634" customFormat="1">
      <c r="G28927" s="3336"/>
      <c r="P28927" s="3337"/>
    </row>
    <row r="28928" spans="7:16" s="1634" customFormat="1">
      <c r="G28928" s="3336"/>
      <c r="P28928" s="3337"/>
    </row>
    <row r="28929" spans="7:16" s="1634" customFormat="1">
      <c r="G28929" s="3336"/>
      <c r="P28929" s="3337"/>
    </row>
    <row r="28930" spans="7:16" s="1634" customFormat="1">
      <c r="G28930" s="3336"/>
      <c r="P28930" s="3337"/>
    </row>
    <row r="28931" spans="7:16" s="1634" customFormat="1">
      <c r="G28931" s="3336"/>
      <c r="P28931" s="3337"/>
    </row>
    <row r="28932" spans="7:16" s="1634" customFormat="1">
      <c r="G28932" s="3336"/>
      <c r="P28932" s="3337"/>
    </row>
    <row r="28933" spans="7:16" s="1634" customFormat="1">
      <c r="G28933" s="3336"/>
      <c r="P28933" s="3337"/>
    </row>
    <row r="28934" spans="7:16" s="1634" customFormat="1">
      <c r="G28934" s="3336"/>
      <c r="P28934" s="3337"/>
    </row>
    <row r="28935" spans="7:16" s="1634" customFormat="1">
      <c r="G28935" s="3336"/>
      <c r="P28935" s="3337"/>
    </row>
    <row r="28936" spans="7:16" s="1634" customFormat="1">
      <c r="G28936" s="3336"/>
      <c r="P28936" s="3337"/>
    </row>
    <row r="28937" spans="7:16" s="1634" customFormat="1">
      <c r="G28937" s="3336"/>
      <c r="P28937" s="3337"/>
    </row>
    <row r="28938" spans="7:16" s="1634" customFormat="1">
      <c r="G28938" s="3336"/>
      <c r="P28938" s="3337"/>
    </row>
    <row r="28939" spans="7:16" s="1634" customFormat="1">
      <c r="G28939" s="3336"/>
      <c r="P28939" s="3337"/>
    </row>
    <row r="28940" spans="7:16" s="1634" customFormat="1">
      <c r="G28940" s="3336"/>
      <c r="P28940" s="3337"/>
    </row>
    <row r="28941" spans="7:16" s="1634" customFormat="1">
      <c r="G28941" s="3336"/>
      <c r="P28941" s="3337"/>
    </row>
    <row r="28942" spans="7:16" s="1634" customFormat="1">
      <c r="G28942" s="3336"/>
      <c r="P28942" s="3337"/>
    </row>
    <row r="28943" spans="7:16" s="1634" customFormat="1">
      <c r="G28943" s="3336"/>
      <c r="P28943" s="3337"/>
    </row>
    <row r="28944" spans="7:16" s="1634" customFormat="1">
      <c r="G28944" s="3336"/>
      <c r="P28944" s="3337"/>
    </row>
    <row r="28945" spans="7:16" s="1634" customFormat="1">
      <c r="G28945" s="3336"/>
      <c r="P28945" s="3337"/>
    </row>
    <row r="28946" spans="7:16" s="1634" customFormat="1">
      <c r="G28946" s="3336"/>
      <c r="P28946" s="3337"/>
    </row>
    <row r="28947" spans="7:16" s="1634" customFormat="1">
      <c r="G28947" s="3336"/>
      <c r="P28947" s="3337"/>
    </row>
    <row r="28948" spans="7:16" s="1634" customFormat="1">
      <c r="G28948" s="3336"/>
      <c r="P28948" s="3337"/>
    </row>
    <row r="28949" spans="7:16" s="1634" customFormat="1">
      <c r="G28949" s="3336"/>
      <c r="P28949" s="3337"/>
    </row>
    <row r="28950" spans="7:16" s="1634" customFormat="1">
      <c r="G28950" s="3336"/>
      <c r="P28950" s="3337"/>
    </row>
    <row r="28951" spans="7:16" s="1634" customFormat="1">
      <c r="G28951" s="3336"/>
      <c r="P28951" s="3337"/>
    </row>
    <row r="28952" spans="7:16" s="1634" customFormat="1">
      <c r="G28952" s="3336"/>
      <c r="P28952" s="3337"/>
    </row>
    <row r="28953" spans="7:16" s="1634" customFormat="1">
      <c r="G28953" s="3336"/>
      <c r="P28953" s="3337"/>
    </row>
    <row r="28954" spans="7:16" s="1634" customFormat="1">
      <c r="G28954" s="3336"/>
      <c r="P28954" s="3337"/>
    </row>
    <row r="28955" spans="7:16" s="1634" customFormat="1">
      <c r="G28955" s="3336"/>
      <c r="P28955" s="3337"/>
    </row>
    <row r="28956" spans="7:16" s="1634" customFormat="1">
      <c r="G28956" s="3336"/>
      <c r="P28956" s="3337"/>
    </row>
    <row r="28957" spans="7:16" s="1634" customFormat="1">
      <c r="G28957" s="3336"/>
      <c r="P28957" s="3337"/>
    </row>
    <row r="28958" spans="7:16" s="1634" customFormat="1">
      <c r="G28958" s="3336"/>
      <c r="P28958" s="3337"/>
    </row>
    <row r="28959" spans="7:16" s="1634" customFormat="1">
      <c r="G28959" s="3336"/>
      <c r="P28959" s="3337"/>
    </row>
    <row r="28960" spans="7:16" s="1634" customFormat="1">
      <c r="G28960" s="3336"/>
      <c r="P28960" s="3337"/>
    </row>
    <row r="28961" spans="7:16" s="1634" customFormat="1">
      <c r="G28961" s="3336"/>
      <c r="P28961" s="3337"/>
    </row>
    <row r="28962" spans="7:16" s="1634" customFormat="1">
      <c r="G28962" s="3336"/>
      <c r="P28962" s="3337"/>
    </row>
    <row r="28963" spans="7:16" s="1634" customFormat="1">
      <c r="G28963" s="3336"/>
      <c r="P28963" s="3337"/>
    </row>
    <row r="28964" spans="7:16" s="1634" customFormat="1">
      <c r="G28964" s="3336"/>
      <c r="P28964" s="3337"/>
    </row>
    <row r="28965" spans="7:16" s="1634" customFormat="1">
      <c r="G28965" s="3336"/>
      <c r="P28965" s="3337"/>
    </row>
    <row r="28966" spans="7:16" s="1634" customFormat="1">
      <c r="G28966" s="3336"/>
      <c r="P28966" s="3337"/>
    </row>
    <row r="28967" spans="7:16" s="1634" customFormat="1">
      <c r="G28967" s="3336"/>
      <c r="P28967" s="3337"/>
    </row>
    <row r="28968" spans="7:16" s="1634" customFormat="1">
      <c r="G28968" s="3336"/>
      <c r="P28968" s="3337"/>
    </row>
    <row r="28969" spans="7:16" s="1634" customFormat="1">
      <c r="G28969" s="3336"/>
      <c r="P28969" s="3337"/>
    </row>
    <row r="28970" spans="7:16" s="1634" customFormat="1">
      <c r="G28970" s="3336"/>
      <c r="P28970" s="3337"/>
    </row>
    <row r="28971" spans="7:16" s="1634" customFormat="1">
      <c r="G28971" s="3336"/>
      <c r="P28971" s="3337"/>
    </row>
    <row r="28972" spans="7:16" s="1634" customFormat="1">
      <c r="G28972" s="3336"/>
      <c r="P28972" s="3337"/>
    </row>
    <row r="28973" spans="7:16" s="1634" customFormat="1">
      <c r="G28973" s="3336"/>
      <c r="P28973" s="3337"/>
    </row>
    <row r="28974" spans="7:16" s="1634" customFormat="1">
      <c r="G28974" s="3336"/>
      <c r="P28974" s="3337"/>
    </row>
    <row r="28975" spans="7:16" s="1634" customFormat="1">
      <c r="G28975" s="3336"/>
      <c r="P28975" s="3337"/>
    </row>
    <row r="28976" spans="7:16" s="1634" customFormat="1">
      <c r="G28976" s="3336"/>
      <c r="P28976" s="3337"/>
    </row>
    <row r="28977" spans="7:16" s="1634" customFormat="1">
      <c r="G28977" s="3336"/>
      <c r="P28977" s="3337"/>
    </row>
    <row r="28978" spans="7:16" s="1634" customFormat="1">
      <c r="G28978" s="3336"/>
      <c r="P28978" s="3337"/>
    </row>
    <row r="28979" spans="7:16" s="1634" customFormat="1">
      <c r="G28979" s="3336"/>
      <c r="P28979" s="3337"/>
    </row>
    <row r="28980" spans="7:16" s="1634" customFormat="1">
      <c r="G28980" s="3336"/>
      <c r="P28980" s="3337"/>
    </row>
    <row r="28981" spans="7:16" s="1634" customFormat="1">
      <c r="G28981" s="3336"/>
      <c r="P28981" s="3337"/>
    </row>
    <row r="28982" spans="7:16" s="1634" customFormat="1">
      <c r="G28982" s="3336"/>
      <c r="P28982" s="3337"/>
    </row>
    <row r="28983" spans="7:16" s="1634" customFormat="1">
      <c r="G28983" s="3336"/>
      <c r="P28983" s="3337"/>
    </row>
    <row r="28984" spans="7:16" s="1634" customFormat="1">
      <c r="G28984" s="3336"/>
      <c r="P28984" s="3337"/>
    </row>
    <row r="28985" spans="7:16" s="1634" customFormat="1">
      <c r="G28985" s="3336"/>
      <c r="P28985" s="3337"/>
    </row>
    <row r="28986" spans="7:16" s="1634" customFormat="1">
      <c r="G28986" s="3336"/>
      <c r="P28986" s="3337"/>
    </row>
    <row r="28987" spans="7:16" s="1634" customFormat="1">
      <c r="G28987" s="3336"/>
      <c r="P28987" s="3337"/>
    </row>
    <row r="28988" spans="7:16" s="1634" customFormat="1">
      <c r="G28988" s="3336"/>
      <c r="P28988" s="3337"/>
    </row>
    <row r="28989" spans="7:16" s="1634" customFormat="1">
      <c r="G28989" s="3336"/>
      <c r="P28989" s="3337"/>
    </row>
    <row r="28990" spans="7:16" s="1634" customFormat="1">
      <c r="G28990" s="3336"/>
      <c r="P28990" s="3337"/>
    </row>
    <row r="28991" spans="7:16" s="1634" customFormat="1">
      <c r="G28991" s="3336"/>
      <c r="P28991" s="3337"/>
    </row>
    <row r="28992" spans="7:16" s="1634" customFormat="1">
      <c r="G28992" s="3336"/>
      <c r="P28992" s="3337"/>
    </row>
    <row r="28993" spans="7:16" s="1634" customFormat="1">
      <c r="G28993" s="3336"/>
      <c r="P28993" s="3337"/>
    </row>
    <row r="28994" spans="7:16" s="1634" customFormat="1">
      <c r="G28994" s="3336"/>
      <c r="P28994" s="3337"/>
    </row>
    <row r="28995" spans="7:16" s="1634" customFormat="1">
      <c r="G28995" s="3336"/>
      <c r="P28995" s="3337"/>
    </row>
    <row r="28996" spans="7:16" s="1634" customFormat="1">
      <c r="G28996" s="3336"/>
      <c r="P28996" s="3337"/>
    </row>
    <row r="28997" spans="7:16" s="1634" customFormat="1">
      <c r="G28997" s="3336"/>
      <c r="P28997" s="3337"/>
    </row>
    <row r="28998" spans="7:16" s="1634" customFormat="1">
      <c r="G28998" s="3336"/>
      <c r="P28998" s="3337"/>
    </row>
    <row r="28999" spans="7:16" s="1634" customFormat="1">
      <c r="G28999" s="3336"/>
      <c r="P28999" s="3337"/>
    </row>
    <row r="29000" spans="7:16" s="1634" customFormat="1">
      <c r="G29000" s="3336"/>
      <c r="P29000" s="3337"/>
    </row>
    <row r="29001" spans="7:16" s="1634" customFormat="1">
      <c r="G29001" s="3336"/>
      <c r="P29001" s="3337"/>
    </row>
    <row r="29002" spans="7:16" s="1634" customFormat="1">
      <c r="G29002" s="3336"/>
      <c r="P29002" s="3337"/>
    </row>
    <row r="29003" spans="7:16" s="1634" customFormat="1">
      <c r="G29003" s="3336"/>
      <c r="P29003" s="3337"/>
    </row>
    <row r="29004" spans="7:16" s="1634" customFormat="1">
      <c r="G29004" s="3336"/>
      <c r="P29004" s="3337"/>
    </row>
    <row r="29005" spans="7:16" s="1634" customFormat="1">
      <c r="G29005" s="3336"/>
      <c r="P29005" s="3337"/>
    </row>
    <row r="29006" spans="7:16" s="1634" customFormat="1">
      <c r="G29006" s="3336"/>
      <c r="P29006" s="3337"/>
    </row>
    <row r="29007" spans="7:16" s="1634" customFormat="1">
      <c r="G29007" s="3336"/>
      <c r="P29007" s="3337"/>
    </row>
    <row r="29008" spans="7:16" s="1634" customFormat="1">
      <c r="G29008" s="3336"/>
      <c r="P29008" s="3337"/>
    </row>
    <row r="29009" spans="7:16" s="1634" customFormat="1">
      <c r="G29009" s="3336"/>
      <c r="P29009" s="3337"/>
    </row>
    <row r="29010" spans="7:16" s="1634" customFormat="1">
      <c r="G29010" s="3336"/>
      <c r="P29010" s="3337"/>
    </row>
    <row r="29011" spans="7:16" s="1634" customFormat="1">
      <c r="G29011" s="3336"/>
      <c r="P29011" s="3337"/>
    </row>
    <row r="29012" spans="7:16" s="1634" customFormat="1">
      <c r="G29012" s="3336"/>
      <c r="P29012" s="3337"/>
    </row>
    <row r="29013" spans="7:16" s="1634" customFormat="1">
      <c r="G29013" s="3336"/>
      <c r="P29013" s="3337"/>
    </row>
    <row r="29014" spans="7:16" s="1634" customFormat="1">
      <c r="G29014" s="3336"/>
      <c r="P29014" s="3337"/>
    </row>
    <row r="29015" spans="7:16" s="1634" customFormat="1">
      <c r="G29015" s="3336"/>
      <c r="P29015" s="3337"/>
    </row>
    <row r="29016" spans="7:16" s="1634" customFormat="1">
      <c r="G29016" s="3336"/>
      <c r="P29016" s="3337"/>
    </row>
    <row r="29017" spans="7:16" s="1634" customFormat="1">
      <c r="G29017" s="3336"/>
      <c r="P29017" s="3337"/>
    </row>
    <row r="29018" spans="7:16" s="1634" customFormat="1">
      <c r="G29018" s="3336"/>
      <c r="P29018" s="3337"/>
    </row>
    <row r="29019" spans="7:16" s="1634" customFormat="1">
      <c r="G29019" s="3336"/>
      <c r="P29019" s="3337"/>
    </row>
    <row r="29020" spans="7:16" s="1634" customFormat="1">
      <c r="G29020" s="3336"/>
      <c r="P29020" s="3337"/>
    </row>
    <row r="29021" spans="7:16" s="1634" customFormat="1">
      <c r="G29021" s="3336"/>
      <c r="P29021" s="3337"/>
    </row>
    <row r="29022" spans="7:16" s="1634" customFormat="1">
      <c r="G29022" s="3336"/>
      <c r="P29022" s="3337"/>
    </row>
    <row r="29023" spans="7:16" s="1634" customFormat="1">
      <c r="G29023" s="3336"/>
      <c r="P29023" s="3337"/>
    </row>
    <row r="29024" spans="7:16" s="1634" customFormat="1">
      <c r="G29024" s="3336"/>
      <c r="P29024" s="3337"/>
    </row>
    <row r="29025" spans="7:16" s="1634" customFormat="1">
      <c r="G29025" s="3336"/>
      <c r="P29025" s="3337"/>
    </row>
    <row r="29026" spans="7:16" s="1634" customFormat="1">
      <c r="G29026" s="3336"/>
      <c r="P29026" s="3337"/>
    </row>
    <row r="29027" spans="7:16" s="1634" customFormat="1">
      <c r="G29027" s="3336"/>
      <c r="P29027" s="3337"/>
    </row>
    <row r="29028" spans="7:16" s="1634" customFormat="1">
      <c r="G29028" s="3336"/>
      <c r="P29028" s="3337"/>
    </row>
    <row r="29029" spans="7:16" s="1634" customFormat="1">
      <c r="G29029" s="3336"/>
      <c r="P29029" s="3337"/>
    </row>
    <row r="29030" spans="7:16" s="1634" customFormat="1">
      <c r="G29030" s="3336"/>
      <c r="P29030" s="3337"/>
    </row>
    <row r="29031" spans="7:16" s="1634" customFormat="1">
      <c r="G29031" s="3336"/>
      <c r="P29031" s="3337"/>
    </row>
    <row r="29032" spans="7:16" s="1634" customFormat="1">
      <c r="G29032" s="3336"/>
      <c r="P29032" s="3337"/>
    </row>
    <row r="29033" spans="7:16" s="1634" customFormat="1">
      <c r="G29033" s="3336"/>
      <c r="P29033" s="3337"/>
    </row>
    <row r="29034" spans="7:16" s="1634" customFormat="1">
      <c r="G29034" s="3336"/>
      <c r="P29034" s="3337"/>
    </row>
    <row r="29035" spans="7:16" s="1634" customFormat="1">
      <c r="G29035" s="3336"/>
      <c r="P29035" s="3337"/>
    </row>
    <row r="29036" spans="7:16" s="1634" customFormat="1">
      <c r="G29036" s="3336"/>
      <c r="P29036" s="3337"/>
    </row>
    <row r="29037" spans="7:16" s="1634" customFormat="1">
      <c r="G29037" s="3336"/>
      <c r="P29037" s="3337"/>
    </row>
    <row r="29038" spans="7:16" s="1634" customFormat="1">
      <c r="G29038" s="3336"/>
      <c r="P29038" s="3337"/>
    </row>
    <row r="29039" spans="7:16" s="1634" customFormat="1">
      <c r="G29039" s="3336"/>
      <c r="P29039" s="3337"/>
    </row>
    <row r="29040" spans="7:16" s="1634" customFormat="1">
      <c r="G29040" s="3336"/>
      <c r="P29040" s="3337"/>
    </row>
    <row r="29041" spans="7:16" s="1634" customFormat="1">
      <c r="G29041" s="3336"/>
      <c r="P29041" s="3337"/>
    </row>
    <row r="29042" spans="7:16" s="1634" customFormat="1">
      <c r="G29042" s="3336"/>
      <c r="P29042" s="3337"/>
    </row>
    <row r="29043" spans="7:16" s="1634" customFormat="1">
      <c r="G29043" s="3336"/>
      <c r="P29043" s="3337"/>
    </row>
    <row r="29044" spans="7:16" s="1634" customFormat="1">
      <c r="G29044" s="3336"/>
      <c r="P29044" s="3337"/>
    </row>
    <row r="29045" spans="7:16" s="1634" customFormat="1">
      <c r="G29045" s="3336"/>
      <c r="P29045" s="3337"/>
    </row>
    <row r="29046" spans="7:16" s="1634" customFormat="1">
      <c r="G29046" s="3336"/>
      <c r="P29046" s="3337"/>
    </row>
    <row r="29047" spans="7:16" s="1634" customFormat="1">
      <c r="G29047" s="3336"/>
      <c r="P29047" s="3337"/>
    </row>
    <row r="29048" spans="7:16" s="1634" customFormat="1">
      <c r="G29048" s="3336"/>
      <c r="P29048" s="3337"/>
    </row>
    <row r="29049" spans="7:16" s="1634" customFormat="1">
      <c r="G29049" s="3336"/>
      <c r="P29049" s="3337"/>
    </row>
    <row r="29050" spans="7:16" s="1634" customFormat="1">
      <c r="G29050" s="3336"/>
      <c r="P29050" s="3337"/>
    </row>
    <row r="29051" spans="7:16" s="1634" customFormat="1">
      <c r="G29051" s="3336"/>
      <c r="P29051" s="3337"/>
    </row>
    <row r="29052" spans="7:16" s="1634" customFormat="1">
      <c r="G29052" s="3336"/>
      <c r="P29052" s="3337"/>
    </row>
    <row r="29053" spans="7:16" s="1634" customFormat="1">
      <c r="G29053" s="3336"/>
      <c r="P29053" s="3337"/>
    </row>
    <row r="29054" spans="7:16" s="1634" customFormat="1">
      <c r="G29054" s="3336"/>
      <c r="P29054" s="3337"/>
    </row>
    <row r="29055" spans="7:16" s="1634" customFormat="1">
      <c r="G29055" s="3336"/>
      <c r="P29055" s="3337"/>
    </row>
    <row r="29056" spans="7:16" s="1634" customFormat="1">
      <c r="G29056" s="3336"/>
      <c r="P29056" s="3337"/>
    </row>
    <row r="29057" spans="7:16" s="1634" customFormat="1">
      <c r="G29057" s="3336"/>
      <c r="P29057" s="3337"/>
    </row>
    <row r="29058" spans="7:16" s="1634" customFormat="1">
      <c r="G29058" s="3336"/>
      <c r="P29058" s="3337"/>
    </row>
    <row r="29059" spans="7:16" s="1634" customFormat="1">
      <c r="G29059" s="3336"/>
      <c r="P29059" s="3337"/>
    </row>
    <row r="29060" spans="7:16" s="1634" customFormat="1">
      <c r="G29060" s="3336"/>
      <c r="P29060" s="3337"/>
    </row>
    <row r="29061" spans="7:16" s="1634" customFormat="1">
      <c r="G29061" s="3336"/>
      <c r="P29061" s="3337"/>
    </row>
    <row r="29062" spans="7:16" s="1634" customFormat="1">
      <c r="G29062" s="3336"/>
      <c r="P29062" s="3337"/>
    </row>
    <row r="29063" spans="7:16" s="1634" customFormat="1">
      <c r="G29063" s="3336"/>
      <c r="P29063" s="3337"/>
    </row>
    <row r="29064" spans="7:16" s="1634" customFormat="1">
      <c r="G29064" s="3336"/>
      <c r="P29064" s="3337"/>
    </row>
    <row r="29065" spans="7:16" s="1634" customFormat="1">
      <c r="G29065" s="3336"/>
      <c r="P29065" s="3337"/>
    </row>
    <row r="29066" spans="7:16" s="1634" customFormat="1">
      <c r="G29066" s="3336"/>
      <c r="P29066" s="3337"/>
    </row>
    <row r="29067" spans="7:16" s="1634" customFormat="1">
      <c r="G29067" s="3336"/>
      <c r="P29067" s="3337"/>
    </row>
    <row r="29068" spans="7:16" s="1634" customFormat="1">
      <c r="G29068" s="3336"/>
      <c r="P29068" s="3337"/>
    </row>
    <row r="29069" spans="7:16" s="1634" customFormat="1">
      <c r="G29069" s="3336"/>
      <c r="P29069" s="3337"/>
    </row>
    <row r="29070" spans="7:16" s="1634" customFormat="1">
      <c r="G29070" s="3336"/>
      <c r="P29070" s="3337"/>
    </row>
    <row r="29071" spans="7:16" s="1634" customFormat="1">
      <c r="G29071" s="3336"/>
      <c r="P29071" s="3337"/>
    </row>
    <row r="29072" spans="7:16" s="1634" customFormat="1">
      <c r="G29072" s="3336"/>
      <c r="P29072" s="3337"/>
    </row>
    <row r="29073" spans="7:16" s="1634" customFormat="1">
      <c r="G29073" s="3336"/>
      <c r="P29073" s="3337"/>
    </row>
    <row r="29074" spans="7:16" s="1634" customFormat="1">
      <c r="G29074" s="3336"/>
      <c r="P29074" s="3337"/>
    </row>
    <row r="29075" spans="7:16" s="1634" customFormat="1">
      <c r="G29075" s="3336"/>
      <c r="P29075" s="3337"/>
    </row>
    <row r="29076" spans="7:16" s="1634" customFormat="1">
      <c r="G29076" s="3336"/>
      <c r="P29076" s="3337"/>
    </row>
    <row r="29077" spans="7:16" s="1634" customFormat="1">
      <c r="G29077" s="3336"/>
      <c r="P29077" s="3337"/>
    </row>
    <row r="29078" spans="7:16" s="1634" customFormat="1">
      <c r="G29078" s="3336"/>
      <c r="P29078" s="3337"/>
    </row>
    <row r="29079" spans="7:16" s="1634" customFormat="1">
      <c r="G29079" s="3336"/>
      <c r="P29079" s="3337"/>
    </row>
    <row r="29080" spans="7:16" s="1634" customFormat="1">
      <c r="G29080" s="3336"/>
      <c r="P29080" s="3337"/>
    </row>
    <row r="29081" spans="7:16" s="1634" customFormat="1">
      <c r="G29081" s="3336"/>
      <c r="P29081" s="3337"/>
    </row>
    <row r="29082" spans="7:16" s="1634" customFormat="1">
      <c r="G29082" s="3336"/>
      <c r="P29082" s="3337"/>
    </row>
    <row r="29083" spans="7:16" s="1634" customFormat="1">
      <c r="G29083" s="3336"/>
      <c r="P29083" s="3337"/>
    </row>
    <row r="29084" spans="7:16" s="1634" customFormat="1">
      <c r="G29084" s="3336"/>
      <c r="P29084" s="3337"/>
    </row>
    <row r="29085" spans="7:16" s="1634" customFormat="1">
      <c r="G29085" s="3336"/>
      <c r="P29085" s="3337"/>
    </row>
    <row r="29086" spans="7:16" s="1634" customFormat="1">
      <c r="G29086" s="3336"/>
      <c r="P29086" s="3337"/>
    </row>
    <row r="29087" spans="7:16" s="1634" customFormat="1">
      <c r="G29087" s="3336"/>
      <c r="P29087" s="3337"/>
    </row>
    <row r="29088" spans="7:16" s="1634" customFormat="1">
      <c r="G29088" s="3336"/>
      <c r="P29088" s="3337"/>
    </row>
    <row r="29089" spans="7:16" s="1634" customFormat="1">
      <c r="G29089" s="3336"/>
      <c r="P29089" s="3337"/>
    </row>
    <row r="29090" spans="7:16" s="1634" customFormat="1">
      <c r="G29090" s="3336"/>
      <c r="P29090" s="3337"/>
    </row>
    <row r="29091" spans="7:16" s="1634" customFormat="1">
      <c r="G29091" s="3336"/>
      <c r="P29091" s="3337"/>
    </row>
    <row r="29092" spans="7:16" s="1634" customFormat="1">
      <c r="G29092" s="3336"/>
      <c r="P29092" s="3337"/>
    </row>
    <row r="29093" spans="7:16" s="1634" customFormat="1">
      <c r="G29093" s="3336"/>
      <c r="P29093" s="3337"/>
    </row>
    <row r="29094" spans="7:16" s="1634" customFormat="1">
      <c r="G29094" s="3336"/>
      <c r="P29094" s="3337"/>
    </row>
    <row r="29095" spans="7:16" s="1634" customFormat="1">
      <c r="G29095" s="3336"/>
      <c r="P29095" s="3337"/>
    </row>
    <row r="29096" spans="7:16" s="1634" customFormat="1">
      <c r="G29096" s="3336"/>
      <c r="P29096" s="3337"/>
    </row>
    <row r="29097" spans="7:16" s="1634" customFormat="1">
      <c r="G29097" s="3336"/>
      <c r="P29097" s="3337"/>
    </row>
    <row r="29098" spans="7:16" s="1634" customFormat="1">
      <c r="G29098" s="3336"/>
      <c r="P29098" s="3337"/>
    </row>
    <row r="29099" spans="7:16" s="1634" customFormat="1">
      <c r="G29099" s="3336"/>
      <c r="P29099" s="3337"/>
    </row>
    <row r="29100" spans="7:16" s="1634" customFormat="1">
      <c r="G29100" s="3336"/>
      <c r="P29100" s="3337"/>
    </row>
    <row r="29101" spans="7:16" s="1634" customFormat="1">
      <c r="G29101" s="3336"/>
      <c r="P29101" s="3337"/>
    </row>
    <row r="29102" spans="7:16" s="1634" customFormat="1">
      <c r="G29102" s="3336"/>
      <c r="P29102" s="3337"/>
    </row>
    <row r="29103" spans="7:16" s="1634" customFormat="1">
      <c r="G29103" s="3336"/>
      <c r="P29103" s="3337"/>
    </row>
    <row r="29104" spans="7:16" s="1634" customFormat="1">
      <c r="G29104" s="3336"/>
      <c r="P29104" s="3337"/>
    </row>
    <row r="29105" spans="7:16" s="1634" customFormat="1">
      <c r="G29105" s="3336"/>
      <c r="P29105" s="3337"/>
    </row>
    <row r="29106" spans="7:16" s="1634" customFormat="1">
      <c r="G29106" s="3336"/>
      <c r="P29106" s="3337"/>
    </row>
    <row r="29107" spans="7:16" s="1634" customFormat="1">
      <c r="G29107" s="3336"/>
      <c r="P29107" s="3337"/>
    </row>
    <row r="29108" spans="7:16" s="1634" customFormat="1">
      <c r="G29108" s="3336"/>
      <c r="P29108" s="3337"/>
    </row>
    <row r="29109" spans="7:16" s="1634" customFormat="1">
      <c r="G29109" s="3336"/>
      <c r="P29109" s="3337"/>
    </row>
    <row r="29110" spans="7:16" s="1634" customFormat="1">
      <c r="G29110" s="3336"/>
      <c r="P29110" s="3337"/>
    </row>
    <row r="29111" spans="7:16" s="1634" customFormat="1">
      <c r="G29111" s="3336"/>
      <c r="P29111" s="3337"/>
    </row>
    <row r="29112" spans="7:16" s="1634" customFormat="1">
      <c r="G29112" s="3336"/>
      <c r="P29112" s="3337"/>
    </row>
    <row r="29113" spans="7:16" s="1634" customFormat="1">
      <c r="G29113" s="3336"/>
      <c r="P29113" s="3337"/>
    </row>
    <row r="29114" spans="7:16" s="1634" customFormat="1">
      <c r="G29114" s="3336"/>
      <c r="P29114" s="3337"/>
    </row>
    <row r="29115" spans="7:16" s="1634" customFormat="1">
      <c r="G29115" s="3336"/>
      <c r="P29115" s="3337"/>
    </row>
    <row r="29116" spans="7:16" s="1634" customFormat="1">
      <c r="G29116" s="3336"/>
      <c r="P29116" s="3337"/>
    </row>
    <row r="29117" spans="7:16" s="1634" customFormat="1">
      <c r="G29117" s="3336"/>
      <c r="P29117" s="3337"/>
    </row>
    <row r="29118" spans="7:16" s="1634" customFormat="1">
      <c r="G29118" s="3336"/>
      <c r="P29118" s="3337"/>
    </row>
    <row r="29119" spans="7:16" s="1634" customFormat="1">
      <c r="G29119" s="3336"/>
      <c r="P29119" s="3337"/>
    </row>
    <row r="29120" spans="7:16" s="1634" customFormat="1">
      <c r="G29120" s="3336"/>
      <c r="P29120" s="3337"/>
    </row>
    <row r="29121" spans="7:16" s="1634" customFormat="1">
      <c r="G29121" s="3336"/>
      <c r="P29121" s="3337"/>
    </row>
    <row r="29122" spans="7:16" s="1634" customFormat="1">
      <c r="G29122" s="3336"/>
      <c r="P29122" s="3337"/>
    </row>
    <row r="29123" spans="7:16" s="1634" customFormat="1">
      <c r="G29123" s="3336"/>
      <c r="P29123" s="3337"/>
    </row>
    <row r="29124" spans="7:16" s="1634" customFormat="1">
      <c r="G29124" s="3336"/>
      <c r="P29124" s="3337"/>
    </row>
    <row r="29125" spans="7:16" s="1634" customFormat="1">
      <c r="G29125" s="3336"/>
      <c r="P29125" s="3337"/>
    </row>
    <row r="29126" spans="7:16" s="1634" customFormat="1">
      <c r="G29126" s="3336"/>
      <c r="P29126" s="3337"/>
    </row>
    <row r="29127" spans="7:16" s="1634" customFormat="1">
      <c r="G29127" s="3336"/>
      <c r="P29127" s="3337"/>
    </row>
    <row r="29128" spans="7:16" s="1634" customFormat="1">
      <c r="G29128" s="3336"/>
      <c r="P29128" s="3337"/>
    </row>
    <row r="29129" spans="7:16" s="1634" customFormat="1">
      <c r="G29129" s="3336"/>
      <c r="P29129" s="3337"/>
    </row>
    <row r="29130" spans="7:16" s="1634" customFormat="1">
      <c r="G29130" s="3336"/>
      <c r="P29130" s="3337"/>
    </row>
    <row r="29131" spans="7:16" s="1634" customFormat="1">
      <c r="G29131" s="3336"/>
      <c r="P29131" s="3337"/>
    </row>
    <row r="29132" spans="7:16" s="1634" customFormat="1">
      <c r="G29132" s="3336"/>
      <c r="P29132" s="3337"/>
    </row>
    <row r="29133" spans="7:16" s="1634" customFormat="1">
      <c r="G29133" s="3336"/>
      <c r="P29133" s="3337"/>
    </row>
    <row r="29134" spans="7:16" s="1634" customFormat="1">
      <c r="G29134" s="3336"/>
      <c r="P29134" s="3337"/>
    </row>
    <row r="29135" spans="7:16" s="1634" customFormat="1">
      <c r="G29135" s="3336"/>
      <c r="P29135" s="3337"/>
    </row>
    <row r="29136" spans="7:16" s="1634" customFormat="1">
      <c r="G29136" s="3336"/>
      <c r="P29136" s="3337"/>
    </row>
    <row r="29137" spans="7:16" s="1634" customFormat="1">
      <c r="G29137" s="3336"/>
      <c r="P29137" s="3337"/>
    </row>
    <row r="29138" spans="7:16" s="1634" customFormat="1">
      <c r="G29138" s="3336"/>
      <c r="P29138" s="3337"/>
    </row>
    <row r="29139" spans="7:16" s="1634" customFormat="1">
      <c r="G29139" s="3336"/>
      <c r="P29139" s="3337"/>
    </row>
    <row r="29140" spans="7:16" s="1634" customFormat="1">
      <c r="G29140" s="3336"/>
      <c r="P29140" s="3337"/>
    </row>
    <row r="29141" spans="7:16" s="1634" customFormat="1">
      <c r="G29141" s="3336"/>
      <c r="P29141" s="3337"/>
    </row>
    <row r="29142" spans="7:16" s="1634" customFormat="1">
      <c r="G29142" s="3336"/>
      <c r="P29142" s="3337"/>
    </row>
    <row r="29143" spans="7:16" s="1634" customFormat="1">
      <c r="G29143" s="3336"/>
      <c r="P29143" s="3337"/>
    </row>
    <row r="29144" spans="7:16" s="1634" customFormat="1">
      <c r="G29144" s="3336"/>
      <c r="P29144" s="3337"/>
    </row>
    <row r="29145" spans="7:16" s="1634" customFormat="1">
      <c r="G29145" s="3336"/>
      <c r="P29145" s="3337"/>
    </row>
    <row r="29146" spans="7:16" s="1634" customFormat="1">
      <c r="G29146" s="3336"/>
      <c r="P29146" s="3337"/>
    </row>
    <row r="29147" spans="7:16" s="1634" customFormat="1">
      <c r="G29147" s="3336"/>
      <c r="P29147" s="3337"/>
    </row>
    <row r="29148" spans="7:16" s="1634" customFormat="1">
      <c r="G29148" s="3336"/>
      <c r="P29148" s="3337"/>
    </row>
    <row r="29149" spans="7:16" s="1634" customFormat="1">
      <c r="G29149" s="3336"/>
      <c r="P29149" s="3337"/>
    </row>
    <row r="29150" spans="7:16" s="1634" customFormat="1">
      <c r="G29150" s="3336"/>
      <c r="P29150" s="3337"/>
    </row>
    <row r="29151" spans="7:16" s="1634" customFormat="1">
      <c r="G29151" s="3336"/>
      <c r="P29151" s="3337"/>
    </row>
    <row r="29152" spans="7:16" s="1634" customFormat="1">
      <c r="G29152" s="3336"/>
      <c r="P29152" s="3337"/>
    </row>
    <row r="29153" spans="7:16" s="1634" customFormat="1">
      <c r="G29153" s="3336"/>
      <c r="P29153" s="3337"/>
    </row>
    <row r="29154" spans="7:16" s="1634" customFormat="1">
      <c r="G29154" s="3336"/>
      <c r="P29154" s="3337"/>
    </row>
    <row r="29155" spans="7:16" s="1634" customFormat="1">
      <c r="G29155" s="3336"/>
      <c r="P29155" s="3337"/>
    </row>
    <row r="29156" spans="7:16" s="1634" customFormat="1">
      <c r="G29156" s="3336"/>
      <c r="P29156" s="3337"/>
    </row>
    <row r="29157" spans="7:16" s="1634" customFormat="1">
      <c r="G29157" s="3336"/>
      <c r="P29157" s="3337"/>
    </row>
    <row r="29158" spans="7:16" s="1634" customFormat="1">
      <c r="G29158" s="3336"/>
      <c r="P29158" s="3337"/>
    </row>
    <row r="29159" spans="7:16" s="1634" customFormat="1">
      <c r="G29159" s="3336"/>
      <c r="P29159" s="3337"/>
    </row>
    <row r="29160" spans="7:16" s="1634" customFormat="1">
      <c r="G29160" s="3336"/>
      <c r="P29160" s="3337"/>
    </row>
    <row r="29161" spans="7:16" s="1634" customFormat="1">
      <c r="G29161" s="3336"/>
      <c r="P29161" s="3337"/>
    </row>
    <row r="29162" spans="7:16" s="1634" customFormat="1">
      <c r="G29162" s="3336"/>
      <c r="P29162" s="3337"/>
    </row>
    <row r="29163" spans="7:16" s="1634" customFormat="1">
      <c r="G29163" s="3336"/>
      <c r="P29163" s="3337"/>
    </row>
    <row r="29164" spans="7:16" s="1634" customFormat="1">
      <c r="G29164" s="3336"/>
      <c r="P29164" s="3337"/>
    </row>
    <row r="29165" spans="7:16" s="1634" customFormat="1">
      <c r="G29165" s="3336"/>
      <c r="P29165" s="3337"/>
    </row>
    <row r="29166" spans="7:16" s="1634" customFormat="1">
      <c r="G29166" s="3336"/>
      <c r="P29166" s="3337"/>
    </row>
    <row r="29167" spans="7:16" s="1634" customFormat="1">
      <c r="G29167" s="3336"/>
      <c r="P29167" s="3337"/>
    </row>
    <row r="29168" spans="7:16" s="1634" customFormat="1">
      <c r="G29168" s="3336"/>
      <c r="P29168" s="3337"/>
    </row>
    <row r="29169" spans="7:16" s="1634" customFormat="1">
      <c r="G29169" s="3336"/>
      <c r="P29169" s="3337"/>
    </row>
    <row r="29170" spans="7:16" s="1634" customFormat="1">
      <c r="G29170" s="3336"/>
      <c r="P29170" s="3337"/>
    </row>
    <row r="29171" spans="7:16" s="1634" customFormat="1">
      <c r="G29171" s="3336"/>
      <c r="P29171" s="3337"/>
    </row>
    <row r="29172" spans="7:16" s="1634" customFormat="1">
      <c r="G29172" s="3336"/>
      <c r="P29172" s="3337"/>
    </row>
    <row r="29173" spans="7:16" s="1634" customFormat="1">
      <c r="G29173" s="3336"/>
      <c r="P29173" s="3337"/>
    </row>
    <row r="29174" spans="7:16" s="1634" customFormat="1">
      <c r="G29174" s="3336"/>
      <c r="P29174" s="3337"/>
    </row>
    <row r="29175" spans="7:16" s="1634" customFormat="1">
      <c r="G29175" s="3336"/>
      <c r="P29175" s="3337"/>
    </row>
    <row r="29176" spans="7:16" s="1634" customFormat="1">
      <c r="G29176" s="3336"/>
      <c r="P29176" s="3337"/>
    </row>
    <row r="29177" spans="7:16" s="1634" customFormat="1">
      <c r="G29177" s="3336"/>
      <c r="P29177" s="3337"/>
    </row>
    <row r="29178" spans="7:16" s="1634" customFormat="1">
      <c r="G29178" s="3336"/>
      <c r="P29178" s="3337"/>
    </row>
    <row r="29179" spans="7:16" s="1634" customFormat="1">
      <c r="G29179" s="3336"/>
      <c r="P29179" s="3337"/>
    </row>
    <row r="29180" spans="7:16" s="1634" customFormat="1">
      <c r="G29180" s="3336"/>
      <c r="P29180" s="3337"/>
    </row>
    <row r="29181" spans="7:16" s="1634" customFormat="1">
      <c r="G29181" s="3336"/>
      <c r="P29181" s="3337"/>
    </row>
    <row r="29182" spans="7:16" s="1634" customFormat="1">
      <c r="G29182" s="3336"/>
      <c r="P29182" s="3337"/>
    </row>
    <row r="29183" spans="7:16" s="1634" customFormat="1">
      <c r="G29183" s="3336"/>
      <c r="P29183" s="3337"/>
    </row>
    <row r="29184" spans="7:16" s="1634" customFormat="1">
      <c r="G29184" s="3336"/>
      <c r="P29184" s="3337"/>
    </row>
    <row r="29185" spans="7:16" s="1634" customFormat="1">
      <c r="G29185" s="3336"/>
      <c r="P29185" s="3337"/>
    </row>
    <row r="29186" spans="7:16" s="1634" customFormat="1">
      <c r="G29186" s="3336"/>
      <c r="P29186" s="3337"/>
    </row>
    <row r="29187" spans="7:16" s="1634" customFormat="1">
      <c r="G29187" s="3336"/>
      <c r="P29187" s="3337"/>
    </row>
    <row r="29188" spans="7:16" s="1634" customFormat="1">
      <c r="G29188" s="3336"/>
      <c r="P29188" s="3337"/>
    </row>
    <row r="29189" spans="7:16" s="1634" customFormat="1">
      <c r="G29189" s="3336"/>
      <c r="P29189" s="3337"/>
    </row>
    <row r="29190" spans="7:16" s="1634" customFormat="1">
      <c r="G29190" s="3336"/>
      <c r="P29190" s="3337"/>
    </row>
    <row r="29191" spans="7:16" s="1634" customFormat="1">
      <c r="G29191" s="3336"/>
      <c r="P29191" s="3337"/>
    </row>
    <row r="29192" spans="7:16" s="1634" customFormat="1">
      <c r="G29192" s="3336"/>
      <c r="P29192" s="3337"/>
    </row>
    <row r="29193" spans="7:16" s="1634" customFormat="1">
      <c r="G29193" s="3336"/>
      <c r="P29193" s="3337"/>
    </row>
    <row r="29194" spans="7:16" s="1634" customFormat="1">
      <c r="G29194" s="3336"/>
      <c r="P29194" s="3337"/>
    </row>
    <row r="29195" spans="7:16" s="1634" customFormat="1">
      <c r="G29195" s="3336"/>
      <c r="P29195" s="3337"/>
    </row>
    <row r="29196" spans="7:16" s="1634" customFormat="1">
      <c r="G29196" s="3336"/>
      <c r="P29196" s="3337"/>
    </row>
    <row r="29197" spans="7:16" s="1634" customFormat="1">
      <c r="G29197" s="3336"/>
      <c r="P29197" s="3337"/>
    </row>
    <row r="29198" spans="7:16" s="1634" customFormat="1">
      <c r="G29198" s="3336"/>
      <c r="P29198" s="3337"/>
    </row>
    <row r="29199" spans="7:16" s="1634" customFormat="1">
      <c r="G29199" s="3336"/>
      <c r="P29199" s="3337"/>
    </row>
    <row r="29200" spans="7:16" s="1634" customFormat="1">
      <c r="G29200" s="3336"/>
      <c r="P29200" s="3337"/>
    </row>
    <row r="29201" spans="7:16" s="1634" customFormat="1">
      <c r="G29201" s="3336"/>
      <c r="P29201" s="3337"/>
    </row>
    <row r="29202" spans="7:16" s="1634" customFormat="1">
      <c r="G29202" s="3336"/>
      <c r="P29202" s="3337"/>
    </row>
    <row r="29203" spans="7:16" s="1634" customFormat="1">
      <c r="G29203" s="3336"/>
      <c r="P29203" s="3337"/>
    </row>
    <row r="29204" spans="7:16" s="1634" customFormat="1">
      <c r="G29204" s="3336"/>
      <c r="P29204" s="3337"/>
    </row>
    <row r="29205" spans="7:16" s="1634" customFormat="1">
      <c r="G29205" s="3336"/>
      <c r="P29205" s="3337"/>
    </row>
    <row r="29206" spans="7:16" s="1634" customFormat="1">
      <c r="G29206" s="3336"/>
      <c r="P29206" s="3337"/>
    </row>
    <row r="29207" spans="7:16" s="1634" customFormat="1">
      <c r="G29207" s="3336"/>
      <c r="P29207" s="3337"/>
    </row>
    <row r="29208" spans="7:16" s="1634" customFormat="1">
      <c r="G29208" s="3336"/>
      <c r="P29208" s="3337"/>
    </row>
    <row r="29209" spans="7:16" s="1634" customFormat="1">
      <c r="G29209" s="3336"/>
      <c r="P29209" s="3337"/>
    </row>
    <row r="29210" spans="7:16" s="1634" customFormat="1">
      <c r="G29210" s="3336"/>
      <c r="P29210" s="3337"/>
    </row>
    <row r="29211" spans="7:16" s="1634" customFormat="1">
      <c r="G29211" s="3336"/>
      <c r="P29211" s="3337"/>
    </row>
    <row r="29212" spans="7:16" s="1634" customFormat="1">
      <c r="G29212" s="3336"/>
      <c r="P29212" s="3337"/>
    </row>
    <row r="29213" spans="7:16" s="1634" customFormat="1">
      <c r="G29213" s="3336"/>
      <c r="P29213" s="3337"/>
    </row>
    <row r="29214" spans="7:16" s="1634" customFormat="1">
      <c r="G29214" s="3336"/>
      <c r="P29214" s="3337"/>
    </row>
    <row r="29215" spans="7:16" s="1634" customFormat="1">
      <c r="G29215" s="3336"/>
      <c r="P29215" s="3337"/>
    </row>
    <row r="29216" spans="7:16" s="1634" customFormat="1">
      <c r="G29216" s="3336"/>
      <c r="P29216" s="3337"/>
    </row>
    <row r="29217" spans="7:16" s="1634" customFormat="1">
      <c r="G29217" s="3336"/>
      <c r="P29217" s="3337"/>
    </row>
    <row r="29218" spans="7:16" s="1634" customFormat="1">
      <c r="G29218" s="3336"/>
      <c r="P29218" s="3337"/>
    </row>
    <row r="29219" spans="7:16" s="1634" customFormat="1">
      <c r="G29219" s="3336"/>
      <c r="P29219" s="3337"/>
    </row>
    <row r="29220" spans="7:16" s="1634" customFormat="1">
      <c r="G29220" s="3336"/>
      <c r="P29220" s="3337"/>
    </row>
    <row r="29221" spans="7:16" s="1634" customFormat="1">
      <c r="G29221" s="3336"/>
      <c r="P29221" s="3337"/>
    </row>
    <row r="29222" spans="7:16" s="1634" customFormat="1">
      <c r="G29222" s="3336"/>
      <c r="P29222" s="3337"/>
    </row>
    <row r="29223" spans="7:16" s="1634" customFormat="1">
      <c r="G29223" s="3336"/>
      <c r="P29223" s="3337"/>
    </row>
    <row r="29224" spans="7:16" s="1634" customFormat="1">
      <c r="G29224" s="3336"/>
      <c r="P29224" s="3337"/>
    </row>
    <row r="29225" spans="7:16" s="1634" customFormat="1">
      <c r="G29225" s="3336"/>
      <c r="P29225" s="3337"/>
    </row>
    <row r="29226" spans="7:16" s="1634" customFormat="1">
      <c r="G29226" s="3336"/>
      <c r="P29226" s="3337"/>
    </row>
    <row r="29227" spans="7:16" s="1634" customFormat="1">
      <c r="G29227" s="3336"/>
      <c r="P29227" s="3337"/>
    </row>
    <row r="29228" spans="7:16" s="1634" customFormat="1">
      <c r="G29228" s="3336"/>
      <c r="P29228" s="3337"/>
    </row>
    <row r="29229" spans="7:16" s="1634" customFormat="1">
      <c r="G29229" s="3336"/>
      <c r="P29229" s="3337"/>
    </row>
    <row r="29230" spans="7:16" s="1634" customFormat="1">
      <c r="G29230" s="3336"/>
      <c r="P29230" s="3337"/>
    </row>
    <row r="29231" spans="7:16" s="1634" customFormat="1">
      <c r="G29231" s="3336"/>
      <c r="P29231" s="3337"/>
    </row>
    <row r="29232" spans="7:16" s="1634" customFormat="1">
      <c r="G29232" s="3336"/>
      <c r="P29232" s="3337"/>
    </row>
    <row r="29233" spans="7:16" s="1634" customFormat="1">
      <c r="G29233" s="3336"/>
      <c r="P29233" s="3337"/>
    </row>
    <row r="29234" spans="7:16" s="1634" customFormat="1">
      <c r="G29234" s="3336"/>
      <c r="P29234" s="3337"/>
    </row>
    <row r="29235" spans="7:16" s="1634" customFormat="1">
      <c r="G29235" s="3336"/>
      <c r="P29235" s="3337"/>
    </row>
    <row r="29236" spans="7:16" s="1634" customFormat="1">
      <c r="G29236" s="3336"/>
      <c r="P29236" s="3337"/>
    </row>
    <row r="29237" spans="7:16" s="1634" customFormat="1">
      <c r="G29237" s="3336"/>
      <c r="P29237" s="3337"/>
    </row>
    <row r="29238" spans="7:16" s="1634" customFormat="1">
      <c r="G29238" s="3336"/>
      <c r="P29238" s="3337"/>
    </row>
    <row r="29239" spans="7:16" s="1634" customFormat="1">
      <c r="G29239" s="3336"/>
      <c r="P29239" s="3337"/>
    </row>
    <row r="29240" spans="7:16" s="1634" customFormat="1">
      <c r="G29240" s="3336"/>
      <c r="P29240" s="3337"/>
    </row>
    <row r="29241" spans="7:16" s="1634" customFormat="1">
      <c r="G29241" s="3336"/>
      <c r="P29241" s="3337"/>
    </row>
    <row r="29242" spans="7:16" s="1634" customFormat="1">
      <c r="G29242" s="3336"/>
      <c r="P29242" s="3337"/>
    </row>
    <row r="29243" spans="7:16" s="1634" customFormat="1">
      <c r="G29243" s="3336"/>
      <c r="P29243" s="3337"/>
    </row>
    <row r="29244" spans="7:16" s="1634" customFormat="1">
      <c r="G29244" s="3336"/>
      <c r="P29244" s="3337"/>
    </row>
    <row r="29245" spans="7:16" s="1634" customFormat="1">
      <c r="G29245" s="3336"/>
      <c r="P29245" s="3337"/>
    </row>
    <row r="29246" spans="7:16" s="1634" customFormat="1">
      <c r="G29246" s="3336"/>
      <c r="P29246" s="3337"/>
    </row>
    <row r="29247" spans="7:16" s="1634" customFormat="1">
      <c r="G29247" s="3336"/>
      <c r="P29247" s="3337"/>
    </row>
    <row r="29248" spans="7:16" s="1634" customFormat="1">
      <c r="G29248" s="3336"/>
      <c r="P29248" s="3337"/>
    </row>
    <row r="29249" spans="7:16" s="1634" customFormat="1">
      <c r="G29249" s="3336"/>
      <c r="P29249" s="3337"/>
    </row>
    <row r="29250" spans="7:16" s="1634" customFormat="1">
      <c r="G29250" s="3336"/>
      <c r="P29250" s="3337"/>
    </row>
    <row r="29251" spans="7:16" s="1634" customFormat="1">
      <c r="G29251" s="3336"/>
      <c r="P29251" s="3337"/>
    </row>
    <row r="29252" spans="7:16" s="1634" customFormat="1">
      <c r="G29252" s="3336"/>
      <c r="P29252" s="3337"/>
    </row>
    <row r="29253" spans="7:16" s="1634" customFormat="1">
      <c r="G29253" s="3336"/>
      <c r="P29253" s="3337"/>
    </row>
    <row r="29254" spans="7:16" s="1634" customFormat="1">
      <c r="G29254" s="3336"/>
      <c r="P29254" s="3337"/>
    </row>
    <row r="29255" spans="7:16" s="1634" customFormat="1">
      <c r="G29255" s="3336"/>
      <c r="P29255" s="3337"/>
    </row>
    <row r="29256" spans="7:16" s="1634" customFormat="1">
      <c r="G29256" s="3336"/>
      <c r="P29256" s="3337"/>
    </row>
    <row r="29257" spans="7:16" s="1634" customFormat="1">
      <c r="G29257" s="3336"/>
      <c r="P29257" s="3337"/>
    </row>
    <row r="29258" spans="7:16" s="1634" customFormat="1">
      <c r="G29258" s="3336"/>
      <c r="P29258" s="3337"/>
    </row>
    <row r="29259" spans="7:16" s="1634" customFormat="1">
      <c r="G29259" s="3336"/>
      <c r="P29259" s="3337"/>
    </row>
    <row r="29260" spans="7:16" s="1634" customFormat="1">
      <c r="G29260" s="3336"/>
      <c r="P29260" s="3337"/>
    </row>
    <row r="29261" spans="7:16" s="1634" customFormat="1">
      <c r="G29261" s="3336"/>
      <c r="P29261" s="3337"/>
    </row>
    <row r="29262" spans="7:16" s="1634" customFormat="1">
      <c r="G29262" s="3336"/>
      <c r="P29262" s="3337"/>
    </row>
    <row r="29263" spans="7:16" s="1634" customFormat="1">
      <c r="G29263" s="3336"/>
      <c r="P29263" s="3337"/>
    </row>
    <row r="29264" spans="7:16" s="1634" customFormat="1">
      <c r="G29264" s="3336"/>
      <c r="P29264" s="3337"/>
    </row>
    <row r="29265" spans="7:16" s="1634" customFormat="1">
      <c r="G29265" s="3336"/>
      <c r="P29265" s="3337"/>
    </row>
    <row r="29266" spans="7:16" s="1634" customFormat="1">
      <c r="G29266" s="3336"/>
      <c r="P29266" s="3337"/>
    </row>
    <row r="29267" spans="7:16" s="1634" customFormat="1">
      <c r="G29267" s="3336"/>
      <c r="P29267" s="3337"/>
    </row>
    <row r="29268" spans="7:16" s="1634" customFormat="1">
      <c r="G29268" s="3336"/>
      <c r="P29268" s="3337"/>
    </row>
    <row r="29269" spans="7:16" s="1634" customFormat="1">
      <c r="G29269" s="3336"/>
      <c r="P29269" s="3337"/>
    </row>
    <row r="29270" spans="7:16" s="1634" customFormat="1">
      <c r="G29270" s="3336"/>
      <c r="P29270" s="3337"/>
    </row>
    <row r="29271" spans="7:16" s="1634" customFormat="1">
      <c r="G29271" s="3336"/>
      <c r="P29271" s="3337"/>
    </row>
    <row r="29272" spans="7:16" s="1634" customFormat="1">
      <c r="G29272" s="3336"/>
      <c r="P29272" s="3337"/>
    </row>
    <row r="29273" spans="7:16" s="1634" customFormat="1">
      <c r="G29273" s="3336"/>
      <c r="P29273" s="3337"/>
    </row>
    <row r="29274" spans="7:16" s="1634" customFormat="1">
      <c r="G29274" s="3336"/>
      <c r="P29274" s="3337"/>
    </row>
    <row r="29275" spans="7:16" s="1634" customFormat="1">
      <c r="G29275" s="3336"/>
      <c r="P29275" s="3337"/>
    </row>
    <row r="29276" spans="7:16" s="1634" customFormat="1">
      <c r="G29276" s="3336"/>
      <c r="P29276" s="3337"/>
    </row>
    <row r="29277" spans="7:16" s="1634" customFormat="1">
      <c r="G29277" s="3336"/>
      <c r="P29277" s="3337"/>
    </row>
    <row r="29278" spans="7:16" s="1634" customFormat="1">
      <c r="G29278" s="3336"/>
      <c r="P29278" s="3337"/>
    </row>
    <row r="29279" spans="7:16" s="1634" customFormat="1">
      <c r="G29279" s="3336"/>
      <c r="P29279" s="3337"/>
    </row>
    <row r="29280" spans="7:16" s="1634" customFormat="1">
      <c r="G29280" s="3336"/>
      <c r="P29280" s="3337"/>
    </row>
    <row r="29281" spans="7:16" s="1634" customFormat="1">
      <c r="G29281" s="3336"/>
      <c r="P29281" s="3337"/>
    </row>
    <row r="29282" spans="7:16" s="1634" customFormat="1">
      <c r="G29282" s="3336"/>
      <c r="P29282" s="3337"/>
    </row>
    <row r="29283" spans="7:16" s="1634" customFormat="1">
      <c r="G29283" s="3336"/>
      <c r="P29283" s="3337"/>
    </row>
    <row r="29284" spans="7:16" s="1634" customFormat="1">
      <c r="G29284" s="3336"/>
      <c r="P29284" s="3337"/>
    </row>
    <row r="29285" spans="7:16" s="1634" customFormat="1">
      <c r="G29285" s="3336"/>
      <c r="P29285" s="3337"/>
    </row>
    <row r="29286" spans="7:16" s="1634" customFormat="1">
      <c r="G29286" s="3336"/>
      <c r="P29286" s="3337"/>
    </row>
    <row r="29287" spans="7:16" s="1634" customFormat="1">
      <c r="G29287" s="3336"/>
      <c r="P29287" s="3337"/>
    </row>
    <row r="29288" spans="7:16" s="1634" customFormat="1">
      <c r="G29288" s="3336"/>
      <c r="P29288" s="3337"/>
    </row>
    <row r="29289" spans="7:16" s="1634" customFormat="1">
      <c r="G29289" s="3336"/>
      <c r="P29289" s="3337"/>
    </row>
    <row r="29290" spans="7:16" s="1634" customFormat="1">
      <c r="G29290" s="3336"/>
      <c r="P29290" s="3337"/>
    </row>
    <row r="29291" spans="7:16" s="1634" customFormat="1">
      <c r="G29291" s="3336"/>
      <c r="P29291" s="3337"/>
    </row>
    <row r="29292" spans="7:16" s="1634" customFormat="1">
      <c r="G29292" s="3336"/>
      <c r="P29292" s="3337"/>
    </row>
    <row r="29293" spans="7:16" s="1634" customFormat="1">
      <c r="G29293" s="3336"/>
      <c r="P29293" s="3337"/>
    </row>
    <row r="29294" spans="7:16" s="1634" customFormat="1">
      <c r="G29294" s="3336"/>
      <c r="P29294" s="3337"/>
    </row>
    <row r="29295" spans="7:16" s="1634" customFormat="1">
      <c r="G29295" s="3336"/>
      <c r="P29295" s="3337"/>
    </row>
    <row r="29296" spans="7:16" s="1634" customFormat="1">
      <c r="G29296" s="3336"/>
      <c r="P29296" s="3337"/>
    </row>
    <row r="29297" spans="7:16" s="1634" customFormat="1">
      <c r="G29297" s="3336"/>
      <c r="P29297" s="3337"/>
    </row>
    <row r="29298" spans="7:16" s="1634" customFormat="1">
      <c r="G29298" s="3336"/>
      <c r="P29298" s="3337"/>
    </row>
    <row r="29299" spans="7:16" s="1634" customFormat="1">
      <c r="G29299" s="3336"/>
      <c r="P29299" s="3337"/>
    </row>
    <row r="29300" spans="7:16" s="1634" customFormat="1">
      <c r="G29300" s="3336"/>
      <c r="P29300" s="3337"/>
    </row>
    <row r="29301" spans="7:16" s="1634" customFormat="1">
      <c r="G29301" s="3336"/>
      <c r="P29301" s="3337"/>
    </row>
    <row r="29302" spans="7:16" s="1634" customFormat="1">
      <c r="G29302" s="3336"/>
      <c r="P29302" s="3337"/>
    </row>
    <row r="29303" spans="7:16" s="1634" customFormat="1">
      <c r="G29303" s="3336"/>
      <c r="P29303" s="3337"/>
    </row>
    <row r="29304" spans="7:16" s="1634" customFormat="1">
      <c r="G29304" s="3336"/>
      <c r="P29304" s="3337"/>
    </row>
    <row r="29305" spans="7:16" s="1634" customFormat="1">
      <c r="G29305" s="3336"/>
      <c r="P29305" s="3337"/>
    </row>
    <row r="29306" spans="7:16" s="1634" customFormat="1">
      <c r="G29306" s="3336"/>
      <c r="P29306" s="3337"/>
    </row>
    <row r="29307" spans="7:16" s="1634" customFormat="1">
      <c r="G29307" s="3336"/>
      <c r="P29307" s="3337"/>
    </row>
    <row r="29308" spans="7:16" s="1634" customFormat="1">
      <c r="G29308" s="3336"/>
      <c r="P29308" s="3337"/>
    </row>
    <row r="29309" spans="7:16" s="1634" customFormat="1">
      <c r="G29309" s="3336"/>
      <c r="P29309" s="3337"/>
    </row>
    <row r="29310" spans="7:16" s="1634" customFormat="1">
      <c r="G29310" s="3336"/>
      <c r="P29310" s="3337"/>
    </row>
    <row r="29311" spans="7:16" s="1634" customFormat="1">
      <c r="G29311" s="3336"/>
      <c r="P29311" s="3337"/>
    </row>
    <row r="29312" spans="7:16" s="1634" customFormat="1">
      <c r="G29312" s="3336"/>
      <c r="P29312" s="3337"/>
    </row>
    <row r="29313" spans="7:16" s="1634" customFormat="1">
      <c r="G29313" s="3336"/>
      <c r="P29313" s="3337"/>
    </row>
    <row r="29314" spans="7:16" s="1634" customFormat="1">
      <c r="G29314" s="3336"/>
      <c r="P29314" s="3337"/>
    </row>
    <row r="29315" spans="7:16" s="1634" customFormat="1">
      <c r="G29315" s="3336"/>
      <c r="P29315" s="3337"/>
    </row>
    <row r="29316" spans="7:16" s="1634" customFormat="1">
      <c r="G29316" s="3336"/>
      <c r="P29316" s="3337"/>
    </row>
    <row r="29317" spans="7:16" s="1634" customFormat="1">
      <c r="G29317" s="3336"/>
      <c r="P29317" s="3337"/>
    </row>
    <row r="29318" spans="7:16" s="1634" customFormat="1">
      <c r="G29318" s="3336"/>
      <c r="P29318" s="3337"/>
    </row>
    <row r="29319" spans="7:16" s="1634" customFormat="1">
      <c r="G29319" s="3336"/>
      <c r="P29319" s="3337"/>
    </row>
    <row r="29320" spans="7:16" s="1634" customFormat="1">
      <c r="G29320" s="3336"/>
      <c r="P29320" s="3337"/>
    </row>
    <row r="29321" spans="7:16" s="1634" customFormat="1">
      <c r="G29321" s="3336"/>
      <c r="P29321" s="3337"/>
    </row>
    <row r="29322" spans="7:16" s="1634" customFormat="1">
      <c r="G29322" s="3336"/>
      <c r="P29322" s="3337"/>
    </row>
    <row r="29323" spans="7:16" s="1634" customFormat="1">
      <c r="G29323" s="3336"/>
      <c r="P29323" s="3337"/>
    </row>
    <row r="29324" spans="7:16" s="1634" customFormat="1">
      <c r="G29324" s="3336"/>
      <c r="P29324" s="3337"/>
    </row>
    <row r="29325" spans="7:16" s="1634" customFormat="1">
      <c r="G29325" s="3336"/>
      <c r="P29325" s="3337"/>
    </row>
    <row r="29326" spans="7:16" s="1634" customFormat="1">
      <c r="G29326" s="3336"/>
      <c r="P29326" s="3337"/>
    </row>
    <row r="29327" spans="7:16" s="1634" customFormat="1">
      <c r="G29327" s="3336"/>
      <c r="P29327" s="3337"/>
    </row>
    <row r="29328" spans="7:16" s="1634" customFormat="1">
      <c r="G29328" s="3336"/>
      <c r="P29328" s="3337"/>
    </row>
    <row r="29329" spans="7:16" s="1634" customFormat="1">
      <c r="G29329" s="3336"/>
      <c r="P29329" s="3337"/>
    </row>
    <row r="29330" spans="7:16" s="1634" customFormat="1">
      <c r="G29330" s="3336"/>
      <c r="P29330" s="3337"/>
    </row>
    <row r="29331" spans="7:16" s="1634" customFormat="1">
      <c r="G29331" s="3336"/>
      <c r="P29331" s="3337"/>
    </row>
    <row r="29332" spans="7:16" s="1634" customFormat="1">
      <c r="G29332" s="3336"/>
      <c r="P29332" s="3337"/>
    </row>
    <row r="29333" spans="7:16" s="1634" customFormat="1">
      <c r="G29333" s="3336"/>
      <c r="P29333" s="3337"/>
    </row>
    <row r="29334" spans="7:16" s="1634" customFormat="1">
      <c r="G29334" s="3336"/>
      <c r="P29334" s="3337"/>
    </row>
    <row r="29335" spans="7:16" s="1634" customFormat="1">
      <c r="G29335" s="3336"/>
      <c r="P29335" s="3337"/>
    </row>
    <row r="29336" spans="7:16" s="1634" customFormat="1">
      <c r="G29336" s="3336"/>
      <c r="P29336" s="3337"/>
    </row>
    <row r="29337" spans="7:16" s="1634" customFormat="1">
      <c r="G29337" s="3336"/>
      <c r="P29337" s="3337"/>
    </row>
    <row r="29338" spans="7:16" s="1634" customFormat="1">
      <c r="G29338" s="3336"/>
      <c r="P29338" s="3337"/>
    </row>
    <row r="29339" spans="7:16" s="1634" customFormat="1">
      <c r="G29339" s="3336"/>
      <c r="P29339" s="3337"/>
    </row>
    <row r="29340" spans="7:16" s="1634" customFormat="1">
      <c r="G29340" s="3336"/>
      <c r="P29340" s="3337"/>
    </row>
    <row r="29341" spans="7:16" s="1634" customFormat="1">
      <c r="G29341" s="3336"/>
      <c r="P29341" s="3337"/>
    </row>
    <row r="29342" spans="7:16" s="1634" customFormat="1">
      <c r="G29342" s="3336"/>
      <c r="P29342" s="3337"/>
    </row>
    <row r="29343" spans="7:16" s="1634" customFormat="1">
      <c r="G29343" s="3336"/>
      <c r="P29343" s="3337"/>
    </row>
    <row r="29344" spans="7:16" s="1634" customFormat="1">
      <c r="G29344" s="3336"/>
      <c r="P29344" s="3337"/>
    </row>
    <row r="29345" spans="7:16" s="1634" customFormat="1">
      <c r="G29345" s="3336"/>
      <c r="P29345" s="3337"/>
    </row>
    <row r="29346" spans="7:16" s="1634" customFormat="1">
      <c r="G29346" s="3336"/>
      <c r="P29346" s="3337"/>
    </row>
    <row r="29347" spans="7:16" s="1634" customFormat="1">
      <c r="G29347" s="3336"/>
      <c r="P29347" s="3337"/>
    </row>
    <row r="29348" spans="7:16" s="1634" customFormat="1">
      <c r="G29348" s="3336"/>
      <c r="P29348" s="3337"/>
    </row>
    <row r="29349" spans="7:16" s="1634" customFormat="1">
      <c r="G29349" s="3336"/>
      <c r="P29349" s="3337"/>
    </row>
    <row r="29350" spans="7:16" s="1634" customFormat="1">
      <c r="G29350" s="3336"/>
      <c r="P29350" s="3337"/>
    </row>
    <row r="29351" spans="7:16" s="1634" customFormat="1">
      <c r="G29351" s="3336"/>
      <c r="P29351" s="3337"/>
    </row>
    <row r="29352" spans="7:16" s="1634" customFormat="1">
      <c r="G29352" s="3336"/>
      <c r="P29352" s="3337"/>
    </row>
    <row r="29353" spans="7:16" s="1634" customFormat="1">
      <c r="G29353" s="3336"/>
      <c r="P29353" s="3337"/>
    </row>
    <row r="29354" spans="7:16" s="1634" customFormat="1">
      <c r="G29354" s="3336"/>
      <c r="P29354" s="3337"/>
    </row>
    <row r="29355" spans="7:16" s="1634" customFormat="1">
      <c r="G29355" s="3336"/>
      <c r="P29355" s="3337"/>
    </row>
    <row r="29356" spans="7:16" s="1634" customFormat="1">
      <c r="G29356" s="3336"/>
      <c r="P29356" s="3337"/>
    </row>
    <row r="29357" spans="7:16" s="1634" customFormat="1">
      <c r="G29357" s="3336"/>
      <c r="P29357" s="3337"/>
    </row>
    <row r="29358" spans="7:16" s="1634" customFormat="1">
      <c r="G29358" s="3336"/>
      <c r="P29358" s="3337"/>
    </row>
    <row r="29359" spans="7:16" s="1634" customFormat="1">
      <c r="G29359" s="3336"/>
      <c r="P29359" s="3337"/>
    </row>
    <row r="29360" spans="7:16" s="1634" customFormat="1">
      <c r="G29360" s="3336"/>
      <c r="P29360" s="3337"/>
    </row>
    <row r="29361" spans="7:16" s="1634" customFormat="1">
      <c r="G29361" s="3336"/>
      <c r="P29361" s="3337"/>
    </row>
    <row r="29362" spans="7:16" s="1634" customFormat="1">
      <c r="G29362" s="3336"/>
      <c r="P29362" s="3337"/>
    </row>
    <row r="29363" spans="7:16" s="1634" customFormat="1">
      <c r="G29363" s="3336"/>
      <c r="P29363" s="3337"/>
    </row>
    <row r="29364" spans="7:16" s="1634" customFormat="1">
      <c r="G29364" s="3336"/>
      <c r="P29364" s="3337"/>
    </row>
    <row r="29365" spans="7:16" s="1634" customFormat="1">
      <c r="G29365" s="3336"/>
      <c r="P29365" s="3337"/>
    </row>
    <row r="29366" spans="7:16" s="1634" customFormat="1">
      <c r="G29366" s="3336"/>
      <c r="P29366" s="3337"/>
    </row>
    <row r="29367" spans="7:16" s="1634" customFormat="1">
      <c r="G29367" s="3336"/>
      <c r="P29367" s="3337"/>
    </row>
    <row r="29368" spans="7:16" s="1634" customFormat="1">
      <c r="G29368" s="3336"/>
      <c r="P29368" s="3337"/>
    </row>
    <row r="29369" spans="7:16" s="1634" customFormat="1">
      <c r="G29369" s="3336"/>
      <c r="P29369" s="3337"/>
    </row>
    <row r="29370" spans="7:16" s="1634" customFormat="1">
      <c r="G29370" s="3336"/>
      <c r="P29370" s="3337"/>
    </row>
    <row r="29371" spans="7:16" s="1634" customFormat="1">
      <c r="G29371" s="3336"/>
      <c r="P29371" s="3337"/>
    </row>
    <row r="29372" spans="7:16" s="1634" customFormat="1">
      <c r="G29372" s="3336"/>
      <c r="P29372" s="3337"/>
    </row>
    <row r="29373" spans="7:16" s="1634" customFormat="1">
      <c r="G29373" s="3336"/>
      <c r="P29373" s="3337"/>
    </row>
    <row r="29374" spans="7:16" s="1634" customFormat="1">
      <c r="G29374" s="3336"/>
      <c r="P29374" s="3337"/>
    </row>
    <row r="29375" spans="7:16" s="1634" customFormat="1">
      <c r="G29375" s="3336"/>
      <c r="P29375" s="3337"/>
    </row>
    <row r="29376" spans="7:16" s="1634" customFormat="1">
      <c r="G29376" s="3336"/>
      <c r="P29376" s="3337"/>
    </row>
    <row r="29377" spans="7:16" s="1634" customFormat="1">
      <c r="G29377" s="3336"/>
      <c r="P29377" s="3337"/>
    </row>
    <row r="29378" spans="7:16" s="1634" customFormat="1">
      <c r="G29378" s="3336"/>
      <c r="P29378" s="3337"/>
    </row>
    <row r="29379" spans="7:16" s="1634" customFormat="1">
      <c r="G29379" s="3336"/>
      <c r="P29379" s="3337"/>
    </row>
    <row r="29380" spans="7:16" s="1634" customFormat="1">
      <c r="G29380" s="3336"/>
      <c r="P29380" s="3337"/>
    </row>
    <row r="29381" spans="7:16" s="1634" customFormat="1">
      <c r="G29381" s="3336"/>
      <c r="P29381" s="3337"/>
    </row>
    <row r="29382" spans="7:16" s="1634" customFormat="1">
      <c r="G29382" s="3336"/>
      <c r="P29382" s="3337"/>
    </row>
    <row r="29383" spans="7:16" s="1634" customFormat="1">
      <c r="G29383" s="3336"/>
      <c r="P29383" s="3337"/>
    </row>
    <row r="29384" spans="7:16" s="1634" customFormat="1">
      <c r="G29384" s="3336"/>
      <c r="P29384" s="3337"/>
    </row>
    <row r="29385" spans="7:16" s="1634" customFormat="1">
      <c r="G29385" s="3336"/>
      <c r="P29385" s="3337"/>
    </row>
    <row r="29386" spans="7:16" s="1634" customFormat="1">
      <c r="G29386" s="3336"/>
      <c r="P29386" s="3337"/>
    </row>
    <row r="29387" spans="7:16" s="1634" customFormat="1">
      <c r="G29387" s="3336"/>
      <c r="P29387" s="3337"/>
    </row>
    <row r="29388" spans="7:16" s="1634" customFormat="1">
      <c r="G29388" s="3336"/>
      <c r="P29388" s="3337"/>
    </row>
    <row r="29389" spans="7:16" s="1634" customFormat="1">
      <c r="G29389" s="3336"/>
      <c r="P29389" s="3337"/>
    </row>
    <row r="29390" spans="7:16" s="1634" customFormat="1">
      <c r="G29390" s="3336"/>
      <c r="P29390" s="3337"/>
    </row>
    <row r="29391" spans="7:16" s="1634" customFormat="1">
      <c r="G29391" s="3336"/>
      <c r="P29391" s="3337"/>
    </row>
    <row r="29392" spans="7:16" s="1634" customFormat="1">
      <c r="G29392" s="3336"/>
      <c r="P29392" s="3337"/>
    </row>
    <row r="29393" spans="7:16" s="1634" customFormat="1">
      <c r="G29393" s="3336"/>
      <c r="P29393" s="3337"/>
    </row>
    <row r="29394" spans="7:16" s="1634" customFormat="1">
      <c r="G29394" s="3336"/>
      <c r="P29394" s="3337"/>
    </row>
    <row r="29395" spans="7:16" s="1634" customFormat="1">
      <c r="G29395" s="3336"/>
      <c r="P29395" s="3337"/>
    </row>
    <row r="29396" spans="7:16" s="1634" customFormat="1">
      <c r="G29396" s="3336"/>
      <c r="P29396" s="3337"/>
    </row>
    <row r="29397" spans="7:16" s="1634" customFormat="1">
      <c r="G29397" s="3336"/>
      <c r="P29397" s="3337"/>
    </row>
    <row r="29398" spans="7:16" s="1634" customFormat="1">
      <c r="G29398" s="3336"/>
      <c r="P29398" s="3337"/>
    </row>
    <row r="29399" spans="7:16" s="1634" customFormat="1">
      <c r="G29399" s="3336"/>
      <c r="P29399" s="3337"/>
    </row>
    <row r="29400" spans="7:16" s="1634" customFormat="1">
      <c r="G29400" s="3336"/>
      <c r="P29400" s="3337"/>
    </row>
    <row r="29401" spans="7:16" s="1634" customFormat="1">
      <c r="G29401" s="3336"/>
      <c r="P29401" s="3337"/>
    </row>
    <row r="29402" spans="7:16" s="1634" customFormat="1">
      <c r="G29402" s="3336"/>
      <c r="P29402" s="3337"/>
    </row>
    <row r="29403" spans="7:16" s="1634" customFormat="1">
      <c r="G29403" s="3336"/>
      <c r="P29403" s="3337"/>
    </row>
    <row r="29404" spans="7:16" s="1634" customFormat="1">
      <c r="G29404" s="3336"/>
      <c r="P29404" s="3337"/>
    </row>
    <row r="29405" spans="7:16" s="1634" customFormat="1">
      <c r="G29405" s="3336"/>
      <c r="P29405" s="3337"/>
    </row>
    <row r="29406" spans="7:16" s="1634" customFormat="1">
      <c r="G29406" s="3336"/>
      <c r="P29406" s="3337"/>
    </row>
    <row r="29407" spans="7:16" s="1634" customFormat="1">
      <c r="G29407" s="3336"/>
      <c r="P29407" s="3337"/>
    </row>
    <row r="29408" spans="7:16" s="1634" customFormat="1">
      <c r="G29408" s="3336"/>
      <c r="P29408" s="3337"/>
    </row>
    <row r="29409" spans="7:16" s="1634" customFormat="1">
      <c r="G29409" s="3336"/>
      <c r="P29409" s="3337"/>
    </row>
    <row r="29410" spans="7:16" s="1634" customFormat="1">
      <c r="G29410" s="3336"/>
      <c r="P29410" s="3337"/>
    </row>
    <row r="29411" spans="7:16" s="1634" customFormat="1">
      <c r="G29411" s="3336"/>
      <c r="P29411" s="3337"/>
    </row>
    <row r="29412" spans="7:16" s="1634" customFormat="1">
      <c r="G29412" s="3336"/>
      <c r="P29412" s="3337"/>
    </row>
    <row r="29413" spans="7:16" s="1634" customFormat="1">
      <c r="G29413" s="3336"/>
      <c r="P29413" s="3337"/>
    </row>
    <row r="29414" spans="7:16" s="1634" customFormat="1">
      <c r="G29414" s="3336"/>
      <c r="P29414" s="3337"/>
    </row>
    <row r="29415" spans="7:16" s="1634" customFormat="1">
      <c r="G29415" s="3336"/>
      <c r="P29415" s="3337"/>
    </row>
    <row r="29416" spans="7:16" s="1634" customFormat="1">
      <c r="G29416" s="3336"/>
      <c r="P29416" s="3337"/>
    </row>
    <row r="29417" spans="7:16" s="1634" customFormat="1">
      <c r="G29417" s="3336"/>
      <c r="P29417" s="3337"/>
    </row>
    <row r="29418" spans="7:16" s="1634" customFormat="1">
      <c r="G29418" s="3336"/>
      <c r="P29418" s="3337"/>
    </row>
    <row r="29419" spans="7:16" s="1634" customFormat="1">
      <c r="G29419" s="3336"/>
      <c r="P29419" s="3337"/>
    </row>
    <row r="29420" spans="7:16" s="1634" customFormat="1">
      <c r="G29420" s="3336"/>
      <c r="P29420" s="3337"/>
    </row>
    <row r="29421" spans="7:16" s="1634" customFormat="1">
      <c r="G29421" s="3336"/>
      <c r="P29421" s="3337"/>
    </row>
    <row r="29422" spans="7:16" s="1634" customFormat="1">
      <c r="G29422" s="3336"/>
      <c r="P29422" s="3337"/>
    </row>
    <row r="29423" spans="7:16" s="1634" customFormat="1">
      <c r="G29423" s="3336"/>
      <c r="P29423" s="3337"/>
    </row>
    <row r="29424" spans="7:16" s="1634" customFormat="1">
      <c r="G29424" s="3336"/>
      <c r="P29424" s="3337"/>
    </row>
    <row r="29425" spans="7:16" s="1634" customFormat="1">
      <c r="G29425" s="3336"/>
      <c r="P29425" s="3337"/>
    </row>
    <row r="29426" spans="7:16" s="1634" customFormat="1">
      <c r="G29426" s="3336"/>
      <c r="P29426" s="3337"/>
    </row>
    <row r="29427" spans="7:16" s="1634" customFormat="1">
      <c r="G29427" s="3336"/>
      <c r="P29427" s="3337"/>
    </row>
    <row r="29428" spans="7:16" s="1634" customFormat="1">
      <c r="G29428" s="3336"/>
      <c r="P29428" s="3337"/>
    </row>
    <row r="29429" spans="7:16" s="1634" customFormat="1">
      <c r="G29429" s="3336"/>
      <c r="P29429" s="3337"/>
    </row>
    <row r="29430" spans="7:16" s="1634" customFormat="1">
      <c r="G29430" s="3336"/>
      <c r="P29430" s="3337"/>
    </row>
    <row r="29431" spans="7:16" s="1634" customFormat="1">
      <c r="G29431" s="3336"/>
      <c r="P29431" s="3337"/>
    </row>
    <row r="29432" spans="7:16" s="1634" customFormat="1">
      <c r="G29432" s="3336"/>
      <c r="P29432" s="3337"/>
    </row>
    <row r="29433" spans="7:16" s="1634" customFormat="1">
      <c r="G29433" s="3336"/>
      <c r="P29433" s="3337"/>
    </row>
    <row r="29434" spans="7:16" s="1634" customFormat="1">
      <c r="G29434" s="3336"/>
      <c r="P29434" s="3337"/>
    </row>
    <row r="29435" spans="7:16" s="1634" customFormat="1">
      <c r="G29435" s="3336"/>
      <c r="P29435" s="3337"/>
    </row>
    <row r="29436" spans="7:16" s="1634" customFormat="1">
      <c r="G29436" s="3336"/>
      <c r="P29436" s="3337"/>
    </row>
    <row r="29437" spans="7:16" s="1634" customFormat="1">
      <c r="G29437" s="3336"/>
      <c r="P29437" s="3337"/>
    </row>
    <row r="29438" spans="7:16" s="1634" customFormat="1">
      <c r="G29438" s="3336"/>
      <c r="P29438" s="3337"/>
    </row>
    <row r="29439" spans="7:16" s="1634" customFormat="1">
      <c r="G29439" s="3336"/>
      <c r="P29439" s="3337"/>
    </row>
    <row r="29440" spans="7:16" s="1634" customFormat="1">
      <c r="G29440" s="3336"/>
      <c r="P29440" s="3337"/>
    </row>
    <row r="29441" spans="7:16" s="1634" customFormat="1">
      <c r="G29441" s="3336"/>
      <c r="P29441" s="3337"/>
    </row>
    <row r="29442" spans="7:16" s="1634" customFormat="1">
      <c r="G29442" s="3336"/>
      <c r="P29442" s="3337"/>
    </row>
    <row r="29443" spans="7:16" s="1634" customFormat="1">
      <c r="G29443" s="3336"/>
      <c r="P29443" s="3337"/>
    </row>
    <row r="29444" spans="7:16" s="1634" customFormat="1">
      <c r="G29444" s="3336"/>
      <c r="P29444" s="3337"/>
    </row>
    <row r="29445" spans="7:16" s="1634" customFormat="1">
      <c r="G29445" s="3336"/>
      <c r="P29445" s="3337"/>
    </row>
    <row r="29446" spans="7:16" s="1634" customFormat="1">
      <c r="G29446" s="3336"/>
      <c r="P29446" s="3337"/>
    </row>
    <row r="29447" spans="7:16" s="1634" customFormat="1">
      <c r="G29447" s="3336"/>
      <c r="P29447" s="3337"/>
    </row>
    <row r="29448" spans="7:16" s="1634" customFormat="1">
      <c r="G29448" s="3336"/>
      <c r="P29448" s="3337"/>
    </row>
    <row r="29449" spans="7:16" s="1634" customFormat="1">
      <c r="G29449" s="3336"/>
      <c r="P29449" s="3337"/>
    </row>
    <row r="29450" spans="7:16" s="1634" customFormat="1">
      <c r="G29450" s="3336"/>
      <c r="P29450" s="3337"/>
    </row>
    <row r="29451" spans="7:16" s="1634" customFormat="1">
      <c r="G29451" s="3336"/>
      <c r="P29451" s="3337"/>
    </row>
    <row r="29452" spans="7:16" s="1634" customFormat="1">
      <c r="G29452" s="3336"/>
      <c r="P29452" s="3337"/>
    </row>
    <row r="29453" spans="7:16" s="1634" customFormat="1">
      <c r="G29453" s="3336"/>
      <c r="P29453" s="3337"/>
    </row>
    <row r="29454" spans="7:16" s="1634" customFormat="1">
      <c r="G29454" s="3336"/>
      <c r="P29454" s="3337"/>
    </row>
    <row r="29455" spans="7:16" s="1634" customFormat="1">
      <c r="G29455" s="3336"/>
      <c r="P29455" s="3337"/>
    </row>
    <row r="29456" spans="7:16" s="1634" customFormat="1">
      <c r="G29456" s="3336"/>
      <c r="P29456" s="3337"/>
    </row>
    <row r="29457" spans="7:16" s="1634" customFormat="1">
      <c r="G29457" s="3336"/>
      <c r="P29457" s="3337"/>
    </row>
    <row r="29458" spans="7:16" s="1634" customFormat="1">
      <c r="G29458" s="3336"/>
      <c r="P29458" s="3337"/>
    </row>
    <row r="29459" spans="7:16" s="1634" customFormat="1">
      <c r="G29459" s="3336"/>
      <c r="P29459" s="3337"/>
    </row>
    <row r="29460" spans="7:16" s="1634" customFormat="1">
      <c r="G29460" s="3336"/>
      <c r="P29460" s="3337"/>
    </row>
    <row r="29461" spans="7:16" s="1634" customFormat="1">
      <c r="G29461" s="3336"/>
      <c r="P29461" s="3337"/>
    </row>
    <row r="29462" spans="7:16" s="1634" customFormat="1">
      <c r="G29462" s="3336"/>
      <c r="P29462" s="3337"/>
    </row>
    <row r="29463" spans="7:16" s="1634" customFormat="1">
      <c r="G29463" s="3336"/>
      <c r="P29463" s="3337"/>
    </row>
    <row r="29464" spans="7:16" s="1634" customFormat="1">
      <c r="G29464" s="3336"/>
      <c r="P29464" s="3337"/>
    </row>
    <row r="29465" spans="7:16" s="1634" customFormat="1">
      <c r="G29465" s="3336"/>
      <c r="P29465" s="3337"/>
    </row>
    <row r="29466" spans="7:16" s="1634" customFormat="1">
      <c r="G29466" s="3336"/>
      <c r="P29466" s="3337"/>
    </row>
    <row r="29467" spans="7:16" s="1634" customFormat="1">
      <c r="G29467" s="3336"/>
      <c r="P29467" s="3337"/>
    </row>
    <row r="29468" spans="7:16" s="1634" customFormat="1">
      <c r="G29468" s="3336"/>
      <c r="P29468" s="3337"/>
    </row>
    <row r="29469" spans="7:16" s="1634" customFormat="1">
      <c r="G29469" s="3336"/>
      <c r="P29469" s="3337"/>
    </row>
    <row r="29470" spans="7:16" s="1634" customFormat="1">
      <c r="G29470" s="3336"/>
      <c r="P29470" s="3337"/>
    </row>
    <row r="29471" spans="7:16" s="1634" customFormat="1">
      <c r="G29471" s="3336"/>
      <c r="P29471" s="3337"/>
    </row>
    <row r="29472" spans="7:16" s="1634" customFormat="1">
      <c r="G29472" s="3336"/>
      <c r="P29472" s="3337"/>
    </row>
    <row r="29473" spans="7:16" s="1634" customFormat="1">
      <c r="G29473" s="3336"/>
      <c r="P29473" s="3337"/>
    </row>
    <row r="29474" spans="7:16" s="1634" customFormat="1">
      <c r="G29474" s="3336"/>
      <c r="P29474" s="3337"/>
    </row>
    <row r="29475" spans="7:16" s="1634" customFormat="1">
      <c r="G29475" s="3336"/>
      <c r="P29475" s="3337"/>
    </row>
    <row r="29476" spans="7:16" s="1634" customFormat="1">
      <c r="G29476" s="3336"/>
      <c r="P29476" s="3337"/>
    </row>
    <row r="29477" spans="7:16" s="1634" customFormat="1">
      <c r="G29477" s="3336"/>
      <c r="P29477" s="3337"/>
    </row>
    <row r="29478" spans="7:16" s="1634" customFormat="1">
      <c r="G29478" s="3336"/>
      <c r="P29478" s="3337"/>
    </row>
    <row r="29479" spans="7:16" s="1634" customFormat="1">
      <c r="G29479" s="3336"/>
      <c r="P29479" s="3337"/>
    </row>
    <row r="29480" spans="7:16" s="1634" customFormat="1">
      <c r="G29480" s="3336"/>
      <c r="P29480" s="3337"/>
    </row>
    <row r="29481" spans="7:16" s="1634" customFormat="1">
      <c r="G29481" s="3336"/>
      <c r="P29481" s="3337"/>
    </row>
    <row r="29482" spans="7:16" s="1634" customFormat="1">
      <c r="G29482" s="3336"/>
      <c r="P29482" s="3337"/>
    </row>
    <row r="29483" spans="7:16" s="1634" customFormat="1">
      <c r="G29483" s="3336"/>
      <c r="P29483" s="3337"/>
    </row>
    <row r="29484" spans="7:16" s="1634" customFormat="1">
      <c r="G29484" s="3336"/>
      <c r="P29484" s="3337"/>
    </row>
    <row r="29485" spans="7:16" s="1634" customFormat="1">
      <c r="G29485" s="3336"/>
      <c r="P29485" s="3337"/>
    </row>
    <row r="29486" spans="7:16" s="1634" customFormat="1">
      <c r="G29486" s="3336"/>
      <c r="P29486" s="3337"/>
    </row>
    <row r="29487" spans="7:16" s="1634" customFormat="1">
      <c r="G29487" s="3336"/>
      <c r="P29487" s="3337"/>
    </row>
    <row r="29488" spans="7:16" s="1634" customFormat="1">
      <c r="G29488" s="3336"/>
      <c r="P29488" s="3337"/>
    </row>
    <row r="29489" spans="7:16" s="1634" customFormat="1">
      <c r="G29489" s="3336"/>
      <c r="P29489" s="3337"/>
    </row>
    <row r="29490" spans="7:16" s="1634" customFormat="1">
      <c r="G29490" s="3336"/>
      <c r="P29490" s="3337"/>
    </row>
    <row r="29491" spans="7:16" s="1634" customFormat="1">
      <c r="G29491" s="3336"/>
      <c r="P29491" s="3337"/>
    </row>
    <row r="29492" spans="7:16" s="1634" customFormat="1">
      <c r="G29492" s="3336"/>
      <c r="P29492" s="3337"/>
    </row>
    <row r="29493" spans="7:16" s="1634" customFormat="1">
      <c r="G29493" s="3336"/>
      <c r="P29493" s="3337"/>
    </row>
    <row r="29494" spans="7:16" s="1634" customFormat="1">
      <c r="G29494" s="3336"/>
      <c r="P29494" s="3337"/>
    </row>
    <row r="29495" spans="7:16" s="1634" customFormat="1">
      <c r="G29495" s="3336"/>
      <c r="P29495" s="3337"/>
    </row>
    <row r="29496" spans="7:16" s="1634" customFormat="1">
      <c r="G29496" s="3336"/>
      <c r="P29496" s="3337"/>
    </row>
    <row r="29497" spans="7:16" s="1634" customFormat="1">
      <c r="G29497" s="3336"/>
      <c r="P29497" s="3337"/>
    </row>
    <row r="29498" spans="7:16" s="1634" customFormat="1">
      <c r="G29498" s="3336"/>
      <c r="P29498" s="3337"/>
    </row>
    <row r="29499" spans="7:16" s="1634" customFormat="1">
      <c r="G29499" s="3336"/>
      <c r="P29499" s="3337"/>
    </row>
    <row r="29500" spans="7:16" s="1634" customFormat="1">
      <c r="G29500" s="3336"/>
      <c r="P29500" s="3337"/>
    </row>
    <row r="29501" spans="7:16" s="1634" customFormat="1">
      <c r="G29501" s="3336"/>
      <c r="P29501" s="3337"/>
    </row>
    <row r="29502" spans="7:16" s="1634" customFormat="1">
      <c r="G29502" s="3336"/>
      <c r="P29502" s="3337"/>
    </row>
    <row r="29503" spans="7:16" s="1634" customFormat="1">
      <c r="G29503" s="3336"/>
      <c r="P29503" s="3337"/>
    </row>
    <row r="29504" spans="7:16" s="1634" customFormat="1">
      <c r="G29504" s="3336"/>
      <c r="P29504" s="3337"/>
    </row>
    <row r="29505" spans="7:16" s="1634" customFormat="1">
      <c r="G29505" s="3336"/>
      <c r="P29505" s="3337"/>
    </row>
    <row r="29506" spans="7:16" s="1634" customFormat="1">
      <c r="G29506" s="3336"/>
      <c r="P29506" s="3337"/>
    </row>
    <row r="29507" spans="7:16" s="1634" customFormat="1">
      <c r="G29507" s="3336"/>
      <c r="P29507" s="3337"/>
    </row>
    <row r="29508" spans="7:16" s="1634" customFormat="1">
      <c r="G29508" s="3336"/>
      <c r="P29508" s="3337"/>
    </row>
    <row r="29509" spans="7:16" s="1634" customFormat="1">
      <c r="G29509" s="3336"/>
      <c r="P29509" s="3337"/>
    </row>
    <row r="29510" spans="7:16" s="1634" customFormat="1">
      <c r="G29510" s="3336"/>
      <c r="P29510" s="3337"/>
    </row>
    <row r="29511" spans="7:16" s="1634" customFormat="1">
      <c r="G29511" s="3336"/>
      <c r="P29511" s="3337"/>
    </row>
    <row r="29512" spans="7:16" s="1634" customFormat="1">
      <c r="G29512" s="3336"/>
      <c r="P29512" s="3337"/>
    </row>
    <row r="29513" spans="7:16" s="1634" customFormat="1">
      <c r="G29513" s="3336"/>
      <c r="P29513" s="3337"/>
    </row>
    <row r="29514" spans="7:16" s="1634" customFormat="1">
      <c r="G29514" s="3336"/>
      <c r="P29514" s="3337"/>
    </row>
    <row r="29515" spans="7:16" s="1634" customFormat="1">
      <c r="G29515" s="3336"/>
      <c r="P29515" s="3337"/>
    </row>
    <row r="29516" spans="7:16" s="1634" customFormat="1">
      <c r="G29516" s="3336"/>
      <c r="P29516" s="3337"/>
    </row>
    <row r="29517" spans="7:16" s="1634" customFormat="1">
      <c r="G29517" s="3336"/>
      <c r="P29517" s="3337"/>
    </row>
    <row r="29518" spans="7:16" s="1634" customFormat="1">
      <c r="G29518" s="3336"/>
      <c r="P29518" s="3337"/>
    </row>
    <row r="29519" spans="7:16" s="1634" customFormat="1">
      <c r="G29519" s="3336"/>
      <c r="P29519" s="3337"/>
    </row>
    <row r="29520" spans="7:16" s="1634" customFormat="1">
      <c r="G29520" s="3336"/>
      <c r="P29520" s="3337"/>
    </row>
    <row r="29521" spans="7:16" s="1634" customFormat="1">
      <c r="G29521" s="3336"/>
      <c r="P29521" s="3337"/>
    </row>
    <row r="29522" spans="7:16" s="1634" customFormat="1">
      <c r="G29522" s="3336"/>
      <c r="P29522" s="3337"/>
    </row>
    <row r="29523" spans="7:16" s="1634" customFormat="1">
      <c r="G29523" s="3336"/>
      <c r="P29523" s="3337"/>
    </row>
    <row r="29524" spans="7:16" s="1634" customFormat="1">
      <c r="G29524" s="3336"/>
      <c r="P29524" s="3337"/>
    </row>
    <row r="29525" spans="7:16" s="1634" customFormat="1">
      <c r="G29525" s="3336"/>
      <c r="P29525" s="3337"/>
    </row>
    <row r="29526" spans="7:16" s="1634" customFormat="1">
      <c r="G29526" s="3336"/>
      <c r="P29526" s="3337"/>
    </row>
    <row r="29527" spans="7:16" s="1634" customFormat="1">
      <c r="G29527" s="3336"/>
      <c r="P29527" s="3337"/>
    </row>
    <row r="29528" spans="7:16" s="1634" customFormat="1">
      <c r="G29528" s="3336"/>
      <c r="P29528" s="3337"/>
    </row>
    <row r="29529" spans="7:16" s="1634" customFormat="1">
      <c r="G29529" s="3336"/>
      <c r="P29529" s="3337"/>
    </row>
    <row r="29530" spans="7:16" s="1634" customFormat="1">
      <c r="G29530" s="3336"/>
      <c r="P29530" s="3337"/>
    </row>
    <row r="29531" spans="7:16" s="1634" customFormat="1">
      <c r="G29531" s="3336"/>
      <c r="P29531" s="3337"/>
    </row>
    <row r="29532" spans="7:16" s="1634" customFormat="1">
      <c r="G29532" s="3336"/>
      <c r="P29532" s="3337"/>
    </row>
    <row r="29533" spans="7:16" s="1634" customFormat="1">
      <c r="G29533" s="3336"/>
      <c r="P29533" s="3337"/>
    </row>
    <row r="29534" spans="7:16" s="1634" customFormat="1">
      <c r="G29534" s="3336"/>
      <c r="P29534" s="3337"/>
    </row>
    <row r="29535" spans="7:16" s="1634" customFormat="1">
      <c r="G29535" s="3336"/>
      <c r="P29535" s="3337"/>
    </row>
    <row r="29536" spans="7:16" s="1634" customFormat="1">
      <c r="G29536" s="3336"/>
      <c r="P29536" s="3337"/>
    </row>
    <row r="29537" spans="7:16" s="1634" customFormat="1">
      <c r="G29537" s="3336"/>
      <c r="P29537" s="3337"/>
    </row>
    <row r="29538" spans="7:16" s="1634" customFormat="1">
      <c r="G29538" s="3336"/>
      <c r="P29538" s="3337"/>
    </row>
    <row r="29539" spans="7:16" s="1634" customFormat="1">
      <c r="G29539" s="3336"/>
      <c r="P29539" s="3337"/>
    </row>
    <row r="29540" spans="7:16" s="1634" customFormat="1">
      <c r="G29540" s="3336"/>
      <c r="P29540" s="3337"/>
    </row>
    <row r="29541" spans="7:16" s="1634" customFormat="1">
      <c r="G29541" s="3336"/>
      <c r="P29541" s="3337"/>
    </row>
    <row r="29542" spans="7:16" s="1634" customFormat="1">
      <c r="G29542" s="3336"/>
      <c r="P29542" s="3337"/>
    </row>
    <row r="29543" spans="7:16" s="1634" customFormat="1">
      <c r="G29543" s="3336"/>
      <c r="P29543" s="3337"/>
    </row>
    <row r="29544" spans="7:16" s="1634" customFormat="1">
      <c r="G29544" s="3336"/>
      <c r="P29544" s="3337"/>
    </row>
    <row r="29545" spans="7:16" s="1634" customFormat="1">
      <c r="G29545" s="3336"/>
      <c r="P29545" s="3337"/>
    </row>
    <row r="29546" spans="7:16" s="1634" customFormat="1">
      <c r="G29546" s="3336"/>
      <c r="P29546" s="3337"/>
    </row>
    <row r="29547" spans="7:16" s="1634" customFormat="1">
      <c r="G29547" s="3336"/>
      <c r="P29547" s="3337"/>
    </row>
    <row r="29548" spans="7:16" s="1634" customFormat="1">
      <c r="G29548" s="3336"/>
      <c r="P29548" s="3337"/>
    </row>
    <row r="29549" spans="7:16" s="1634" customFormat="1">
      <c r="G29549" s="3336"/>
      <c r="P29549" s="3337"/>
    </row>
    <row r="29550" spans="7:16" s="1634" customFormat="1">
      <c r="G29550" s="3336"/>
      <c r="P29550" s="3337"/>
    </row>
    <row r="29551" spans="7:16" s="1634" customFormat="1">
      <c r="G29551" s="3336"/>
      <c r="P29551" s="3337"/>
    </row>
    <row r="29552" spans="7:16" s="1634" customFormat="1">
      <c r="G29552" s="3336"/>
      <c r="P29552" s="3337"/>
    </row>
    <row r="29553" spans="7:16" s="1634" customFormat="1">
      <c r="G29553" s="3336"/>
      <c r="P29553" s="3337"/>
    </row>
    <row r="29554" spans="7:16" s="1634" customFormat="1">
      <c r="G29554" s="3336"/>
      <c r="P29554" s="3337"/>
    </row>
    <row r="29555" spans="7:16" s="1634" customFormat="1">
      <c r="G29555" s="3336"/>
      <c r="P29555" s="3337"/>
    </row>
    <row r="29556" spans="7:16" s="1634" customFormat="1">
      <c r="G29556" s="3336"/>
      <c r="P29556" s="3337"/>
    </row>
    <row r="29557" spans="7:16" s="1634" customFormat="1">
      <c r="G29557" s="3336"/>
      <c r="P29557" s="3337"/>
    </row>
    <row r="29558" spans="7:16" s="1634" customFormat="1">
      <c r="G29558" s="3336"/>
      <c r="P29558" s="3337"/>
    </row>
    <row r="29559" spans="7:16" s="1634" customFormat="1">
      <c r="G29559" s="3336"/>
      <c r="P29559" s="3337"/>
    </row>
    <row r="29560" spans="7:16" s="1634" customFormat="1">
      <c r="G29560" s="3336"/>
      <c r="P29560" s="3337"/>
    </row>
    <row r="29561" spans="7:16" s="1634" customFormat="1">
      <c r="G29561" s="3336"/>
      <c r="P29561" s="3337"/>
    </row>
    <row r="29562" spans="7:16" s="1634" customFormat="1">
      <c r="G29562" s="3336"/>
      <c r="P29562" s="3337"/>
    </row>
    <row r="29563" spans="7:16" s="1634" customFormat="1">
      <c r="G29563" s="3336"/>
      <c r="P29563" s="3337"/>
    </row>
    <row r="29564" spans="7:16" s="1634" customFormat="1">
      <c r="G29564" s="3336"/>
      <c r="P29564" s="3337"/>
    </row>
    <row r="29565" spans="7:16" s="1634" customFormat="1">
      <c r="G29565" s="3336"/>
      <c r="P29565" s="3337"/>
    </row>
    <row r="29566" spans="7:16" s="1634" customFormat="1">
      <c r="G29566" s="3336"/>
      <c r="P29566" s="3337"/>
    </row>
    <row r="29567" spans="7:16" s="1634" customFormat="1">
      <c r="G29567" s="3336"/>
      <c r="P29567" s="3337"/>
    </row>
    <row r="29568" spans="7:16" s="1634" customFormat="1">
      <c r="G29568" s="3336"/>
      <c r="P29568" s="3337"/>
    </row>
    <row r="29569" spans="7:16" s="1634" customFormat="1">
      <c r="G29569" s="3336"/>
      <c r="P29569" s="3337"/>
    </row>
    <row r="29570" spans="7:16" s="1634" customFormat="1">
      <c r="G29570" s="3336"/>
      <c r="P29570" s="3337"/>
    </row>
    <row r="29571" spans="7:16" s="1634" customFormat="1">
      <c r="G29571" s="3336"/>
      <c r="P29571" s="3337"/>
    </row>
    <row r="29572" spans="7:16" s="1634" customFormat="1">
      <c r="G29572" s="3336"/>
      <c r="P29572" s="3337"/>
    </row>
    <row r="29573" spans="7:16" s="1634" customFormat="1">
      <c r="G29573" s="3336"/>
      <c r="P29573" s="3337"/>
    </row>
    <row r="29574" spans="7:16" s="1634" customFormat="1">
      <c r="G29574" s="3336"/>
      <c r="P29574" s="3337"/>
    </row>
    <row r="29575" spans="7:16" s="1634" customFormat="1">
      <c r="G29575" s="3336"/>
      <c r="P29575" s="3337"/>
    </row>
    <row r="29576" spans="7:16" s="1634" customFormat="1">
      <c r="G29576" s="3336"/>
      <c r="P29576" s="3337"/>
    </row>
    <row r="29577" spans="7:16" s="1634" customFormat="1">
      <c r="G29577" s="3336"/>
      <c r="P29577" s="3337"/>
    </row>
    <row r="29578" spans="7:16" s="1634" customFormat="1">
      <c r="G29578" s="3336"/>
      <c r="P29578" s="3337"/>
    </row>
    <row r="29579" spans="7:16" s="1634" customFormat="1">
      <c r="G29579" s="3336"/>
      <c r="P29579" s="3337"/>
    </row>
    <row r="29580" spans="7:16" s="1634" customFormat="1">
      <c r="G29580" s="3336"/>
      <c r="P29580" s="3337"/>
    </row>
    <row r="29581" spans="7:16" s="1634" customFormat="1">
      <c r="G29581" s="3336"/>
      <c r="P29581" s="3337"/>
    </row>
    <row r="29582" spans="7:16" s="1634" customFormat="1">
      <c r="G29582" s="3336"/>
      <c r="P29582" s="3337"/>
    </row>
    <row r="29583" spans="7:16" s="1634" customFormat="1">
      <c r="G29583" s="3336"/>
      <c r="P29583" s="3337"/>
    </row>
    <row r="29584" spans="7:16" s="1634" customFormat="1">
      <c r="G29584" s="3336"/>
      <c r="P29584" s="3337"/>
    </row>
    <row r="29585" spans="7:16" s="1634" customFormat="1">
      <c r="G29585" s="3336"/>
      <c r="P29585" s="3337"/>
    </row>
    <row r="29586" spans="7:16" s="1634" customFormat="1">
      <c r="G29586" s="3336"/>
      <c r="P29586" s="3337"/>
    </row>
    <row r="29587" spans="7:16" s="1634" customFormat="1">
      <c r="G29587" s="3336"/>
      <c r="P29587" s="3337"/>
    </row>
    <row r="29588" spans="7:16" s="1634" customFormat="1">
      <c r="G29588" s="3336"/>
      <c r="P29588" s="3337"/>
    </row>
    <row r="29589" spans="7:16" s="1634" customFormat="1">
      <c r="G29589" s="3336"/>
      <c r="P29589" s="3337"/>
    </row>
    <row r="29590" spans="7:16" s="1634" customFormat="1">
      <c r="G29590" s="3336"/>
      <c r="P29590" s="3337"/>
    </row>
    <row r="29591" spans="7:16" s="1634" customFormat="1">
      <c r="G29591" s="3336"/>
      <c r="P29591" s="3337"/>
    </row>
    <row r="29592" spans="7:16" s="1634" customFormat="1">
      <c r="G29592" s="3336"/>
      <c r="P29592" s="3337"/>
    </row>
    <row r="29593" spans="7:16" s="1634" customFormat="1">
      <c r="G29593" s="3336"/>
      <c r="P29593" s="3337"/>
    </row>
    <row r="29594" spans="7:16" s="1634" customFormat="1">
      <c r="G29594" s="3336"/>
      <c r="P29594" s="3337"/>
    </row>
    <row r="29595" spans="7:16" s="1634" customFormat="1">
      <c r="G29595" s="3336"/>
      <c r="P29595" s="3337"/>
    </row>
    <row r="29596" spans="7:16" s="1634" customFormat="1">
      <c r="G29596" s="3336"/>
      <c r="P29596" s="3337"/>
    </row>
    <row r="29597" spans="7:16" s="1634" customFormat="1">
      <c r="G29597" s="3336"/>
      <c r="P29597" s="3337"/>
    </row>
    <row r="29598" spans="7:16" s="1634" customFormat="1">
      <c r="G29598" s="3336"/>
      <c r="P29598" s="3337"/>
    </row>
    <row r="29599" spans="7:16" s="1634" customFormat="1">
      <c r="G29599" s="3336"/>
      <c r="P29599" s="3337"/>
    </row>
    <row r="29600" spans="7:16" s="1634" customFormat="1">
      <c r="G29600" s="3336"/>
      <c r="P29600" s="3337"/>
    </row>
    <row r="29601" spans="7:16" s="1634" customFormat="1">
      <c r="G29601" s="3336"/>
      <c r="P29601" s="3337"/>
    </row>
    <row r="29602" spans="7:16" s="1634" customFormat="1">
      <c r="G29602" s="3336"/>
      <c r="P29602" s="3337"/>
    </row>
    <row r="29603" spans="7:16" s="1634" customFormat="1">
      <c r="G29603" s="3336"/>
      <c r="P29603" s="3337"/>
    </row>
    <row r="29604" spans="7:16" s="1634" customFormat="1">
      <c r="G29604" s="3336"/>
      <c r="P29604" s="3337"/>
    </row>
    <row r="29605" spans="7:16" s="1634" customFormat="1">
      <c r="G29605" s="3336"/>
      <c r="P29605" s="3337"/>
    </row>
    <row r="29606" spans="7:16" s="1634" customFormat="1">
      <c r="G29606" s="3336"/>
      <c r="P29606" s="3337"/>
    </row>
    <row r="29607" spans="7:16" s="1634" customFormat="1">
      <c r="G29607" s="3336"/>
      <c r="P29607" s="3337"/>
    </row>
    <row r="29608" spans="7:16" s="1634" customFormat="1">
      <c r="G29608" s="3336"/>
      <c r="P29608" s="3337"/>
    </row>
    <row r="29609" spans="7:16" s="1634" customFormat="1">
      <c r="G29609" s="3336"/>
      <c r="P29609" s="3337"/>
    </row>
    <row r="29610" spans="7:16" s="1634" customFormat="1">
      <c r="G29610" s="3336"/>
      <c r="P29610" s="3337"/>
    </row>
    <row r="29611" spans="7:16" s="1634" customFormat="1">
      <c r="G29611" s="3336"/>
      <c r="P29611" s="3337"/>
    </row>
    <row r="29612" spans="7:16" s="1634" customFormat="1">
      <c r="G29612" s="3336"/>
      <c r="P29612" s="3337"/>
    </row>
    <row r="29613" spans="7:16" s="1634" customFormat="1">
      <c r="G29613" s="3336"/>
      <c r="P29613" s="3337"/>
    </row>
    <row r="29614" spans="7:16" s="1634" customFormat="1">
      <c r="G29614" s="3336"/>
      <c r="P29614" s="3337"/>
    </row>
    <row r="29615" spans="7:16" s="1634" customFormat="1">
      <c r="G29615" s="3336"/>
      <c r="P29615" s="3337"/>
    </row>
    <row r="29616" spans="7:16" s="1634" customFormat="1">
      <c r="G29616" s="3336"/>
      <c r="P29616" s="3337"/>
    </row>
    <row r="29617" spans="7:16" s="1634" customFormat="1">
      <c r="G29617" s="3336"/>
      <c r="P29617" s="3337"/>
    </row>
    <row r="29618" spans="7:16" s="1634" customFormat="1">
      <c r="G29618" s="3336"/>
      <c r="P29618" s="3337"/>
    </row>
    <row r="29619" spans="7:16" s="1634" customFormat="1">
      <c r="G29619" s="3336"/>
      <c r="P29619" s="3337"/>
    </row>
    <row r="29620" spans="7:16" s="1634" customFormat="1">
      <c r="G29620" s="3336"/>
      <c r="P29620" s="3337"/>
    </row>
    <row r="29621" spans="7:16" s="1634" customFormat="1">
      <c r="G29621" s="3336"/>
      <c r="P29621" s="3337"/>
    </row>
    <row r="29622" spans="7:16" s="1634" customFormat="1">
      <c r="G29622" s="3336"/>
      <c r="P29622" s="3337"/>
    </row>
    <row r="29623" spans="7:16" s="1634" customFormat="1">
      <c r="G29623" s="3336"/>
      <c r="P29623" s="3337"/>
    </row>
    <row r="29624" spans="7:16" s="1634" customFormat="1">
      <c r="G29624" s="3336"/>
      <c r="P29624" s="3337"/>
    </row>
    <row r="29625" spans="7:16" s="1634" customFormat="1">
      <c r="G29625" s="3336"/>
      <c r="P29625" s="3337"/>
    </row>
    <row r="29626" spans="7:16" s="1634" customFormat="1">
      <c r="G29626" s="3336"/>
      <c r="P29626" s="3337"/>
    </row>
    <row r="29627" spans="7:16" s="1634" customFormat="1">
      <c r="G29627" s="3336"/>
      <c r="P29627" s="3337"/>
    </row>
    <row r="29628" spans="7:16" s="1634" customFormat="1">
      <c r="G29628" s="3336"/>
      <c r="P29628" s="3337"/>
    </row>
    <row r="29629" spans="7:16" s="1634" customFormat="1">
      <c r="G29629" s="3336"/>
      <c r="P29629" s="3337"/>
    </row>
    <row r="29630" spans="7:16" s="1634" customFormat="1">
      <c r="G29630" s="3336"/>
      <c r="P29630" s="3337"/>
    </row>
    <row r="29631" spans="7:16" s="1634" customFormat="1">
      <c r="G29631" s="3336"/>
      <c r="P29631" s="3337"/>
    </row>
    <row r="29632" spans="7:16" s="1634" customFormat="1">
      <c r="G29632" s="3336"/>
      <c r="P29632" s="3337"/>
    </row>
    <row r="29633" spans="7:16" s="1634" customFormat="1">
      <c r="G29633" s="3336"/>
      <c r="P29633" s="3337"/>
    </row>
    <row r="29634" spans="7:16" s="1634" customFormat="1">
      <c r="G29634" s="3336"/>
      <c r="P29634" s="3337"/>
    </row>
    <row r="29635" spans="7:16" s="1634" customFormat="1">
      <c r="G29635" s="3336"/>
      <c r="P29635" s="3337"/>
    </row>
    <row r="29636" spans="7:16" s="1634" customFormat="1">
      <c r="G29636" s="3336"/>
      <c r="P29636" s="3337"/>
    </row>
    <row r="29637" spans="7:16" s="1634" customFormat="1">
      <c r="G29637" s="3336"/>
      <c r="P29637" s="3337"/>
    </row>
    <row r="29638" spans="7:16" s="1634" customFormat="1">
      <c r="G29638" s="3336"/>
      <c r="P29638" s="3337"/>
    </row>
    <row r="29639" spans="7:16" s="1634" customFormat="1">
      <c r="G29639" s="3336"/>
      <c r="P29639" s="3337"/>
    </row>
    <row r="29640" spans="7:16" s="1634" customFormat="1">
      <c r="G29640" s="3336"/>
      <c r="P29640" s="3337"/>
    </row>
    <row r="29641" spans="7:16" s="1634" customFormat="1">
      <c r="G29641" s="3336"/>
      <c r="P29641" s="3337"/>
    </row>
    <row r="29642" spans="7:16" s="1634" customFormat="1">
      <c r="G29642" s="3336"/>
      <c r="P29642" s="3337"/>
    </row>
    <row r="29643" spans="7:16" s="1634" customFormat="1">
      <c r="G29643" s="3336"/>
      <c r="P29643" s="3337"/>
    </row>
    <row r="29644" spans="7:16" s="1634" customFormat="1">
      <c r="G29644" s="3336"/>
      <c r="P29644" s="3337"/>
    </row>
    <row r="29645" spans="7:16" s="1634" customFormat="1">
      <c r="G29645" s="3336"/>
      <c r="P29645" s="3337"/>
    </row>
    <row r="29646" spans="7:16" s="1634" customFormat="1">
      <c r="G29646" s="3336"/>
      <c r="P29646" s="3337"/>
    </row>
    <row r="29647" spans="7:16" s="1634" customFormat="1">
      <c r="G29647" s="3336"/>
      <c r="P29647" s="3337"/>
    </row>
    <row r="29648" spans="7:16" s="1634" customFormat="1">
      <c r="G29648" s="3336"/>
      <c r="P29648" s="3337"/>
    </row>
    <row r="29649" spans="7:16" s="1634" customFormat="1">
      <c r="G29649" s="3336"/>
      <c r="P29649" s="3337"/>
    </row>
    <row r="29650" spans="7:16" s="1634" customFormat="1">
      <c r="G29650" s="3336"/>
      <c r="P29650" s="3337"/>
    </row>
    <row r="29651" spans="7:16" s="1634" customFormat="1">
      <c r="G29651" s="3336"/>
      <c r="P29651" s="3337"/>
    </row>
    <row r="29652" spans="7:16" s="1634" customFormat="1">
      <c r="G29652" s="3336"/>
      <c r="P29652" s="3337"/>
    </row>
    <row r="29653" spans="7:16" s="1634" customFormat="1">
      <c r="G29653" s="3336"/>
      <c r="P29653" s="3337"/>
    </row>
    <row r="29654" spans="7:16" s="1634" customFormat="1">
      <c r="G29654" s="3336"/>
      <c r="P29654" s="3337"/>
    </row>
    <row r="29655" spans="7:16" s="1634" customFormat="1">
      <c r="G29655" s="3336"/>
      <c r="P29655" s="3337"/>
    </row>
    <row r="29656" spans="7:16" s="1634" customFormat="1">
      <c r="G29656" s="3336"/>
      <c r="P29656" s="3337"/>
    </row>
    <row r="29657" spans="7:16" s="1634" customFormat="1">
      <c r="G29657" s="3336"/>
      <c r="P29657" s="3337"/>
    </row>
    <row r="29658" spans="7:16" s="1634" customFormat="1">
      <c r="G29658" s="3336"/>
      <c r="P29658" s="3337"/>
    </row>
    <row r="29659" spans="7:16" s="1634" customFormat="1">
      <c r="G29659" s="3336"/>
      <c r="P29659" s="3337"/>
    </row>
    <row r="29660" spans="7:16" s="1634" customFormat="1">
      <c r="G29660" s="3336"/>
      <c r="P29660" s="3337"/>
    </row>
    <row r="29661" spans="7:16" s="1634" customFormat="1">
      <c r="G29661" s="3336"/>
      <c r="P29661" s="3337"/>
    </row>
    <row r="29662" spans="7:16" s="1634" customFormat="1">
      <c r="G29662" s="3336"/>
      <c r="P29662" s="3337"/>
    </row>
    <row r="29663" spans="7:16" s="1634" customFormat="1">
      <c r="G29663" s="3336"/>
      <c r="P29663" s="3337"/>
    </row>
    <row r="29664" spans="7:16" s="1634" customFormat="1">
      <c r="G29664" s="3336"/>
      <c r="P29664" s="3337"/>
    </row>
    <row r="29665" spans="7:16" s="1634" customFormat="1">
      <c r="G29665" s="3336"/>
      <c r="P29665" s="3337"/>
    </row>
    <row r="29666" spans="7:16" s="1634" customFormat="1">
      <c r="G29666" s="3336"/>
      <c r="P29666" s="3337"/>
    </row>
    <row r="29667" spans="7:16" s="1634" customFormat="1">
      <c r="G29667" s="3336"/>
      <c r="P29667" s="3337"/>
    </row>
    <row r="29668" spans="7:16" s="1634" customFormat="1">
      <c r="G29668" s="3336"/>
      <c r="P29668" s="3337"/>
    </row>
    <row r="29669" spans="7:16" s="1634" customFormat="1">
      <c r="G29669" s="3336"/>
      <c r="P29669" s="3337"/>
    </row>
    <row r="29670" spans="7:16" s="1634" customFormat="1">
      <c r="G29670" s="3336"/>
      <c r="P29670" s="3337"/>
    </row>
    <row r="29671" spans="7:16" s="1634" customFormat="1">
      <c r="G29671" s="3336"/>
      <c r="P29671" s="3337"/>
    </row>
    <row r="29672" spans="7:16" s="1634" customFormat="1">
      <c r="G29672" s="3336"/>
      <c r="P29672" s="3337"/>
    </row>
    <row r="29673" spans="7:16" s="1634" customFormat="1">
      <c r="G29673" s="3336"/>
      <c r="P29673" s="3337"/>
    </row>
    <row r="29674" spans="7:16" s="1634" customFormat="1">
      <c r="G29674" s="3336"/>
      <c r="P29674" s="3337"/>
    </row>
    <row r="29675" spans="7:16" s="1634" customFormat="1">
      <c r="G29675" s="3336"/>
      <c r="P29675" s="3337"/>
    </row>
    <row r="29676" spans="7:16" s="1634" customFormat="1">
      <c r="G29676" s="3336"/>
      <c r="P29676" s="3337"/>
    </row>
    <row r="29677" spans="7:16" s="1634" customFormat="1">
      <c r="G29677" s="3336"/>
      <c r="P29677" s="3337"/>
    </row>
    <row r="29678" spans="7:16" s="1634" customFormat="1">
      <c r="G29678" s="3336"/>
      <c r="P29678" s="3337"/>
    </row>
    <row r="29679" spans="7:16" s="1634" customFormat="1">
      <c r="G29679" s="3336"/>
      <c r="P29679" s="3337"/>
    </row>
    <row r="29680" spans="7:16" s="1634" customFormat="1">
      <c r="G29680" s="3336"/>
      <c r="P29680" s="3337"/>
    </row>
    <row r="29681" spans="7:16" s="1634" customFormat="1">
      <c r="G29681" s="3336"/>
      <c r="P29681" s="3337"/>
    </row>
    <row r="29682" spans="7:16" s="1634" customFormat="1">
      <c r="G29682" s="3336"/>
      <c r="P29682" s="3337"/>
    </row>
    <row r="29683" spans="7:16" s="1634" customFormat="1">
      <c r="G29683" s="3336"/>
      <c r="P29683" s="3337"/>
    </row>
    <row r="29684" spans="7:16" s="1634" customFormat="1">
      <c r="G29684" s="3336"/>
      <c r="P29684" s="3337"/>
    </row>
    <row r="29685" spans="7:16" s="1634" customFormat="1">
      <c r="G29685" s="3336"/>
      <c r="P29685" s="3337"/>
    </row>
    <row r="29686" spans="7:16" s="1634" customFormat="1">
      <c r="G29686" s="3336"/>
      <c r="P29686" s="3337"/>
    </row>
    <row r="29687" spans="7:16" s="1634" customFormat="1">
      <c r="G29687" s="3336"/>
      <c r="P29687" s="3337"/>
    </row>
    <row r="29688" spans="7:16" s="1634" customFormat="1">
      <c r="G29688" s="3336"/>
      <c r="P29688" s="3337"/>
    </row>
    <row r="29689" spans="7:16" s="1634" customFormat="1">
      <c r="G29689" s="3336"/>
      <c r="P29689" s="3337"/>
    </row>
    <row r="29690" spans="7:16" s="1634" customFormat="1">
      <c r="G29690" s="3336"/>
      <c r="P29690" s="3337"/>
    </row>
    <row r="29691" spans="7:16" s="1634" customFormat="1">
      <c r="G29691" s="3336"/>
      <c r="P29691" s="3337"/>
    </row>
    <row r="29692" spans="7:16" s="1634" customFormat="1">
      <c r="G29692" s="3336"/>
      <c r="P29692" s="3337"/>
    </row>
    <row r="29693" spans="7:16" s="1634" customFormat="1">
      <c r="G29693" s="3336"/>
      <c r="P29693" s="3337"/>
    </row>
    <row r="29694" spans="7:16" s="1634" customFormat="1">
      <c r="G29694" s="3336"/>
      <c r="P29694" s="3337"/>
    </row>
    <row r="29695" spans="7:16" s="1634" customFormat="1">
      <c r="G29695" s="3336"/>
      <c r="P29695" s="3337"/>
    </row>
    <row r="29696" spans="7:16" s="1634" customFormat="1">
      <c r="G29696" s="3336"/>
      <c r="P29696" s="3337"/>
    </row>
    <row r="29697" spans="7:16" s="1634" customFormat="1">
      <c r="G29697" s="3336"/>
      <c r="P29697" s="3337"/>
    </row>
    <row r="29698" spans="7:16" s="1634" customFormat="1">
      <c r="G29698" s="3336"/>
      <c r="P29698" s="3337"/>
    </row>
    <row r="29699" spans="7:16" s="1634" customFormat="1">
      <c r="G29699" s="3336"/>
      <c r="P29699" s="3337"/>
    </row>
    <row r="29700" spans="7:16" s="1634" customFormat="1">
      <c r="G29700" s="3336"/>
      <c r="P29700" s="3337"/>
    </row>
    <row r="29701" spans="7:16" s="1634" customFormat="1">
      <c r="G29701" s="3336"/>
      <c r="P29701" s="3337"/>
    </row>
    <row r="29702" spans="7:16" s="1634" customFormat="1">
      <c r="G29702" s="3336"/>
      <c r="P29702" s="3337"/>
    </row>
    <row r="29703" spans="7:16" s="1634" customFormat="1">
      <c r="G29703" s="3336"/>
      <c r="P29703" s="3337"/>
    </row>
    <row r="29704" spans="7:16" s="1634" customFormat="1">
      <c r="G29704" s="3336"/>
      <c r="P29704" s="3337"/>
    </row>
    <row r="29705" spans="7:16" s="1634" customFormat="1">
      <c r="G29705" s="3336"/>
      <c r="P29705" s="3337"/>
    </row>
    <row r="29706" spans="7:16" s="1634" customFormat="1">
      <c r="G29706" s="3336"/>
      <c r="P29706" s="3337"/>
    </row>
    <row r="29707" spans="7:16" s="1634" customFormat="1">
      <c r="G29707" s="3336"/>
      <c r="P29707" s="3337"/>
    </row>
    <row r="29708" spans="7:16" s="1634" customFormat="1">
      <c r="G29708" s="3336"/>
      <c r="P29708" s="3337"/>
    </row>
    <row r="29709" spans="7:16" s="1634" customFormat="1">
      <c r="G29709" s="3336"/>
      <c r="P29709" s="3337"/>
    </row>
    <row r="29710" spans="7:16" s="1634" customFormat="1">
      <c r="G29710" s="3336"/>
      <c r="P29710" s="3337"/>
    </row>
    <row r="29711" spans="7:16" s="1634" customFormat="1">
      <c r="G29711" s="3336"/>
      <c r="P29711" s="3337"/>
    </row>
    <row r="29712" spans="7:16" s="1634" customFormat="1">
      <c r="G29712" s="3336"/>
      <c r="P29712" s="3337"/>
    </row>
    <row r="29713" spans="7:16" s="1634" customFormat="1">
      <c r="G29713" s="3336"/>
      <c r="P29713" s="3337"/>
    </row>
    <row r="29714" spans="7:16" s="1634" customFormat="1">
      <c r="G29714" s="3336"/>
      <c r="P29714" s="3337"/>
    </row>
    <row r="29715" spans="7:16" s="1634" customFormat="1">
      <c r="G29715" s="3336"/>
      <c r="P29715" s="3337"/>
    </row>
    <row r="29716" spans="7:16" s="1634" customFormat="1">
      <c r="G29716" s="3336"/>
      <c r="P29716" s="3337"/>
    </row>
    <row r="29717" spans="7:16" s="1634" customFormat="1">
      <c r="G29717" s="3336"/>
      <c r="P29717" s="3337"/>
    </row>
    <row r="29718" spans="7:16" s="1634" customFormat="1">
      <c r="G29718" s="3336"/>
      <c r="P29718" s="3337"/>
    </row>
    <row r="29719" spans="7:16" s="1634" customFormat="1">
      <c r="G29719" s="3336"/>
      <c r="P29719" s="3337"/>
    </row>
    <row r="29720" spans="7:16" s="1634" customFormat="1">
      <c r="G29720" s="3336"/>
      <c r="P29720" s="3337"/>
    </row>
    <row r="29721" spans="7:16" s="1634" customFormat="1">
      <c r="G29721" s="3336"/>
      <c r="P29721" s="3337"/>
    </row>
    <row r="29722" spans="7:16" s="1634" customFormat="1">
      <c r="G29722" s="3336"/>
      <c r="P29722" s="3337"/>
    </row>
    <row r="29723" spans="7:16" s="1634" customFormat="1">
      <c r="G29723" s="3336"/>
      <c r="P29723" s="3337"/>
    </row>
    <row r="29724" spans="7:16" s="1634" customFormat="1">
      <c r="G29724" s="3336"/>
      <c r="P29724" s="3337"/>
    </row>
    <row r="29725" spans="7:16" s="1634" customFormat="1">
      <c r="G29725" s="3336"/>
      <c r="P29725" s="3337"/>
    </row>
    <row r="29726" spans="7:16" s="1634" customFormat="1">
      <c r="G29726" s="3336"/>
      <c r="P29726" s="3337"/>
    </row>
    <row r="29727" spans="7:16" s="1634" customFormat="1">
      <c r="G29727" s="3336"/>
      <c r="P29727" s="3337"/>
    </row>
    <row r="29728" spans="7:16" s="1634" customFormat="1">
      <c r="G29728" s="3336"/>
      <c r="P29728" s="3337"/>
    </row>
    <row r="29729" spans="7:16" s="1634" customFormat="1">
      <c r="G29729" s="3336"/>
      <c r="P29729" s="3337"/>
    </row>
    <row r="29730" spans="7:16" s="1634" customFormat="1">
      <c r="G29730" s="3336"/>
      <c r="P29730" s="3337"/>
    </row>
    <row r="29731" spans="7:16" s="1634" customFormat="1">
      <c r="G29731" s="3336"/>
      <c r="P29731" s="3337"/>
    </row>
    <row r="29732" spans="7:16" s="1634" customFormat="1">
      <c r="G29732" s="3336"/>
      <c r="P29732" s="3337"/>
    </row>
    <row r="29733" spans="7:16" s="1634" customFormat="1">
      <c r="G29733" s="3336"/>
      <c r="P29733" s="3337"/>
    </row>
    <row r="29734" spans="7:16" s="1634" customFormat="1">
      <c r="G29734" s="3336"/>
      <c r="P29734" s="3337"/>
    </row>
    <row r="29735" spans="7:16" s="1634" customFormat="1">
      <c r="G29735" s="3336"/>
      <c r="P29735" s="3337"/>
    </row>
    <row r="29736" spans="7:16" s="1634" customFormat="1">
      <c r="G29736" s="3336"/>
      <c r="P29736" s="3337"/>
    </row>
    <row r="29737" spans="7:16" s="1634" customFormat="1">
      <c r="G29737" s="3336"/>
      <c r="P29737" s="3337"/>
    </row>
    <row r="29738" spans="7:16" s="1634" customFormat="1">
      <c r="G29738" s="3336"/>
      <c r="P29738" s="3337"/>
    </row>
    <row r="29739" spans="7:16" s="1634" customFormat="1">
      <c r="G29739" s="3336"/>
      <c r="P29739" s="3337"/>
    </row>
    <row r="29740" spans="7:16" s="1634" customFormat="1">
      <c r="G29740" s="3336"/>
      <c r="P29740" s="3337"/>
    </row>
    <row r="29741" spans="7:16" s="1634" customFormat="1">
      <c r="G29741" s="3336"/>
      <c r="P29741" s="3337"/>
    </row>
    <row r="29742" spans="7:16" s="1634" customFormat="1">
      <c r="G29742" s="3336"/>
      <c r="P29742" s="3337"/>
    </row>
    <row r="29743" spans="7:16" s="1634" customFormat="1">
      <c r="G29743" s="3336"/>
      <c r="P29743" s="3337"/>
    </row>
    <row r="29744" spans="7:16" s="1634" customFormat="1">
      <c r="G29744" s="3336"/>
      <c r="P29744" s="3337"/>
    </row>
    <row r="29745" spans="7:16" s="1634" customFormat="1">
      <c r="G29745" s="3336"/>
      <c r="P29745" s="3337"/>
    </row>
    <row r="29746" spans="7:16" s="1634" customFormat="1">
      <c r="G29746" s="3336"/>
      <c r="P29746" s="3337"/>
    </row>
    <row r="29747" spans="7:16" s="1634" customFormat="1">
      <c r="G29747" s="3336"/>
      <c r="P29747" s="3337"/>
    </row>
    <row r="29748" spans="7:16" s="1634" customFormat="1">
      <c r="G29748" s="3336"/>
      <c r="P29748" s="3337"/>
    </row>
    <row r="29749" spans="7:16" s="1634" customFormat="1">
      <c r="G29749" s="3336"/>
      <c r="P29749" s="3337"/>
    </row>
    <row r="29750" spans="7:16" s="1634" customFormat="1">
      <c r="G29750" s="3336"/>
      <c r="P29750" s="3337"/>
    </row>
    <row r="29751" spans="7:16" s="1634" customFormat="1">
      <c r="G29751" s="3336"/>
      <c r="P29751" s="3337"/>
    </row>
    <row r="29752" spans="7:16" s="1634" customFormat="1">
      <c r="G29752" s="3336"/>
      <c r="P29752" s="3337"/>
    </row>
    <row r="29753" spans="7:16" s="1634" customFormat="1">
      <c r="G29753" s="3336"/>
      <c r="P29753" s="3337"/>
    </row>
    <row r="29754" spans="7:16" s="1634" customFormat="1">
      <c r="G29754" s="3336"/>
      <c r="P29754" s="3337"/>
    </row>
    <row r="29755" spans="7:16" s="1634" customFormat="1">
      <c r="G29755" s="3336"/>
      <c r="P29755" s="3337"/>
    </row>
    <row r="29756" spans="7:16" s="1634" customFormat="1">
      <c r="G29756" s="3336"/>
      <c r="P29756" s="3337"/>
    </row>
    <row r="29757" spans="7:16" s="1634" customFormat="1">
      <c r="G29757" s="3336"/>
      <c r="P29757" s="3337"/>
    </row>
    <row r="29758" spans="7:16" s="1634" customFormat="1">
      <c r="G29758" s="3336"/>
      <c r="P29758" s="3337"/>
    </row>
    <row r="29759" spans="7:16" s="1634" customFormat="1">
      <c r="G29759" s="3336"/>
      <c r="P29759" s="3337"/>
    </row>
    <row r="29760" spans="7:16" s="1634" customFormat="1">
      <c r="G29760" s="3336"/>
      <c r="P29760" s="3337"/>
    </row>
    <row r="29761" spans="7:16" s="1634" customFormat="1">
      <c r="G29761" s="3336"/>
      <c r="P29761" s="3337"/>
    </row>
    <row r="29762" spans="7:16" s="1634" customFormat="1">
      <c r="G29762" s="3336"/>
      <c r="P29762" s="3337"/>
    </row>
    <row r="29763" spans="7:16" s="1634" customFormat="1">
      <c r="G29763" s="3336"/>
      <c r="P29763" s="3337"/>
    </row>
    <row r="29764" spans="7:16" s="1634" customFormat="1">
      <c r="G29764" s="3336"/>
      <c r="P29764" s="3337"/>
    </row>
    <row r="29765" spans="7:16" s="1634" customFormat="1">
      <c r="G29765" s="3336"/>
      <c r="P29765" s="3337"/>
    </row>
    <row r="29766" spans="7:16" s="1634" customFormat="1">
      <c r="G29766" s="3336"/>
      <c r="P29766" s="3337"/>
    </row>
    <row r="29767" spans="7:16" s="1634" customFormat="1">
      <c r="G29767" s="3336"/>
      <c r="P29767" s="3337"/>
    </row>
    <row r="29768" spans="7:16" s="1634" customFormat="1">
      <c r="G29768" s="3336"/>
      <c r="P29768" s="3337"/>
    </row>
    <row r="29769" spans="7:16" s="1634" customFormat="1">
      <c r="G29769" s="3336"/>
      <c r="P29769" s="3337"/>
    </row>
    <row r="29770" spans="7:16" s="1634" customFormat="1">
      <c r="G29770" s="3336"/>
      <c r="P29770" s="3337"/>
    </row>
    <row r="29771" spans="7:16" s="1634" customFormat="1">
      <c r="G29771" s="3336"/>
      <c r="P29771" s="3337"/>
    </row>
    <row r="29772" spans="7:16" s="1634" customFormat="1">
      <c r="G29772" s="3336"/>
      <c r="P29772" s="3337"/>
    </row>
    <row r="29773" spans="7:16" s="1634" customFormat="1">
      <c r="G29773" s="3336"/>
      <c r="P29773" s="3337"/>
    </row>
    <row r="29774" spans="7:16" s="1634" customFormat="1">
      <c r="G29774" s="3336"/>
      <c r="P29774" s="3337"/>
    </row>
    <row r="29775" spans="7:16" s="1634" customFormat="1">
      <c r="G29775" s="3336"/>
      <c r="P29775" s="3337"/>
    </row>
    <row r="29776" spans="7:16" s="1634" customFormat="1">
      <c r="G29776" s="3336"/>
      <c r="P29776" s="3337"/>
    </row>
    <row r="29777" spans="7:16" s="1634" customFormat="1">
      <c r="G29777" s="3336"/>
      <c r="P29777" s="3337"/>
    </row>
    <row r="29778" spans="7:16" s="1634" customFormat="1">
      <c r="G29778" s="3336"/>
      <c r="P29778" s="3337"/>
    </row>
    <row r="29779" spans="7:16" s="1634" customFormat="1">
      <c r="G29779" s="3336"/>
      <c r="P29779" s="3337"/>
    </row>
    <row r="29780" spans="7:16" s="1634" customFormat="1">
      <c r="G29780" s="3336"/>
      <c r="P29780" s="3337"/>
    </row>
    <row r="29781" spans="7:16" s="1634" customFormat="1">
      <c r="G29781" s="3336"/>
      <c r="P29781" s="3337"/>
    </row>
    <row r="29782" spans="7:16" s="1634" customFormat="1">
      <c r="G29782" s="3336"/>
      <c r="P29782" s="3337"/>
    </row>
    <row r="29783" spans="7:16" s="1634" customFormat="1">
      <c r="G29783" s="3336"/>
      <c r="P29783" s="3337"/>
    </row>
    <row r="29784" spans="7:16" s="1634" customFormat="1">
      <c r="G29784" s="3336"/>
      <c r="P29784" s="3337"/>
    </row>
    <row r="29785" spans="7:16" s="1634" customFormat="1">
      <c r="G29785" s="3336"/>
      <c r="P29785" s="3337"/>
    </row>
    <row r="29786" spans="7:16" s="1634" customFormat="1">
      <c r="G29786" s="3336"/>
      <c r="P29786" s="3337"/>
    </row>
    <row r="29787" spans="7:16" s="1634" customFormat="1">
      <c r="G29787" s="3336"/>
      <c r="P29787" s="3337"/>
    </row>
    <row r="29788" spans="7:16" s="1634" customFormat="1">
      <c r="G29788" s="3336"/>
      <c r="P29788" s="3337"/>
    </row>
    <row r="29789" spans="7:16" s="1634" customFormat="1">
      <c r="G29789" s="3336"/>
      <c r="P29789" s="3337"/>
    </row>
    <row r="29790" spans="7:16" s="1634" customFormat="1">
      <c r="G29790" s="3336"/>
      <c r="P29790" s="3337"/>
    </row>
    <row r="29791" spans="7:16" s="1634" customFormat="1">
      <c r="G29791" s="3336"/>
      <c r="P29791" s="3337"/>
    </row>
    <row r="29792" spans="7:16" s="1634" customFormat="1">
      <c r="G29792" s="3336"/>
      <c r="P29792" s="3337"/>
    </row>
    <row r="29793" spans="7:16" s="1634" customFormat="1">
      <c r="G29793" s="3336"/>
      <c r="P29793" s="3337"/>
    </row>
    <row r="29794" spans="7:16" s="1634" customFormat="1">
      <c r="G29794" s="3336"/>
      <c r="P29794" s="3337"/>
    </row>
    <row r="29795" spans="7:16" s="1634" customFormat="1">
      <c r="G29795" s="3336"/>
      <c r="P29795" s="3337"/>
    </row>
    <row r="29796" spans="7:16" s="1634" customFormat="1">
      <c r="G29796" s="3336"/>
      <c r="P29796" s="3337"/>
    </row>
    <row r="29797" spans="7:16" s="1634" customFormat="1">
      <c r="G29797" s="3336"/>
      <c r="P29797" s="3337"/>
    </row>
    <row r="29798" spans="7:16" s="1634" customFormat="1">
      <c r="G29798" s="3336"/>
      <c r="P29798" s="3337"/>
    </row>
    <row r="29799" spans="7:16" s="1634" customFormat="1">
      <c r="G29799" s="3336"/>
      <c r="P29799" s="3337"/>
    </row>
    <row r="29800" spans="7:16" s="1634" customFormat="1">
      <c r="G29800" s="3336"/>
      <c r="P29800" s="3337"/>
    </row>
    <row r="29801" spans="7:16" s="1634" customFormat="1">
      <c r="G29801" s="3336"/>
      <c r="P29801" s="3337"/>
    </row>
    <row r="29802" spans="7:16" s="1634" customFormat="1">
      <c r="G29802" s="3336"/>
      <c r="P29802" s="3337"/>
    </row>
    <row r="29803" spans="7:16" s="1634" customFormat="1">
      <c r="G29803" s="3336"/>
      <c r="P29803" s="3337"/>
    </row>
    <row r="29804" spans="7:16" s="1634" customFormat="1">
      <c r="G29804" s="3336"/>
      <c r="P29804" s="3337"/>
    </row>
    <row r="29805" spans="7:16" s="1634" customFormat="1">
      <c r="G29805" s="3336"/>
      <c r="P29805" s="3337"/>
    </row>
    <row r="29806" spans="7:16" s="1634" customFormat="1">
      <c r="G29806" s="3336"/>
      <c r="P29806" s="3337"/>
    </row>
    <row r="29807" spans="7:16" s="1634" customFormat="1">
      <c r="G29807" s="3336"/>
      <c r="P29807" s="3337"/>
    </row>
    <row r="29808" spans="7:16" s="1634" customFormat="1">
      <c r="G29808" s="3336"/>
      <c r="P29808" s="3337"/>
    </row>
    <row r="29809" spans="7:16" s="1634" customFormat="1">
      <c r="G29809" s="3336"/>
      <c r="P29809" s="3337"/>
    </row>
    <row r="29810" spans="7:16" s="1634" customFormat="1">
      <c r="G29810" s="3336"/>
      <c r="P29810" s="3337"/>
    </row>
    <row r="29811" spans="7:16" s="1634" customFormat="1">
      <c r="G29811" s="3336"/>
      <c r="P29811" s="3337"/>
    </row>
    <row r="29812" spans="7:16" s="1634" customFormat="1">
      <c r="G29812" s="3336"/>
      <c r="P29812" s="3337"/>
    </row>
    <row r="29813" spans="7:16" s="1634" customFormat="1">
      <c r="G29813" s="3336"/>
      <c r="P29813" s="3337"/>
    </row>
    <row r="29814" spans="7:16" s="1634" customFormat="1">
      <c r="G29814" s="3336"/>
      <c r="P29814" s="3337"/>
    </row>
    <row r="29815" spans="7:16" s="1634" customFormat="1">
      <c r="G29815" s="3336"/>
      <c r="P29815" s="3337"/>
    </row>
    <row r="29816" spans="7:16" s="1634" customFormat="1">
      <c r="G29816" s="3336"/>
      <c r="P29816" s="3337"/>
    </row>
    <row r="29817" spans="7:16" s="1634" customFormat="1">
      <c r="G29817" s="3336"/>
      <c r="P29817" s="3337"/>
    </row>
    <row r="29818" spans="7:16" s="1634" customFormat="1">
      <c r="G29818" s="3336"/>
      <c r="P29818" s="3337"/>
    </row>
    <row r="29819" spans="7:16" s="1634" customFormat="1">
      <c r="G29819" s="3336"/>
      <c r="P29819" s="3337"/>
    </row>
    <row r="29820" spans="7:16" s="1634" customFormat="1">
      <c r="G29820" s="3336"/>
      <c r="P29820" s="3337"/>
    </row>
    <row r="29821" spans="7:16" s="1634" customFormat="1">
      <c r="G29821" s="3336"/>
      <c r="P29821" s="3337"/>
    </row>
    <row r="29822" spans="7:16" s="1634" customFormat="1">
      <c r="G29822" s="3336"/>
      <c r="P29822" s="3337"/>
    </row>
    <row r="29823" spans="7:16" s="1634" customFormat="1">
      <c r="G29823" s="3336"/>
      <c r="P29823" s="3337"/>
    </row>
    <row r="29824" spans="7:16" s="1634" customFormat="1">
      <c r="G29824" s="3336"/>
      <c r="P29824" s="3337"/>
    </row>
    <row r="29825" spans="7:16" s="1634" customFormat="1">
      <c r="G29825" s="3336"/>
      <c r="P29825" s="3337"/>
    </row>
    <row r="29826" spans="7:16" s="1634" customFormat="1">
      <c r="G29826" s="3336"/>
      <c r="P29826" s="3337"/>
    </row>
    <row r="29827" spans="7:16" s="1634" customFormat="1">
      <c r="G29827" s="3336"/>
      <c r="P29827" s="3337"/>
    </row>
    <row r="29828" spans="7:16" s="1634" customFormat="1">
      <c r="G29828" s="3336"/>
      <c r="P29828" s="3337"/>
    </row>
    <row r="29829" spans="7:16" s="1634" customFormat="1">
      <c r="G29829" s="3336"/>
      <c r="P29829" s="3337"/>
    </row>
    <row r="29830" spans="7:16" s="1634" customFormat="1">
      <c r="G29830" s="3336"/>
      <c r="P29830" s="3337"/>
    </row>
    <row r="29831" spans="7:16" s="1634" customFormat="1">
      <c r="G29831" s="3336"/>
      <c r="P29831" s="3337"/>
    </row>
    <row r="29832" spans="7:16" s="1634" customFormat="1">
      <c r="G29832" s="3336"/>
      <c r="P29832" s="3337"/>
    </row>
    <row r="29833" spans="7:16" s="1634" customFormat="1">
      <c r="G29833" s="3336"/>
      <c r="P29833" s="3337"/>
    </row>
    <row r="29834" spans="7:16" s="1634" customFormat="1">
      <c r="G29834" s="3336"/>
      <c r="P29834" s="3337"/>
    </row>
    <row r="29835" spans="7:16" s="1634" customFormat="1">
      <c r="G29835" s="3336"/>
      <c r="P29835" s="3337"/>
    </row>
    <row r="29836" spans="7:16" s="1634" customFormat="1">
      <c r="G29836" s="3336"/>
      <c r="P29836" s="3337"/>
    </row>
    <row r="29837" spans="7:16" s="1634" customFormat="1">
      <c r="G29837" s="3336"/>
      <c r="P29837" s="3337"/>
    </row>
    <row r="29838" spans="7:16" s="1634" customFormat="1">
      <c r="G29838" s="3336"/>
      <c r="P29838" s="3337"/>
    </row>
    <row r="29839" spans="7:16" s="1634" customFormat="1">
      <c r="G29839" s="3336"/>
      <c r="P29839" s="3337"/>
    </row>
    <row r="29840" spans="7:16" s="1634" customFormat="1">
      <c r="G29840" s="3336"/>
      <c r="P29840" s="3337"/>
    </row>
    <row r="29841" spans="7:16" s="1634" customFormat="1">
      <c r="G29841" s="3336"/>
      <c r="P29841" s="3337"/>
    </row>
    <row r="29842" spans="7:16" s="1634" customFormat="1">
      <c r="G29842" s="3336"/>
      <c r="P29842" s="3337"/>
    </row>
    <row r="29843" spans="7:16" s="1634" customFormat="1">
      <c r="G29843" s="3336"/>
      <c r="P29843" s="3337"/>
    </row>
    <row r="29844" spans="7:16" s="1634" customFormat="1">
      <c r="G29844" s="3336"/>
      <c r="P29844" s="3337"/>
    </row>
    <row r="29845" spans="7:16" s="1634" customFormat="1">
      <c r="G29845" s="3336"/>
      <c r="P29845" s="3337"/>
    </row>
    <row r="29846" spans="7:16" s="1634" customFormat="1">
      <c r="G29846" s="3336"/>
      <c r="P29846" s="3337"/>
    </row>
    <row r="29847" spans="7:16" s="1634" customFormat="1">
      <c r="G29847" s="3336"/>
      <c r="P29847" s="3337"/>
    </row>
    <row r="29848" spans="7:16" s="1634" customFormat="1">
      <c r="G29848" s="3336"/>
      <c r="P29848" s="3337"/>
    </row>
    <row r="29849" spans="7:16" s="1634" customFormat="1">
      <c r="G29849" s="3336"/>
      <c r="P29849" s="3337"/>
    </row>
    <row r="29850" spans="7:16" s="1634" customFormat="1">
      <c r="G29850" s="3336"/>
      <c r="P29850" s="3337"/>
    </row>
    <row r="29851" spans="7:16" s="1634" customFormat="1">
      <c r="G29851" s="3336"/>
      <c r="P29851" s="3337"/>
    </row>
    <row r="29852" spans="7:16" s="1634" customFormat="1">
      <c r="G29852" s="3336"/>
      <c r="P29852" s="3337"/>
    </row>
    <row r="29853" spans="7:16" s="1634" customFormat="1">
      <c r="G29853" s="3336"/>
      <c r="P29853" s="3337"/>
    </row>
    <row r="29854" spans="7:16" s="1634" customFormat="1">
      <c r="G29854" s="3336"/>
      <c r="P29854" s="3337"/>
    </row>
    <row r="29855" spans="7:16" s="1634" customFormat="1">
      <c r="G29855" s="3336"/>
      <c r="P29855" s="3337"/>
    </row>
    <row r="29856" spans="7:16" s="1634" customFormat="1">
      <c r="G29856" s="3336"/>
      <c r="P29856" s="3337"/>
    </row>
    <row r="29857" spans="7:16" s="1634" customFormat="1">
      <c r="G29857" s="3336"/>
      <c r="P29857" s="3337"/>
    </row>
    <row r="29858" spans="7:16" s="1634" customFormat="1">
      <c r="G29858" s="3336"/>
      <c r="P29858" s="3337"/>
    </row>
    <row r="29859" spans="7:16" s="1634" customFormat="1">
      <c r="G29859" s="3336"/>
      <c r="P29859" s="3337"/>
    </row>
    <row r="29860" spans="7:16" s="1634" customFormat="1">
      <c r="G29860" s="3336"/>
      <c r="P29860" s="3337"/>
    </row>
    <row r="29861" spans="7:16" s="1634" customFormat="1">
      <c r="G29861" s="3336"/>
      <c r="P29861" s="3337"/>
    </row>
    <row r="29862" spans="7:16" s="1634" customFormat="1">
      <c r="G29862" s="3336"/>
      <c r="P29862" s="3337"/>
    </row>
    <row r="29863" spans="7:16" s="1634" customFormat="1">
      <c r="G29863" s="3336"/>
      <c r="P29863" s="3337"/>
    </row>
    <row r="29864" spans="7:16" s="1634" customFormat="1">
      <c r="G29864" s="3336"/>
      <c r="P29864" s="3337"/>
    </row>
    <row r="29865" spans="7:16" s="1634" customFormat="1">
      <c r="G29865" s="3336"/>
      <c r="P29865" s="3337"/>
    </row>
    <row r="29866" spans="7:16" s="1634" customFormat="1">
      <c r="G29866" s="3336"/>
      <c r="P29866" s="3337"/>
    </row>
    <row r="29867" spans="7:16" s="1634" customFormat="1">
      <c r="G29867" s="3336"/>
      <c r="P29867" s="3337"/>
    </row>
    <row r="29868" spans="7:16" s="1634" customFormat="1">
      <c r="G29868" s="3336"/>
      <c r="P29868" s="3337"/>
    </row>
    <row r="29869" spans="7:16" s="1634" customFormat="1">
      <c r="G29869" s="3336"/>
      <c r="P29869" s="3337"/>
    </row>
    <row r="29870" spans="7:16" s="1634" customFormat="1">
      <c r="G29870" s="3336"/>
      <c r="P29870" s="3337"/>
    </row>
    <row r="29871" spans="7:16" s="1634" customFormat="1">
      <c r="G29871" s="3336"/>
      <c r="P29871" s="3337"/>
    </row>
    <row r="29872" spans="7:16" s="1634" customFormat="1">
      <c r="G29872" s="3336"/>
      <c r="P29872" s="3337"/>
    </row>
    <row r="29873" spans="7:16" s="1634" customFormat="1">
      <c r="G29873" s="3336"/>
      <c r="P29873" s="3337"/>
    </row>
    <row r="29874" spans="7:16" s="1634" customFormat="1">
      <c r="G29874" s="3336"/>
      <c r="P29874" s="3337"/>
    </row>
    <row r="29875" spans="7:16" s="1634" customFormat="1">
      <c r="G29875" s="3336"/>
      <c r="P29875" s="3337"/>
    </row>
    <row r="29876" spans="7:16" s="1634" customFormat="1">
      <c r="G29876" s="3336"/>
      <c r="P29876" s="3337"/>
    </row>
    <row r="29877" spans="7:16" s="1634" customFormat="1">
      <c r="G29877" s="3336"/>
      <c r="P29877" s="3337"/>
    </row>
    <row r="29878" spans="7:16" s="1634" customFormat="1">
      <c r="G29878" s="3336"/>
      <c r="P29878" s="3337"/>
    </row>
    <row r="29879" spans="7:16" s="1634" customFormat="1">
      <c r="G29879" s="3336"/>
      <c r="P29879" s="3337"/>
    </row>
    <row r="29880" spans="7:16" s="1634" customFormat="1">
      <c r="G29880" s="3336"/>
      <c r="P29880" s="3337"/>
    </row>
    <row r="29881" spans="7:16" s="1634" customFormat="1">
      <c r="G29881" s="3336"/>
      <c r="P29881" s="3337"/>
    </row>
    <row r="29882" spans="7:16" s="1634" customFormat="1">
      <c r="G29882" s="3336"/>
      <c r="P29882" s="3337"/>
    </row>
    <row r="29883" spans="7:16" s="1634" customFormat="1">
      <c r="G29883" s="3336"/>
      <c r="P29883" s="3337"/>
    </row>
    <row r="29884" spans="7:16" s="1634" customFormat="1">
      <c r="G29884" s="3336"/>
      <c r="P29884" s="3337"/>
    </row>
    <row r="29885" spans="7:16" s="1634" customFormat="1">
      <c r="G29885" s="3336"/>
      <c r="P29885" s="3337"/>
    </row>
    <row r="29886" spans="7:16" s="1634" customFormat="1">
      <c r="G29886" s="3336"/>
      <c r="P29886" s="3337"/>
    </row>
    <row r="29887" spans="7:16" s="1634" customFormat="1">
      <c r="G29887" s="3336"/>
      <c r="P29887" s="3337"/>
    </row>
    <row r="29888" spans="7:16" s="1634" customFormat="1">
      <c r="G29888" s="3336"/>
      <c r="P29888" s="3337"/>
    </row>
    <row r="29889" spans="7:16" s="1634" customFormat="1">
      <c r="G29889" s="3336"/>
      <c r="P29889" s="3337"/>
    </row>
    <row r="29890" spans="7:16" s="1634" customFormat="1">
      <c r="G29890" s="3336"/>
      <c r="P29890" s="3337"/>
    </row>
    <row r="29891" spans="7:16" s="1634" customFormat="1">
      <c r="G29891" s="3336"/>
      <c r="P29891" s="3337"/>
    </row>
    <row r="29892" spans="7:16" s="1634" customFormat="1">
      <c r="G29892" s="3336"/>
      <c r="P29892" s="3337"/>
    </row>
    <row r="29893" spans="7:16" s="1634" customFormat="1">
      <c r="G29893" s="3336"/>
      <c r="P29893" s="3337"/>
    </row>
    <row r="29894" spans="7:16" s="1634" customFormat="1">
      <c r="G29894" s="3336"/>
      <c r="P29894" s="3337"/>
    </row>
    <row r="29895" spans="7:16" s="1634" customFormat="1">
      <c r="G29895" s="3336"/>
      <c r="P29895" s="3337"/>
    </row>
    <row r="29896" spans="7:16" s="1634" customFormat="1">
      <c r="G29896" s="3336"/>
      <c r="P29896" s="3337"/>
    </row>
    <row r="29897" spans="7:16" s="1634" customFormat="1">
      <c r="G29897" s="3336"/>
      <c r="P29897" s="3337"/>
    </row>
    <row r="29898" spans="7:16" s="1634" customFormat="1">
      <c r="G29898" s="3336"/>
      <c r="P29898" s="3337"/>
    </row>
    <row r="29899" spans="7:16" s="1634" customFormat="1">
      <c r="G29899" s="3336"/>
      <c r="P29899" s="3337"/>
    </row>
    <row r="29900" spans="7:16" s="1634" customFormat="1">
      <c r="G29900" s="3336"/>
      <c r="P29900" s="3337"/>
    </row>
    <row r="29901" spans="7:16" s="1634" customFormat="1">
      <c r="G29901" s="3336"/>
      <c r="P29901" s="3337"/>
    </row>
    <row r="29902" spans="7:16" s="1634" customFormat="1">
      <c r="G29902" s="3336"/>
      <c r="P29902" s="3337"/>
    </row>
    <row r="29903" spans="7:16" s="1634" customFormat="1">
      <c r="G29903" s="3336"/>
      <c r="P29903" s="3337"/>
    </row>
    <row r="29904" spans="7:16" s="1634" customFormat="1">
      <c r="G29904" s="3336"/>
      <c r="P29904" s="3337"/>
    </row>
    <row r="29905" spans="7:16" s="1634" customFormat="1">
      <c r="G29905" s="3336"/>
      <c r="P29905" s="3337"/>
    </row>
    <row r="29906" spans="7:16" s="1634" customFormat="1">
      <c r="G29906" s="3336"/>
      <c r="P29906" s="3337"/>
    </row>
    <row r="29907" spans="7:16" s="1634" customFormat="1">
      <c r="G29907" s="3336"/>
      <c r="P29907" s="3337"/>
    </row>
    <row r="29908" spans="7:16" s="1634" customFormat="1">
      <c r="G29908" s="3336"/>
      <c r="P29908" s="3337"/>
    </row>
    <row r="29909" spans="7:16" s="1634" customFormat="1">
      <c r="G29909" s="3336"/>
      <c r="P29909" s="3337"/>
    </row>
    <row r="29910" spans="7:16" s="1634" customFormat="1">
      <c r="G29910" s="3336"/>
      <c r="P29910" s="3337"/>
    </row>
    <row r="29911" spans="7:16" s="1634" customFormat="1">
      <c r="G29911" s="3336"/>
      <c r="P29911" s="3337"/>
    </row>
    <row r="29912" spans="7:16" s="1634" customFormat="1">
      <c r="G29912" s="3336"/>
      <c r="P29912" s="3337"/>
    </row>
    <row r="29913" spans="7:16" s="1634" customFormat="1">
      <c r="G29913" s="3336"/>
      <c r="P29913" s="3337"/>
    </row>
    <row r="29914" spans="7:16" s="1634" customFormat="1">
      <c r="G29914" s="3336"/>
      <c r="P29914" s="3337"/>
    </row>
    <row r="29915" spans="7:16" s="1634" customFormat="1">
      <c r="G29915" s="3336"/>
      <c r="P29915" s="3337"/>
    </row>
    <row r="29916" spans="7:16" s="1634" customFormat="1">
      <c r="G29916" s="3336"/>
      <c r="P29916" s="3337"/>
    </row>
    <row r="29917" spans="7:16" s="1634" customFormat="1">
      <c r="G29917" s="3336"/>
      <c r="P29917" s="3337"/>
    </row>
    <row r="29918" spans="7:16" s="1634" customFormat="1">
      <c r="G29918" s="3336"/>
      <c r="P29918" s="3337"/>
    </row>
    <row r="29919" spans="7:16" s="1634" customFormat="1">
      <c r="G29919" s="3336"/>
      <c r="P29919" s="3337"/>
    </row>
    <row r="29920" spans="7:16" s="1634" customFormat="1">
      <c r="G29920" s="3336"/>
      <c r="P29920" s="3337"/>
    </row>
    <row r="29921" spans="7:16" s="1634" customFormat="1">
      <c r="G29921" s="3336"/>
      <c r="P29921" s="3337"/>
    </row>
    <row r="29922" spans="7:16" s="1634" customFormat="1">
      <c r="G29922" s="3336"/>
      <c r="P29922" s="3337"/>
    </row>
    <row r="29923" spans="7:16" s="1634" customFormat="1">
      <c r="G29923" s="3336"/>
      <c r="P29923" s="3337"/>
    </row>
    <row r="29924" spans="7:16" s="1634" customFormat="1">
      <c r="G29924" s="3336"/>
      <c r="P29924" s="3337"/>
    </row>
    <row r="29925" spans="7:16" s="1634" customFormat="1">
      <c r="G29925" s="3336"/>
      <c r="P29925" s="3337"/>
    </row>
    <row r="29926" spans="7:16" s="1634" customFormat="1">
      <c r="G29926" s="3336"/>
      <c r="P29926" s="3337"/>
    </row>
    <row r="29927" spans="7:16" s="1634" customFormat="1">
      <c r="G29927" s="3336"/>
      <c r="P29927" s="3337"/>
    </row>
    <row r="29928" spans="7:16" s="1634" customFormat="1">
      <c r="G29928" s="3336"/>
      <c r="P29928" s="3337"/>
    </row>
    <row r="29929" spans="7:16" s="1634" customFormat="1">
      <c r="G29929" s="3336"/>
      <c r="P29929" s="3337"/>
    </row>
    <row r="29930" spans="7:16" s="1634" customFormat="1">
      <c r="G29930" s="3336"/>
      <c r="P29930" s="3337"/>
    </row>
    <row r="29931" spans="7:16" s="1634" customFormat="1">
      <c r="G29931" s="3336"/>
      <c r="P29931" s="3337"/>
    </row>
    <row r="29932" spans="7:16" s="1634" customFormat="1">
      <c r="G29932" s="3336"/>
      <c r="P29932" s="3337"/>
    </row>
    <row r="29933" spans="7:16" s="1634" customFormat="1">
      <c r="G29933" s="3336"/>
      <c r="P29933" s="3337"/>
    </row>
    <row r="29934" spans="7:16" s="1634" customFormat="1">
      <c r="G29934" s="3336"/>
      <c r="P29934" s="3337"/>
    </row>
    <row r="29935" spans="7:16" s="1634" customFormat="1">
      <c r="G29935" s="3336"/>
      <c r="P29935" s="3337"/>
    </row>
    <row r="29936" spans="7:16" s="1634" customFormat="1">
      <c r="G29936" s="3336"/>
      <c r="P29936" s="3337"/>
    </row>
    <row r="29937" spans="7:16" s="1634" customFormat="1">
      <c r="G29937" s="3336"/>
      <c r="P29937" s="3337"/>
    </row>
    <row r="29938" spans="7:16" s="1634" customFormat="1">
      <c r="G29938" s="3336"/>
      <c r="P29938" s="3337"/>
    </row>
    <row r="29939" spans="7:16" s="1634" customFormat="1">
      <c r="G29939" s="3336"/>
      <c r="P29939" s="3337"/>
    </row>
    <row r="29940" spans="7:16" s="1634" customFormat="1">
      <c r="G29940" s="3336"/>
      <c r="P29940" s="3337"/>
    </row>
    <row r="29941" spans="7:16" s="1634" customFormat="1">
      <c r="G29941" s="3336"/>
      <c r="P29941" s="3337"/>
    </row>
    <row r="29942" spans="7:16" s="1634" customFormat="1">
      <c r="G29942" s="3336"/>
      <c r="P29942" s="3337"/>
    </row>
    <row r="29943" spans="7:16" s="1634" customFormat="1">
      <c r="G29943" s="3336"/>
      <c r="P29943" s="3337"/>
    </row>
    <row r="29944" spans="7:16" s="1634" customFormat="1">
      <c r="G29944" s="3336"/>
      <c r="P29944" s="3337"/>
    </row>
    <row r="29945" spans="7:16" s="1634" customFormat="1">
      <c r="G29945" s="3336"/>
      <c r="P29945" s="3337"/>
    </row>
    <row r="29946" spans="7:16" s="1634" customFormat="1">
      <c r="G29946" s="3336"/>
      <c r="P29946" s="3337"/>
    </row>
    <row r="29947" spans="7:16" s="1634" customFormat="1">
      <c r="G29947" s="3336"/>
      <c r="P29947" s="3337"/>
    </row>
    <row r="29948" spans="7:16" s="1634" customFormat="1">
      <c r="G29948" s="3336"/>
      <c r="P29948" s="3337"/>
    </row>
    <row r="29949" spans="7:16" s="1634" customFormat="1">
      <c r="G29949" s="3336"/>
      <c r="P29949" s="3337"/>
    </row>
    <row r="29950" spans="7:16" s="1634" customFormat="1">
      <c r="G29950" s="3336"/>
      <c r="P29950" s="3337"/>
    </row>
    <row r="29951" spans="7:16" s="1634" customFormat="1">
      <c r="G29951" s="3336"/>
      <c r="P29951" s="3337"/>
    </row>
    <row r="29952" spans="7:16" s="1634" customFormat="1">
      <c r="G29952" s="3336"/>
      <c r="P29952" s="3337"/>
    </row>
    <row r="29953" spans="7:16" s="1634" customFormat="1">
      <c r="G29953" s="3336"/>
      <c r="P29953" s="3337"/>
    </row>
    <row r="29954" spans="7:16" s="1634" customFormat="1">
      <c r="G29954" s="3336"/>
      <c r="P29954" s="3337"/>
    </row>
    <row r="29955" spans="7:16" s="1634" customFormat="1">
      <c r="G29955" s="3336"/>
      <c r="P29955" s="3337"/>
    </row>
    <row r="29956" spans="7:16" s="1634" customFormat="1">
      <c r="G29956" s="3336"/>
      <c r="P29956" s="3337"/>
    </row>
    <row r="29957" spans="7:16" s="1634" customFormat="1">
      <c r="G29957" s="3336"/>
      <c r="P29957" s="3337"/>
    </row>
    <row r="29958" spans="7:16" s="1634" customFormat="1">
      <c r="G29958" s="3336"/>
      <c r="P29958" s="3337"/>
    </row>
    <row r="29959" spans="7:16" s="1634" customFormat="1">
      <c r="G29959" s="3336"/>
      <c r="P29959" s="3337"/>
    </row>
    <row r="29960" spans="7:16" s="1634" customFormat="1">
      <c r="G29960" s="3336"/>
      <c r="P29960" s="3337"/>
    </row>
    <row r="29961" spans="7:16" s="1634" customFormat="1">
      <c r="G29961" s="3336"/>
      <c r="P29961" s="3337"/>
    </row>
    <row r="29962" spans="7:16" s="1634" customFormat="1">
      <c r="G29962" s="3336"/>
      <c r="P29962" s="3337"/>
    </row>
    <row r="29963" spans="7:16" s="1634" customFormat="1">
      <c r="G29963" s="3336"/>
      <c r="P29963" s="3337"/>
    </row>
    <row r="29964" spans="7:16" s="1634" customFormat="1">
      <c r="G29964" s="3336"/>
      <c r="P29964" s="3337"/>
    </row>
    <row r="29965" spans="7:16" s="1634" customFormat="1">
      <c r="G29965" s="3336"/>
      <c r="P29965" s="3337"/>
    </row>
    <row r="29966" spans="7:16" s="1634" customFormat="1">
      <c r="G29966" s="3336"/>
      <c r="P29966" s="3337"/>
    </row>
    <row r="29967" spans="7:16" s="1634" customFormat="1">
      <c r="G29967" s="3336"/>
      <c r="P29967" s="3337"/>
    </row>
    <row r="29968" spans="7:16" s="1634" customFormat="1">
      <c r="G29968" s="3336"/>
      <c r="P29968" s="3337"/>
    </row>
    <row r="29969" spans="7:16" s="1634" customFormat="1">
      <c r="G29969" s="3336"/>
      <c r="P29969" s="3337"/>
    </row>
    <row r="29970" spans="7:16" s="1634" customFormat="1">
      <c r="G29970" s="3336"/>
      <c r="P29970" s="3337"/>
    </row>
    <row r="29971" spans="7:16" s="1634" customFormat="1">
      <c r="G29971" s="3336"/>
      <c r="P29971" s="3337"/>
    </row>
    <row r="29972" spans="7:16" s="1634" customFormat="1">
      <c r="G29972" s="3336"/>
      <c r="P29972" s="3337"/>
    </row>
    <row r="29973" spans="7:16" s="1634" customFormat="1">
      <c r="G29973" s="3336"/>
      <c r="P29973" s="3337"/>
    </row>
    <row r="29974" spans="7:16" s="1634" customFormat="1">
      <c r="G29974" s="3336"/>
      <c r="P29974" s="3337"/>
    </row>
    <row r="29975" spans="7:16" s="1634" customFormat="1">
      <c r="G29975" s="3336"/>
      <c r="P29975" s="3337"/>
    </row>
    <row r="29976" spans="7:16" s="1634" customFormat="1">
      <c r="G29976" s="3336"/>
      <c r="P29976" s="3337"/>
    </row>
    <row r="29977" spans="7:16" s="1634" customFormat="1">
      <c r="G29977" s="3336"/>
      <c r="P29977" s="3337"/>
    </row>
    <row r="29978" spans="7:16" s="1634" customFormat="1">
      <c r="G29978" s="3336"/>
      <c r="P29978" s="3337"/>
    </row>
    <row r="29979" spans="7:16" s="1634" customFormat="1">
      <c r="G29979" s="3336"/>
      <c r="P29979" s="3337"/>
    </row>
    <row r="29980" spans="7:16" s="1634" customFormat="1">
      <c r="G29980" s="3336"/>
      <c r="P29980" s="3337"/>
    </row>
    <row r="29981" spans="7:16" s="1634" customFormat="1">
      <c r="G29981" s="3336"/>
      <c r="P29981" s="3337"/>
    </row>
    <row r="29982" spans="7:16" s="1634" customFormat="1">
      <c r="G29982" s="3336"/>
      <c r="P29982" s="3337"/>
    </row>
    <row r="29983" spans="7:16" s="1634" customFormat="1">
      <c r="G29983" s="3336"/>
      <c r="P29983" s="3337"/>
    </row>
    <row r="29984" spans="7:16" s="1634" customFormat="1">
      <c r="G29984" s="3336"/>
      <c r="P29984" s="3337"/>
    </row>
    <row r="29985" spans="7:16" s="1634" customFormat="1">
      <c r="G29985" s="3336"/>
      <c r="P29985" s="3337"/>
    </row>
    <row r="29986" spans="7:16" s="1634" customFormat="1">
      <c r="G29986" s="3336"/>
      <c r="P29986" s="3337"/>
    </row>
    <row r="29987" spans="7:16" s="1634" customFormat="1">
      <c r="G29987" s="3336"/>
      <c r="P29987" s="3337"/>
    </row>
    <row r="29988" spans="7:16" s="1634" customFormat="1">
      <c r="G29988" s="3336"/>
      <c r="P29988" s="3337"/>
    </row>
    <row r="29989" spans="7:16" s="1634" customFormat="1">
      <c r="G29989" s="3336"/>
      <c r="P29989" s="3337"/>
    </row>
    <row r="29990" spans="7:16" s="1634" customFormat="1">
      <c r="G29990" s="3336"/>
      <c r="P29990" s="3337"/>
    </row>
    <row r="29991" spans="7:16" s="1634" customFormat="1">
      <c r="G29991" s="3336"/>
      <c r="P29991" s="3337"/>
    </row>
    <row r="29992" spans="7:16" s="1634" customFormat="1">
      <c r="G29992" s="3336"/>
      <c r="P29992" s="3337"/>
    </row>
    <row r="29993" spans="7:16" s="1634" customFormat="1">
      <c r="G29993" s="3336"/>
      <c r="P29993" s="3337"/>
    </row>
    <row r="29994" spans="7:16" s="1634" customFormat="1">
      <c r="G29994" s="3336"/>
      <c r="P29994" s="3337"/>
    </row>
    <row r="29995" spans="7:16" s="1634" customFormat="1">
      <c r="G29995" s="3336"/>
      <c r="P29995" s="3337"/>
    </row>
    <row r="29996" spans="7:16" s="1634" customFormat="1">
      <c r="G29996" s="3336"/>
      <c r="P29996" s="3337"/>
    </row>
    <row r="29997" spans="7:16" s="1634" customFormat="1">
      <c r="G29997" s="3336"/>
      <c r="P29997" s="3337"/>
    </row>
    <row r="29998" spans="7:16" s="1634" customFormat="1">
      <c r="G29998" s="3336"/>
      <c r="P29998" s="3337"/>
    </row>
    <row r="29999" spans="7:16" s="1634" customFormat="1">
      <c r="G29999" s="3336"/>
      <c r="P29999" s="3337"/>
    </row>
    <row r="30000" spans="7:16" s="1634" customFormat="1">
      <c r="G30000" s="3336"/>
      <c r="P30000" s="3337"/>
    </row>
    <row r="30001" spans="7:16" s="1634" customFormat="1">
      <c r="G30001" s="3336"/>
      <c r="P30001" s="3337"/>
    </row>
    <row r="30002" spans="7:16" s="1634" customFormat="1">
      <c r="G30002" s="3336"/>
      <c r="P30002" s="3337"/>
    </row>
    <row r="30003" spans="7:16" s="1634" customFormat="1">
      <c r="G30003" s="3336"/>
      <c r="P30003" s="3337"/>
    </row>
    <row r="30004" spans="7:16" s="1634" customFormat="1">
      <c r="G30004" s="3336"/>
      <c r="P30004" s="3337"/>
    </row>
    <row r="30005" spans="7:16" s="1634" customFormat="1">
      <c r="G30005" s="3336"/>
      <c r="P30005" s="3337"/>
    </row>
    <row r="30006" spans="7:16" s="1634" customFormat="1">
      <c r="G30006" s="3336"/>
      <c r="P30006" s="3337"/>
    </row>
    <row r="30007" spans="7:16" s="1634" customFormat="1">
      <c r="G30007" s="3336"/>
      <c r="P30007" s="3337"/>
    </row>
    <row r="30008" spans="7:16" s="1634" customFormat="1">
      <c r="G30008" s="3336"/>
      <c r="P30008" s="3337"/>
    </row>
    <row r="30009" spans="7:16" s="1634" customFormat="1">
      <c r="G30009" s="3336"/>
      <c r="P30009" s="3337"/>
    </row>
    <row r="30010" spans="7:16" s="1634" customFormat="1">
      <c r="G30010" s="3336"/>
      <c r="P30010" s="3337"/>
    </row>
    <row r="30011" spans="7:16" s="1634" customFormat="1">
      <c r="G30011" s="3336"/>
      <c r="P30011" s="3337"/>
    </row>
    <row r="30012" spans="7:16" s="1634" customFormat="1">
      <c r="G30012" s="3336"/>
      <c r="P30012" s="3337"/>
    </row>
    <row r="30013" spans="7:16" s="1634" customFormat="1">
      <c r="G30013" s="3336"/>
      <c r="P30013" s="3337"/>
    </row>
    <row r="30014" spans="7:16" s="1634" customFormat="1">
      <c r="G30014" s="3336"/>
      <c r="P30014" s="3337"/>
    </row>
    <row r="30015" spans="7:16" s="1634" customFormat="1">
      <c r="G30015" s="3336"/>
      <c r="P30015" s="3337"/>
    </row>
    <row r="30016" spans="7:16" s="1634" customFormat="1">
      <c r="G30016" s="3336"/>
      <c r="P30016" s="3337"/>
    </row>
    <row r="30017" spans="7:16" s="1634" customFormat="1">
      <c r="G30017" s="3336"/>
      <c r="P30017" s="3337"/>
    </row>
    <row r="30018" spans="7:16" s="1634" customFormat="1">
      <c r="G30018" s="3336"/>
      <c r="P30018" s="3337"/>
    </row>
    <row r="30019" spans="7:16" s="1634" customFormat="1">
      <c r="G30019" s="3336"/>
      <c r="P30019" s="3337"/>
    </row>
    <row r="30020" spans="7:16" s="1634" customFormat="1">
      <c r="G30020" s="3336"/>
      <c r="P30020" s="3337"/>
    </row>
    <row r="30021" spans="7:16" s="1634" customFormat="1">
      <c r="G30021" s="3336"/>
      <c r="P30021" s="3337"/>
    </row>
    <row r="30022" spans="7:16" s="1634" customFormat="1">
      <c r="G30022" s="3336"/>
      <c r="P30022" s="3337"/>
    </row>
    <row r="30023" spans="7:16" s="1634" customFormat="1">
      <c r="G30023" s="3336"/>
      <c r="P30023" s="3337"/>
    </row>
    <row r="30024" spans="7:16" s="1634" customFormat="1">
      <c r="G30024" s="3336"/>
      <c r="P30024" s="3337"/>
    </row>
    <row r="30025" spans="7:16" s="1634" customFormat="1">
      <c r="G30025" s="3336"/>
      <c r="P30025" s="3337"/>
    </row>
    <row r="30026" spans="7:16" s="1634" customFormat="1">
      <c r="G30026" s="3336"/>
      <c r="P30026" s="3337"/>
    </row>
    <row r="30027" spans="7:16" s="1634" customFormat="1">
      <c r="G30027" s="3336"/>
      <c r="P30027" s="3337"/>
    </row>
    <row r="30028" spans="7:16" s="1634" customFormat="1">
      <c r="G30028" s="3336"/>
      <c r="P30028" s="3337"/>
    </row>
    <row r="30029" spans="7:16" s="1634" customFormat="1">
      <c r="G30029" s="3336"/>
      <c r="P30029" s="3337"/>
    </row>
    <row r="30030" spans="7:16" s="1634" customFormat="1">
      <c r="G30030" s="3336"/>
      <c r="P30030" s="3337"/>
    </row>
    <row r="30031" spans="7:16" s="1634" customFormat="1">
      <c r="G30031" s="3336"/>
      <c r="P30031" s="3337"/>
    </row>
    <row r="30032" spans="7:16" s="1634" customFormat="1">
      <c r="G30032" s="3336"/>
      <c r="P30032" s="3337"/>
    </row>
    <row r="30033" spans="7:16" s="1634" customFormat="1">
      <c r="G30033" s="3336"/>
      <c r="P30033" s="3337"/>
    </row>
    <row r="30034" spans="7:16" s="1634" customFormat="1">
      <c r="G30034" s="3336"/>
      <c r="P30034" s="3337"/>
    </row>
    <row r="30035" spans="7:16" s="1634" customFormat="1">
      <c r="G30035" s="3336"/>
      <c r="P30035" s="3337"/>
    </row>
    <row r="30036" spans="7:16" s="1634" customFormat="1">
      <c r="G30036" s="3336"/>
      <c r="P30036" s="3337"/>
    </row>
    <row r="30037" spans="7:16" s="1634" customFormat="1">
      <c r="G30037" s="3336"/>
      <c r="P30037" s="3337"/>
    </row>
    <row r="30038" spans="7:16" s="1634" customFormat="1">
      <c r="G30038" s="3336"/>
      <c r="P30038" s="3337"/>
    </row>
    <row r="30039" spans="7:16" s="1634" customFormat="1">
      <c r="G30039" s="3336"/>
      <c r="P30039" s="3337"/>
    </row>
    <row r="30040" spans="7:16" s="1634" customFormat="1">
      <c r="G30040" s="3336"/>
      <c r="P30040" s="3337"/>
    </row>
    <row r="30041" spans="7:16" s="1634" customFormat="1">
      <c r="G30041" s="3336"/>
      <c r="P30041" s="3337"/>
    </row>
    <row r="30042" spans="7:16" s="1634" customFormat="1">
      <c r="G30042" s="3336"/>
      <c r="P30042" s="3337"/>
    </row>
    <row r="30043" spans="7:16" s="1634" customFormat="1">
      <c r="G30043" s="3336"/>
      <c r="P30043" s="3337"/>
    </row>
    <row r="30044" spans="7:16" s="1634" customFormat="1">
      <c r="G30044" s="3336"/>
      <c r="P30044" s="3337"/>
    </row>
    <row r="30045" spans="7:16" s="1634" customFormat="1">
      <c r="G30045" s="3336"/>
      <c r="P30045" s="3337"/>
    </row>
    <row r="30046" spans="7:16" s="1634" customFormat="1">
      <c r="G30046" s="3336"/>
      <c r="P30046" s="3337"/>
    </row>
    <row r="30047" spans="7:16" s="1634" customFormat="1">
      <c r="G30047" s="3336"/>
      <c r="P30047" s="3337"/>
    </row>
    <row r="30048" spans="7:16" s="1634" customFormat="1">
      <c r="G30048" s="3336"/>
      <c r="P30048" s="3337"/>
    </row>
    <row r="30049" spans="7:16" s="1634" customFormat="1">
      <c r="G30049" s="3336"/>
      <c r="P30049" s="3337"/>
    </row>
    <row r="30050" spans="7:16" s="1634" customFormat="1">
      <c r="G30050" s="3336"/>
      <c r="P30050" s="3337"/>
    </row>
    <row r="30051" spans="7:16" s="1634" customFormat="1">
      <c r="G30051" s="3336"/>
      <c r="P30051" s="3337"/>
    </row>
    <row r="30052" spans="7:16" s="1634" customFormat="1">
      <c r="G30052" s="3336"/>
      <c r="P30052" s="3337"/>
    </row>
    <row r="30053" spans="7:16" s="1634" customFormat="1">
      <c r="G30053" s="3336"/>
      <c r="P30053" s="3337"/>
    </row>
    <row r="30054" spans="7:16" s="1634" customFormat="1">
      <c r="G30054" s="3336"/>
      <c r="P30054" s="3337"/>
    </row>
    <row r="30055" spans="7:16" s="1634" customFormat="1">
      <c r="G30055" s="3336"/>
      <c r="P30055" s="3337"/>
    </row>
    <row r="30056" spans="7:16" s="1634" customFormat="1">
      <c r="G30056" s="3336"/>
      <c r="P30056" s="3337"/>
    </row>
    <row r="30057" spans="7:16" s="1634" customFormat="1">
      <c r="G30057" s="3336"/>
      <c r="P30057" s="3337"/>
    </row>
    <row r="30058" spans="7:16" s="1634" customFormat="1">
      <c r="G30058" s="3336"/>
      <c r="P30058" s="3337"/>
    </row>
    <row r="30059" spans="7:16" s="1634" customFormat="1">
      <c r="G30059" s="3336"/>
      <c r="P30059" s="3337"/>
    </row>
    <row r="30060" spans="7:16" s="1634" customFormat="1">
      <c r="G30060" s="3336"/>
      <c r="P30060" s="3337"/>
    </row>
    <row r="30061" spans="7:16" s="1634" customFormat="1">
      <c r="G30061" s="3336"/>
      <c r="P30061" s="3337"/>
    </row>
    <row r="30062" spans="7:16" s="1634" customFormat="1">
      <c r="G30062" s="3336"/>
      <c r="P30062" s="3337"/>
    </row>
    <row r="30063" spans="7:16" s="1634" customFormat="1">
      <c r="G30063" s="3336"/>
      <c r="P30063" s="3337"/>
    </row>
    <row r="30064" spans="7:16" s="1634" customFormat="1">
      <c r="G30064" s="3336"/>
      <c r="P30064" s="3337"/>
    </row>
    <row r="30065" spans="7:16" s="1634" customFormat="1">
      <c r="G30065" s="3336"/>
      <c r="P30065" s="3337"/>
    </row>
    <row r="30066" spans="7:16" s="1634" customFormat="1">
      <c r="G30066" s="3336"/>
      <c r="P30066" s="3337"/>
    </row>
    <row r="30067" spans="7:16" s="1634" customFormat="1">
      <c r="G30067" s="3336"/>
      <c r="P30067" s="3337"/>
    </row>
    <row r="30068" spans="7:16" s="1634" customFormat="1">
      <c r="G30068" s="3336"/>
      <c r="P30068" s="3337"/>
    </row>
    <row r="30069" spans="7:16" s="1634" customFormat="1">
      <c r="G30069" s="3336"/>
      <c r="P30069" s="3337"/>
    </row>
    <row r="30070" spans="7:16" s="1634" customFormat="1">
      <c r="G30070" s="3336"/>
      <c r="P30070" s="3337"/>
    </row>
    <row r="30071" spans="7:16" s="1634" customFormat="1">
      <c r="G30071" s="3336"/>
      <c r="P30071" s="3337"/>
    </row>
    <row r="30072" spans="7:16" s="1634" customFormat="1">
      <c r="G30072" s="3336"/>
      <c r="P30072" s="3337"/>
    </row>
    <row r="30073" spans="7:16" s="1634" customFormat="1">
      <c r="G30073" s="3336"/>
      <c r="P30073" s="3337"/>
    </row>
    <row r="30074" spans="7:16" s="1634" customFormat="1">
      <c r="G30074" s="3336"/>
      <c r="P30074" s="3337"/>
    </row>
    <row r="30075" spans="7:16" s="1634" customFormat="1">
      <c r="G30075" s="3336"/>
      <c r="P30075" s="3337"/>
    </row>
    <row r="30076" spans="7:16" s="1634" customFormat="1">
      <c r="G30076" s="3336"/>
      <c r="P30076" s="3337"/>
    </row>
    <row r="30077" spans="7:16" s="1634" customFormat="1">
      <c r="G30077" s="3336"/>
      <c r="P30077" s="3337"/>
    </row>
    <row r="30078" spans="7:16" s="1634" customFormat="1">
      <c r="G30078" s="3336"/>
      <c r="P30078" s="3337"/>
    </row>
    <row r="30079" spans="7:16" s="1634" customFormat="1">
      <c r="G30079" s="3336"/>
      <c r="P30079" s="3337"/>
    </row>
    <row r="30080" spans="7:16" s="1634" customFormat="1">
      <c r="G30080" s="3336"/>
      <c r="P30080" s="3337"/>
    </row>
    <row r="30081" spans="7:16" s="1634" customFormat="1">
      <c r="G30081" s="3336"/>
      <c r="P30081" s="3337"/>
    </row>
    <row r="30082" spans="7:16" s="1634" customFormat="1">
      <c r="G30082" s="3336"/>
      <c r="P30082" s="3337"/>
    </row>
    <row r="30083" spans="7:16" s="1634" customFormat="1">
      <c r="G30083" s="3336"/>
      <c r="P30083" s="3337"/>
    </row>
    <row r="30084" spans="7:16" s="1634" customFormat="1">
      <c r="G30084" s="3336"/>
      <c r="P30084" s="3337"/>
    </row>
    <row r="30085" spans="7:16" s="1634" customFormat="1">
      <c r="G30085" s="3336"/>
      <c r="P30085" s="3337"/>
    </row>
    <row r="30086" spans="7:16" s="1634" customFormat="1">
      <c r="G30086" s="3336"/>
      <c r="P30086" s="3337"/>
    </row>
    <row r="30087" spans="7:16" s="1634" customFormat="1">
      <c r="G30087" s="3336"/>
      <c r="P30087" s="3337"/>
    </row>
    <row r="30088" spans="7:16" s="1634" customFormat="1">
      <c r="G30088" s="3336"/>
      <c r="P30088" s="3337"/>
    </row>
    <row r="30089" spans="7:16" s="1634" customFormat="1">
      <c r="G30089" s="3336"/>
      <c r="P30089" s="3337"/>
    </row>
    <row r="30090" spans="7:16" s="1634" customFormat="1">
      <c r="G30090" s="3336"/>
      <c r="P30090" s="3337"/>
    </row>
    <row r="30091" spans="7:16" s="1634" customFormat="1">
      <c r="G30091" s="3336"/>
      <c r="P30091" s="3337"/>
    </row>
    <row r="30092" spans="7:16" s="1634" customFormat="1">
      <c r="G30092" s="3336"/>
      <c r="P30092" s="3337"/>
    </row>
    <row r="30093" spans="7:16" s="1634" customFormat="1">
      <c r="G30093" s="3336"/>
      <c r="P30093" s="3337"/>
    </row>
    <row r="30094" spans="7:16" s="1634" customFormat="1">
      <c r="G30094" s="3336"/>
      <c r="P30094" s="3337"/>
    </row>
    <row r="30095" spans="7:16" s="1634" customFormat="1">
      <c r="G30095" s="3336"/>
      <c r="P30095" s="3337"/>
    </row>
    <row r="30096" spans="7:16" s="1634" customFormat="1">
      <c r="G30096" s="3336"/>
      <c r="P30096" s="3337"/>
    </row>
    <row r="30097" spans="7:16" s="1634" customFormat="1">
      <c r="G30097" s="3336"/>
      <c r="P30097" s="3337"/>
    </row>
    <row r="30098" spans="7:16" s="1634" customFormat="1">
      <c r="G30098" s="3336"/>
      <c r="P30098" s="3337"/>
    </row>
    <row r="30099" spans="7:16" s="1634" customFormat="1">
      <c r="G30099" s="3336"/>
      <c r="P30099" s="3337"/>
    </row>
    <row r="30100" spans="7:16" s="1634" customFormat="1">
      <c r="G30100" s="3336"/>
      <c r="P30100" s="3337"/>
    </row>
    <row r="30101" spans="7:16" s="1634" customFormat="1">
      <c r="G30101" s="3336"/>
      <c r="P30101" s="3337"/>
    </row>
    <row r="30102" spans="7:16" s="1634" customFormat="1">
      <c r="G30102" s="3336"/>
      <c r="P30102" s="3337"/>
    </row>
    <row r="30103" spans="7:16" s="1634" customFormat="1">
      <c r="G30103" s="3336"/>
      <c r="P30103" s="3337"/>
    </row>
    <row r="30104" spans="7:16" s="1634" customFormat="1">
      <c r="G30104" s="3336"/>
      <c r="P30104" s="3337"/>
    </row>
    <row r="30105" spans="7:16" s="1634" customFormat="1">
      <c r="G30105" s="3336"/>
      <c r="P30105" s="3337"/>
    </row>
    <row r="30106" spans="7:16" s="1634" customFormat="1">
      <c r="G30106" s="3336"/>
      <c r="P30106" s="3337"/>
    </row>
    <row r="30107" spans="7:16" s="1634" customFormat="1">
      <c r="G30107" s="3336"/>
      <c r="P30107" s="3337"/>
    </row>
    <row r="30108" spans="7:16" s="1634" customFormat="1">
      <c r="G30108" s="3336"/>
      <c r="P30108" s="3337"/>
    </row>
    <row r="30109" spans="7:16" s="1634" customFormat="1">
      <c r="G30109" s="3336"/>
      <c r="P30109" s="3337"/>
    </row>
    <row r="30110" spans="7:16" s="1634" customFormat="1">
      <c r="G30110" s="3336"/>
      <c r="P30110" s="3337"/>
    </row>
    <row r="30111" spans="7:16" s="1634" customFormat="1">
      <c r="G30111" s="3336"/>
      <c r="P30111" s="3337"/>
    </row>
    <row r="30112" spans="7:16" s="1634" customFormat="1">
      <c r="G30112" s="3336"/>
      <c r="P30112" s="3337"/>
    </row>
    <row r="30113" spans="7:16" s="1634" customFormat="1">
      <c r="G30113" s="3336"/>
      <c r="P30113" s="3337"/>
    </row>
    <row r="30114" spans="7:16" s="1634" customFormat="1">
      <c r="G30114" s="3336"/>
      <c r="P30114" s="3337"/>
    </row>
    <row r="30115" spans="7:16" s="1634" customFormat="1">
      <c r="G30115" s="3336"/>
      <c r="P30115" s="3337"/>
    </row>
    <row r="30116" spans="7:16" s="1634" customFormat="1">
      <c r="G30116" s="3336"/>
      <c r="P30116" s="3337"/>
    </row>
    <row r="30117" spans="7:16" s="1634" customFormat="1">
      <c r="G30117" s="3336"/>
      <c r="P30117" s="3337"/>
    </row>
    <row r="30118" spans="7:16" s="1634" customFormat="1">
      <c r="G30118" s="3336"/>
      <c r="P30118" s="3337"/>
    </row>
    <row r="30119" spans="7:16" s="1634" customFormat="1">
      <c r="G30119" s="3336"/>
      <c r="P30119" s="3337"/>
    </row>
    <row r="30120" spans="7:16" s="1634" customFormat="1">
      <c r="G30120" s="3336"/>
      <c r="P30120" s="3337"/>
    </row>
    <row r="30121" spans="7:16" s="1634" customFormat="1">
      <c r="G30121" s="3336"/>
      <c r="P30121" s="3337"/>
    </row>
    <row r="30122" spans="7:16" s="1634" customFormat="1">
      <c r="G30122" s="3336"/>
      <c r="P30122" s="3337"/>
    </row>
    <row r="30123" spans="7:16" s="1634" customFormat="1">
      <c r="G30123" s="3336"/>
      <c r="P30123" s="3337"/>
    </row>
    <row r="30124" spans="7:16" s="1634" customFormat="1">
      <c r="G30124" s="3336"/>
      <c r="P30124" s="3337"/>
    </row>
    <row r="30125" spans="7:16" s="1634" customFormat="1">
      <c r="G30125" s="3336"/>
      <c r="P30125" s="3337"/>
    </row>
    <row r="30126" spans="7:16" s="1634" customFormat="1">
      <c r="G30126" s="3336"/>
      <c r="P30126" s="3337"/>
    </row>
    <row r="30127" spans="7:16" s="1634" customFormat="1">
      <c r="G30127" s="3336"/>
      <c r="P30127" s="3337"/>
    </row>
    <row r="30128" spans="7:16" s="1634" customFormat="1">
      <c r="G30128" s="3336"/>
      <c r="P30128" s="3337"/>
    </row>
    <row r="30129" spans="7:16" s="1634" customFormat="1">
      <c r="G30129" s="3336"/>
      <c r="P30129" s="3337"/>
    </row>
    <row r="30130" spans="7:16" s="1634" customFormat="1">
      <c r="G30130" s="3336"/>
      <c r="P30130" s="3337"/>
    </row>
    <row r="30131" spans="7:16" s="1634" customFormat="1">
      <c r="G30131" s="3336"/>
      <c r="P30131" s="3337"/>
    </row>
    <row r="30132" spans="7:16" s="1634" customFormat="1">
      <c r="G30132" s="3336"/>
      <c r="P30132" s="3337"/>
    </row>
    <row r="30133" spans="7:16" s="1634" customFormat="1">
      <c r="G30133" s="3336"/>
      <c r="P30133" s="3337"/>
    </row>
    <row r="30134" spans="7:16" s="1634" customFormat="1">
      <c r="G30134" s="3336"/>
      <c r="P30134" s="3337"/>
    </row>
    <row r="30135" spans="7:16" s="1634" customFormat="1">
      <c r="G30135" s="3336"/>
      <c r="P30135" s="3337"/>
    </row>
    <row r="30136" spans="7:16" s="1634" customFormat="1">
      <c r="G30136" s="3336"/>
      <c r="P30136" s="3337"/>
    </row>
    <row r="30137" spans="7:16" s="1634" customFormat="1">
      <c r="G30137" s="3336"/>
      <c r="P30137" s="3337"/>
    </row>
    <row r="30138" spans="7:16" s="1634" customFormat="1">
      <c r="G30138" s="3336"/>
      <c r="P30138" s="3337"/>
    </row>
    <row r="30139" spans="7:16" s="1634" customFormat="1">
      <c r="G30139" s="3336"/>
      <c r="P30139" s="3337"/>
    </row>
    <row r="30140" spans="7:16" s="1634" customFormat="1">
      <c r="G30140" s="3336"/>
      <c r="P30140" s="3337"/>
    </row>
    <row r="30141" spans="7:16" s="1634" customFormat="1">
      <c r="G30141" s="3336"/>
      <c r="P30141" s="3337"/>
    </row>
    <row r="30142" spans="7:16" s="1634" customFormat="1">
      <c r="G30142" s="3336"/>
      <c r="P30142" s="3337"/>
    </row>
    <row r="30143" spans="7:16" s="1634" customFormat="1">
      <c r="G30143" s="3336"/>
      <c r="P30143" s="3337"/>
    </row>
    <row r="30144" spans="7:16" s="1634" customFormat="1">
      <c r="G30144" s="3336"/>
      <c r="P30144" s="3337"/>
    </row>
    <row r="30145" spans="7:16" s="1634" customFormat="1">
      <c r="G30145" s="3336"/>
      <c r="P30145" s="3337"/>
    </row>
    <row r="30146" spans="7:16" s="1634" customFormat="1">
      <c r="G30146" s="3336"/>
      <c r="P30146" s="3337"/>
    </row>
    <row r="30147" spans="7:16" s="1634" customFormat="1">
      <c r="G30147" s="3336"/>
      <c r="P30147" s="3337"/>
    </row>
    <row r="30148" spans="7:16" s="1634" customFormat="1">
      <c r="G30148" s="3336"/>
      <c r="P30148" s="3337"/>
    </row>
    <row r="30149" spans="7:16" s="1634" customFormat="1">
      <c r="G30149" s="3336"/>
      <c r="P30149" s="3337"/>
    </row>
    <row r="30150" spans="7:16" s="1634" customFormat="1">
      <c r="G30150" s="3336"/>
      <c r="P30150" s="3337"/>
    </row>
    <row r="30151" spans="7:16" s="1634" customFormat="1">
      <c r="G30151" s="3336"/>
      <c r="P30151" s="3337"/>
    </row>
    <row r="30152" spans="7:16" s="1634" customFormat="1">
      <c r="G30152" s="3336"/>
      <c r="P30152" s="3337"/>
    </row>
    <row r="30153" spans="7:16" s="1634" customFormat="1">
      <c r="G30153" s="3336"/>
      <c r="P30153" s="3337"/>
    </row>
    <row r="30154" spans="7:16" s="1634" customFormat="1">
      <c r="G30154" s="3336"/>
      <c r="P30154" s="3337"/>
    </row>
    <row r="30155" spans="7:16" s="1634" customFormat="1">
      <c r="G30155" s="3336"/>
      <c r="P30155" s="3337"/>
    </row>
    <row r="30156" spans="7:16" s="1634" customFormat="1">
      <c r="G30156" s="3336"/>
      <c r="P30156" s="3337"/>
    </row>
    <row r="30157" spans="7:16" s="1634" customFormat="1">
      <c r="G30157" s="3336"/>
      <c r="P30157" s="3337"/>
    </row>
    <row r="30158" spans="7:16" s="1634" customFormat="1">
      <c r="G30158" s="3336"/>
      <c r="P30158" s="3337"/>
    </row>
    <row r="30159" spans="7:16" s="1634" customFormat="1">
      <c r="G30159" s="3336"/>
      <c r="P30159" s="3337"/>
    </row>
    <row r="30160" spans="7:16" s="1634" customFormat="1">
      <c r="G30160" s="3336"/>
      <c r="P30160" s="3337"/>
    </row>
    <row r="30161" spans="7:16" s="1634" customFormat="1">
      <c r="G30161" s="3336"/>
      <c r="P30161" s="3337"/>
    </row>
    <row r="30162" spans="7:16" s="1634" customFormat="1">
      <c r="G30162" s="3336"/>
      <c r="P30162" s="3337"/>
    </row>
    <row r="30163" spans="7:16" s="1634" customFormat="1">
      <c r="G30163" s="3336"/>
      <c r="P30163" s="3337"/>
    </row>
    <row r="30164" spans="7:16" s="1634" customFormat="1">
      <c r="G30164" s="3336"/>
      <c r="P30164" s="3337"/>
    </row>
    <row r="30165" spans="7:16" s="1634" customFormat="1">
      <c r="G30165" s="3336"/>
      <c r="P30165" s="3337"/>
    </row>
    <row r="30166" spans="7:16" s="1634" customFormat="1">
      <c r="G30166" s="3336"/>
      <c r="P30166" s="3337"/>
    </row>
    <row r="30167" spans="7:16" s="1634" customFormat="1">
      <c r="G30167" s="3336"/>
      <c r="P30167" s="3337"/>
    </row>
    <row r="30168" spans="7:16" s="1634" customFormat="1">
      <c r="G30168" s="3336"/>
      <c r="P30168" s="3337"/>
    </row>
    <row r="30169" spans="7:16" s="1634" customFormat="1">
      <c r="G30169" s="3336"/>
      <c r="P30169" s="3337"/>
    </row>
    <row r="30170" spans="7:16" s="1634" customFormat="1">
      <c r="G30170" s="3336"/>
      <c r="P30170" s="3337"/>
    </row>
    <row r="30171" spans="7:16" s="1634" customFormat="1">
      <c r="G30171" s="3336"/>
      <c r="P30171" s="3337"/>
    </row>
    <row r="30172" spans="7:16" s="1634" customFormat="1">
      <c r="G30172" s="3336"/>
      <c r="P30172" s="3337"/>
    </row>
    <row r="30173" spans="7:16" s="1634" customFormat="1">
      <c r="G30173" s="3336"/>
      <c r="P30173" s="3337"/>
    </row>
    <row r="30174" spans="7:16" s="1634" customFormat="1">
      <c r="G30174" s="3336"/>
      <c r="P30174" s="3337"/>
    </row>
    <row r="30175" spans="7:16" s="1634" customFormat="1">
      <c r="G30175" s="3336"/>
      <c r="P30175" s="3337"/>
    </row>
    <row r="30176" spans="7:16" s="1634" customFormat="1">
      <c r="G30176" s="3336"/>
      <c r="P30176" s="3337"/>
    </row>
    <row r="30177" spans="7:16" s="1634" customFormat="1">
      <c r="G30177" s="3336"/>
      <c r="P30177" s="3337"/>
    </row>
    <row r="30178" spans="7:16" s="1634" customFormat="1">
      <c r="G30178" s="3336"/>
      <c r="P30178" s="3337"/>
    </row>
    <row r="30179" spans="7:16" s="1634" customFormat="1">
      <c r="G30179" s="3336"/>
      <c r="P30179" s="3337"/>
    </row>
    <row r="30180" spans="7:16" s="1634" customFormat="1">
      <c r="G30180" s="3336"/>
      <c r="P30180" s="3337"/>
    </row>
    <row r="30181" spans="7:16" s="1634" customFormat="1">
      <c r="G30181" s="3336"/>
      <c r="P30181" s="3337"/>
    </row>
    <row r="30182" spans="7:16" s="1634" customFormat="1">
      <c r="G30182" s="3336"/>
      <c r="P30182" s="3337"/>
    </row>
    <row r="30183" spans="7:16" s="1634" customFormat="1">
      <c r="G30183" s="3336"/>
      <c r="P30183" s="3337"/>
    </row>
    <row r="30184" spans="7:16" s="1634" customFormat="1">
      <c r="G30184" s="3336"/>
      <c r="P30184" s="3337"/>
    </row>
    <row r="30185" spans="7:16" s="1634" customFormat="1">
      <c r="G30185" s="3336"/>
      <c r="P30185" s="3337"/>
    </row>
    <row r="30186" spans="7:16" s="1634" customFormat="1">
      <c r="G30186" s="3336"/>
      <c r="P30186" s="3337"/>
    </row>
    <row r="30187" spans="7:16" s="1634" customFormat="1">
      <c r="G30187" s="3336"/>
      <c r="P30187" s="3337"/>
    </row>
    <row r="30188" spans="7:16" s="1634" customFormat="1">
      <c r="G30188" s="3336"/>
      <c r="P30188" s="3337"/>
    </row>
    <row r="30189" spans="7:16" s="1634" customFormat="1">
      <c r="G30189" s="3336"/>
      <c r="P30189" s="3337"/>
    </row>
    <row r="30190" spans="7:16" s="1634" customFormat="1">
      <c r="G30190" s="3336"/>
      <c r="P30190" s="3337"/>
    </row>
    <row r="30191" spans="7:16" s="1634" customFormat="1">
      <c r="G30191" s="3336"/>
      <c r="P30191" s="3337"/>
    </row>
    <row r="30192" spans="7:16" s="1634" customFormat="1">
      <c r="G30192" s="3336"/>
      <c r="P30192" s="3337"/>
    </row>
    <row r="30193" spans="7:16" s="1634" customFormat="1">
      <c r="G30193" s="3336"/>
      <c r="P30193" s="3337"/>
    </row>
    <row r="30194" spans="7:16" s="1634" customFormat="1">
      <c r="G30194" s="3336"/>
      <c r="P30194" s="3337"/>
    </row>
    <row r="30195" spans="7:16" s="1634" customFormat="1">
      <c r="G30195" s="3336"/>
      <c r="P30195" s="3337"/>
    </row>
    <row r="30196" spans="7:16" s="1634" customFormat="1">
      <c r="G30196" s="3336"/>
      <c r="P30196" s="3337"/>
    </row>
    <row r="30197" spans="7:16" s="1634" customFormat="1">
      <c r="G30197" s="3336"/>
      <c r="P30197" s="3337"/>
    </row>
    <row r="30198" spans="7:16" s="1634" customFormat="1">
      <c r="G30198" s="3336"/>
      <c r="P30198" s="3337"/>
    </row>
    <row r="30199" spans="7:16" s="1634" customFormat="1">
      <c r="G30199" s="3336"/>
      <c r="P30199" s="3337"/>
    </row>
    <row r="30200" spans="7:16" s="1634" customFormat="1">
      <c r="G30200" s="3336"/>
      <c r="P30200" s="3337"/>
    </row>
    <row r="30201" spans="7:16" s="1634" customFormat="1">
      <c r="G30201" s="3336"/>
      <c r="P30201" s="3337"/>
    </row>
    <row r="30202" spans="7:16" s="1634" customFormat="1">
      <c r="G30202" s="3336"/>
      <c r="P30202" s="3337"/>
    </row>
    <row r="30203" spans="7:16" s="1634" customFormat="1">
      <c r="G30203" s="3336"/>
      <c r="P30203" s="3337"/>
    </row>
    <row r="30204" spans="7:16" s="1634" customFormat="1">
      <c r="G30204" s="3336"/>
      <c r="P30204" s="3337"/>
    </row>
    <row r="30205" spans="7:16" s="1634" customFormat="1">
      <c r="G30205" s="3336"/>
      <c r="P30205" s="3337"/>
    </row>
    <row r="30206" spans="7:16" s="1634" customFormat="1">
      <c r="G30206" s="3336"/>
      <c r="P30206" s="3337"/>
    </row>
    <row r="30207" spans="7:16" s="1634" customFormat="1">
      <c r="G30207" s="3336"/>
      <c r="P30207" s="3337"/>
    </row>
    <row r="30208" spans="7:16" s="1634" customFormat="1">
      <c r="G30208" s="3336"/>
      <c r="P30208" s="3337"/>
    </row>
    <row r="30209" spans="7:16" s="1634" customFormat="1">
      <c r="G30209" s="3336"/>
      <c r="P30209" s="3337"/>
    </row>
    <row r="30210" spans="7:16" s="1634" customFormat="1">
      <c r="G30210" s="3336"/>
      <c r="P30210" s="3337"/>
    </row>
    <row r="30211" spans="7:16" s="1634" customFormat="1">
      <c r="G30211" s="3336"/>
      <c r="P30211" s="3337"/>
    </row>
    <row r="30212" spans="7:16" s="1634" customFormat="1">
      <c r="G30212" s="3336"/>
      <c r="P30212" s="3337"/>
    </row>
    <row r="30213" spans="7:16" s="1634" customFormat="1">
      <c r="G30213" s="3336"/>
      <c r="P30213" s="3337"/>
    </row>
    <row r="30214" spans="7:16" s="1634" customFormat="1">
      <c r="G30214" s="3336"/>
      <c r="P30214" s="3337"/>
    </row>
    <row r="30215" spans="7:16" s="1634" customFormat="1">
      <c r="G30215" s="3336"/>
      <c r="P30215" s="3337"/>
    </row>
    <row r="30216" spans="7:16" s="1634" customFormat="1">
      <c r="G30216" s="3336"/>
      <c r="P30216" s="3337"/>
    </row>
    <row r="30217" spans="7:16" s="1634" customFormat="1">
      <c r="G30217" s="3336"/>
      <c r="P30217" s="3337"/>
    </row>
    <row r="30218" spans="7:16" s="1634" customFormat="1">
      <c r="G30218" s="3336"/>
      <c r="P30218" s="3337"/>
    </row>
    <row r="30219" spans="7:16" s="1634" customFormat="1">
      <c r="G30219" s="3336"/>
      <c r="P30219" s="3337"/>
    </row>
    <row r="30220" spans="7:16" s="1634" customFormat="1">
      <c r="G30220" s="3336"/>
      <c r="P30220" s="3337"/>
    </row>
    <row r="30221" spans="7:16" s="1634" customFormat="1">
      <c r="G30221" s="3336"/>
      <c r="P30221" s="3337"/>
    </row>
    <row r="30222" spans="7:16" s="1634" customFormat="1">
      <c r="G30222" s="3336"/>
      <c r="P30222" s="3337"/>
    </row>
    <row r="30223" spans="7:16" s="1634" customFormat="1">
      <c r="G30223" s="3336"/>
      <c r="P30223" s="3337"/>
    </row>
    <row r="30224" spans="7:16" s="1634" customFormat="1">
      <c r="G30224" s="3336"/>
      <c r="P30224" s="3337"/>
    </row>
    <row r="30225" spans="7:16" s="1634" customFormat="1">
      <c r="G30225" s="3336"/>
      <c r="P30225" s="3337"/>
    </row>
    <row r="30226" spans="7:16" s="1634" customFormat="1">
      <c r="G30226" s="3336"/>
      <c r="P30226" s="3337"/>
    </row>
    <row r="30227" spans="7:16" s="1634" customFormat="1">
      <c r="G30227" s="3336"/>
      <c r="P30227" s="3337"/>
    </row>
    <row r="30228" spans="7:16" s="1634" customFormat="1">
      <c r="G30228" s="3336"/>
      <c r="P30228" s="3337"/>
    </row>
    <row r="30229" spans="7:16" s="1634" customFormat="1">
      <c r="G30229" s="3336"/>
      <c r="P30229" s="3337"/>
    </row>
    <row r="30230" spans="7:16" s="1634" customFormat="1">
      <c r="G30230" s="3336"/>
      <c r="P30230" s="3337"/>
    </row>
    <row r="30231" spans="7:16" s="1634" customFormat="1">
      <c r="G30231" s="3336"/>
      <c r="P30231" s="3337"/>
    </row>
    <row r="30232" spans="7:16" s="1634" customFormat="1">
      <c r="G30232" s="3336"/>
      <c r="P30232" s="3337"/>
    </row>
    <row r="30233" spans="7:16" s="1634" customFormat="1">
      <c r="G30233" s="3336"/>
      <c r="P30233" s="3337"/>
    </row>
    <row r="30234" spans="7:16" s="1634" customFormat="1">
      <c r="G30234" s="3336"/>
      <c r="P30234" s="3337"/>
    </row>
    <row r="30235" spans="7:16" s="1634" customFormat="1">
      <c r="G30235" s="3336"/>
      <c r="P30235" s="3337"/>
    </row>
    <row r="30236" spans="7:16" s="1634" customFormat="1">
      <c r="G30236" s="3336"/>
      <c r="P30236" s="3337"/>
    </row>
    <row r="30237" spans="7:16" s="1634" customFormat="1">
      <c r="G30237" s="3336"/>
      <c r="P30237" s="3337"/>
    </row>
    <row r="30238" spans="7:16" s="1634" customFormat="1">
      <c r="G30238" s="3336"/>
      <c r="P30238" s="3337"/>
    </row>
    <row r="30239" spans="7:16" s="1634" customFormat="1">
      <c r="G30239" s="3336"/>
      <c r="P30239" s="3337"/>
    </row>
    <row r="30240" spans="7:16" s="1634" customFormat="1">
      <c r="G30240" s="3336"/>
      <c r="P30240" s="3337"/>
    </row>
    <row r="30241" spans="7:16" s="1634" customFormat="1">
      <c r="G30241" s="3336"/>
      <c r="P30241" s="3337"/>
    </row>
    <row r="30242" spans="7:16" s="1634" customFormat="1">
      <c r="G30242" s="3336"/>
      <c r="P30242" s="3337"/>
    </row>
    <row r="30243" spans="7:16" s="1634" customFormat="1">
      <c r="G30243" s="3336"/>
      <c r="P30243" s="3337"/>
    </row>
    <row r="30244" spans="7:16" s="1634" customFormat="1">
      <c r="G30244" s="3336"/>
      <c r="P30244" s="3337"/>
    </row>
    <row r="30245" spans="7:16" s="1634" customFormat="1">
      <c r="G30245" s="3336"/>
      <c r="P30245" s="3337"/>
    </row>
    <row r="30246" spans="7:16" s="1634" customFormat="1">
      <c r="G30246" s="3336"/>
      <c r="P30246" s="3337"/>
    </row>
    <row r="30247" spans="7:16" s="1634" customFormat="1">
      <c r="G30247" s="3336"/>
      <c r="P30247" s="3337"/>
    </row>
    <row r="30248" spans="7:16" s="1634" customFormat="1">
      <c r="G30248" s="3336"/>
      <c r="P30248" s="3337"/>
    </row>
    <row r="30249" spans="7:16" s="1634" customFormat="1">
      <c r="G30249" s="3336"/>
      <c r="P30249" s="3337"/>
    </row>
    <row r="30250" spans="7:16" s="1634" customFormat="1">
      <c r="G30250" s="3336"/>
      <c r="P30250" s="3337"/>
    </row>
    <row r="30251" spans="7:16" s="1634" customFormat="1">
      <c r="G30251" s="3336"/>
      <c r="P30251" s="3337"/>
    </row>
    <row r="30252" spans="7:16" s="1634" customFormat="1">
      <c r="G30252" s="3336"/>
      <c r="P30252" s="3337"/>
    </row>
    <row r="30253" spans="7:16" s="1634" customFormat="1">
      <c r="G30253" s="3336"/>
      <c r="P30253" s="3337"/>
    </row>
    <row r="30254" spans="7:16" s="1634" customFormat="1">
      <c r="G30254" s="3336"/>
      <c r="P30254" s="3337"/>
    </row>
    <row r="30255" spans="7:16" s="1634" customFormat="1">
      <c r="G30255" s="3336"/>
      <c r="P30255" s="3337"/>
    </row>
    <row r="30256" spans="7:16" s="1634" customFormat="1">
      <c r="G30256" s="3336"/>
      <c r="P30256" s="3337"/>
    </row>
    <row r="30257" spans="7:16" s="1634" customFormat="1">
      <c r="G30257" s="3336"/>
      <c r="P30257" s="3337"/>
    </row>
    <row r="30258" spans="7:16" s="1634" customFormat="1">
      <c r="G30258" s="3336"/>
      <c r="P30258" s="3337"/>
    </row>
    <row r="30259" spans="7:16" s="1634" customFormat="1">
      <c r="G30259" s="3336"/>
      <c r="P30259" s="3337"/>
    </row>
    <row r="30260" spans="7:16" s="1634" customFormat="1">
      <c r="G30260" s="3336"/>
      <c r="P30260" s="3337"/>
    </row>
    <row r="30261" spans="7:16" s="1634" customFormat="1">
      <c r="G30261" s="3336"/>
      <c r="P30261" s="3337"/>
    </row>
    <row r="30262" spans="7:16" s="1634" customFormat="1">
      <c r="G30262" s="3336"/>
      <c r="P30262" s="3337"/>
    </row>
    <row r="30263" spans="7:16" s="1634" customFormat="1">
      <c r="G30263" s="3336"/>
      <c r="P30263" s="3337"/>
    </row>
    <row r="30264" spans="7:16" s="1634" customFormat="1">
      <c r="G30264" s="3336"/>
      <c r="P30264" s="3337"/>
    </row>
    <row r="30265" spans="7:16" s="1634" customFormat="1">
      <c r="G30265" s="3336"/>
      <c r="P30265" s="3337"/>
    </row>
    <row r="30266" spans="7:16" s="1634" customFormat="1">
      <c r="G30266" s="3336"/>
      <c r="P30266" s="3337"/>
    </row>
    <row r="30267" spans="7:16" s="1634" customFormat="1">
      <c r="G30267" s="3336"/>
      <c r="P30267" s="3337"/>
    </row>
    <row r="30268" spans="7:16" s="1634" customFormat="1">
      <c r="G30268" s="3336"/>
      <c r="P30268" s="3337"/>
    </row>
    <row r="30269" spans="7:16" s="1634" customFormat="1">
      <c r="G30269" s="3336"/>
      <c r="P30269" s="3337"/>
    </row>
    <row r="30270" spans="7:16" s="1634" customFormat="1">
      <c r="G30270" s="3336"/>
      <c r="P30270" s="3337"/>
    </row>
    <row r="30271" spans="7:16" s="1634" customFormat="1">
      <c r="G30271" s="3336"/>
      <c r="P30271" s="3337"/>
    </row>
    <row r="30272" spans="7:16" s="1634" customFormat="1">
      <c r="G30272" s="3336"/>
      <c r="P30272" s="3337"/>
    </row>
    <row r="30273" spans="7:16" s="1634" customFormat="1">
      <c r="G30273" s="3336"/>
      <c r="P30273" s="3337"/>
    </row>
    <row r="30274" spans="7:16" s="1634" customFormat="1">
      <c r="G30274" s="3336"/>
      <c r="P30274" s="3337"/>
    </row>
    <row r="30275" spans="7:16" s="1634" customFormat="1">
      <c r="G30275" s="3336"/>
      <c r="P30275" s="3337"/>
    </row>
    <row r="30276" spans="7:16" s="1634" customFormat="1">
      <c r="G30276" s="3336"/>
      <c r="P30276" s="3337"/>
    </row>
    <row r="30277" spans="7:16" s="1634" customFormat="1">
      <c r="G30277" s="3336"/>
      <c r="P30277" s="3337"/>
    </row>
    <row r="30278" spans="7:16" s="1634" customFormat="1">
      <c r="G30278" s="3336"/>
      <c r="P30278" s="3337"/>
    </row>
    <row r="30279" spans="7:16" s="1634" customFormat="1">
      <c r="G30279" s="3336"/>
      <c r="P30279" s="3337"/>
    </row>
    <row r="30280" spans="7:16" s="1634" customFormat="1">
      <c r="G30280" s="3336"/>
      <c r="P30280" s="3337"/>
    </row>
    <row r="30281" spans="7:16" s="1634" customFormat="1">
      <c r="G30281" s="3336"/>
      <c r="P30281" s="3337"/>
    </row>
    <row r="30282" spans="7:16" s="1634" customFormat="1">
      <c r="G30282" s="3336"/>
      <c r="P30282" s="3337"/>
    </row>
    <row r="30283" spans="7:16" s="1634" customFormat="1">
      <c r="G30283" s="3336"/>
      <c r="P30283" s="3337"/>
    </row>
    <row r="30284" spans="7:16" s="1634" customFormat="1">
      <c r="G30284" s="3336"/>
      <c r="P30284" s="3337"/>
    </row>
    <row r="30285" spans="7:16" s="1634" customFormat="1">
      <c r="G30285" s="3336"/>
      <c r="P30285" s="3337"/>
    </row>
    <row r="30286" spans="7:16" s="1634" customFormat="1">
      <c r="G30286" s="3336"/>
      <c r="P30286" s="3337"/>
    </row>
    <row r="30287" spans="7:16" s="1634" customFormat="1">
      <c r="G30287" s="3336"/>
      <c r="P30287" s="3337"/>
    </row>
    <row r="30288" spans="7:16" s="1634" customFormat="1">
      <c r="G30288" s="3336"/>
      <c r="P30288" s="3337"/>
    </row>
    <row r="30289" spans="7:16" s="1634" customFormat="1">
      <c r="G30289" s="3336"/>
      <c r="P30289" s="3337"/>
    </row>
    <row r="30290" spans="7:16" s="1634" customFormat="1">
      <c r="G30290" s="3336"/>
      <c r="P30290" s="3337"/>
    </row>
    <row r="30291" spans="7:16" s="1634" customFormat="1">
      <c r="G30291" s="3336"/>
      <c r="P30291" s="3337"/>
    </row>
    <row r="30292" spans="7:16" s="1634" customFormat="1">
      <c r="G30292" s="3336"/>
      <c r="P30292" s="3337"/>
    </row>
    <row r="30293" spans="7:16" s="1634" customFormat="1">
      <c r="G30293" s="3336"/>
      <c r="P30293" s="3337"/>
    </row>
    <row r="30294" spans="7:16" s="1634" customFormat="1">
      <c r="G30294" s="3336"/>
      <c r="P30294" s="3337"/>
    </row>
    <row r="30295" spans="7:16" s="1634" customFormat="1">
      <c r="G30295" s="3336"/>
      <c r="P30295" s="3337"/>
    </row>
    <row r="30296" spans="7:16" s="1634" customFormat="1">
      <c r="G30296" s="3336"/>
      <c r="P30296" s="3337"/>
    </row>
    <row r="30297" spans="7:16" s="1634" customFormat="1">
      <c r="G30297" s="3336"/>
      <c r="P30297" s="3337"/>
    </row>
    <row r="30298" spans="7:16" s="1634" customFormat="1">
      <c r="G30298" s="3336"/>
      <c r="P30298" s="3337"/>
    </row>
    <row r="30299" spans="7:16" s="1634" customFormat="1">
      <c r="G30299" s="3336"/>
      <c r="P30299" s="3337"/>
    </row>
    <row r="30300" spans="7:16" s="1634" customFormat="1">
      <c r="G30300" s="3336"/>
      <c r="P30300" s="3337"/>
    </row>
    <row r="30301" spans="7:16" s="1634" customFormat="1">
      <c r="G30301" s="3336"/>
      <c r="P30301" s="3337"/>
    </row>
    <row r="30302" spans="7:16" s="1634" customFormat="1">
      <c r="G30302" s="3336"/>
      <c r="P30302" s="3337"/>
    </row>
    <row r="30303" spans="7:16" s="1634" customFormat="1">
      <c r="G30303" s="3336"/>
      <c r="P30303" s="3337"/>
    </row>
    <row r="30304" spans="7:16" s="1634" customFormat="1">
      <c r="G30304" s="3336"/>
      <c r="P30304" s="3337"/>
    </row>
    <row r="30305" spans="7:16" s="1634" customFormat="1">
      <c r="G30305" s="3336"/>
      <c r="P30305" s="3337"/>
    </row>
    <row r="30306" spans="7:16" s="1634" customFormat="1">
      <c r="G30306" s="3336"/>
      <c r="P30306" s="3337"/>
    </row>
    <row r="30307" spans="7:16" s="1634" customFormat="1">
      <c r="G30307" s="3336"/>
      <c r="P30307" s="3337"/>
    </row>
    <row r="30308" spans="7:16" s="1634" customFormat="1">
      <c r="G30308" s="3336"/>
      <c r="P30308" s="3337"/>
    </row>
    <row r="30309" spans="7:16" s="1634" customFormat="1">
      <c r="G30309" s="3336"/>
      <c r="P30309" s="3337"/>
    </row>
    <row r="30310" spans="7:16" s="1634" customFormat="1">
      <c r="G30310" s="3336"/>
      <c r="P30310" s="3337"/>
    </row>
    <row r="30311" spans="7:16" s="1634" customFormat="1">
      <c r="G30311" s="3336"/>
      <c r="P30311" s="3337"/>
    </row>
    <row r="30312" spans="7:16" s="1634" customFormat="1">
      <c r="G30312" s="3336"/>
      <c r="P30312" s="3337"/>
    </row>
    <row r="30313" spans="7:16" s="1634" customFormat="1">
      <c r="G30313" s="3336"/>
      <c r="P30313" s="3337"/>
    </row>
    <row r="30314" spans="7:16" s="1634" customFormat="1">
      <c r="G30314" s="3336"/>
      <c r="P30314" s="3337"/>
    </row>
    <row r="30315" spans="7:16" s="1634" customFormat="1">
      <c r="G30315" s="3336"/>
      <c r="P30315" s="3337"/>
    </row>
    <row r="30316" spans="7:16" s="1634" customFormat="1">
      <c r="G30316" s="3336"/>
      <c r="P30316" s="3337"/>
    </row>
    <row r="30317" spans="7:16" s="1634" customFormat="1">
      <c r="G30317" s="3336"/>
      <c r="P30317" s="3337"/>
    </row>
    <row r="30318" spans="7:16" s="1634" customFormat="1">
      <c r="G30318" s="3336"/>
      <c r="P30318" s="3337"/>
    </row>
    <row r="30319" spans="7:16" s="1634" customFormat="1">
      <c r="G30319" s="3336"/>
      <c r="P30319" s="3337"/>
    </row>
    <row r="30320" spans="7:16" s="1634" customFormat="1">
      <c r="G30320" s="3336"/>
      <c r="P30320" s="3337"/>
    </row>
    <row r="30321" spans="7:16" s="1634" customFormat="1">
      <c r="G30321" s="3336"/>
      <c r="P30321" s="3337"/>
    </row>
    <row r="30322" spans="7:16" s="1634" customFormat="1">
      <c r="G30322" s="3336"/>
      <c r="P30322" s="3337"/>
    </row>
    <row r="30323" spans="7:16" s="1634" customFormat="1">
      <c r="G30323" s="3336"/>
      <c r="P30323" s="3337"/>
    </row>
    <row r="30324" spans="7:16" s="1634" customFormat="1">
      <c r="G30324" s="3336"/>
      <c r="P30324" s="3337"/>
    </row>
    <row r="30325" spans="7:16" s="1634" customFormat="1">
      <c r="G30325" s="3336"/>
      <c r="P30325" s="3337"/>
    </row>
    <row r="30326" spans="7:16" s="1634" customFormat="1">
      <c r="G30326" s="3336"/>
      <c r="P30326" s="3337"/>
    </row>
    <row r="30327" spans="7:16" s="1634" customFormat="1">
      <c r="G30327" s="3336"/>
      <c r="P30327" s="3337"/>
    </row>
    <row r="30328" spans="7:16" s="1634" customFormat="1">
      <c r="G30328" s="3336"/>
      <c r="P30328" s="3337"/>
    </row>
    <row r="30329" spans="7:16" s="1634" customFormat="1">
      <c r="G30329" s="3336"/>
      <c r="P30329" s="3337"/>
    </row>
    <row r="30330" spans="7:16" s="1634" customFormat="1">
      <c r="G30330" s="3336"/>
      <c r="P30330" s="3337"/>
    </row>
    <row r="30331" spans="7:16" s="1634" customFormat="1">
      <c r="G30331" s="3336"/>
      <c r="P30331" s="3337"/>
    </row>
    <row r="30332" spans="7:16" s="1634" customFormat="1">
      <c r="G30332" s="3336"/>
      <c r="P30332" s="3337"/>
    </row>
    <row r="30333" spans="7:16" s="1634" customFormat="1">
      <c r="G30333" s="3336"/>
      <c r="P30333" s="3337"/>
    </row>
    <row r="30334" spans="7:16" s="1634" customFormat="1">
      <c r="G30334" s="3336"/>
      <c r="P30334" s="3337"/>
    </row>
    <row r="30335" spans="7:16" s="1634" customFormat="1">
      <c r="G30335" s="3336"/>
      <c r="P30335" s="3337"/>
    </row>
    <row r="30336" spans="7:16" s="1634" customFormat="1">
      <c r="G30336" s="3336"/>
      <c r="P30336" s="3337"/>
    </row>
    <row r="30337" spans="7:16" s="1634" customFormat="1">
      <c r="G30337" s="3336"/>
      <c r="P30337" s="3337"/>
    </row>
    <row r="30338" spans="7:16" s="1634" customFormat="1">
      <c r="G30338" s="3336"/>
      <c r="P30338" s="3337"/>
    </row>
    <row r="30339" spans="7:16" s="1634" customFormat="1">
      <c r="G30339" s="3336"/>
      <c r="P30339" s="3337"/>
    </row>
    <row r="30340" spans="7:16" s="1634" customFormat="1">
      <c r="G30340" s="3336"/>
      <c r="P30340" s="3337"/>
    </row>
    <row r="30341" spans="7:16" s="1634" customFormat="1">
      <c r="G30341" s="3336"/>
      <c r="P30341" s="3337"/>
    </row>
    <row r="30342" spans="7:16" s="1634" customFormat="1">
      <c r="G30342" s="3336"/>
      <c r="P30342" s="3337"/>
    </row>
    <row r="30343" spans="7:16" s="1634" customFormat="1">
      <c r="G30343" s="3336"/>
      <c r="P30343" s="3337"/>
    </row>
    <row r="30344" spans="7:16" s="1634" customFormat="1">
      <c r="G30344" s="3336"/>
      <c r="P30344" s="3337"/>
    </row>
    <row r="30345" spans="7:16" s="1634" customFormat="1">
      <c r="G30345" s="3336"/>
      <c r="P30345" s="3337"/>
    </row>
    <row r="30346" spans="7:16" s="1634" customFormat="1">
      <c r="G30346" s="3336"/>
      <c r="P30346" s="3337"/>
    </row>
    <row r="30347" spans="7:16" s="1634" customFormat="1">
      <c r="G30347" s="3336"/>
      <c r="P30347" s="3337"/>
    </row>
    <row r="30348" spans="7:16" s="1634" customFormat="1">
      <c r="G30348" s="3336"/>
      <c r="P30348" s="3337"/>
    </row>
    <row r="30349" spans="7:16" s="1634" customFormat="1">
      <c r="G30349" s="3336"/>
      <c r="P30349" s="3337"/>
    </row>
    <row r="30350" spans="7:16" s="1634" customFormat="1">
      <c r="G30350" s="3336"/>
      <c r="P30350" s="3337"/>
    </row>
    <row r="30351" spans="7:16" s="1634" customFormat="1">
      <c r="G30351" s="3336"/>
      <c r="P30351" s="3337"/>
    </row>
    <row r="30352" spans="7:16" s="1634" customFormat="1">
      <c r="G30352" s="3336"/>
      <c r="P30352" s="3337"/>
    </row>
    <row r="30353" spans="7:16" s="1634" customFormat="1">
      <c r="G30353" s="3336"/>
      <c r="P30353" s="3337"/>
    </row>
    <row r="30354" spans="7:16" s="1634" customFormat="1">
      <c r="G30354" s="3336"/>
      <c r="P30354" s="3337"/>
    </row>
    <row r="30355" spans="7:16" s="1634" customFormat="1">
      <c r="G30355" s="3336"/>
      <c r="P30355" s="3337"/>
    </row>
    <row r="30356" spans="7:16" s="1634" customFormat="1">
      <c r="G30356" s="3336"/>
      <c r="P30356" s="3337"/>
    </row>
    <row r="30357" spans="7:16" s="1634" customFormat="1">
      <c r="G30357" s="3336"/>
      <c r="P30357" s="3337"/>
    </row>
    <row r="30358" spans="7:16" s="1634" customFormat="1">
      <c r="G30358" s="3336"/>
      <c r="P30358" s="3337"/>
    </row>
    <row r="30359" spans="7:16" s="1634" customFormat="1">
      <c r="G30359" s="3336"/>
      <c r="P30359" s="3337"/>
    </row>
    <row r="30360" spans="7:16" s="1634" customFormat="1">
      <c r="G30360" s="3336"/>
      <c r="P30360" s="3337"/>
    </row>
    <row r="30361" spans="7:16" s="1634" customFormat="1">
      <c r="G30361" s="3336"/>
      <c r="P30361" s="3337"/>
    </row>
    <row r="30362" spans="7:16" s="1634" customFormat="1">
      <c r="G30362" s="3336"/>
      <c r="P30362" s="3337"/>
    </row>
    <row r="30363" spans="7:16" s="1634" customFormat="1">
      <c r="G30363" s="3336"/>
      <c r="P30363" s="3337"/>
    </row>
    <row r="30364" spans="7:16" s="1634" customFormat="1">
      <c r="G30364" s="3336"/>
      <c r="P30364" s="3337"/>
    </row>
    <row r="30365" spans="7:16" s="1634" customFormat="1">
      <c r="G30365" s="3336"/>
      <c r="P30365" s="3337"/>
    </row>
    <row r="30366" spans="7:16" s="1634" customFormat="1">
      <c r="G30366" s="3336"/>
      <c r="P30366" s="3337"/>
    </row>
    <row r="30367" spans="7:16" s="1634" customFormat="1">
      <c r="G30367" s="3336"/>
      <c r="P30367" s="3337"/>
    </row>
    <row r="30368" spans="7:16" s="1634" customFormat="1">
      <c r="G30368" s="3336"/>
      <c r="P30368" s="3337"/>
    </row>
    <row r="30369" spans="7:16" s="1634" customFormat="1">
      <c r="G30369" s="3336"/>
      <c r="P30369" s="3337"/>
    </row>
    <row r="30370" spans="7:16" s="1634" customFormat="1">
      <c r="G30370" s="3336"/>
      <c r="P30370" s="3337"/>
    </row>
    <row r="30371" spans="7:16" s="1634" customFormat="1">
      <c r="G30371" s="3336"/>
      <c r="P30371" s="3337"/>
    </row>
    <row r="30372" spans="7:16" s="1634" customFormat="1">
      <c r="G30372" s="3336"/>
      <c r="P30372" s="3337"/>
    </row>
    <row r="30373" spans="7:16" s="1634" customFormat="1">
      <c r="G30373" s="3336"/>
      <c r="P30373" s="3337"/>
    </row>
    <row r="30374" spans="7:16" s="1634" customFormat="1">
      <c r="G30374" s="3336"/>
      <c r="P30374" s="3337"/>
    </row>
    <row r="30375" spans="7:16" s="1634" customFormat="1">
      <c r="G30375" s="3336"/>
      <c r="P30375" s="3337"/>
    </row>
    <row r="30376" spans="7:16" s="1634" customFormat="1">
      <c r="G30376" s="3336"/>
      <c r="P30376" s="3337"/>
    </row>
    <row r="30377" spans="7:16" s="1634" customFormat="1">
      <c r="G30377" s="3336"/>
      <c r="P30377" s="3337"/>
    </row>
    <row r="30378" spans="7:16" s="1634" customFormat="1">
      <c r="G30378" s="3336"/>
      <c r="P30378" s="3337"/>
    </row>
    <row r="30379" spans="7:16" s="1634" customFormat="1">
      <c r="G30379" s="3336"/>
      <c r="P30379" s="3337"/>
    </row>
    <row r="30380" spans="7:16" s="1634" customFormat="1">
      <c r="G30380" s="3336"/>
      <c r="P30380" s="3337"/>
    </row>
    <row r="30381" spans="7:16" s="1634" customFormat="1">
      <c r="G30381" s="3336"/>
      <c r="P30381" s="3337"/>
    </row>
    <row r="30382" spans="7:16" s="1634" customFormat="1">
      <c r="G30382" s="3336"/>
      <c r="P30382" s="3337"/>
    </row>
    <row r="30383" spans="7:16" s="1634" customFormat="1">
      <c r="G30383" s="3336"/>
      <c r="P30383" s="3337"/>
    </row>
    <row r="30384" spans="7:16" s="1634" customFormat="1">
      <c r="G30384" s="3336"/>
      <c r="P30384" s="3337"/>
    </row>
    <row r="30385" spans="7:16" s="1634" customFormat="1">
      <c r="G30385" s="3336"/>
      <c r="P30385" s="3337"/>
    </row>
    <row r="30386" spans="7:16" s="1634" customFormat="1">
      <c r="G30386" s="3336"/>
      <c r="P30386" s="3337"/>
    </row>
    <row r="30387" spans="7:16" s="1634" customFormat="1">
      <c r="G30387" s="3336"/>
      <c r="P30387" s="3337"/>
    </row>
    <row r="30388" spans="7:16" s="1634" customFormat="1">
      <c r="G30388" s="3336"/>
      <c r="P30388" s="3337"/>
    </row>
    <row r="30389" spans="7:16" s="1634" customFormat="1">
      <c r="G30389" s="3336"/>
      <c r="P30389" s="3337"/>
    </row>
    <row r="30390" spans="7:16" s="1634" customFormat="1">
      <c r="G30390" s="3336"/>
      <c r="P30390" s="3337"/>
    </row>
    <row r="30391" spans="7:16" s="1634" customFormat="1">
      <c r="G30391" s="3336"/>
      <c r="P30391" s="3337"/>
    </row>
    <row r="30392" spans="7:16" s="1634" customFormat="1">
      <c r="G30392" s="3336"/>
      <c r="P30392" s="3337"/>
    </row>
    <row r="30393" spans="7:16" s="1634" customFormat="1">
      <c r="G30393" s="3336"/>
      <c r="P30393" s="3337"/>
    </row>
    <row r="30394" spans="7:16" s="1634" customFormat="1">
      <c r="G30394" s="3336"/>
      <c r="P30394" s="3337"/>
    </row>
    <row r="30395" spans="7:16" s="1634" customFormat="1">
      <c r="G30395" s="3336"/>
      <c r="P30395" s="3337"/>
    </row>
    <row r="30396" spans="7:16" s="1634" customFormat="1">
      <c r="G30396" s="3336"/>
      <c r="P30396" s="3337"/>
    </row>
    <row r="30397" spans="7:16" s="1634" customFormat="1">
      <c r="G30397" s="3336"/>
      <c r="P30397" s="3337"/>
    </row>
    <row r="30398" spans="7:16" s="1634" customFormat="1">
      <c r="G30398" s="3336"/>
      <c r="P30398" s="3337"/>
    </row>
    <row r="30399" spans="7:16" s="1634" customFormat="1">
      <c r="G30399" s="3336"/>
      <c r="P30399" s="3337"/>
    </row>
    <row r="30400" spans="7:16" s="1634" customFormat="1">
      <c r="G30400" s="3336"/>
      <c r="P30400" s="3337"/>
    </row>
    <row r="30401" spans="7:16" s="1634" customFormat="1">
      <c r="G30401" s="3336"/>
      <c r="P30401" s="3337"/>
    </row>
    <row r="30402" spans="7:16" s="1634" customFormat="1">
      <c r="G30402" s="3336"/>
      <c r="P30402" s="3337"/>
    </row>
    <row r="30403" spans="7:16" s="1634" customFormat="1">
      <c r="G30403" s="3336"/>
      <c r="P30403" s="3337"/>
    </row>
    <row r="30404" spans="7:16" s="1634" customFormat="1">
      <c r="G30404" s="3336"/>
      <c r="P30404" s="3337"/>
    </row>
    <row r="30405" spans="7:16" s="1634" customFormat="1">
      <c r="G30405" s="3336"/>
      <c r="P30405" s="3337"/>
    </row>
    <row r="30406" spans="7:16" s="1634" customFormat="1">
      <c r="G30406" s="3336"/>
      <c r="P30406" s="3337"/>
    </row>
    <row r="30407" spans="7:16" s="1634" customFormat="1">
      <c r="G30407" s="3336"/>
      <c r="P30407" s="3337"/>
    </row>
    <row r="30408" spans="7:16" s="1634" customFormat="1">
      <c r="G30408" s="3336"/>
      <c r="P30408" s="3337"/>
    </row>
    <row r="30409" spans="7:16" s="1634" customFormat="1">
      <c r="G30409" s="3336"/>
      <c r="P30409" s="3337"/>
    </row>
    <row r="30410" spans="7:16" s="1634" customFormat="1">
      <c r="G30410" s="3336"/>
      <c r="P30410" s="3337"/>
    </row>
    <row r="30411" spans="7:16" s="1634" customFormat="1">
      <c r="G30411" s="3336"/>
      <c r="P30411" s="3337"/>
    </row>
    <row r="30412" spans="7:16" s="1634" customFormat="1">
      <c r="G30412" s="3336"/>
      <c r="P30412" s="3337"/>
    </row>
    <row r="30413" spans="7:16" s="1634" customFormat="1">
      <c r="G30413" s="3336"/>
      <c r="P30413" s="3337"/>
    </row>
    <row r="30414" spans="7:16" s="1634" customFormat="1">
      <c r="G30414" s="3336"/>
      <c r="P30414" s="3337"/>
    </row>
    <row r="30415" spans="7:16" s="1634" customFormat="1">
      <c r="G30415" s="3336"/>
      <c r="P30415" s="3337"/>
    </row>
    <row r="30416" spans="7:16" s="1634" customFormat="1">
      <c r="G30416" s="3336"/>
      <c r="P30416" s="3337"/>
    </row>
    <row r="30417" spans="7:16" s="1634" customFormat="1">
      <c r="G30417" s="3336"/>
      <c r="P30417" s="3337"/>
    </row>
    <row r="30418" spans="7:16" s="1634" customFormat="1">
      <c r="G30418" s="3336"/>
      <c r="P30418" s="3337"/>
    </row>
    <row r="30419" spans="7:16" s="1634" customFormat="1">
      <c r="G30419" s="3336"/>
      <c r="P30419" s="3337"/>
    </row>
    <row r="30420" spans="7:16" s="1634" customFormat="1">
      <c r="G30420" s="3336"/>
      <c r="P30420" s="3337"/>
    </row>
    <row r="30421" spans="7:16" s="1634" customFormat="1">
      <c r="G30421" s="3336"/>
      <c r="P30421" s="3337"/>
    </row>
    <row r="30422" spans="7:16" s="1634" customFormat="1">
      <c r="G30422" s="3336"/>
      <c r="P30422" s="3337"/>
    </row>
    <row r="30423" spans="7:16" s="1634" customFormat="1">
      <c r="G30423" s="3336"/>
      <c r="P30423" s="3337"/>
    </row>
    <row r="30424" spans="7:16" s="1634" customFormat="1">
      <c r="G30424" s="3336"/>
      <c r="P30424" s="3337"/>
    </row>
    <row r="30425" spans="7:16" s="1634" customFormat="1">
      <c r="G30425" s="3336"/>
      <c r="P30425" s="3337"/>
    </row>
    <row r="30426" spans="7:16" s="1634" customFormat="1">
      <c r="G30426" s="3336"/>
      <c r="P30426" s="3337"/>
    </row>
    <row r="30427" spans="7:16" s="1634" customFormat="1">
      <c r="G30427" s="3336"/>
      <c r="P30427" s="3337"/>
    </row>
    <row r="30428" spans="7:16" s="1634" customFormat="1">
      <c r="G30428" s="3336"/>
      <c r="P30428" s="3337"/>
    </row>
    <row r="30429" spans="7:16" s="1634" customFormat="1">
      <c r="G30429" s="3336"/>
      <c r="P30429" s="3337"/>
    </row>
    <row r="30430" spans="7:16" s="1634" customFormat="1">
      <c r="G30430" s="3336"/>
      <c r="P30430" s="3337"/>
    </row>
    <row r="30431" spans="7:16" s="1634" customFormat="1">
      <c r="G30431" s="3336"/>
      <c r="P30431" s="3337"/>
    </row>
    <row r="30432" spans="7:16" s="1634" customFormat="1">
      <c r="G30432" s="3336"/>
      <c r="P30432" s="3337"/>
    </row>
    <row r="30433" spans="7:16" s="1634" customFormat="1">
      <c r="G30433" s="3336"/>
      <c r="P30433" s="3337"/>
    </row>
    <row r="30434" spans="7:16" s="1634" customFormat="1">
      <c r="G30434" s="3336"/>
      <c r="P30434" s="3337"/>
    </row>
    <row r="30435" spans="7:16" s="1634" customFormat="1">
      <c r="G30435" s="3336"/>
      <c r="P30435" s="3337"/>
    </row>
    <row r="30436" spans="7:16" s="1634" customFormat="1">
      <c r="G30436" s="3336"/>
      <c r="P30436" s="3337"/>
    </row>
    <row r="30437" spans="7:16" s="1634" customFormat="1">
      <c r="G30437" s="3336"/>
      <c r="P30437" s="3337"/>
    </row>
    <row r="30438" spans="7:16" s="1634" customFormat="1">
      <c r="G30438" s="3336"/>
      <c r="P30438" s="3337"/>
    </row>
    <row r="30439" spans="7:16" s="1634" customFormat="1">
      <c r="G30439" s="3336"/>
      <c r="P30439" s="3337"/>
    </row>
    <row r="30440" spans="7:16" s="1634" customFormat="1">
      <c r="G30440" s="3336"/>
      <c r="P30440" s="3337"/>
    </row>
    <row r="30441" spans="7:16" s="1634" customFormat="1">
      <c r="G30441" s="3336"/>
      <c r="P30441" s="3337"/>
    </row>
    <row r="30442" spans="7:16" s="1634" customFormat="1">
      <c r="G30442" s="3336"/>
      <c r="P30442" s="3337"/>
    </row>
    <row r="30443" spans="7:16" s="1634" customFormat="1">
      <c r="G30443" s="3336"/>
      <c r="P30443" s="3337"/>
    </row>
    <row r="30444" spans="7:16" s="1634" customFormat="1">
      <c r="G30444" s="3336"/>
      <c r="P30444" s="3337"/>
    </row>
    <row r="30445" spans="7:16" s="1634" customFormat="1">
      <c r="G30445" s="3336"/>
      <c r="P30445" s="3337"/>
    </row>
    <row r="30446" spans="7:16" s="1634" customFormat="1">
      <c r="G30446" s="3336"/>
      <c r="P30446" s="3337"/>
    </row>
    <row r="30447" spans="7:16" s="1634" customFormat="1">
      <c r="G30447" s="3336"/>
      <c r="P30447" s="3337"/>
    </row>
    <row r="30448" spans="7:16" s="1634" customFormat="1">
      <c r="G30448" s="3336"/>
      <c r="P30448" s="3337"/>
    </row>
    <row r="30449" spans="7:16" s="1634" customFormat="1">
      <c r="G30449" s="3336"/>
      <c r="P30449" s="3337"/>
    </row>
    <row r="30450" spans="7:16" s="1634" customFormat="1">
      <c r="G30450" s="3336"/>
      <c r="P30450" s="3337"/>
    </row>
    <row r="30451" spans="7:16" s="1634" customFormat="1">
      <c r="G30451" s="3336"/>
      <c r="P30451" s="3337"/>
    </row>
    <row r="30452" spans="7:16" s="1634" customFormat="1">
      <c r="G30452" s="3336"/>
      <c r="P30452" s="3337"/>
    </row>
    <row r="30453" spans="7:16" s="1634" customFormat="1">
      <c r="G30453" s="3336"/>
      <c r="P30453" s="3337"/>
    </row>
    <row r="30454" spans="7:16" s="1634" customFormat="1">
      <c r="G30454" s="3336"/>
      <c r="P30454" s="3337"/>
    </row>
    <row r="30455" spans="7:16" s="1634" customFormat="1">
      <c r="G30455" s="3336"/>
      <c r="P30455" s="3337"/>
    </row>
    <row r="30456" spans="7:16" s="1634" customFormat="1">
      <c r="G30456" s="3336"/>
      <c r="P30456" s="3337"/>
    </row>
    <row r="30457" spans="7:16" s="1634" customFormat="1">
      <c r="G30457" s="3336"/>
      <c r="P30457" s="3337"/>
    </row>
    <row r="30458" spans="7:16" s="1634" customFormat="1">
      <c r="G30458" s="3336"/>
      <c r="P30458" s="3337"/>
    </row>
    <row r="30459" spans="7:16" s="1634" customFormat="1">
      <c r="G30459" s="3336"/>
      <c r="P30459" s="3337"/>
    </row>
    <row r="30460" spans="7:16" s="1634" customFormat="1">
      <c r="G30460" s="3336"/>
      <c r="P30460" s="3337"/>
    </row>
    <row r="30461" spans="7:16" s="1634" customFormat="1">
      <c r="G30461" s="3336"/>
      <c r="P30461" s="3337"/>
    </row>
    <row r="30462" spans="7:16" s="1634" customFormat="1">
      <c r="G30462" s="3336"/>
      <c r="P30462" s="3337"/>
    </row>
    <row r="30463" spans="7:16" s="1634" customFormat="1">
      <c r="G30463" s="3336"/>
      <c r="P30463" s="3337"/>
    </row>
    <row r="30464" spans="7:16" s="1634" customFormat="1">
      <c r="G30464" s="3336"/>
      <c r="P30464" s="3337"/>
    </row>
    <row r="30465" spans="7:16" s="1634" customFormat="1">
      <c r="G30465" s="3336"/>
      <c r="P30465" s="3337"/>
    </row>
    <row r="30466" spans="7:16" s="1634" customFormat="1">
      <c r="G30466" s="3336"/>
      <c r="P30466" s="3337"/>
    </row>
    <row r="30467" spans="7:16" s="1634" customFormat="1">
      <c r="G30467" s="3336"/>
      <c r="P30467" s="3337"/>
    </row>
    <row r="30468" spans="7:16" s="1634" customFormat="1">
      <c r="G30468" s="3336"/>
      <c r="P30468" s="3337"/>
    </row>
    <row r="30469" spans="7:16" s="1634" customFormat="1">
      <c r="G30469" s="3336"/>
      <c r="P30469" s="3337"/>
    </row>
    <row r="30470" spans="7:16" s="1634" customFormat="1">
      <c r="G30470" s="3336"/>
      <c r="P30470" s="3337"/>
    </row>
    <row r="30471" spans="7:16" s="1634" customFormat="1">
      <c r="G30471" s="3336"/>
      <c r="P30471" s="3337"/>
    </row>
    <row r="30472" spans="7:16" s="1634" customFormat="1">
      <c r="G30472" s="3336"/>
      <c r="P30472" s="3337"/>
    </row>
    <row r="30473" spans="7:16" s="1634" customFormat="1">
      <c r="G30473" s="3336"/>
      <c r="P30473" s="3337"/>
    </row>
    <row r="30474" spans="7:16" s="1634" customFormat="1">
      <c r="G30474" s="3336"/>
      <c r="P30474" s="3337"/>
    </row>
    <row r="30475" spans="7:16" s="1634" customFormat="1">
      <c r="G30475" s="3336"/>
      <c r="P30475" s="3337"/>
    </row>
    <row r="30476" spans="7:16" s="1634" customFormat="1">
      <c r="G30476" s="3336"/>
      <c r="P30476" s="3337"/>
    </row>
    <row r="30477" spans="7:16" s="1634" customFormat="1">
      <c r="G30477" s="3336"/>
      <c r="P30477" s="3337"/>
    </row>
    <row r="30478" spans="7:16" s="1634" customFormat="1">
      <c r="G30478" s="3336"/>
      <c r="P30478" s="3337"/>
    </row>
    <row r="30479" spans="7:16" s="1634" customFormat="1">
      <c r="G30479" s="3336"/>
      <c r="P30479" s="3337"/>
    </row>
    <row r="30480" spans="7:16" s="1634" customFormat="1">
      <c r="G30480" s="3336"/>
      <c r="P30480" s="3337"/>
    </row>
    <row r="30481" spans="7:16" s="1634" customFormat="1">
      <c r="G30481" s="3336"/>
      <c r="P30481" s="3337"/>
    </row>
    <row r="30482" spans="7:16" s="1634" customFormat="1">
      <c r="G30482" s="3336"/>
      <c r="P30482" s="3337"/>
    </row>
    <row r="30483" spans="7:16" s="1634" customFormat="1">
      <c r="G30483" s="3336"/>
      <c r="P30483" s="3337"/>
    </row>
    <row r="30484" spans="7:16" s="1634" customFormat="1">
      <c r="G30484" s="3336"/>
      <c r="P30484" s="3337"/>
    </row>
    <row r="30485" spans="7:16" s="1634" customFormat="1">
      <c r="G30485" s="3336"/>
      <c r="P30485" s="3337"/>
    </row>
    <row r="30486" spans="7:16" s="1634" customFormat="1">
      <c r="G30486" s="3336"/>
      <c r="P30486" s="3337"/>
    </row>
    <row r="30487" spans="7:16" s="1634" customFormat="1">
      <c r="G30487" s="3336"/>
      <c r="P30487" s="3337"/>
    </row>
    <row r="30488" spans="7:16" s="1634" customFormat="1">
      <c r="G30488" s="3336"/>
      <c r="P30488" s="3337"/>
    </row>
    <row r="30489" spans="7:16" s="1634" customFormat="1">
      <c r="G30489" s="3336"/>
      <c r="P30489" s="3337"/>
    </row>
    <row r="30490" spans="7:16" s="1634" customFormat="1">
      <c r="G30490" s="3336"/>
      <c r="P30490" s="3337"/>
    </row>
    <row r="30491" spans="7:16" s="1634" customFormat="1">
      <c r="G30491" s="3336"/>
      <c r="P30491" s="3337"/>
    </row>
    <row r="30492" spans="7:16" s="1634" customFormat="1">
      <c r="G30492" s="3336"/>
      <c r="P30492" s="3337"/>
    </row>
    <row r="30493" spans="7:16" s="1634" customFormat="1">
      <c r="G30493" s="3336"/>
      <c r="P30493" s="3337"/>
    </row>
    <row r="30494" spans="7:16" s="1634" customFormat="1">
      <c r="G30494" s="3336"/>
      <c r="P30494" s="3337"/>
    </row>
    <row r="30495" spans="7:16" s="1634" customFormat="1">
      <c r="G30495" s="3336"/>
      <c r="P30495" s="3337"/>
    </row>
    <row r="30496" spans="7:16" s="1634" customFormat="1">
      <c r="G30496" s="3336"/>
      <c r="P30496" s="3337"/>
    </row>
    <row r="30497" spans="7:16" s="1634" customFormat="1">
      <c r="G30497" s="3336"/>
      <c r="P30497" s="3337"/>
    </row>
    <row r="30498" spans="7:16" s="1634" customFormat="1">
      <c r="G30498" s="3336"/>
      <c r="P30498" s="3337"/>
    </row>
    <row r="30499" spans="7:16" s="1634" customFormat="1">
      <c r="G30499" s="3336"/>
      <c r="P30499" s="3337"/>
    </row>
    <row r="30500" spans="7:16" s="1634" customFormat="1">
      <c r="G30500" s="3336"/>
      <c r="P30500" s="3337"/>
    </row>
    <row r="30501" spans="7:16" s="1634" customFormat="1">
      <c r="G30501" s="3336"/>
      <c r="P30501" s="3337"/>
    </row>
    <row r="30502" spans="7:16" s="1634" customFormat="1">
      <c r="G30502" s="3336"/>
      <c r="P30502" s="3337"/>
    </row>
    <row r="30503" spans="7:16" s="1634" customFormat="1">
      <c r="G30503" s="3336"/>
      <c r="P30503" s="3337"/>
    </row>
    <row r="30504" spans="7:16" s="1634" customFormat="1">
      <c r="G30504" s="3336"/>
      <c r="P30504" s="3337"/>
    </row>
    <row r="30505" spans="7:16" s="1634" customFormat="1">
      <c r="G30505" s="3336"/>
      <c r="P30505" s="3337"/>
    </row>
    <row r="30506" spans="7:16" s="1634" customFormat="1">
      <c r="G30506" s="3336"/>
      <c r="P30506" s="3337"/>
    </row>
    <row r="30507" spans="7:16" s="1634" customFormat="1">
      <c r="G30507" s="3336"/>
      <c r="P30507" s="3337"/>
    </row>
    <row r="30508" spans="7:16" s="1634" customFormat="1">
      <c r="G30508" s="3336"/>
      <c r="P30508" s="3337"/>
    </row>
    <row r="30509" spans="7:16" s="1634" customFormat="1">
      <c r="G30509" s="3336"/>
      <c r="P30509" s="3337"/>
    </row>
    <row r="30510" spans="7:16" s="1634" customFormat="1">
      <c r="G30510" s="3336"/>
      <c r="P30510" s="3337"/>
    </row>
    <row r="30511" spans="7:16" s="1634" customFormat="1">
      <c r="G30511" s="3336"/>
      <c r="P30511" s="3337"/>
    </row>
    <row r="30512" spans="7:16" s="1634" customFormat="1">
      <c r="G30512" s="3336"/>
      <c r="P30512" s="3337"/>
    </row>
    <row r="30513" spans="7:16" s="1634" customFormat="1">
      <c r="G30513" s="3336"/>
      <c r="P30513" s="3337"/>
    </row>
    <row r="30514" spans="7:16" s="1634" customFormat="1">
      <c r="G30514" s="3336"/>
      <c r="P30514" s="3337"/>
    </row>
    <row r="30515" spans="7:16" s="1634" customFormat="1">
      <c r="G30515" s="3336"/>
      <c r="P30515" s="3337"/>
    </row>
    <row r="30516" spans="7:16" s="1634" customFormat="1">
      <c r="G30516" s="3336"/>
      <c r="P30516" s="3337"/>
    </row>
    <row r="30517" spans="7:16" s="1634" customFormat="1">
      <c r="G30517" s="3336"/>
      <c r="P30517" s="3337"/>
    </row>
    <row r="30518" spans="7:16" s="1634" customFormat="1">
      <c r="G30518" s="3336"/>
      <c r="P30518" s="3337"/>
    </row>
    <row r="30519" spans="7:16" s="1634" customFormat="1">
      <c r="G30519" s="3336"/>
      <c r="P30519" s="3337"/>
    </row>
    <row r="30520" spans="7:16" s="1634" customFormat="1">
      <c r="G30520" s="3336"/>
      <c r="P30520" s="3337"/>
    </row>
    <row r="30521" spans="7:16" s="1634" customFormat="1">
      <c r="G30521" s="3336"/>
      <c r="P30521" s="3337"/>
    </row>
    <row r="30522" spans="7:16" s="1634" customFormat="1">
      <c r="G30522" s="3336"/>
      <c r="P30522" s="3337"/>
    </row>
    <row r="30523" spans="7:16" s="1634" customFormat="1">
      <c r="G30523" s="3336"/>
      <c r="P30523" s="3337"/>
    </row>
    <row r="30524" spans="7:16" s="1634" customFormat="1">
      <c r="G30524" s="3336"/>
      <c r="P30524" s="3337"/>
    </row>
    <row r="30525" spans="7:16" s="1634" customFormat="1">
      <c r="G30525" s="3336"/>
      <c r="P30525" s="3337"/>
    </row>
    <row r="30526" spans="7:16" s="1634" customFormat="1">
      <c r="G30526" s="3336"/>
      <c r="P30526" s="3337"/>
    </row>
    <row r="30527" spans="7:16" s="1634" customFormat="1">
      <c r="G30527" s="3336"/>
      <c r="P30527" s="3337"/>
    </row>
    <row r="30528" spans="7:16" s="1634" customFormat="1">
      <c r="G30528" s="3336"/>
      <c r="P30528" s="3337"/>
    </row>
    <row r="30529" spans="7:16" s="1634" customFormat="1">
      <c r="G30529" s="3336"/>
      <c r="P30529" s="3337"/>
    </row>
    <row r="30530" spans="7:16" s="1634" customFormat="1">
      <c r="G30530" s="3336"/>
      <c r="P30530" s="3337"/>
    </row>
    <row r="30531" spans="7:16" s="1634" customFormat="1">
      <c r="G30531" s="3336"/>
      <c r="P30531" s="3337"/>
    </row>
    <row r="30532" spans="7:16" s="1634" customFormat="1">
      <c r="G30532" s="3336"/>
      <c r="P30532" s="3337"/>
    </row>
    <row r="30533" spans="7:16" s="1634" customFormat="1">
      <c r="G30533" s="3336"/>
      <c r="P30533" s="3337"/>
    </row>
    <row r="30534" spans="7:16" s="1634" customFormat="1">
      <c r="G30534" s="3336"/>
      <c r="P30534" s="3337"/>
    </row>
    <row r="30535" spans="7:16" s="1634" customFormat="1">
      <c r="G30535" s="3336"/>
      <c r="P30535" s="3337"/>
    </row>
    <row r="30536" spans="7:16" s="1634" customFormat="1">
      <c r="G30536" s="3336"/>
      <c r="P30536" s="3337"/>
    </row>
    <row r="30537" spans="7:16" s="1634" customFormat="1">
      <c r="G30537" s="3336"/>
      <c r="P30537" s="3337"/>
    </row>
    <row r="30538" spans="7:16" s="1634" customFormat="1">
      <c r="G30538" s="3336"/>
      <c r="P30538" s="3337"/>
    </row>
    <row r="30539" spans="7:16" s="1634" customFormat="1">
      <c r="G30539" s="3336"/>
      <c r="P30539" s="3337"/>
    </row>
    <row r="30540" spans="7:16" s="1634" customFormat="1">
      <c r="G30540" s="3336"/>
      <c r="P30540" s="3337"/>
    </row>
    <row r="30541" spans="7:16" s="1634" customFormat="1">
      <c r="G30541" s="3336"/>
      <c r="P30541" s="3337"/>
    </row>
    <row r="30542" spans="7:16" s="1634" customFormat="1">
      <c r="G30542" s="3336"/>
      <c r="P30542" s="3337"/>
    </row>
    <row r="30543" spans="7:16" s="1634" customFormat="1">
      <c r="G30543" s="3336"/>
      <c r="P30543" s="3337"/>
    </row>
    <row r="30544" spans="7:16" s="1634" customFormat="1">
      <c r="G30544" s="3336"/>
      <c r="P30544" s="3337"/>
    </row>
    <row r="30545" spans="7:16" s="1634" customFormat="1">
      <c r="G30545" s="3336"/>
      <c r="P30545" s="3337"/>
    </row>
    <row r="30546" spans="7:16" s="1634" customFormat="1">
      <c r="G30546" s="3336"/>
      <c r="P30546" s="3337"/>
    </row>
    <row r="30547" spans="7:16" s="1634" customFormat="1">
      <c r="G30547" s="3336"/>
      <c r="P30547" s="3337"/>
    </row>
    <row r="30548" spans="7:16" s="1634" customFormat="1">
      <c r="G30548" s="3336"/>
      <c r="P30548" s="3337"/>
    </row>
    <row r="30549" spans="7:16" s="1634" customFormat="1">
      <c r="G30549" s="3336"/>
      <c r="P30549" s="3337"/>
    </row>
    <row r="30550" spans="7:16" s="1634" customFormat="1">
      <c r="G30550" s="3336"/>
      <c r="P30550" s="3337"/>
    </row>
    <row r="30551" spans="7:16" s="1634" customFormat="1">
      <c r="G30551" s="3336"/>
      <c r="P30551" s="3337"/>
    </row>
    <row r="30552" spans="7:16" s="1634" customFormat="1">
      <c r="G30552" s="3336"/>
      <c r="P30552" s="3337"/>
    </row>
    <row r="30553" spans="7:16" s="1634" customFormat="1">
      <c r="G30553" s="3336"/>
      <c r="P30553" s="3337"/>
    </row>
    <row r="30554" spans="7:16" s="1634" customFormat="1">
      <c r="G30554" s="3336"/>
      <c r="P30554" s="3337"/>
    </row>
    <row r="30555" spans="7:16" s="1634" customFormat="1">
      <c r="G30555" s="3336"/>
      <c r="P30555" s="3337"/>
    </row>
    <row r="30556" spans="7:16" s="1634" customFormat="1">
      <c r="G30556" s="3336"/>
      <c r="P30556" s="3337"/>
    </row>
    <row r="30557" spans="7:16" s="1634" customFormat="1">
      <c r="G30557" s="3336"/>
      <c r="P30557" s="3337"/>
    </row>
    <row r="30558" spans="7:16" s="1634" customFormat="1">
      <c r="G30558" s="3336"/>
      <c r="P30558" s="3337"/>
    </row>
    <row r="30559" spans="7:16" s="1634" customFormat="1">
      <c r="G30559" s="3336"/>
      <c r="P30559" s="3337"/>
    </row>
    <row r="30560" spans="7:16" s="1634" customFormat="1">
      <c r="G30560" s="3336"/>
      <c r="P30560" s="3337"/>
    </row>
    <row r="30561" spans="7:16" s="1634" customFormat="1">
      <c r="G30561" s="3336"/>
      <c r="P30561" s="3337"/>
    </row>
    <row r="30562" spans="7:16" s="1634" customFormat="1">
      <c r="G30562" s="3336"/>
      <c r="P30562" s="3337"/>
    </row>
    <row r="30563" spans="7:16" s="1634" customFormat="1">
      <c r="G30563" s="3336"/>
      <c r="P30563" s="3337"/>
    </row>
    <row r="30564" spans="7:16" s="1634" customFormat="1">
      <c r="G30564" s="3336"/>
      <c r="P30564" s="3337"/>
    </row>
    <row r="30565" spans="7:16" s="1634" customFormat="1">
      <c r="G30565" s="3336"/>
      <c r="P30565" s="3337"/>
    </row>
    <row r="30566" spans="7:16" s="1634" customFormat="1">
      <c r="G30566" s="3336"/>
      <c r="P30566" s="3337"/>
    </row>
    <row r="30567" spans="7:16" s="1634" customFormat="1">
      <c r="G30567" s="3336"/>
      <c r="P30567" s="3337"/>
    </row>
    <row r="30568" spans="7:16" s="1634" customFormat="1">
      <c r="G30568" s="3336"/>
      <c r="P30568" s="3337"/>
    </row>
    <row r="30569" spans="7:16" s="1634" customFormat="1">
      <c r="G30569" s="3336"/>
      <c r="P30569" s="3337"/>
    </row>
    <row r="30570" spans="7:16" s="1634" customFormat="1">
      <c r="G30570" s="3336"/>
      <c r="P30570" s="3337"/>
    </row>
    <row r="30571" spans="7:16" s="1634" customFormat="1">
      <c r="G30571" s="3336"/>
      <c r="P30571" s="3337"/>
    </row>
    <row r="30572" spans="7:16" s="1634" customFormat="1">
      <c r="G30572" s="3336"/>
      <c r="P30572" s="3337"/>
    </row>
    <row r="30573" spans="7:16" s="1634" customFormat="1">
      <c r="G30573" s="3336"/>
      <c r="P30573" s="3337"/>
    </row>
    <row r="30574" spans="7:16" s="1634" customFormat="1">
      <c r="G30574" s="3336"/>
      <c r="P30574" s="3337"/>
    </row>
    <row r="30575" spans="7:16" s="1634" customFormat="1">
      <c r="G30575" s="3336"/>
      <c r="P30575" s="3337"/>
    </row>
    <row r="30576" spans="7:16" s="1634" customFormat="1">
      <c r="G30576" s="3336"/>
      <c r="P30576" s="3337"/>
    </row>
    <row r="30577" spans="7:16" s="1634" customFormat="1">
      <c r="G30577" s="3336"/>
      <c r="P30577" s="3337"/>
    </row>
    <row r="30578" spans="7:16" s="1634" customFormat="1">
      <c r="G30578" s="3336"/>
      <c r="P30578" s="3337"/>
    </row>
    <row r="30579" spans="7:16" s="1634" customFormat="1">
      <c r="G30579" s="3336"/>
      <c r="P30579" s="3337"/>
    </row>
    <row r="30580" spans="7:16" s="1634" customFormat="1">
      <c r="G30580" s="3336"/>
      <c r="P30580" s="3337"/>
    </row>
    <row r="30581" spans="7:16" s="1634" customFormat="1">
      <c r="G30581" s="3336"/>
      <c r="P30581" s="3337"/>
    </row>
    <row r="30582" spans="7:16" s="1634" customFormat="1">
      <c r="G30582" s="3336"/>
      <c r="P30582" s="3337"/>
    </row>
    <row r="30583" spans="7:16" s="1634" customFormat="1">
      <c r="G30583" s="3336"/>
      <c r="P30583" s="3337"/>
    </row>
    <row r="30584" spans="7:16" s="1634" customFormat="1">
      <c r="G30584" s="3336"/>
      <c r="P30584" s="3337"/>
    </row>
    <row r="30585" spans="7:16" s="1634" customFormat="1">
      <c r="G30585" s="3336"/>
      <c r="P30585" s="3337"/>
    </row>
    <row r="30586" spans="7:16" s="1634" customFormat="1">
      <c r="G30586" s="3336"/>
      <c r="P30586" s="3337"/>
    </row>
    <row r="30587" spans="7:16" s="1634" customFormat="1">
      <c r="G30587" s="3336"/>
      <c r="P30587" s="3337"/>
    </row>
    <row r="30588" spans="7:16" s="1634" customFormat="1">
      <c r="G30588" s="3336"/>
      <c r="P30588" s="3337"/>
    </row>
    <row r="30589" spans="7:16" s="1634" customFormat="1">
      <c r="G30589" s="3336"/>
      <c r="P30589" s="3337"/>
    </row>
    <row r="30590" spans="7:16" s="1634" customFormat="1">
      <c r="G30590" s="3336"/>
      <c r="P30590" s="3337"/>
    </row>
    <row r="30591" spans="7:16" s="1634" customFormat="1">
      <c r="G30591" s="3336"/>
      <c r="P30591" s="3337"/>
    </row>
    <row r="30592" spans="7:16" s="1634" customFormat="1">
      <c r="G30592" s="3336"/>
      <c r="P30592" s="3337"/>
    </row>
    <row r="30593" spans="7:16" s="1634" customFormat="1">
      <c r="G30593" s="3336"/>
      <c r="P30593" s="3337"/>
    </row>
    <row r="30594" spans="7:16" s="1634" customFormat="1">
      <c r="G30594" s="3336"/>
      <c r="P30594" s="3337"/>
    </row>
    <row r="30595" spans="7:16" s="1634" customFormat="1">
      <c r="G30595" s="3336"/>
      <c r="P30595" s="3337"/>
    </row>
    <row r="30596" spans="7:16" s="1634" customFormat="1">
      <c r="G30596" s="3336"/>
      <c r="P30596" s="3337"/>
    </row>
    <row r="30597" spans="7:16" s="1634" customFormat="1">
      <c r="G30597" s="3336"/>
      <c r="P30597" s="3337"/>
    </row>
    <row r="30598" spans="7:16" s="1634" customFormat="1">
      <c r="G30598" s="3336"/>
      <c r="P30598" s="3337"/>
    </row>
    <row r="30599" spans="7:16" s="1634" customFormat="1">
      <c r="G30599" s="3336"/>
      <c r="P30599" s="3337"/>
    </row>
    <row r="30600" spans="7:16" s="1634" customFormat="1">
      <c r="G30600" s="3336"/>
      <c r="P30600" s="3337"/>
    </row>
    <row r="30601" spans="7:16" s="1634" customFormat="1">
      <c r="G30601" s="3336"/>
      <c r="P30601" s="3337"/>
    </row>
    <row r="30602" spans="7:16" s="1634" customFormat="1">
      <c r="G30602" s="3336"/>
      <c r="P30602" s="3337"/>
    </row>
    <row r="30603" spans="7:16" s="1634" customFormat="1">
      <c r="G30603" s="3336"/>
      <c r="P30603" s="3337"/>
    </row>
    <row r="30604" spans="7:16" s="1634" customFormat="1">
      <c r="G30604" s="3336"/>
      <c r="P30604" s="3337"/>
    </row>
    <row r="30605" spans="7:16" s="1634" customFormat="1">
      <c r="G30605" s="3336"/>
      <c r="P30605" s="3337"/>
    </row>
    <row r="30606" spans="7:16" s="1634" customFormat="1">
      <c r="G30606" s="3336"/>
      <c r="P30606" s="3337"/>
    </row>
    <row r="30607" spans="7:16" s="1634" customFormat="1">
      <c r="G30607" s="3336"/>
      <c r="P30607" s="3337"/>
    </row>
    <row r="30608" spans="7:16" s="1634" customFormat="1">
      <c r="G30608" s="3336"/>
      <c r="P30608" s="3337"/>
    </row>
    <row r="30609" spans="7:16" s="1634" customFormat="1">
      <c r="G30609" s="3336"/>
      <c r="P30609" s="3337"/>
    </row>
    <row r="30610" spans="7:16" s="1634" customFormat="1">
      <c r="G30610" s="3336"/>
      <c r="P30610" s="3337"/>
    </row>
    <row r="30611" spans="7:16" s="1634" customFormat="1">
      <c r="G30611" s="3336"/>
      <c r="P30611" s="3337"/>
    </row>
    <row r="30612" spans="7:16" s="1634" customFormat="1">
      <c r="G30612" s="3336"/>
      <c r="P30612" s="3337"/>
    </row>
    <row r="30613" spans="7:16" s="1634" customFormat="1">
      <c r="G30613" s="3336"/>
      <c r="P30613" s="3337"/>
    </row>
    <row r="30614" spans="7:16" s="1634" customFormat="1">
      <c r="G30614" s="3336"/>
      <c r="P30614" s="3337"/>
    </row>
    <row r="30615" spans="7:16" s="1634" customFormat="1">
      <c r="G30615" s="3336"/>
      <c r="P30615" s="3337"/>
    </row>
    <row r="30616" spans="7:16" s="1634" customFormat="1">
      <c r="G30616" s="3336"/>
      <c r="P30616" s="3337"/>
    </row>
    <row r="30617" spans="7:16" s="1634" customFormat="1">
      <c r="G30617" s="3336"/>
      <c r="P30617" s="3337"/>
    </row>
    <row r="30618" spans="7:16" s="1634" customFormat="1">
      <c r="G30618" s="3336"/>
      <c r="P30618" s="3337"/>
    </row>
    <row r="30619" spans="7:16" s="1634" customFormat="1">
      <c r="G30619" s="3336"/>
      <c r="P30619" s="3337"/>
    </row>
    <row r="30620" spans="7:16" s="1634" customFormat="1">
      <c r="G30620" s="3336"/>
      <c r="P30620" s="3337"/>
    </row>
    <row r="30621" spans="7:16" s="1634" customFormat="1">
      <c r="G30621" s="3336"/>
      <c r="P30621" s="3337"/>
    </row>
    <row r="30622" spans="7:16" s="1634" customFormat="1">
      <c r="G30622" s="3336"/>
      <c r="P30622" s="3337"/>
    </row>
    <row r="30623" spans="7:16" s="1634" customFormat="1">
      <c r="G30623" s="3336"/>
      <c r="P30623" s="3337"/>
    </row>
    <row r="30624" spans="7:16" s="1634" customFormat="1">
      <c r="G30624" s="3336"/>
      <c r="P30624" s="3337"/>
    </row>
    <row r="30625" spans="7:16" s="1634" customFormat="1">
      <c r="G30625" s="3336"/>
      <c r="P30625" s="3337"/>
    </row>
    <row r="30626" spans="7:16" s="1634" customFormat="1">
      <c r="G30626" s="3336"/>
      <c r="P30626" s="3337"/>
    </row>
    <row r="30627" spans="7:16" s="1634" customFormat="1">
      <c r="G30627" s="3336"/>
      <c r="P30627" s="3337"/>
    </row>
    <row r="30628" spans="7:16" s="1634" customFormat="1">
      <c r="G30628" s="3336"/>
      <c r="P30628" s="3337"/>
    </row>
    <row r="30629" spans="7:16" s="1634" customFormat="1">
      <c r="G30629" s="3336"/>
      <c r="P30629" s="3337"/>
    </row>
    <row r="30630" spans="7:16" s="1634" customFormat="1">
      <c r="G30630" s="3336"/>
      <c r="P30630" s="3337"/>
    </row>
    <row r="30631" spans="7:16" s="1634" customFormat="1">
      <c r="G30631" s="3336"/>
      <c r="P30631" s="3337"/>
    </row>
    <row r="30632" spans="7:16" s="1634" customFormat="1">
      <c r="G30632" s="3336"/>
      <c r="P30632" s="3337"/>
    </row>
    <row r="30633" spans="7:16" s="1634" customFormat="1">
      <c r="G30633" s="3336"/>
      <c r="P30633" s="3337"/>
    </row>
    <row r="30634" spans="7:16" s="1634" customFormat="1">
      <c r="G30634" s="3336"/>
      <c r="P30634" s="3337"/>
    </row>
    <row r="30635" spans="7:16" s="1634" customFormat="1">
      <c r="G30635" s="3336"/>
      <c r="P30635" s="3337"/>
    </row>
    <row r="30636" spans="7:16" s="1634" customFormat="1">
      <c r="G30636" s="3336"/>
      <c r="P30636" s="3337"/>
    </row>
    <row r="30637" spans="7:16" s="1634" customFormat="1">
      <c r="G30637" s="3336"/>
      <c r="P30637" s="3337"/>
    </row>
    <row r="30638" spans="7:16" s="1634" customFormat="1">
      <c r="G30638" s="3336"/>
      <c r="P30638" s="3337"/>
    </row>
    <row r="30639" spans="7:16" s="1634" customFormat="1">
      <c r="G30639" s="3336"/>
      <c r="P30639" s="3337"/>
    </row>
    <row r="30640" spans="7:16" s="1634" customFormat="1">
      <c r="G30640" s="3336"/>
      <c r="P30640" s="3337"/>
    </row>
    <row r="30641" spans="7:16" s="1634" customFormat="1">
      <c r="G30641" s="3336"/>
      <c r="P30641" s="3337"/>
    </row>
    <row r="30642" spans="7:16" s="1634" customFormat="1">
      <c r="G30642" s="3336"/>
      <c r="P30642" s="3337"/>
    </row>
    <row r="30643" spans="7:16" s="1634" customFormat="1">
      <c r="G30643" s="3336"/>
      <c r="P30643" s="3337"/>
    </row>
    <row r="30644" spans="7:16" s="1634" customFormat="1">
      <c r="G30644" s="3336"/>
      <c r="P30644" s="3337"/>
    </row>
    <row r="30645" spans="7:16" s="1634" customFormat="1">
      <c r="G30645" s="3336"/>
      <c r="P30645" s="3337"/>
    </row>
    <row r="30646" spans="7:16" s="1634" customFormat="1">
      <c r="G30646" s="3336"/>
      <c r="P30646" s="3337"/>
    </row>
    <row r="30647" spans="7:16" s="1634" customFormat="1">
      <c r="G30647" s="3336"/>
      <c r="P30647" s="3337"/>
    </row>
    <row r="30648" spans="7:16" s="1634" customFormat="1">
      <c r="G30648" s="3336"/>
      <c r="P30648" s="3337"/>
    </row>
    <row r="30649" spans="7:16" s="1634" customFormat="1">
      <c r="G30649" s="3336"/>
      <c r="P30649" s="3337"/>
    </row>
    <row r="30650" spans="7:16" s="1634" customFormat="1">
      <c r="G30650" s="3336"/>
      <c r="P30650" s="3337"/>
    </row>
    <row r="30651" spans="7:16" s="1634" customFormat="1">
      <c r="G30651" s="3336"/>
      <c r="P30651" s="3337"/>
    </row>
    <row r="30652" spans="7:16" s="1634" customFormat="1">
      <c r="G30652" s="3336"/>
      <c r="P30652" s="3337"/>
    </row>
    <row r="30653" spans="7:16" s="1634" customFormat="1">
      <c r="G30653" s="3336"/>
      <c r="P30653" s="3337"/>
    </row>
    <row r="30654" spans="7:16" s="1634" customFormat="1">
      <c r="G30654" s="3336"/>
      <c r="P30654" s="3337"/>
    </row>
    <row r="30655" spans="7:16" s="1634" customFormat="1">
      <c r="G30655" s="3336"/>
      <c r="P30655" s="3337"/>
    </row>
    <row r="30656" spans="7:16" s="1634" customFormat="1">
      <c r="G30656" s="3336"/>
      <c r="P30656" s="3337"/>
    </row>
    <row r="30657" spans="7:16" s="1634" customFormat="1">
      <c r="G30657" s="3336"/>
      <c r="P30657" s="3337"/>
    </row>
    <row r="30658" spans="7:16" s="1634" customFormat="1">
      <c r="G30658" s="3336"/>
      <c r="P30658" s="3337"/>
    </row>
    <row r="30659" spans="7:16" s="1634" customFormat="1">
      <c r="G30659" s="3336"/>
      <c r="P30659" s="3337"/>
    </row>
    <row r="30660" spans="7:16" s="1634" customFormat="1">
      <c r="G30660" s="3336"/>
      <c r="P30660" s="3337"/>
    </row>
    <row r="30661" spans="7:16" s="1634" customFormat="1">
      <c r="G30661" s="3336"/>
      <c r="P30661" s="3337"/>
    </row>
    <row r="30662" spans="7:16" s="1634" customFormat="1">
      <c r="G30662" s="3336"/>
      <c r="P30662" s="3337"/>
    </row>
    <row r="30663" spans="7:16" s="1634" customFormat="1">
      <c r="G30663" s="3336"/>
      <c r="P30663" s="3337"/>
    </row>
    <row r="30664" spans="7:16" s="1634" customFormat="1">
      <c r="G30664" s="3336"/>
      <c r="P30664" s="3337"/>
    </row>
    <row r="30665" spans="7:16" s="1634" customFormat="1">
      <c r="G30665" s="3336"/>
      <c r="P30665" s="3337"/>
    </row>
    <row r="30666" spans="7:16" s="1634" customFormat="1">
      <c r="G30666" s="3336"/>
      <c r="P30666" s="3337"/>
    </row>
    <row r="30667" spans="7:16" s="1634" customFormat="1">
      <c r="G30667" s="3336"/>
      <c r="P30667" s="3337"/>
    </row>
    <row r="30668" spans="7:16" s="1634" customFormat="1">
      <c r="G30668" s="3336"/>
      <c r="P30668" s="3337"/>
    </row>
    <row r="30669" spans="7:16" s="1634" customFormat="1">
      <c r="G30669" s="3336"/>
      <c r="P30669" s="3337"/>
    </row>
    <row r="30670" spans="7:16" s="1634" customFormat="1">
      <c r="G30670" s="3336"/>
      <c r="P30670" s="3337"/>
    </row>
    <row r="30671" spans="7:16" s="1634" customFormat="1">
      <c r="G30671" s="3336"/>
      <c r="P30671" s="3337"/>
    </row>
    <row r="30672" spans="7:16" s="1634" customFormat="1">
      <c r="G30672" s="3336"/>
      <c r="P30672" s="3337"/>
    </row>
    <row r="30673" spans="7:16" s="1634" customFormat="1">
      <c r="G30673" s="3336"/>
      <c r="P30673" s="3337"/>
    </row>
    <row r="30674" spans="7:16" s="1634" customFormat="1">
      <c r="G30674" s="3336"/>
      <c r="P30674" s="3337"/>
    </row>
    <row r="30675" spans="7:16" s="1634" customFormat="1">
      <c r="G30675" s="3336"/>
      <c r="P30675" s="3337"/>
    </row>
    <row r="30676" spans="7:16" s="1634" customFormat="1">
      <c r="G30676" s="3336"/>
      <c r="P30676" s="3337"/>
    </row>
    <row r="30677" spans="7:16" s="1634" customFormat="1">
      <c r="G30677" s="3336"/>
      <c r="P30677" s="3337"/>
    </row>
    <row r="30678" spans="7:16" s="1634" customFormat="1">
      <c r="G30678" s="3336"/>
      <c r="P30678" s="3337"/>
    </row>
    <row r="30679" spans="7:16" s="1634" customFormat="1">
      <c r="G30679" s="3336"/>
      <c r="P30679" s="3337"/>
    </row>
    <row r="30680" spans="7:16" s="1634" customFormat="1">
      <c r="G30680" s="3336"/>
      <c r="P30680" s="3337"/>
    </row>
    <row r="30681" spans="7:16" s="1634" customFormat="1">
      <c r="G30681" s="3336"/>
      <c r="P30681" s="3337"/>
    </row>
    <row r="30682" spans="7:16" s="1634" customFormat="1">
      <c r="G30682" s="3336"/>
      <c r="P30682" s="3337"/>
    </row>
    <row r="30683" spans="7:16" s="1634" customFormat="1">
      <c r="G30683" s="3336"/>
      <c r="P30683" s="3337"/>
    </row>
    <row r="30684" spans="7:16" s="1634" customFormat="1">
      <c r="G30684" s="3336"/>
      <c r="P30684" s="3337"/>
    </row>
    <row r="30685" spans="7:16" s="1634" customFormat="1">
      <c r="G30685" s="3336"/>
      <c r="P30685" s="3337"/>
    </row>
    <row r="30686" spans="7:16" s="1634" customFormat="1">
      <c r="G30686" s="3336"/>
      <c r="P30686" s="3337"/>
    </row>
    <row r="30687" spans="7:16" s="1634" customFormat="1">
      <c r="G30687" s="3336"/>
      <c r="P30687" s="3337"/>
    </row>
    <row r="30688" spans="7:16" s="1634" customFormat="1">
      <c r="G30688" s="3336"/>
      <c r="P30688" s="3337"/>
    </row>
    <row r="30689" spans="7:16" s="1634" customFormat="1">
      <c r="G30689" s="3336"/>
      <c r="P30689" s="3337"/>
    </row>
    <row r="30690" spans="7:16" s="1634" customFormat="1">
      <c r="G30690" s="3336"/>
      <c r="P30690" s="3337"/>
    </row>
    <row r="30691" spans="7:16" s="1634" customFormat="1">
      <c r="G30691" s="3336"/>
      <c r="P30691" s="3337"/>
    </row>
    <row r="30692" spans="7:16" s="1634" customFormat="1">
      <c r="G30692" s="3336"/>
      <c r="P30692" s="3337"/>
    </row>
    <row r="30693" spans="7:16" s="1634" customFormat="1">
      <c r="G30693" s="3336"/>
      <c r="P30693" s="3337"/>
    </row>
    <row r="30694" spans="7:16" s="1634" customFormat="1">
      <c r="G30694" s="3336"/>
      <c r="P30694" s="3337"/>
    </row>
    <row r="30695" spans="7:16" s="1634" customFormat="1">
      <c r="G30695" s="3336"/>
      <c r="P30695" s="3337"/>
    </row>
    <row r="30696" spans="7:16" s="1634" customFormat="1">
      <c r="G30696" s="3336"/>
      <c r="P30696" s="3337"/>
    </row>
    <row r="30697" spans="7:16" s="1634" customFormat="1">
      <c r="G30697" s="3336"/>
      <c r="P30697" s="3337"/>
    </row>
    <row r="30698" spans="7:16" s="1634" customFormat="1">
      <c r="G30698" s="3336"/>
      <c r="P30698" s="3337"/>
    </row>
    <row r="30699" spans="7:16" s="1634" customFormat="1">
      <c r="G30699" s="3336"/>
      <c r="P30699" s="3337"/>
    </row>
    <row r="30700" spans="7:16" s="1634" customFormat="1">
      <c r="G30700" s="3336"/>
      <c r="P30700" s="3337"/>
    </row>
    <row r="30701" spans="7:16" s="1634" customFormat="1">
      <c r="G30701" s="3336"/>
      <c r="P30701" s="3337"/>
    </row>
    <row r="30702" spans="7:16" s="1634" customFormat="1">
      <c r="G30702" s="3336"/>
      <c r="P30702" s="3337"/>
    </row>
    <row r="30703" spans="7:16" s="1634" customFormat="1">
      <c r="G30703" s="3336"/>
      <c r="P30703" s="3337"/>
    </row>
    <row r="30704" spans="7:16" s="1634" customFormat="1">
      <c r="G30704" s="3336"/>
      <c r="P30704" s="3337"/>
    </row>
    <row r="30705" spans="7:16" s="1634" customFormat="1">
      <c r="G30705" s="3336"/>
      <c r="P30705" s="3337"/>
    </row>
    <row r="30706" spans="7:16" s="1634" customFormat="1">
      <c r="G30706" s="3336"/>
      <c r="P30706" s="3337"/>
    </row>
    <row r="30707" spans="7:16" s="1634" customFormat="1">
      <c r="G30707" s="3336"/>
      <c r="P30707" s="3337"/>
    </row>
    <row r="30708" spans="7:16" s="1634" customFormat="1">
      <c r="G30708" s="3336"/>
      <c r="P30708" s="3337"/>
    </row>
    <row r="30709" spans="7:16" s="1634" customFormat="1">
      <c r="G30709" s="3336"/>
      <c r="P30709" s="3337"/>
    </row>
    <row r="30710" spans="7:16" s="1634" customFormat="1">
      <c r="G30710" s="3336"/>
      <c r="P30710" s="3337"/>
    </row>
    <row r="30711" spans="7:16" s="1634" customFormat="1">
      <c r="G30711" s="3336"/>
      <c r="P30711" s="3337"/>
    </row>
    <row r="30712" spans="7:16" s="1634" customFormat="1">
      <c r="G30712" s="3336"/>
      <c r="P30712" s="3337"/>
    </row>
    <row r="30713" spans="7:16" s="1634" customFormat="1">
      <c r="G30713" s="3336"/>
      <c r="P30713" s="3337"/>
    </row>
    <row r="30714" spans="7:16" s="1634" customFormat="1">
      <c r="G30714" s="3336"/>
      <c r="P30714" s="3337"/>
    </row>
    <row r="30715" spans="7:16" s="1634" customFormat="1">
      <c r="G30715" s="3336"/>
      <c r="P30715" s="3337"/>
    </row>
    <row r="30716" spans="7:16" s="1634" customFormat="1">
      <c r="G30716" s="3336"/>
      <c r="P30716" s="3337"/>
    </row>
    <row r="30717" spans="7:16" s="1634" customFormat="1">
      <c r="G30717" s="3336"/>
      <c r="P30717" s="3337"/>
    </row>
    <row r="30718" spans="7:16" s="1634" customFormat="1">
      <c r="G30718" s="3336"/>
      <c r="P30718" s="3337"/>
    </row>
    <row r="30719" spans="7:16" s="1634" customFormat="1">
      <c r="G30719" s="3336"/>
      <c r="P30719" s="3337"/>
    </row>
    <row r="30720" spans="7:16" s="1634" customFormat="1">
      <c r="G30720" s="3336"/>
      <c r="P30720" s="3337"/>
    </row>
    <row r="30721" spans="7:16" s="1634" customFormat="1">
      <c r="G30721" s="3336"/>
      <c r="P30721" s="3337"/>
    </row>
    <row r="30722" spans="7:16" s="1634" customFormat="1">
      <c r="G30722" s="3336"/>
      <c r="P30722" s="3337"/>
    </row>
    <row r="30723" spans="7:16" s="1634" customFormat="1">
      <c r="G30723" s="3336"/>
      <c r="P30723" s="3337"/>
    </row>
    <row r="30724" spans="7:16" s="1634" customFormat="1">
      <c r="G30724" s="3336"/>
      <c r="P30724" s="3337"/>
    </row>
    <row r="30725" spans="7:16" s="1634" customFormat="1">
      <c r="G30725" s="3336"/>
      <c r="P30725" s="3337"/>
    </row>
    <row r="30726" spans="7:16" s="1634" customFormat="1">
      <c r="G30726" s="3336"/>
      <c r="P30726" s="3337"/>
    </row>
    <row r="30727" spans="7:16" s="1634" customFormat="1">
      <c r="G30727" s="3336"/>
      <c r="P30727" s="3337"/>
    </row>
    <row r="30728" spans="7:16" s="1634" customFormat="1">
      <c r="G30728" s="3336"/>
      <c r="P30728" s="3337"/>
    </row>
    <row r="30729" spans="7:16" s="1634" customFormat="1">
      <c r="G30729" s="3336"/>
      <c r="P30729" s="3337"/>
    </row>
    <row r="30730" spans="7:16" s="1634" customFormat="1">
      <c r="G30730" s="3336"/>
      <c r="P30730" s="3337"/>
    </row>
    <row r="30731" spans="7:16" s="1634" customFormat="1">
      <c r="G30731" s="3336"/>
      <c r="P30731" s="3337"/>
    </row>
    <row r="30732" spans="7:16" s="1634" customFormat="1">
      <c r="G30732" s="3336"/>
      <c r="P30732" s="3337"/>
    </row>
    <row r="30733" spans="7:16" s="1634" customFormat="1">
      <c r="G30733" s="3336"/>
      <c r="P30733" s="3337"/>
    </row>
    <row r="30734" spans="7:16" s="1634" customFormat="1">
      <c r="G30734" s="3336"/>
      <c r="P30734" s="3337"/>
    </row>
    <row r="30735" spans="7:16" s="1634" customFormat="1">
      <c r="G30735" s="3336"/>
      <c r="P30735" s="3337"/>
    </row>
    <row r="30736" spans="7:16" s="1634" customFormat="1">
      <c r="G30736" s="3336"/>
      <c r="P30736" s="3337"/>
    </row>
    <row r="30737" spans="7:16" s="1634" customFormat="1">
      <c r="G30737" s="3336"/>
      <c r="P30737" s="3337"/>
    </row>
    <row r="30738" spans="7:16" s="1634" customFormat="1">
      <c r="G30738" s="3336"/>
      <c r="P30738" s="3337"/>
    </row>
    <row r="30739" spans="7:16" s="1634" customFormat="1">
      <c r="G30739" s="3336"/>
      <c r="P30739" s="3337"/>
    </row>
    <row r="30740" spans="7:16" s="1634" customFormat="1">
      <c r="G30740" s="3336"/>
      <c r="P30740" s="3337"/>
    </row>
    <row r="30741" spans="7:16" s="1634" customFormat="1">
      <c r="G30741" s="3336"/>
      <c r="P30741" s="3337"/>
    </row>
    <row r="30742" spans="7:16" s="1634" customFormat="1">
      <c r="G30742" s="3336"/>
      <c r="P30742" s="3337"/>
    </row>
    <row r="30743" spans="7:16" s="1634" customFormat="1">
      <c r="G30743" s="3336"/>
      <c r="P30743" s="3337"/>
    </row>
    <row r="30744" spans="7:16" s="1634" customFormat="1">
      <c r="G30744" s="3336"/>
      <c r="P30744" s="3337"/>
    </row>
    <row r="30745" spans="7:16" s="1634" customFormat="1">
      <c r="G30745" s="3336"/>
      <c r="P30745" s="3337"/>
    </row>
    <row r="30746" spans="7:16" s="1634" customFormat="1">
      <c r="G30746" s="3336"/>
      <c r="P30746" s="3337"/>
    </row>
    <row r="30747" spans="7:16" s="1634" customFormat="1">
      <c r="G30747" s="3336"/>
      <c r="P30747" s="3337"/>
    </row>
    <row r="30748" spans="7:16" s="1634" customFormat="1">
      <c r="G30748" s="3336"/>
      <c r="P30748" s="3337"/>
    </row>
    <row r="30749" spans="7:16" s="1634" customFormat="1">
      <c r="G30749" s="3336"/>
      <c r="P30749" s="3337"/>
    </row>
    <row r="30750" spans="7:16" s="1634" customFormat="1">
      <c r="G30750" s="3336"/>
      <c r="P30750" s="3337"/>
    </row>
    <row r="30751" spans="7:16" s="1634" customFormat="1">
      <c r="G30751" s="3336"/>
      <c r="P30751" s="3337"/>
    </row>
    <row r="30752" spans="7:16" s="1634" customFormat="1">
      <c r="G30752" s="3336"/>
      <c r="P30752" s="3337"/>
    </row>
    <row r="30753" spans="7:16" s="1634" customFormat="1">
      <c r="G30753" s="3336"/>
      <c r="P30753" s="3337"/>
    </row>
    <row r="30754" spans="7:16" s="1634" customFormat="1">
      <c r="G30754" s="3336"/>
      <c r="P30754" s="3337"/>
    </row>
    <row r="30755" spans="7:16" s="1634" customFormat="1">
      <c r="G30755" s="3336"/>
      <c r="P30755" s="3337"/>
    </row>
    <row r="30756" spans="7:16" s="1634" customFormat="1">
      <c r="G30756" s="3336"/>
      <c r="P30756" s="3337"/>
    </row>
    <row r="30757" spans="7:16" s="1634" customFormat="1">
      <c r="G30757" s="3336"/>
      <c r="P30757" s="3337"/>
    </row>
    <row r="30758" spans="7:16" s="1634" customFormat="1">
      <c r="G30758" s="3336"/>
      <c r="P30758" s="3337"/>
    </row>
    <row r="30759" spans="7:16" s="1634" customFormat="1">
      <c r="G30759" s="3336"/>
      <c r="P30759" s="3337"/>
    </row>
    <row r="30760" spans="7:16" s="1634" customFormat="1">
      <c r="G30760" s="3336"/>
      <c r="P30760" s="3337"/>
    </row>
    <row r="30761" spans="7:16" s="1634" customFormat="1">
      <c r="G30761" s="3336"/>
      <c r="P30761" s="3337"/>
    </row>
    <row r="30762" spans="7:16" s="1634" customFormat="1">
      <c r="G30762" s="3336"/>
      <c r="P30762" s="3337"/>
    </row>
    <row r="30763" spans="7:16" s="1634" customFormat="1">
      <c r="G30763" s="3336"/>
      <c r="P30763" s="3337"/>
    </row>
    <row r="30764" spans="7:16" s="1634" customFormat="1">
      <c r="G30764" s="3336"/>
      <c r="P30764" s="3337"/>
    </row>
    <row r="30765" spans="7:16" s="1634" customFormat="1">
      <c r="G30765" s="3336"/>
      <c r="P30765" s="3337"/>
    </row>
    <row r="30766" spans="7:16" s="1634" customFormat="1">
      <c r="G30766" s="3336"/>
      <c r="P30766" s="3337"/>
    </row>
    <row r="30767" spans="7:16" s="1634" customFormat="1">
      <c r="G30767" s="3336"/>
      <c r="P30767" s="3337"/>
    </row>
    <row r="30768" spans="7:16" s="1634" customFormat="1">
      <c r="G30768" s="3336"/>
      <c r="P30768" s="3337"/>
    </row>
    <row r="30769" spans="7:16" s="1634" customFormat="1">
      <c r="G30769" s="3336"/>
      <c r="P30769" s="3337"/>
    </row>
    <row r="30770" spans="7:16" s="1634" customFormat="1">
      <c r="G30770" s="3336"/>
      <c r="P30770" s="3337"/>
    </row>
    <row r="30771" spans="7:16" s="1634" customFormat="1">
      <c r="G30771" s="3336"/>
      <c r="P30771" s="3337"/>
    </row>
    <row r="30772" spans="7:16" s="1634" customFormat="1">
      <c r="G30772" s="3336"/>
      <c r="P30772" s="3337"/>
    </row>
    <row r="30773" spans="7:16" s="1634" customFormat="1">
      <c r="G30773" s="3336"/>
      <c r="P30773" s="3337"/>
    </row>
    <row r="30774" spans="7:16" s="1634" customFormat="1">
      <c r="G30774" s="3336"/>
      <c r="P30774" s="3337"/>
    </row>
    <row r="30775" spans="7:16" s="1634" customFormat="1">
      <c r="G30775" s="3336"/>
      <c r="P30775" s="3337"/>
    </row>
    <row r="30776" spans="7:16" s="1634" customFormat="1">
      <c r="G30776" s="3336"/>
      <c r="P30776" s="3337"/>
    </row>
    <row r="30777" spans="7:16" s="1634" customFormat="1">
      <c r="G30777" s="3336"/>
      <c r="P30777" s="3337"/>
    </row>
    <row r="30778" spans="7:16" s="1634" customFormat="1">
      <c r="G30778" s="3336"/>
      <c r="P30778" s="3337"/>
    </row>
    <row r="30779" spans="7:16" s="1634" customFormat="1">
      <c r="G30779" s="3336"/>
      <c r="P30779" s="3337"/>
    </row>
    <row r="30780" spans="7:16" s="1634" customFormat="1">
      <c r="G30780" s="3336"/>
      <c r="P30780" s="3337"/>
    </row>
    <row r="30781" spans="7:16" s="1634" customFormat="1">
      <c r="G30781" s="3336"/>
      <c r="P30781" s="3337"/>
    </row>
    <row r="30782" spans="7:16" s="1634" customFormat="1">
      <c r="G30782" s="3336"/>
      <c r="P30782" s="3337"/>
    </row>
    <row r="30783" spans="7:16" s="1634" customFormat="1">
      <c r="G30783" s="3336"/>
      <c r="P30783" s="3337"/>
    </row>
    <row r="30784" spans="7:16" s="1634" customFormat="1">
      <c r="G30784" s="3336"/>
      <c r="P30784" s="3337"/>
    </row>
    <row r="30785" spans="7:16" s="1634" customFormat="1">
      <c r="G30785" s="3336"/>
      <c r="P30785" s="3337"/>
    </row>
    <row r="30786" spans="7:16" s="1634" customFormat="1">
      <c r="G30786" s="3336"/>
      <c r="P30786" s="3337"/>
    </row>
    <row r="30787" spans="7:16" s="1634" customFormat="1">
      <c r="G30787" s="3336"/>
      <c r="P30787" s="3337"/>
    </row>
    <row r="30788" spans="7:16" s="1634" customFormat="1">
      <c r="G30788" s="3336"/>
      <c r="P30788" s="3337"/>
    </row>
    <row r="30789" spans="7:16" s="1634" customFormat="1">
      <c r="G30789" s="3336"/>
      <c r="P30789" s="3337"/>
    </row>
    <row r="30790" spans="7:16" s="1634" customFormat="1">
      <c r="G30790" s="3336"/>
      <c r="P30790" s="3337"/>
    </row>
    <row r="30791" spans="7:16" s="1634" customFormat="1">
      <c r="G30791" s="3336"/>
      <c r="P30791" s="3337"/>
    </row>
    <row r="30792" spans="7:16" s="1634" customFormat="1">
      <c r="G30792" s="3336"/>
      <c r="P30792" s="3337"/>
    </row>
    <row r="30793" spans="7:16" s="1634" customFormat="1">
      <c r="G30793" s="3336"/>
      <c r="P30793" s="3337"/>
    </row>
    <row r="30794" spans="7:16" s="1634" customFormat="1">
      <c r="G30794" s="3336"/>
      <c r="P30794" s="3337"/>
    </row>
    <row r="30795" spans="7:16" s="1634" customFormat="1">
      <c r="G30795" s="3336"/>
      <c r="P30795" s="3337"/>
    </row>
    <row r="30796" spans="7:16" s="1634" customFormat="1">
      <c r="G30796" s="3336"/>
      <c r="P30796" s="3337"/>
    </row>
    <row r="30797" spans="7:16" s="1634" customFormat="1">
      <c r="G30797" s="3336"/>
      <c r="P30797" s="3337"/>
    </row>
    <row r="30798" spans="7:16" s="1634" customFormat="1">
      <c r="G30798" s="3336"/>
      <c r="P30798" s="3337"/>
    </row>
    <row r="30799" spans="7:16" s="1634" customFormat="1">
      <c r="G30799" s="3336"/>
      <c r="P30799" s="3337"/>
    </row>
    <row r="30800" spans="7:16" s="1634" customFormat="1">
      <c r="G30800" s="3336"/>
      <c r="P30800" s="3337"/>
    </row>
    <row r="30801" spans="7:16" s="1634" customFormat="1">
      <c r="G30801" s="3336"/>
      <c r="P30801" s="3337"/>
    </row>
    <row r="30802" spans="7:16" s="1634" customFormat="1">
      <c r="G30802" s="3336"/>
      <c r="P30802" s="3337"/>
    </row>
    <row r="30803" spans="7:16" s="1634" customFormat="1">
      <c r="G30803" s="3336"/>
      <c r="P30803" s="3337"/>
    </row>
    <row r="30804" spans="7:16" s="1634" customFormat="1">
      <c r="G30804" s="3336"/>
      <c r="P30804" s="3337"/>
    </row>
    <row r="30805" spans="7:16" s="1634" customFormat="1">
      <c r="G30805" s="3336"/>
      <c r="P30805" s="3337"/>
    </row>
    <row r="30806" spans="7:16" s="1634" customFormat="1">
      <c r="G30806" s="3336"/>
      <c r="P30806" s="3337"/>
    </row>
    <row r="30807" spans="7:16" s="1634" customFormat="1">
      <c r="G30807" s="3336"/>
      <c r="P30807" s="3337"/>
    </row>
    <row r="30808" spans="7:16" s="1634" customFormat="1">
      <c r="G30808" s="3336"/>
      <c r="P30808" s="3337"/>
    </row>
    <row r="30809" spans="7:16" s="1634" customFormat="1">
      <c r="G30809" s="3336"/>
      <c r="P30809" s="3337"/>
    </row>
    <row r="30810" spans="7:16" s="1634" customFormat="1">
      <c r="G30810" s="3336"/>
      <c r="P30810" s="3337"/>
    </row>
    <row r="30811" spans="7:16" s="1634" customFormat="1">
      <c r="G30811" s="3336"/>
      <c r="P30811" s="3337"/>
    </row>
    <row r="30812" spans="7:16" s="1634" customFormat="1">
      <c r="G30812" s="3336"/>
      <c r="P30812" s="3337"/>
    </row>
    <row r="30813" spans="7:16" s="1634" customFormat="1">
      <c r="G30813" s="3336"/>
      <c r="P30813" s="3337"/>
    </row>
    <row r="30814" spans="7:16" s="1634" customFormat="1">
      <c r="G30814" s="3336"/>
      <c r="P30814" s="3337"/>
    </row>
    <row r="30815" spans="7:16" s="1634" customFormat="1">
      <c r="G30815" s="3336"/>
      <c r="P30815" s="3337"/>
    </row>
    <row r="30816" spans="7:16" s="1634" customFormat="1">
      <c r="G30816" s="3336"/>
      <c r="P30816" s="3337"/>
    </row>
    <row r="30817" spans="7:16" s="1634" customFormat="1">
      <c r="G30817" s="3336"/>
      <c r="P30817" s="3337"/>
    </row>
    <row r="30818" spans="7:16" s="1634" customFormat="1">
      <c r="G30818" s="3336"/>
      <c r="P30818" s="3337"/>
    </row>
    <row r="30819" spans="7:16" s="1634" customFormat="1">
      <c r="G30819" s="3336"/>
      <c r="P30819" s="3337"/>
    </row>
    <row r="30820" spans="7:16" s="1634" customFormat="1">
      <c r="G30820" s="3336"/>
      <c r="P30820" s="3337"/>
    </row>
    <row r="30821" spans="7:16" s="1634" customFormat="1">
      <c r="G30821" s="3336"/>
      <c r="P30821" s="3337"/>
    </row>
    <row r="30822" spans="7:16" s="1634" customFormat="1">
      <c r="G30822" s="3336"/>
      <c r="P30822" s="3337"/>
    </row>
    <row r="30823" spans="7:16" s="1634" customFormat="1">
      <c r="G30823" s="3336"/>
      <c r="P30823" s="3337"/>
    </row>
    <row r="30824" spans="7:16" s="1634" customFormat="1">
      <c r="G30824" s="3336"/>
      <c r="P30824" s="3337"/>
    </row>
    <row r="30825" spans="7:16" s="1634" customFormat="1">
      <c r="G30825" s="3336"/>
      <c r="P30825" s="3337"/>
    </row>
    <row r="30826" spans="7:16" s="1634" customFormat="1">
      <c r="G30826" s="3336"/>
      <c r="P30826" s="3337"/>
    </row>
    <row r="30827" spans="7:16" s="1634" customFormat="1">
      <c r="G30827" s="3336"/>
      <c r="P30827" s="3337"/>
    </row>
    <row r="30828" spans="7:16" s="1634" customFormat="1">
      <c r="G30828" s="3336"/>
      <c r="P30828" s="3337"/>
    </row>
    <row r="30829" spans="7:16" s="1634" customFormat="1">
      <c r="G30829" s="3336"/>
      <c r="P30829" s="3337"/>
    </row>
    <row r="30830" spans="7:16" s="1634" customFormat="1">
      <c r="G30830" s="3336"/>
      <c r="P30830" s="3337"/>
    </row>
    <row r="30831" spans="7:16" s="1634" customFormat="1">
      <c r="G30831" s="3336"/>
      <c r="P30831" s="3337"/>
    </row>
    <row r="30832" spans="7:16" s="1634" customFormat="1">
      <c r="G30832" s="3336"/>
      <c r="P30832" s="3337"/>
    </row>
    <row r="30833" spans="7:16" s="1634" customFormat="1">
      <c r="G30833" s="3336"/>
      <c r="P30833" s="3337"/>
    </row>
    <row r="30834" spans="7:16" s="1634" customFormat="1">
      <c r="G30834" s="3336"/>
      <c r="P30834" s="3337"/>
    </row>
    <row r="30835" spans="7:16" s="1634" customFormat="1">
      <c r="G30835" s="3336"/>
      <c r="P30835" s="3337"/>
    </row>
    <row r="30836" spans="7:16" s="1634" customFormat="1">
      <c r="G30836" s="3336"/>
      <c r="P30836" s="3337"/>
    </row>
    <row r="30837" spans="7:16" s="1634" customFormat="1">
      <c r="G30837" s="3336"/>
      <c r="P30837" s="3337"/>
    </row>
    <row r="30838" spans="7:16" s="1634" customFormat="1">
      <c r="G30838" s="3336"/>
      <c r="P30838" s="3337"/>
    </row>
    <row r="30839" spans="7:16" s="1634" customFormat="1">
      <c r="G30839" s="3336"/>
      <c r="P30839" s="3337"/>
    </row>
    <row r="30840" spans="7:16" s="1634" customFormat="1">
      <c r="G30840" s="3336"/>
      <c r="P30840" s="3337"/>
    </row>
    <row r="30841" spans="7:16" s="1634" customFormat="1">
      <c r="G30841" s="3336"/>
      <c r="P30841" s="3337"/>
    </row>
    <row r="30842" spans="7:16" s="1634" customFormat="1">
      <c r="G30842" s="3336"/>
      <c r="P30842" s="3337"/>
    </row>
    <row r="30843" spans="7:16" s="1634" customFormat="1">
      <c r="G30843" s="3336"/>
      <c r="P30843" s="3337"/>
    </row>
    <row r="30844" spans="7:16" s="1634" customFormat="1">
      <c r="G30844" s="3336"/>
      <c r="P30844" s="3337"/>
    </row>
    <row r="30845" spans="7:16" s="1634" customFormat="1">
      <c r="G30845" s="3336"/>
      <c r="P30845" s="3337"/>
    </row>
    <row r="30846" spans="7:16" s="1634" customFormat="1">
      <c r="G30846" s="3336"/>
      <c r="P30846" s="3337"/>
    </row>
    <row r="30847" spans="7:16" s="1634" customFormat="1">
      <c r="G30847" s="3336"/>
      <c r="P30847" s="3337"/>
    </row>
    <row r="30848" spans="7:16" s="1634" customFormat="1">
      <c r="G30848" s="3336"/>
      <c r="P30848" s="3337"/>
    </row>
    <row r="30849" spans="7:16" s="1634" customFormat="1">
      <c r="G30849" s="3336"/>
      <c r="P30849" s="3337"/>
    </row>
    <row r="30850" spans="7:16" s="1634" customFormat="1">
      <c r="G30850" s="3336"/>
      <c r="P30850" s="3337"/>
    </row>
    <row r="30851" spans="7:16" s="1634" customFormat="1">
      <c r="G30851" s="3336"/>
      <c r="P30851" s="3337"/>
    </row>
    <row r="30852" spans="7:16" s="1634" customFormat="1">
      <c r="G30852" s="3336"/>
      <c r="P30852" s="3337"/>
    </row>
    <row r="30853" spans="7:16" s="1634" customFormat="1">
      <c r="G30853" s="3336"/>
      <c r="P30853" s="3337"/>
    </row>
    <row r="30854" spans="7:16" s="1634" customFormat="1">
      <c r="G30854" s="3336"/>
      <c r="P30854" s="3337"/>
    </row>
    <row r="30855" spans="7:16" s="1634" customFormat="1">
      <c r="G30855" s="3336"/>
      <c r="P30855" s="3337"/>
    </row>
    <row r="30856" spans="7:16" s="1634" customFormat="1">
      <c r="G30856" s="3336"/>
      <c r="P30856" s="3337"/>
    </row>
    <row r="30857" spans="7:16" s="1634" customFormat="1">
      <c r="G30857" s="3336"/>
      <c r="P30857" s="3337"/>
    </row>
    <row r="30858" spans="7:16" s="1634" customFormat="1">
      <c r="G30858" s="3336"/>
      <c r="P30858" s="3337"/>
    </row>
    <row r="30859" spans="7:16" s="1634" customFormat="1">
      <c r="G30859" s="3336"/>
      <c r="P30859" s="3337"/>
    </row>
    <row r="30860" spans="7:16" s="1634" customFormat="1">
      <c r="G30860" s="3336"/>
      <c r="P30860" s="3337"/>
    </row>
    <row r="30861" spans="7:16" s="1634" customFormat="1">
      <c r="G30861" s="3336"/>
      <c r="P30861" s="3337"/>
    </row>
    <row r="30862" spans="7:16" s="1634" customFormat="1">
      <c r="G30862" s="3336"/>
      <c r="P30862" s="3337"/>
    </row>
    <row r="30863" spans="7:16" s="1634" customFormat="1">
      <c r="G30863" s="3336"/>
      <c r="P30863" s="3337"/>
    </row>
    <row r="30864" spans="7:16" s="1634" customFormat="1">
      <c r="G30864" s="3336"/>
      <c r="P30864" s="3337"/>
    </row>
    <row r="30865" spans="7:16" s="1634" customFormat="1">
      <c r="G30865" s="3336"/>
      <c r="P30865" s="3337"/>
    </row>
    <row r="30866" spans="7:16" s="1634" customFormat="1">
      <c r="G30866" s="3336"/>
      <c r="P30866" s="3337"/>
    </row>
    <row r="30867" spans="7:16" s="1634" customFormat="1">
      <c r="G30867" s="3336"/>
      <c r="P30867" s="3337"/>
    </row>
    <row r="30868" spans="7:16" s="1634" customFormat="1">
      <c r="G30868" s="3336"/>
      <c r="P30868" s="3337"/>
    </row>
    <row r="30869" spans="7:16" s="1634" customFormat="1">
      <c r="G30869" s="3336"/>
      <c r="P30869" s="3337"/>
    </row>
    <row r="30870" spans="7:16" s="1634" customFormat="1">
      <c r="G30870" s="3336"/>
      <c r="P30870" s="3337"/>
    </row>
    <row r="30871" spans="7:16" s="1634" customFormat="1">
      <c r="G30871" s="3336"/>
      <c r="P30871" s="3337"/>
    </row>
    <row r="30872" spans="7:16" s="1634" customFormat="1">
      <c r="G30872" s="3336"/>
      <c r="P30872" s="3337"/>
    </row>
    <row r="30873" spans="7:16" s="1634" customFormat="1">
      <c r="G30873" s="3336"/>
      <c r="P30873" s="3337"/>
    </row>
    <row r="30874" spans="7:16" s="1634" customFormat="1">
      <c r="G30874" s="3336"/>
      <c r="P30874" s="3337"/>
    </row>
    <row r="30875" spans="7:16" s="1634" customFormat="1">
      <c r="G30875" s="3336"/>
      <c r="P30875" s="3337"/>
    </row>
    <row r="30876" spans="7:16" s="1634" customFormat="1">
      <c r="G30876" s="3336"/>
      <c r="P30876" s="3337"/>
    </row>
    <row r="30877" spans="7:16" s="1634" customFormat="1">
      <c r="G30877" s="3336"/>
      <c r="P30877" s="3337"/>
    </row>
    <row r="30878" spans="7:16" s="1634" customFormat="1">
      <c r="G30878" s="3336"/>
      <c r="P30878" s="3337"/>
    </row>
    <row r="30879" spans="7:16" s="1634" customFormat="1">
      <c r="G30879" s="3336"/>
      <c r="P30879" s="3337"/>
    </row>
    <row r="30880" spans="7:16" s="1634" customFormat="1">
      <c r="G30880" s="3336"/>
      <c r="P30880" s="3337"/>
    </row>
    <row r="30881" spans="7:16" s="1634" customFormat="1">
      <c r="G30881" s="3336"/>
      <c r="P30881" s="3337"/>
    </row>
    <row r="30882" spans="7:16" s="1634" customFormat="1">
      <c r="G30882" s="3336"/>
      <c r="P30882" s="3337"/>
    </row>
    <row r="30883" spans="7:16" s="1634" customFormat="1">
      <c r="G30883" s="3336"/>
      <c r="P30883" s="3337"/>
    </row>
    <row r="30884" spans="7:16" s="1634" customFormat="1">
      <c r="G30884" s="3336"/>
      <c r="P30884" s="3337"/>
    </row>
    <row r="30885" spans="7:16" s="1634" customFormat="1">
      <c r="G30885" s="3336"/>
      <c r="P30885" s="3337"/>
    </row>
    <row r="30886" spans="7:16" s="1634" customFormat="1">
      <c r="G30886" s="3336"/>
      <c r="P30886" s="3337"/>
    </row>
    <row r="30887" spans="7:16" s="1634" customFormat="1">
      <c r="G30887" s="3336"/>
      <c r="P30887" s="3337"/>
    </row>
    <row r="30888" spans="7:16" s="1634" customFormat="1">
      <c r="G30888" s="3336"/>
      <c r="P30888" s="3337"/>
    </row>
    <row r="30889" spans="7:16" s="1634" customFormat="1">
      <c r="G30889" s="3336"/>
      <c r="P30889" s="3337"/>
    </row>
    <row r="30890" spans="7:16" s="1634" customFormat="1">
      <c r="G30890" s="3336"/>
      <c r="P30890" s="3337"/>
    </row>
    <row r="30891" spans="7:16" s="1634" customFormat="1">
      <c r="G30891" s="3336"/>
      <c r="P30891" s="3337"/>
    </row>
    <row r="30892" spans="7:16" s="1634" customFormat="1">
      <c r="G30892" s="3336"/>
      <c r="P30892" s="3337"/>
    </row>
    <row r="30893" spans="7:16" s="1634" customFormat="1">
      <c r="G30893" s="3336"/>
      <c r="P30893" s="3337"/>
    </row>
    <row r="30894" spans="7:16" s="1634" customFormat="1">
      <c r="G30894" s="3336"/>
      <c r="P30894" s="3337"/>
    </row>
    <row r="30895" spans="7:16" s="1634" customFormat="1">
      <c r="G30895" s="3336"/>
      <c r="P30895" s="3337"/>
    </row>
    <row r="30896" spans="7:16" s="1634" customFormat="1">
      <c r="G30896" s="3336"/>
      <c r="P30896" s="3337"/>
    </row>
    <row r="30897" spans="7:16" s="1634" customFormat="1">
      <c r="G30897" s="3336"/>
      <c r="P30897" s="3337"/>
    </row>
    <row r="30898" spans="7:16" s="1634" customFormat="1">
      <c r="G30898" s="3336"/>
      <c r="P30898" s="3337"/>
    </row>
    <row r="30899" spans="7:16" s="1634" customFormat="1">
      <c r="G30899" s="3336"/>
      <c r="P30899" s="3337"/>
    </row>
    <row r="30900" spans="7:16" s="1634" customFormat="1">
      <c r="G30900" s="3336"/>
      <c r="P30900" s="3337"/>
    </row>
    <row r="30901" spans="7:16" s="1634" customFormat="1">
      <c r="G30901" s="3336"/>
      <c r="P30901" s="3337"/>
    </row>
    <row r="30902" spans="7:16" s="1634" customFormat="1">
      <c r="G30902" s="3336"/>
      <c r="P30902" s="3337"/>
    </row>
    <row r="30903" spans="7:16" s="1634" customFormat="1">
      <c r="G30903" s="3336"/>
      <c r="P30903" s="3337"/>
    </row>
    <row r="30904" spans="7:16" s="1634" customFormat="1">
      <c r="G30904" s="3336"/>
      <c r="P30904" s="3337"/>
    </row>
    <row r="30905" spans="7:16" s="1634" customFormat="1">
      <c r="G30905" s="3336"/>
      <c r="P30905" s="3337"/>
    </row>
    <row r="30906" spans="7:16" s="1634" customFormat="1">
      <c r="G30906" s="3336"/>
      <c r="P30906" s="3337"/>
    </row>
    <row r="30907" spans="7:16" s="1634" customFormat="1">
      <c r="G30907" s="3336"/>
      <c r="P30907" s="3337"/>
    </row>
    <row r="30908" spans="7:16" s="1634" customFormat="1">
      <c r="G30908" s="3336"/>
      <c r="P30908" s="3337"/>
    </row>
    <row r="30909" spans="7:16" s="1634" customFormat="1">
      <c r="G30909" s="3336"/>
      <c r="P30909" s="3337"/>
    </row>
    <row r="30910" spans="7:16" s="1634" customFormat="1">
      <c r="G30910" s="3336"/>
      <c r="P30910" s="3337"/>
    </row>
    <row r="30911" spans="7:16" s="1634" customFormat="1">
      <c r="G30911" s="3336"/>
      <c r="P30911" s="3337"/>
    </row>
    <row r="30912" spans="7:16" s="1634" customFormat="1">
      <c r="G30912" s="3336"/>
      <c r="P30912" s="3337"/>
    </row>
    <row r="30913" spans="7:16" s="1634" customFormat="1">
      <c r="G30913" s="3336"/>
      <c r="P30913" s="3337"/>
    </row>
    <row r="30914" spans="7:16" s="1634" customFormat="1">
      <c r="G30914" s="3336"/>
      <c r="P30914" s="3337"/>
    </row>
    <row r="30915" spans="7:16" s="1634" customFormat="1">
      <c r="G30915" s="3336"/>
      <c r="P30915" s="3337"/>
    </row>
    <row r="30916" spans="7:16" s="1634" customFormat="1">
      <c r="G30916" s="3336"/>
      <c r="P30916" s="3337"/>
    </row>
    <row r="30917" spans="7:16" s="1634" customFormat="1">
      <c r="G30917" s="3336"/>
      <c r="P30917" s="3337"/>
    </row>
    <row r="30918" spans="7:16" s="1634" customFormat="1">
      <c r="G30918" s="3336"/>
      <c r="P30918" s="3337"/>
    </row>
    <row r="30919" spans="7:16" s="1634" customFormat="1">
      <c r="G30919" s="3336"/>
      <c r="P30919" s="3337"/>
    </row>
    <row r="30920" spans="7:16" s="1634" customFormat="1">
      <c r="G30920" s="3336"/>
      <c r="P30920" s="3337"/>
    </row>
    <row r="30921" spans="7:16" s="1634" customFormat="1">
      <c r="G30921" s="3336"/>
      <c r="P30921" s="3337"/>
    </row>
    <row r="30922" spans="7:16" s="1634" customFormat="1">
      <c r="G30922" s="3336"/>
      <c r="P30922" s="3337"/>
    </row>
    <row r="30923" spans="7:16" s="1634" customFormat="1">
      <c r="G30923" s="3336"/>
      <c r="P30923" s="3337"/>
    </row>
    <row r="30924" spans="7:16" s="1634" customFormat="1">
      <c r="G30924" s="3336"/>
      <c r="P30924" s="3337"/>
    </row>
    <row r="30925" spans="7:16" s="1634" customFormat="1">
      <c r="G30925" s="3336"/>
      <c r="P30925" s="3337"/>
    </row>
    <row r="30926" spans="7:16" s="1634" customFormat="1">
      <c r="G30926" s="3336"/>
      <c r="P30926" s="3337"/>
    </row>
    <row r="30927" spans="7:16" s="1634" customFormat="1">
      <c r="G30927" s="3336"/>
      <c r="P30927" s="3337"/>
    </row>
    <row r="30928" spans="7:16" s="1634" customFormat="1">
      <c r="G30928" s="3336"/>
      <c r="P30928" s="3337"/>
    </row>
    <row r="30929" spans="7:16" s="1634" customFormat="1">
      <c r="G30929" s="3336"/>
      <c r="P30929" s="3337"/>
    </row>
    <row r="30930" spans="7:16" s="1634" customFormat="1">
      <c r="G30930" s="3336"/>
      <c r="P30930" s="3337"/>
    </row>
    <row r="30931" spans="7:16" s="1634" customFormat="1">
      <c r="G30931" s="3336"/>
      <c r="P30931" s="3337"/>
    </row>
    <row r="30932" spans="7:16" s="1634" customFormat="1">
      <c r="G30932" s="3336"/>
      <c r="P30932" s="3337"/>
    </row>
    <row r="30933" spans="7:16" s="1634" customFormat="1">
      <c r="G30933" s="3336"/>
      <c r="P30933" s="3337"/>
    </row>
    <row r="30934" spans="7:16" s="1634" customFormat="1">
      <c r="G30934" s="3336"/>
      <c r="P30934" s="3337"/>
    </row>
    <row r="30935" spans="7:16" s="1634" customFormat="1">
      <c r="G30935" s="3336"/>
      <c r="P30935" s="3337"/>
    </row>
    <row r="30936" spans="7:16" s="1634" customFormat="1">
      <c r="G30936" s="3336"/>
      <c r="P30936" s="3337"/>
    </row>
    <row r="30937" spans="7:16" s="1634" customFormat="1">
      <c r="G30937" s="3336"/>
      <c r="P30937" s="3337"/>
    </row>
    <row r="30938" spans="7:16" s="1634" customFormat="1">
      <c r="G30938" s="3336"/>
      <c r="P30938" s="3337"/>
    </row>
    <row r="30939" spans="7:16" s="1634" customFormat="1">
      <c r="G30939" s="3336"/>
      <c r="P30939" s="3337"/>
    </row>
    <row r="30940" spans="7:16" s="1634" customFormat="1">
      <c r="G30940" s="3336"/>
      <c r="P30940" s="3337"/>
    </row>
    <row r="30941" spans="7:16" s="1634" customFormat="1">
      <c r="G30941" s="3336"/>
      <c r="P30941" s="3337"/>
    </row>
    <row r="30942" spans="7:16" s="1634" customFormat="1">
      <c r="G30942" s="3336"/>
      <c r="P30942" s="3337"/>
    </row>
    <row r="30943" spans="7:16" s="1634" customFormat="1">
      <c r="G30943" s="3336"/>
      <c r="P30943" s="3337"/>
    </row>
    <row r="30944" spans="7:16" s="1634" customFormat="1">
      <c r="G30944" s="3336"/>
      <c r="P30944" s="3337"/>
    </row>
    <row r="30945" spans="7:16" s="1634" customFormat="1">
      <c r="G30945" s="3336"/>
      <c r="P30945" s="3337"/>
    </row>
    <row r="30946" spans="7:16" s="1634" customFormat="1">
      <c r="G30946" s="3336"/>
      <c r="P30946" s="3337"/>
    </row>
    <row r="30947" spans="7:16" s="1634" customFormat="1">
      <c r="G30947" s="3336"/>
      <c r="P30947" s="3337"/>
    </row>
    <row r="30948" spans="7:16" s="1634" customFormat="1">
      <c r="G30948" s="3336"/>
      <c r="P30948" s="3337"/>
    </row>
    <row r="30949" spans="7:16" s="1634" customFormat="1">
      <c r="G30949" s="3336"/>
      <c r="P30949" s="3337"/>
    </row>
    <row r="30950" spans="7:16" s="1634" customFormat="1">
      <c r="G30950" s="3336"/>
      <c r="P30950" s="3337"/>
    </row>
    <row r="30951" spans="7:16" s="1634" customFormat="1">
      <c r="G30951" s="3336"/>
      <c r="P30951" s="3337"/>
    </row>
    <row r="30952" spans="7:16" s="1634" customFormat="1">
      <c r="G30952" s="3336"/>
      <c r="P30952" s="3337"/>
    </row>
    <row r="30953" spans="7:16" s="1634" customFormat="1">
      <c r="G30953" s="3336"/>
      <c r="P30953" s="3337"/>
    </row>
    <row r="30954" spans="7:16" s="1634" customFormat="1">
      <c r="G30954" s="3336"/>
      <c r="P30954" s="3337"/>
    </row>
    <row r="30955" spans="7:16" s="1634" customFormat="1">
      <c r="G30955" s="3336"/>
      <c r="P30955" s="3337"/>
    </row>
    <row r="30956" spans="7:16" s="1634" customFormat="1">
      <c r="G30956" s="3336"/>
      <c r="P30956" s="3337"/>
    </row>
    <row r="30957" spans="7:16" s="1634" customFormat="1">
      <c r="G30957" s="3336"/>
      <c r="P30957" s="3337"/>
    </row>
    <row r="30958" spans="7:16" s="1634" customFormat="1">
      <c r="G30958" s="3336"/>
      <c r="P30958" s="3337"/>
    </row>
    <row r="30959" spans="7:16" s="1634" customFormat="1">
      <c r="G30959" s="3336"/>
      <c r="P30959" s="3337"/>
    </row>
    <row r="30960" spans="7:16" s="1634" customFormat="1">
      <c r="G30960" s="3336"/>
      <c r="P30960" s="3337"/>
    </row>
    <row r="30961" spans="7:16" s="1634" customFormat="1">
      <c r="G30961" s="3336"/>
      <c r="P30961" s="3337"/>
    </row>
    <row r="30962" spans="7:16" s="1634" customFormat="1">
      <c r="G30962" s="3336"/>
      <c r="P30962" s="3337"/>
    </row>
    <row r="30963" spans="7:16" s="1634" customFormat="1">
      <c r="G30963" s="3336"/>
      <c r="P30963" s="3337"/>
    </row>
    <row r="30964" spans="7:16" s="1634" customFormat="1">
      <c r="G30964" s="3336"/>
      <c r="P30964" s="3337"/>
    </row>
    <row r="30965" spans="7:16" s="1634" customFormat="1">
      <c r="G30965" s="3336"/>
      <c r="P30965" s="3337"/>
    </row>
    <row r="30966" spans="7:16" s="1634" customFormat="1">
      <c r="G30966" s="3336"/>
      <c r="P30966" s="3337"/>
    </row>
    <row r="30967" spans="7:16" s="1634" customFormat="1">
      <c r="G30967" s="3336"/>
      <c r="P30967" s="3337"/>
    </row>
    <row r="30968" spans="7:16" s="1634" customFormat="1">
      <c r="G30968" s="3336"/>
      <c r="P30968" s="3337"/>
    </row>
    <row r="30969" spans="7:16" s="1634" customFormat="1">
      <c r="G30969" s="3336"/>
      <c r="P30969" s="3337"/>
    </row>
    <row r="30970" spans="7:16" s="1634" customFormat="1">
      <c r="G30970" s="3336"/>
      <c r="P30970" s="3337"/>
    </row>
    <row r="30971" spans="7:16" s="1634" customFormat="1">
      <c r="G30971" s="3336"/>
      <c r="P30971" s="3337"/>
    </row>
    <row r="30972" spans="7:16" s="1634" customFormat="1">
      <c r="G30972" s="3336"/>
      <c r="P30972" s="3337"/>
    </row>
    <row r="30973" spans="7:16" s="1634" customFormat="1">
      <c r="G30973" s="3336"/>
      <c r="P30973" s="3337"/>
    </row>
    <row r="30974" spans="7:16" s="1634" customFormat="1">
      <c r="G30974" s="3336"/>
      <c r="P30974" s="3337"/>
    </row>
    <row r="30975" spans="7:16" s="1634" customFormat="1">
      <c r="G30975" s="3336"/>
      <c r="P30975" s="3337"/>
    </row>
    <row r="30976" spans="7:16" s="1634" customFormat="1">
      <c r="G30976" s="3336"/>
      <c r="P30976" s="3337"/>
    </row>
    <row r="30977" spans="7:16" s="1634" customFormat="1">
      <c r="G30977" s="3336"/>
      <c r="P30977" s="3337"/>
    </row>
    <row r="30978" spans="7:16" s="1634" customFormat="1">
      <c r="G30978" s="3336"/>
      <c r="P30978" s="3337"/>
    </row>
    <row r="30979" spans="7:16" s="1634" customFormat="1">
      <c r="G30979" s="3336"/>
      <c r="P30979" s="3337"/>
    </row>
    <row r="30980" spans="7:16" s="1634" customFormat="1">
      <c r="G30980" s="3336"/>
      <c r="P30980" s="3337"/>
    </row>
    <row r="30981" spans="7:16" s="1634" customFormat="1">
      <c r="G30981" s="3336"/>
      <c r="P30981" s="3337"/>
    </row>
    <row r="30982" spans="7:16" s="1634" customFormat="1">
      <c r="G30982" s="3336"/>
      <c r="P30982" s="3337"/>
    </row>
    <row r="30983" spans="7:16" s="1634" customFormat="1">
      <c r="G30983" s="3336"/>
      <c r="P30983" s="3337"/>
    </row>
    <row r="30984" spans="7:16" s="1634" customFormat="1">
      <c r="G30984" s="3336"/>
      <c r="P30984" s="3337"/>
    </row>
    <row r="30985" spans="7:16" s="1634" customFormat="1">
      <c r="G30985" s="3336"/>
      <c r="P30985" s="3337"/>
    </row>
    <row r="30986" spans="7:16" s="1634" customFormat="1">
      <c r="G30986" s="3336"/>
      <c r="P30986" s="3337"/>
    </row>
    <row r="30987" spans="7:16" s="1634" customFormat="1">
      <c r="G30987" s="3336"/>
      <c r="P30987" s="3337"/>
    </row>
    <row r="30988" spans="7:16" s="1634" customFormat="1">
      <c r="G30988" s="3336"/>
      <c r="P30988" s="3337"/>
    </row>
    <row r="30989" spans="7:16" s="1634" customFormat="1">
      <c r="G30989" s="3336"/>
      <c r="P30989" s="3337"/>
    </row>
    <row r="30990" spans="7:16" s="1634" customFormat="1">
      <c r="G30990" s="3336"/>
      <c r="P30990" s="3337"/>
    </row>
    <row r="30991" spans="7:16" s="1634" customFormat="1">
      <c r="G30991" s="3336"/>
      <c r="P30991" s="3337"/>
    </row>
    <row r="30992" spans="7:16" s="1634" customFormat="1">
      <c r="G30992" s="3336"/>
      <c r="P30992" s="3337"/>
    </row>
    <row r="30993" spans="7:16" s="1634" customFormat="1">
      <c r="G30993" s="3336"/>
      <c r="P30993" s="3337"/>
    </row>
    <row r="30994" spans="7:16" s="1634" customFormat="1">
      <c r="G30994" s="3336"/>
      <c r="P30994" s="3337"/>
    </row>
    <row r="30995" spans="7:16" s="1634" customFormat="1">
      <c r="G30995" s="3336"/>
      <c r="P30995" s="3337"/>
    </row>
    <row r="30996" spans="7:16" s="1634" customFormat="1">
      <c r="G30996" s="3336"/>
      <c r="P30996" s="3337"/>
    </row>
    <row r="30997" spans="7:16" s="1634" customFormat="1">
      <c r="G30997" s="3336"/>
      <c r="P30997" s="3337"/>
    </row>
    <row r="30998" spans="7:16" s="1634" customFormat="1">
      <c r="G30998" s="3336"/>
      <c r="P30998" s="3337"/>
    </row>
    <row r="30999" spans="7:16" s="1634" customFormat="1">
      <c r="G30999" s="3336"/>
      <c r="P30999" s="3337"/>
    </row>
    <row r="31000" spans="7:16" s="1634" customFormat="1">
      <c r="G31000" s="3336"/>
      <c r="P31000" s="3337"/>
    </row>
    <row r="31001" spans="7:16" s="1634" customFormat="1">
      <c r="G31001" s="3336"/>
      <c r="P31001" s="3337"/>
    </row>
    <row r="31002" spans="7:16" s="1634" customFormat="1">
      <c r="G31002" s="3336"/>
      <c r="P31002" s="3337"/>
    </row>
    <row r="31003" spans="7:16" s="1634" customFormat="1">
      <c r="G31003" s="3336"/>
      <c r="P31003" s="3337"/>
    </row>
    <row r="31004" spans="7:16" s="1634" customFormat="1">
      <c r="G31004" s="3336"/>
      <c r="P31004" s="3337"/>
    </row>
    <row r="31005" spans="7:16" s="1634" customFormat="1">
      <c r="G31005" s="3336"/>
      <c r="P31005" s="3337"/>
    </row>
    <row r="31006" spans="7:16" s="1634" customFormat="1">
      <c r="G31006" s="3336"/>
      <c r="P31006" s="3337"/>
    </row>
    <row r="31007" spans="7:16" s="1634" customFormat="1">
      <c r="G31007" s="3336"/>
      <c r="P31007" s="3337"/>
    </row>
    <row r="31008" spans="7:16" s="1634" customFormat="1">
      <c r="G31008" s="3336"/>
      <c r="P31008" s="3337"/>
    </row>
    <row r="31009" spans="7:16" s="1634" customFormat="1">
      <c r="G31009" s="3336"/>
      <c r="P31009" s="3337"/>
    </row>
    <row r="31010" spans="7:16" s="1634" customFormat="1">
      <c r="G31010" s="3336"/>
      <c r="P31010" s="3337"/>
    </row>
    <row r="31011" spans="7:16" s="1634" customFormat="1">
      <c r="G31011" s="3336"/>
      <c r="P31011" s="3337"/>
    </row>
    <row r="31012" spans="7:16" s="1634" customFormat="1">
      <c r="G31012" s="3336"/>
      <c r="P31012" s="3337"/>
    </row>
    <row r="31013" spans="7:16" s="1634" customFormat="1">
      <c r="G31013" s="3336"/>
      <c r="P31013" s="3337"/>
    </row>
    <row r="31014" spans="7:16" s="1634" customFormat="1">
      <c r="G31014" s="3336"/>
      <c r="P31014" s="3337"/>
    </row>
    <row r="31015" spans="7:16" s="1634" customFormat="1">
      <c r="G31015" s="3336"/>
      <c r="P31015" s="3337"/>
    </row>
    <row r="31016" spans="7:16" s="1634" customFormat="1">
      <c r="G31016" s="3336"/>
      <c r="P31016" s="3337"/>
    </row>
    <row r="31017" spans="7:16" s="1634" customFormat="1">
      <c r="G31017" s="3336"/>
      <c r="P31017" s="3337"/>
    </row>
    <row r="31018" spans="7:16" s="1634" customFormat="1">
      <c r="G31018" s="3336"/>
      <c r="P31018" s="3337"/>
    </row>
    <row r="31019" spans="7:16" s="1634" customFormat="1">
      <c r="G31019" s="3336"/>
      <c r="P31019" s="3337"/>
    </row>
    <row r="31020" spans="7:16" s="1634" customFormat="1">
      <c r="G31020" s="3336"/>
      <c r="P31020" s="3337"/>
    </row>
    <row r="31021" spans="7:16" s="1634" customFormat="1">
      <c r="G31021" s="3336"/>
      <c r="P31021" s="3337"/>
    </row>
    <row r="31022" spans="7:16" s="1634" customFormat="1">
      <c r="G31022" s="3336"/>
      <c r="P31022" s="3337"/>
    </row>
    <row r="31023" spans="7:16" s="1634" customFormat="1">
      <c r="G31023" s="3336"/>
      <c r="P31023" s="3337"/>
    </row>
    <row r="31024" spans="7:16" s="1634" customFormat="1">
      <c r="G31024" s="3336"/>
      <c r="P31024" s="3337"/>
    </row>
    <row r="31025" spans="7:16" s="1634" customFormat="1">
      <c r="G31025" s="3336"/>
      <c r="P31025" s="3337"/>
    </row>
    <row r="31026" spans="7:16" s="1634" customFormat="1">
      <c r="G31026" s="3336"/>
      <c r="P31026" s="3337"/>
    </row>
    <row r="31027" spans="7:16" s="1634" customFormat="1">
      <c r="G31027" s="3336"/>
      <c r="P31027" s="3337"/>
    </row>
    <row r="31028" spans="7:16" s="1634" customFormat="1">
      <c r="G31028" s="3336"/>
      <c r="P31028" s="3337"/>
    </row>
    <row r="31029" spans="7:16" s="1634" customFormat="1">
      <c r="G31029" s="3336"/>
      <c r="P31029" s="3337"/>
    </row>
    <row r="31030" spans="7:16" s="1634" customFormat="1">
      <c r="G31030" s="3336"/>
      <c r="P31030" s="3337"/>
    </row>
    <row r="31031" spans="7:16" s="1634" customFormat="1">
      <c r="G31031" s="3336"/>
      <c r="P31031" s="3337"/>
    </row>
    <row r="31032" spans="7:16" s="1634" customFormat="1">
      <c r="G31032" s="3336"/>
      <c r="P31032" s="3337"/>
    </row>
    <row r="31033" spans="7:16" s="1634" customFormat="1">
      <c r="G31033" s="3336"/>
      <c r="P31033" s="3337"/>
    </row>
    <row r="31034" spans="7:16" s="1634" customFormat="1">
      <c r="G31034" s="3336"/>
      <c r="P31034" s="3337"/>
    </row>
    <row r="31035" spans="7:16" s="1634" customFormat="1">
      <c r="G31035" s="3336"/>
      <c r="P31035" s="3337"/>
    </row>
    <row r="31036" spans="7:16" s="1634" customFormat="1">
      <c r="G31036" s="3336"/>
      <c r="P31036" s="3337"/>
    </row>
    <row r="31037" spans="7:16" s="1634" customFormat="1">
      <c r="G31037" s="3336"/>
      <c r="P31037" s="3337"/>
    </row>
    <row r="31038" spans="7:16" s="1634" customFormat="1">
      <c r="G31038" s="3336"/>
      <c r="P31038" s="3337"/>
    </row>
    <row r="31039" spans="7:16" s="1634" customFormat="1">
      <c r="G31039" s="3336"/>
      <c r="P31039" s="3337"/>
    </row>
    <row r="31040" spans="7:16" s="1634" customFormat="1">
      <c r="G31040" s="3336"/>
      <c r="P31040" s="3337"/>
    </row>
    <row r="31041" spans="7:16" s="1634" customFormat="1">
      <c r="G31041" s="3336"/>
      <c r="P31041" s="3337"/>
    </row>
    <row r="31042" spans="7:16" s="1634" customFormat="1">
      <c r="G31042" s="3336"/>
      <c r="P31042" s="3337"/>
    </row>
    <row r="31043" spans="7:16" s="1634" customFormat="1">
      <c r="G31043" s="3336"/>
      <c r="P31043" s="3337"/>
    </row>
    <row r="31044" spans="7:16" s="1634" customFormat="1">
      <c r="G31044" s="3336"/>
      <c r="P31044" s="3337"/>
    </row>
    <row r="31045" spans="7:16" s="1634" customFormat="1">
      <c r="G31045" s="3336"/>
      <c r="P31045" s="3337"/>
    </row>
    <row r="31046" spans="7:16" s="1634" customFormat="1">
      <c r="G31046" s="3336"/>
      <c r="P31046" s="3337"/>
    </row>
    <row r="31047" spans="7:16" s="1634" customFormat="1">
      <c r="G31047" s="3336"/>
      <c r="P31047" s="3337"/>
    </row>
    <row r="31048" spans="7:16" s="1634" customFormat="1">
      <c r="G31048" s="3336"/>
      <c r="P31048" s="3337"/>
    </row>
    <row r="31049" spans="7:16" s="1634" customFormat="1">
      <c r="G31049" s="3336"/>
      <c r="P31049" s="3337"/>
    </row>
    <row r="31050" spans="7:16" s="1634" customFormat="1">
      <c r="G31050" s="3336"/>
      <c r="P31050" s="3337"/>
    </row>
    <row r="31051" spans="7:16" s="1634" customFormat="1">
      <c r="G31051" s="3336"/>
      <c r="P31051" s="3337"/>
    </row>
    <row r="31052" spans="7:16" s="1634" customFormat="1">
      <c r="G31052" s="3336"/>
      <c r="P31052" s="3337"/>
    </row>
    <row r="31053" spans="7:16" s="1634" customFormat="1">
      <c r="G31053" s="3336"/>
      <c r="P31053" s="3337"/>
    </row>
    <row r="31054" spans="7:16" s="1634" customFormat="1">
      <c r="G31054" s="3336"/>
      <c r="P31054" s="3337"/>
    </row>
    <row r="31055" spans="7:16" s="1634" customFormat="1">
      <c r="G31055" s="3336"/>
      <c r="P31055" s="3337"/>
    </row>
    <row r="31056" spans="7:16" s="1634" customFormat="1">
      <c r="G31056" s="3336"/>
      <c r="P31056" s="3337"/>
    </row>
    <row r="31057" spans="7:16" s="1634" customFormat="1">
      <c r="G31057" s="3336"/>
      <c r="P31057" s="3337"/>
    </row>
    <row r="31058" spans="7:16" s="1634" customFormat="1">
      <c r="G31058" s="3336"/>
      <c r="P31058" s="3337"/>
    </row>
    <row r="31059" spans="7:16" s="1634" customFormat="1">
      <c r="G31059" s="3336"/>
      <c r="P31059" s="3337"/>
    </row>
    <row r="31060" spans="7:16" s="1634" customFormat="1">
      <c r="G31060" s="3336"/>
      <c r="P31060" s="3337"/>
    </row>
    <row r="31061" spans="7:16" s="1634" customFormat="1">
      <c r="G31061" s="3336"/>
      <c r="P31061" s="3337"/>
    </row>
    <row r="31062" spans="7:16" s="1634" customFormat="1">
      <c r="G31062" s="3336"/>
      <c r="P31062" s="3337"/>
    </row>
    <row r="31063" spans="7:16" s="1634" customFormat="1">
      <c r="G31063" s="3336"/>
      <c r="P31063" s="3337"/>
    </row>
    <row r="31064" spans="7:16" s="1634" customFormat="1">
      <c r="G31064" s="3336"/>
      <c r="P31064" s="3337"/>
    </row>
    <row r="31065" spans="7:16" s="1634" customFormat="1">
      <c r="G31065" s="3336"/>
      <c r="P31065" s="3337"/>
    </row>
    <row r="31066" spans="7:16" s="1634" customFormat="1">
      <c r="G31066" s="3336"/>
      <c r="P31066" s="3337"/>
    </row>
    <row r="31067" spans="7:16" s="1634" customFormat="1">
      <c r="G31067" s="3336"/>
      <c r="P31067" s="3337"/>
    </row>
    <row r="31068" spans="7:16" s="1634" customFormat="1">
      <c r="G31068" s="3336"/>
      <c r="P31068" s="3337"/>
    </row>
    <row r="31069" spans="7:16" s="1634" customFormat="1">
      <c r="G31069" s="3336"/>
      <c r="P31069" s="3337"/>
    </row>
    <row r="31070" spans="7:16" s="1634" customFormat="1">
      <c r="G31070" s="3336"/>
      <c r="P31070" s="3337"/>
    </row>
    <row r="31071" spans="7:16" s="1634" customFormat="1">
      <c r="G31071" s="3336"/>
      <c r="P31071" s="3337"/>
    </row>
    <row r="31072" spans="7:16" s="1634" customFormat="1">
      <c r="G31072" s="3336"/>
      <c r="P31072" s="3337"/>
    </row>
    <row r="31073" spans="7:16" s="1634" customFormat="1">
      <c r="G31073" s="3336"/>
      <c r="P31073" s="3337"/>
    </row>
    <row r="31074" spans="7:16" s="1634" customFormat="1">
      <c r="G31074" s="3336"/>
      <c r="P31074" s="3337"/>
    </row>
    <row r="31075" spans="7:16" s="1634" customFormat="1">
      <c r="G31075" s="3336"/>
      <c r="P31075" s="3337"/>
    </row>
    <row r="31076" spans="7:16" s="1634" customFormat="1">
      <c r="G31076" s="3336"/>
      <c r="P31076" s="3337"/>
    </row>
    <row r="31077" spans="7:16" s="1634" customFormat="1">
      <c r="G31077" s="3336"/>
      <c r="P31077" s="3337"/>
    </row>
    <row r="31078" spans="7:16" s="1634" customFormat="1">
      <c r="G31078" s="3336"/>
      <c r="P31078" s="3337"/>
    </row>
    <row r="31079" spans="7:16" s="1634" customFormat="1">
      <c r="G31079" s="3336"/>
      <c r="P31079" s="3337"/>
    </row>
    <row r="31080" spans="7:16" s="1634" customFormat="1">
      <c r="G31080" s="3336"/>
      <c r="P31080" s="3337"/>
    </row>
    <row r="31081" spans="7:16" s="1634" customFormat="1">
      <c r="G31081" s="3336"/>
      <c r="P31081" s="3337"/>
    </row>
    <row r="31082" spans="7:16" s="1634" customFormat="1">
      <c r="G31082" s="3336"/>
      <c r="P31082" s="3337"/>
    </row>
    <row r="31083" spans="7:16" s="1634" customFormat="1">
      <c r="G31083" s="3336"/>
      <c r="P31083" s="3337"/>
    </row>
    <row r="31084" spans="7:16" s="1634" customFormat="1">
      <c r="G31084" s="3336"/>
      <c r="P31084" s="3337"/>
    </row>
    <row r="31085" spans="7:16" s="1634" customFormat="1">
      <c r="G31085" s="3336"/>
      <c r="P31085" s="3337"/>
    </row>
    <row r="31086" spans="7:16" s="1634" customFormat="1">
      <c r="G31086" s="3336"/>
      <c r="P31086" s="3337"/>
    </row>
    <row r="31087" spans="7:16" s="1634" customFormat="1">
      <c r="G31087" s="3336"/>
      <c r="P31087" s="3337"/>
    </row>
    <row r="31088" spans="7:16" s="1634" customFormat="1">
      <c r="G31088" s="3336"/>
      <c r="P31088" s="3337"/>
    </row>
    <row r="31089" spans="7:16" s="1634" customFormat="1">
      <c r="G31089" s="3336"/>
      <c r="P31089" s="3337"/>
    </row>
    <row r="31090" spans="7:16" s="1634" customFormat="1">
      <c r="G31090" s="3336"/>
      <c r="P31090" s="3337"/>
    </row>
    <row r="31091" spans="7:16" s="1634" customFormat="1">
      <c r="G31091" s="3336"/>
      <c r="P31091" s="3337"/>
    </row>
    <row r="31092" spans="7:16" s="1634" customFormat="1">
      <c r="G31092" s="3336"/>
      <c r="P31092" s="3337"/>
    </row>
    <row r="31093" spans="7:16" s="1634" customFormat="1">
      <c r="G31093" s="3336"/>
      <c r="P31093" s="3337"/>
    </row>
    <row r="31094" spans="7:16" s="1634" customFormat="1">
      <c r="G31094" s="3336"/>
      <c r="P31094" s="3337"/>
    </row>
    <row r="31095" spans="7:16" s="1634" customFormat="1">
      <c r="G31095" s="3336"/>
      <c r="P31095" s="3337"/>
    </row>
    <row r="31096" spans="7:16" s="1634" customFormat="1">
      <c r="G31096" s="3336"/>
      <c r="P31096" s="3337"/>
    </row>
    <row r="31097" spans="7:16" s="1634" customFormat="1">
      <c r="G31097" s="3336"/>
      <c r="P31097" s="3337"/>
    </row>
    <row r="31098" spans="7:16" s="1634" customFormat="1">
      <c r="G31098" s="3336"/>
      <c r="P31098" s="3337"/>
    </row>
    <row r="31099" spans="7:16" s="1634" customFormat="1">
      <c r="G31099" s="3336"/>
      <c r="P31099" s="3337"/>
    </row>
    <row r="31100" spans="7:16" s="1634" customFormat="1">
      <c r="G31100" s="3336"/>
      <c r="P31100" s="3337"/>
    </row>
    <row r="31101" spans="7:16" s="1634" customFormat="1">
      <c r="G31101" s="3336"/>
      <c r="P31101" s="3337"/>
    </row>
    <row r="31102" spans="7:16" s="1634" customFormat="1">
      <c r="G31102" s="3336"/>
      <c r="P31102" s="3337"/>
    </row>
    <row r="31103" spans="7:16" s="1634" customFormat="1">
      <c r="G31103" s="3336"/>
      <c r="P31103" s="3337"/>
    </row>
    <row r="31104" spans="7:16" s="1634" customFormat="1">
      <c r="G31104" s="3336"/>
      <c r="P31104" s="3337"/>
    </row>
    <row r="31105" spans="7:16" s="1634" customFormat="1">
      <c r="G31105" s="3336"/>
      <c r="P31105" s="3337"/>
    </row>
    <row r="31106" spans="7:16" s="1634" customFormat="1">
      <c r="G31106" s="3336"/>
      <c r="P31106" s="3337"/>
    </row>
    <row r="31107" spans="7:16" s="1634" customFormat="1">
      <c r="G31107" s="3336"/>
      <c r="P31107" s="3337"/>
    </row>
    <row r="31108" spans="7:16" s="1634" customFormat="1">
      <c r="G31108" s="3336"/>
      <c r="P31108" s="3337"/>
    </row>
    <row r="31109" spans="7:16" s="1634" customFormat="1">
      <c r="G31109" s="3336"/>
      <c r="P31109" s="3337"/>
    </row>
    <row r="31110" spans="7:16" s="1634" customFormat="1">
      <c r="G31110" s="3336"/>
      <c r="P31110" s="3337"/>
    </row>
    <row r="31111" spans="7:16" s="1634" customFormat="1">
      <c r="G31111" s="3336"/>
      <c r="P31111" s="3337"/>
    </row>
    <row r="31112" spans="7:16" s="1634" customFormat="1">
      <c r="G31112" s="3336"/>
      <c r="P31112" s="3337"/>
    </row>
    <row r="31113" spans="7:16" s="1634" customFormat="1">
      <c r="G31113" s="3336"/>
      <c r="P31113" s="3337"/>
    </row>
    <row r="31114" spans="7:16" s="1634" customFormat="1">
      <c r="G31114" s="3336"/>
      <c r="P31114" s="3337"/>
    </row>
    <row r="31115" spans="7:16" s="1634" customFormat="1">
      <c r="G31115" s="3336"/>
      <c r="P31115" s="3337"/>
    </row>
    <row r="31116" spans="7:16" s="1634" customFormat="1">
      <c r="G31116" s="3336"/>
      <c r="P31116" s="3337"/>
    </row>
    <row r="31117" spans="7:16" s="1634" customFormat="1">
      <c r="G31117" s="3336"/>
      <c r="P31117" s="3337"/>
    </row>
    <row r="31118" spans="7:16" s="1634" customFormat="1">
      <c r="G31118" s="3336"/>
      <c r="P31118" s="3337"/>
    </row>
    <row r="31119" spans="7:16" s="1634" customFormat="1">
      <c r="G31119" s="3336"/>
      <c r="P31119" s="3337"/>
    </row>
    <row r="31120" spans="7:16" s="1634" customFormat="1">
      <c r="G31120" s="3336"/>
      <c r="P31120" s="3337"/>
    </row>
    <row r="31121" spans="7:16" s="1634" customFormat="1">
      <c r="G31121" s="3336"/>
      <c r="P31121" s="3337"/>
    </row>
    <row r="31122" spans="7:16" s="1634" customFormat="1">
      <c r="G31122" s="3336"/>
      <c r="P31122" s="3337"/>
    </row>
    <row r="31123" spans="7:16" s="1634" customFormat="1">
      <c r="G31123" s="3336"/>
      <c r="P31123" s="3337"/>
    </row>
    <row r="31124" spans="7:16" s="1634" customFormat="1">
      <c r="G31124" s="3336"/>
      <c r="P31124" s="3337"/>
    </row>
    <row r="31125" spans="7:16" s="1634" customFormat="1">
      <c r="G31125" s="3336"/>
      <c r="P31125" s="3337"/>
    </row>
    <row r="31126" spans="7:16" s="1634" customFormat="1">
      <c r="G31126" s="3336"/>
      <c r="P31126" s="3337"/>
    </row>
    <row r="31127" spans="7:16" s="1634" customFormat="1">
      <c r="G31127" s="3336"/>
      <c r="P31127" s="3337"/>
    </row>
    <row r="31128" spans="7:16" s="1634" customFormat="1">
      <c r="G31128" s="3336"/>
      <c r="P31128" s="3337"/>
    </row>
    <row r="31129" spans="7:16" s="1634" customFormat="1">
      <c r="G31129" s="3336"/>
      <c r="P31129" s="3337"/>
    </row>
    <row r="31130" spans="7:16" s="1634" customFormat="1">
      <c r="G31130" s="3336"/>
      <c r="P31130" s="3337"/>
    </row>
    <row r="31131" spans="7:16" s="1634" customFormat="1">
      <c r="G31131" s="3336"/>
      <c r="P31131" s="3337"/>
    </row>
    <row r="31132" spans="7:16" s="1634" customFormat="1">
      <c r="G31132" s="3336"/>
      <c r="P31132" s="3337"/>
    </row>
    <row r="31133" spans="7:16" s="1634" customFormat="1">
      <c r="G31133" s="3336"/>
      <c r="P31133" s="3337"/>
    </row>
    <row r="31134" spans="7:16" s="1634" customFormat="1">
      <c r="G31134" s="3336"/>
      <c r="P31134" s="3337"/>
    </row>
    <row r="31135" spans="7:16" s="1634" customFormat="1">
      <c r="G31135" s="3336"/>
      <c r="P31135" s="3337"/>
    </row>
    <row r="31136" spans="7:16" s="1634" customFormat="1">
      <c r="G31136" s="3336"/>
      <c r="P31136" s="3337"/>
    </row>
    <row r="31137" spans="7:16" s="1634" customFormat="1">
      <c r="G31137" s="3336"/>
      <c r="P31137" s="3337"/>
    </row>
    <row r="31138" spans="7:16" s="1634" customFormat="1">
      <c r="G31138" s="3336"/>
      <c r="P31138" s="3337"/>
    </row>
    <row r="31139" spans="7:16" s="1634" customFormat="1">
      <c r="G31139" s="3336"/>
      <c r="P31139" s="3337"/>
    </row>
    <row r="31140" spans="7:16" s="1634" customFormat="1">
      <c r="G31140" s="3336"/>
      <c r="P31140" s="3337"/>
    </row>
    <row r="31141" spans="7:16" s="1634" customFormat="1">
      <c r="G31141" s="3336"/>
      <c r="P31141" s="3337"/>
    </row>
    <row r="31142" spans="7:16" s="1634" customFormat="1">
      <c r="G31142" s="3336"/>
      <c r="P31142" s="3337"/>
    </row>
    <row r="31143" spans="7:16" s="1634" customFormat="1">
      <c r="G31143" s="3336"/>
      <c r="P31143" s="3337"/>
    </row>
    <row r="31144" spans="7:16" s="1634" customFormat="1">
      <c r="G31144" s="3336"/>
      <c r="P31144" s="3337"/>
    </row>
    <row r="31145" spans="7:16" s="1634" customFormat="1">
      <c r="G31145" s="3336"/>
      <c r="P31145" s="3337"/>
    </row>
    <row r="31146" spans="7:16" s="1634" customFormat="1">
      <c r="G31146" s="3336"/>
      <c r="P31146" s="3337"/>
    </row>
    <row r="31147" spans="7:16" s="1634" customFormat="1">
      <c r="G31147" s="3336"/>
      <c r="P31147" s="3337"/>
    </row>
    <row r="31148" spans="7:16" s="1634" customFormat="1">
      <c r="G31148" s="3336"/>
      <c r="P31148" s="3337"/>
    </row>
    <row r="31149" spans="7:16" s="1634" customFormat="1">
      <c r="G31149" s="3336"/>
      <c r="P31149" s="3337"/>
    </row>
    <row r="31150" spans="7:16" s="1634" customFormat="1">
      <c r="G31150" s="3336"/>
      <c r="P31150" s="3337"/>
    </row>
    <row r="31151" spans="7:16" s="1634" customFormat="1">
      <c r="G31151" s="3336"/>
      <c r="P31151" s="3337"/>
    </row>
    <row r="31152" spans="7:16" s="1634" customFormat="1">
      <c r="G31152" s="3336"/>
      <c r="P31152" s="3337"/>
    </row>
    <row r="31153" spans="7:16" s="1634" customFormat="1">
      <c r="G31153" s="3336"/>
      <c r="P31153" s="3337"/>
    </row>
    <row r="31154" spans="7:16" s="1634" customFormat="1">
      <c r="G31154" s="3336"/>
      <c r="P31154" s="3337"/>
    </row>
    <row r="31155" spans="7:16" s="1634" customFormat="1">
      <c r="G31155" s="3336"/>
      <c r="P31155" s="3337"/>
    </row>
    <row r="31156" spans="7:16" s="1634" customFormat="1">
      <c r="G31156" s="3336"/>
      <c r="P31156" s="3337"/>
    </row>
    <row r="31157" spans="7:16" s="1634" customFormat="1">
      <c r="G31157" s="3336"/>
      <c r="P31157" s="3337"/>
    </row>
    <row r="31158" spans="7:16" s="1634" customFormat="1">
      <c r="G31158" s="3336"/>
      <c r="P31158" s="3337"/>
    </row>
    <row r="31159" spans="7:16" s="1634" customFormat="1">
      <c r="G31159" s="3336"/>
      <c r="P31159" s="3337"/>
    </row>
    <row r="31160" spans="7:16" s="1634" customFormat="1">
      <c r="G31160" s="3336"/>
      <c r="P31160" s="3337"/>
    </row>
    <row r="31161" spans="7:16" s="1634" customFormat="1">
      <c r="G31161" s="3336"/>
      <c r="P31161" s="3337"/>
    </row>
    <row r="31162" spans="7:16" s="1634" customFormat="1">
      <c r="G31162" s="3336"/>
      <c r="P31162" s="3337"/>
    </row>
    <row r="31163" spans="7:16" s="1634" customFormat="1">
      <c r="G31163" s="3336"/>
      <c r="P31163" s="3337"/>
    </row>
    <row r="31164" spans="7:16" s="1634" customFormat="1">
      <c r="G31164" s="3336"/>
      <c r="P31164" s="3337"/>
    </row>
    <row r="31165" spans="7:16" s="1634" customFormat="1">
      <c r="G31165" s="3336"/>
      <c r="P31165" s="3337"/>
    </row>
    <row r="31166" spans="7:16" s="1634" customFormat="1">
      <c r="G31166" s="3336"/>
      <c r="P31166" s="3337"/>
    </row>
    <row r="31167" spans="7:16" s="1634" customFormat="1">
      <c r="G31167" s="3336"/>
      <c r="P31167" s="3337"/>
    </row>
    <row r="31168" spans="7:16" s="1634" customFormat="1">
      <c r="G31168" s="3336"/>
      <c r="P31168" s="3337"/>
    </row>
    <row r="31169" spans="7:16" s="1634" customFormat="1">
      <c r="G31169" s="3336"/>
      <c r="P31169" s="3337"/>
    </row>
    <row r="31170" spans="7:16" s="1634" customFormat="1">
      <c r="G31170" s="3336"/>
      <c r="P31170" s="3337"/>
    </row>
    <row r="31171" spans="7:16" s="1634" customFormat="1">
      <c r="G31171" s="3336"/>
      <c r="P31171" s="3337"/>
    </row>
    <row r="31172" spans="7:16" s="1634" customFormat="1">
      <c r="G31172" s="3336"/>
      <c r="P31172" s="3337"/>
    </row>
    <row r="31173" spans="7:16" s="1634" customFormat="1">
      <c r="G31173" s="3336"/>
      <c r="P31173" s="3337"/>
    </row>
    <row r="31174" spans="7:16" s="1634" customFormat="1">
      <c r="G31174" s="3336"/>
      <c r="P31174" s="3337"/>
    </row>
    <row r="31175" spans="7:16" s="1634" customFormat="1">
      <c r="G31175" s="3336"/>
      <c r="P31175" s="3337"/>
    </row>
    <row r="31176" spans="7:16" s="1634" customFormat="1">
      <c r="G31176" s="3336"/>
      <c r="P31176" s="3337"/>
    </row>
    <row r="31177" spans="7:16" s="1634" customFormat="1">
      <c r="G31177" s="3336"/>
      <c r="P31177" s="3337"/>
    </row>
    <row r="31178" spans="7:16" s="1634" customFormat="1">
      <c r="G31178" s="3336"/>
      <c r="P31178" s="3337"/>
    </row>
    <row r="31179" spans="7:16" s="1634" customFormat="1">
      <c r="G31179" s="3336"/>
      <c r="P31179" s="3337"/>
    </row>
    <row r="31180" spans="7:16" s="1634" customFormat="1">
      <c r="G31180" s="3336"/>
      <c r="P31180" s="3337"/>
    </row>
    <row r="31181" spans="7:16" s="1634" customFormat="1">
      <c r="G31181" s="3336"/>
      <c r="P31181" s="3337"/>
    </row>
    <row r="31182" spans="7:16" s="1634" customFormat="1">
      <c r="G31182" s="3336"/>
      <c r="P31182" s="3337"/>
    </row>
    <row r="31183" spans="7:16" s="1634" customFormat="1">
      <c r="G31183" s="3336"/>
      <c r="P31183" s="3337"/>
    </row>
    <row r="31184" spans="7:16" s="1634" customFormat="1">
      <c r="G31184" s="3336"/>
      <c r="P31184" s="3337"/>
    </row>
    <row r="31185" spans="7:16" s="1634" customFormat="1">
      <c r="G31185" s="3336"/>
      <c r="P31185" s="3337"/>
    </row>
    <row r="31186" spans="7:16" s="1634" customFormat="1">
      <c r="G31186" s="3336"/>
      <c r="P31186" s="3337"/>
    </row>
    <row r="31187" spans="7:16" s="1634" customFormat="1">
      <c r="G31187" s="3336"/>
      <c r="P31187" s="3337"/>
    </row>
    <row r="31188" spans="7:16" s="1634" customFormat="1">
      <c r="G31188" s="3336"/>
      <c r="P31188" s="3337"/>
    </row>
    <row r="31189" spans="7:16" s="1634" customFormat="1">
      <c r="G31189" s="3336"/>
      <c r="P31189" s="3337"/>
    </row>
    <row r="31190" spans="7:16" s="1634" customFormat="1">
      <c r="G31190" s="3336"/>
      <c r="P31190" s="3337"/>
    </row>
    <row r="31191" spans="7:16" s="1634" customFormat="1">
      <c r="G31191" s="3336"/>
      <c r="P31191" s="3337"/>
    </row>
    <row r="31192" spans="7:16" s="1634" customFormat="1">
      <c r="G31192" s="3336"/>
      <c r="P31192" s="3337"/>
    </row>
    <row r="31193" spans="7:16" s="1634" customFormat="1">
      <c r="G31193" s="3336"/>
      <c r="P31193" s="3337"/>
    </row>
    <row r="31194" spans="7:16" s="1634" customFormat="1">
      <c r="G31194" s="3336"/>
      <c r="P31194" s="3337"/>
    </row>
    <row r="31195" spans="7:16" s="1634" customFormat="1">
      <c r="G31195" s="3336"/>
      <c r="P31195" s="3337"/>
    </row>
    <row r="31196" spans="7:16" s="1634" customFormat="1">
      <c r="G31196" s="3336"/>
      <c r="P31196" s="3337"/>
    </row>
    <row r="31197" spans="7:16" s="1634" customFormat="1">
      <c r="G31197" s="3336"/>
      <c r="P31197" s="3337"/>
    </row>
    <row r="31198" spans="7:16" s="1634" customFormat="1">
      <c r="G31198" s="3336"/>
      <c r="P31198" s="3337"/>
    </row>
    <row r="31199" spans="7:16" s="1634" customFormat="1">
      <c r="G31199" s="3336"/>
      <c r="P31199" s="3337"/>
    </row>
    <row r="31200" spans="7:16" s="1634" customFormat="1">
      <c r="G31200" s="3336"/>
      <c r="P31200" s="3337"/>
    </row>
    <row r="31201" spans="7:16" s="1634" customFormat="1">
      <c r="G31201" s="3336"/>
      <c r="P31201" s="3337"/>
    </row>
    <row r="31202" spans="7:16" s="1634" customFormat="1">
      <c r="G31202" s="3336"/>
      <c r="P31202" s="3337"/>
    </row>
    <row r="31203" spans="7:16" s="1634" customFormat="1">
      <c r="G31203" s="3336"/>
      <c r="P31203" s="3337"/>
    </row>
    <row r="31204" spans="7:16" s="1634" customFormat="1">
      <c r="G31204" s="3336"/>
      <c r="P31204" s="3337"/>
    </row>
    <row r="31205" spans="7:16" s="1634" customFormat="1">
      <c r="G31205" s="3336"/>
      <c r="P31205" s="3337"/>
    </row>
    <row r="31206" spans="7:16" s="1634" customFormat="1">
      <c r="G31206" s="3336"/>
      <c r="P31206" s="3337"/>
    </row>
    <row r="31207" spans="7:16" s="1634" customFormat="1">
      <c r="G31207" s="3336"/>
      <c r="P31207" s="3337"/>
    </row>
    <row r="31208" spans="7:16" s="1634" customFormat="1">
      <c r="G31208" s="3336"/>
      <c r="P31208" s="3337"/>
    </row>
    <row r="31209" spans="7:16" s="1634" customFormat="1">
      <c r="G31209" s="3336"/>
      <c r="P31209" s="3337"/>
    </row>
    <row r="31210" spans="7:16" s="1634" customFormat="1">
      <c r="G31210" s="3336"/>
      <c r="P31210" s="3337"/>
    </row>
    <row r="31211" spans="7:16" s="1634" customFormat="1">
      <c r="G31211" s="3336"/>
      <c r="P31211" s="3337"/>
    </row>
    <row r="31212" spans="7:16" s="1634" customFormat="1">
      <c r="G31212" s="3336"/>
      <c r="P31212" s="3337"/>
    </row>
    <row r="31213" spans="7:16" s="1634" customFormat="1">
      <c r="G31213" s="3336"/>
      <c r="P31213" s="3337"/>
    </row>
    <row r="31214" spans="7:16" s="1634" customFormat="1">
      <c r="G31214" s="3336"/>
      <c r="P31214" s="3337"/>
    </row>
    <row r="31215" spans="7:16" s="1634" customFormat="1">
      <c r="G31215" s="3336"/>
      <c r="P31215" s="3337"/>
    </row>
    <row r="31216" spans="7:16" s="1634" customFormat="1">
      <c r="G31216" s="3336"/>
      <c r="P31216" s="3337"/>
    </row>
    <row r="31217" spans="7:16" s="1634" customFormat="1">
      <c r="G31217" s="3336"/>
      <c r="P31217" s="3337"/>
    </row>
    <row r="31218" spans="7:16" s="1634" customFormat="1">
      <c r="G31218" s="3336"/>
      <c r="P31218" s="3337"/>
    </row>
    <row r="31219" spans="7:16" s="1634" customFormat="1">
      <c r="G31219" s="3336"/>
      <c r="P31219" s="3337"/>
    </row>
    <row r="31220" spans="7:16" s="1634" customFormat="1">
      <c r="G31220" s="3336"/>
      <c r="P31220" s="3337"/>
    </row>
    <row r="31221" spans="7:16" s="1634" customFormat="1">
      <c r="G31221" s="3336"/>
      <c r="P31221" s="3337"/>
    </row>
    <row r="31222" spans="7:16" s="1634" customFormat="1">
      <c r="G31222" s="3336"/>
      <c r="P31222" s="3337"/>
    </row>
    <row r="31223" spans="7:16" s="1634" customFormat="1">
      <c r="G31223" s="3336"/>
      <c r="P31223" s="3337"/>
    </row>
    <row r="31224" spans="7:16" s="1634" customFormat="1">
      <c r="G31224" s="3336"/>
      <c r="P31224" s="3337"/>
    </row>
    <row r="31225" spans="7:16" s="1634" customFormat="1">
      <c r="G31225" s="3336"/>
      <c r="P31225" s="3337"/>
    </row>
    <row r="31226" spans="7:16" s="1634" customFormat="1">
      <c r="G31226" s="3336"/>
      <c r="P31226" s="3337"/>
    </row>
    <row r="31227" spans="7:16" s="1634" customFormat="1">
      <c r="G31227" s="3336"/>
      <c r="P31227" s="3337"/>
    </row>
    <row r="31228" spans="7:16" s="1634" customFormat="1">
      <c r="G31228" s="3336"/>
      <c r="P31228" s="3337"/>
    </row>
    <row r="31229" spans="7:16" s="1634" customFormat="1">
      <c r="G31229" s="3336"/>
      <c r="P31229" s="3337"/>
    </row>
    <row r="31230" spans="7:16" s="1634" customFormat="1">
      <c r="G31230" s="3336"/>
      <c r="P31230" s="3337"/>
    </row>
    <row r="31231" spans="7:16" s="1634" customFormat="1">
      <c r="G31231" s="3336"/>
      <c r="P31231" s="3337"/>
    </row>
    <row r="31232" spans="7:16" s="1634" customFormat="1">
      <c r="G31232" s="3336"/>
      <c r="P31232" s="3337"/>
    </row>
    <row r="31233" spans="7:16" s="1634" customFormat="1">
      <c r="G31233" s="3336"/>
      <c r="P31233" s="3337"/>
    </row>
    <row r="31234" spans="7:16" s="1634" customFormat="1">
      <c r="G31234" s="3336"/>
      <c r="P31234" s="3337"/>
    </row>
    <row r="31235" spans="7:16" s="1634" customFormat="1">
      <c r="G31235" s="3336"/>
      <c r="P31235" s="3337"/>
    </row>
    <row r="31236" spans="7:16" s="1634" customFormat="1">
      <c r="G31236" s="3336"/>
      <c r="P31236" s="3337"/>
    </row>
    <row r="31237" spans="7:16" s="1634" customFormat="1">
      <c r="G31237" s="3336"/>
      <c r="P31237" s="3337"/>
    </row>
    <row r="31238" spans="7:16" s="1634" customFormat="1">
      <c r="G31238" s="3336"/>
      <c r="P31238" s="3337"/>
    </row>
    <row r="31239" spans="7:16" s="1634" customFormat="1">
      <c r="G31239" s="3336"/>
      <c r="P31239" s="3337"/>
    </row>
    <row r="31240" spans="7:16" s="1634" customFormat="1">
      <c r="G31240" s="3336"/>
      <c r="P31240" s="3337"/>
    </row>
    <row r="31241" spans="7:16" s="1634" customFormat="1">
      <c r="G31241" s="3336"/>
      <c r="P31241" s="3337"/>
    </row>
    <row r="31242" spans="7:16" s="1634" customFormat="1">
      <c r="G31242" s="3336"/>
      <c r="P31242" s="3337"/>
    </row>
    <row r="31243" spans="7:16" s="1634" customFormat="1">
      <c r="G31243" s="3336"/>
      <c r="P31243" s="3337"/>
    </row>
    <row r="31244" spans="7:16" s="1634" customFormat="1">
      <c r="G31244" s="3336"/>
      <c r="P31244" s="3337"/>
    </row>
    <row r="31245" spans="7:16" s="1634" customFormat="1">
      <c r="G31245" s="3336"/>
      <c r="P31245" s="3337"/>
    </row>
    <row r="31246" spans="7:16" s="1634" customFormat="1">
      <c r="G31246" s="3336"/>
      <c r="P31246" s="3337"/>
    </row>
    <row r="31247" spans="7:16" s="1634" customFormat="1">
      <c r="G31247" s="3336"/>
      <c r="P31247" s="3337"/>
    </row>
    <row r="31248" spans="7:16" s="1634" customFormat="1">
      <c r="G31248" s="3336"/>
      <c r="P31248" s="3337"/>
    </row>
    <row r="31249" spans="7:16" s="1634" customFormat="1">
      <c r="G31249" s="3336"/>
      <c r="P31249" s="3337"/>
    </row>
    <row r="31250" spans="7:16" s="1634" customFormat="1">
      <c r="G31250" s="3336"/>
      <c r="P31250" s="3337"/>
    </row>
    <row r="31251" spans="7:16" s="1634" customFormat="1">
      <c r="G31251" s="3336"/>
      <c r="P31251" s="3337"/>
    </row>
    <row r="31252" spans="7:16" s="1634" customFormat="1">
      <c r="G31252" s="3336"/>
      <c r="P31252" s="3337"/>
    </row>
    <row r="31253" spans="7:16" s="1634" customFormat="1">
      <c r="G31253" s="3336"/>
      <c r="P31253" s="3337"/>
    </row>
    <row r="31254" spans="7:16" s="1634" customFormat="1">
      <c r="G31254" s="3336"/>
      <c r="P31254" s="3337"/>
    </row>
    <row r="31255" spans="7:16" s="1634" customFormat="1">
      <c r="G31255" s="3336"/>
      <c r="P31255" s="3337"/>
    </row>
    <row r="31256" spans="7:16" s="1634" customFormat="1">
      <c r="G31256" s="3336"/>
      <c r="P31256" s="3337"/>
    </row>
    <row r="31257" spans="7:16" s="1634" customFormat="1">
      <c r="G31257" s="3336"/>
      <c r="P31257" s="3337"/>
    </row>
    <row r="31258" spans="7:16" s="1634" customFormat="1">
      <c r="G31258" s="3336"/>
      <c r="P31258" s="3337"/>
    </row>
    <row r="31259" spans="7:16" s="1634" customFormat="1">
      <c r="G31259" s="3336"/>
      <c r="P31259" s="3337"/>
    </row>
    <row r="31260" spans="7:16" s="1634" customFormat="1">
      <c r="G31260" s="3336"/>
      <c r="P31260" s="3337"/>
    </row>
    <row r="31261" spans="7:16" s="1634" customFormat="1">
      <c r="G31261" s="3336"/>
      <c r="P31261" s="3337"/>
    </row>
    <row r="31262" spans="7:16" s="1634" customFormat="1">
      <c r="G31262" s="3336"/>
      <c r="P31262" s="3337"/>
    </row>
    <row r="31263" spans="7:16" s="1634" customFormat="1">
      <c r="G31263" s="3336"/>
      <c r="P31263" s="3337"/>
    </row>
    <row r="31264" spans="7:16" s="1634" customFormat="1">
      <c r="G31264" s="3336"/>
      <c r="P31264" s="3337"/>
    </row>
    <row r="31265" spans="7:16" s="1634" customFormat="1">
      <c r="G31265" s="3336"/>
      <c r="P31265" s="3337"/>
    </row>
    <row r="31266" spans="7:16" s="1634" customFormat="1">
      <c r="G31266" s="3336"/>
      <c r="P31266" s="3337"/>
    </row>
    <row r="31267" spans="7:16" s="1634" customFormat="1">
      <c r="G31267" s="3336"/>
      <c r="P31267" s="3337"/>
    </row>
    <row r="31268" spans="7:16" s="1634" customFormat="1">
      <c r="G31268" s="3336"/>
      <c r="P31268" s="3337"/>
    </row>
    <row r="31269" spans="7:16" s="1634" customFormat="1">
      <c r="G31269" s="3336"/>
      <c r="P31269" s="3337"/>
    </row>
    <row r="31270" spans="7:16" s="1634" customFormat="1">
      <c r="G31270" s="3336"/>
      <c r="P31270" s="3337"/>
    </row>
    <row r="31271" spans="7:16" s="1634" customFormat="1">
      <c r="G31271" s="3336"/>
      <c r="P31271" s="3337"/>
    </row>
    <row r="31272" spans="7:16" s="1634" customFormat="1">
      <c r="G31272" s="3336"/>
      <c r="P31272" s="3337"/>
    </row>
    <row r="31273" spans="7:16" s="1634" customFormat="1">
      <c r="G31273" s="3336"/>
      <c r="P31273" s="3337"/>
    </row>
    <row r="31274" spans="7:16" s="1634" customFormat="1">
      <c r="G31274" s="3336"/>
      <c r="P31274" s="3337"/>
    </row>
    <row r="31275" spans="7:16" s="1634" customFormat="1">
      <c r="G31275" s="3336"/>
      <c r="P31275" s="3337"/>
    </row>
    <row r="31276" spans="7:16" s="1634" customFormat="1">
      <c r="G31276" s="3336"/>
      <c r="P31276" s="3337"/>
    </row>
    <row r="31277" spans="7:16" s="1634" customFormat="1">
      <c r="G31277" s="3336"/>
      <c r="P31277" s="3337"/>
    </row>
    <row r="31278" spans="7:16" s="1634" customFormat="1">
      <c r="G31278" s="3336"/>
      <c r="P31278" s="3337"/>
    </row>
    <row r="31279" spans="7:16" s="1634" customFormat="1">
      <c r="G31279" s="3336"/>
      <c r="P31279" s="3337"/>
    </row>
    <row r="31280" spans="7:16" s="1634" customFormat="1">
      <c r="G31280" s="3336"/>
      <c r="P31280" s="3337"/>
    </row>
    <row r="31281" spans="7:16" s="1634" customFormat="1">
      <c r="G31281" s="3336"/>
      <c r="P31281" s="3337"/>
    </row>
    <row r="31282" spans="7:16" s="1634" customFormat="1">
      <c r="G31282" s="3336"/>
      <c r="P31282" s="3337"/>
    </row>
    <row r="31283" spans="7:16" s="1634" customFormat="1">
      <c r="G31283" s="3336"/>
      <c r="P31283" s="3337"/>
    </row>
    <row r="31284" spans="7:16" s="1634" customFormat="1">
      <c r="G31284" s="3336"/>
      <c r="P31284" s="3337"/>
    </row>
    <row r="31285" spans="7:16" s="1634" customFormat="1">
      <c r="G31285" s="3336"/>
      <c r="P31285" s="3337"/>
    </row>
    <row r="31286" spans="7:16" s="1634" customFormat="1">
      <c r="G31286" s="3336"/>
      <c r="P31286" s="3337"/>
    </row>
    <row r="31287" spans="7:16" s="1634" customFormat="1">
      <c r="G31287" s="3336"/>
      <c r="P31287" s="3337"/>
    </row>
    <row r="31288" spans="7:16" s="1634" customFormat="1">
      <c r="G31288" s="3336"/>
      <c r="P31288" s="3337"/>
    </row>
    <row r="31289" spans="7:16" s="1634" customFormat="1">
      <c r="G31289" s="3336"/>
      <c r="P31289" s="3337"/>
    </row>
    <row r="31290" spans="7:16" s="1634" customFormat="1">
      <c r="G31290" s="3336"/>
      <c r="P31290" s="3337"/>
    </row>
    <row r="31291" spans="7:16" s="1634" customFormat="1">
      <c r="G31291" s="3336"/>
      <c r="P31291" s="3337"/>
    </row>
    <row r="31292" spans="7:16" s="1634" customFormat="1">
      <c r="G31292" s="3336"/>
      <c r="P31292" s="3337"/>
    </row>
    <row r="31293" spans="7:16" s="1634" customFormat="1">
      <c r="G31293" s="3336"/>
      <c r="P31293" s="3337"/>
    </row>
    <row r="31294" spans="7:16" s="1634" customFormat="1">
      <c r="G31294" s="3336"/>
      <c r="P31294" s="3337"/>
    </row>
    <row r="31295" spans="7:16" s="1634" customFormat="1">
      <c r="G31295" s="3336"/>
      <c r="P31295" s="3337"/>
    </row>
    <row r="31296" spans="7:16" s="1634" customFormat="1">
      <c r="G31296" s="3336"/>
      <c r="P31296" s="3337"/>
    </row>
    <row r="31297" spans="7:16" s="1634" customFormat="1">
      <c r="G31297" s="3336"/>
      <c r="P31297" s="3337"/>
    </row>
    <row r="31298" spans="7:16" s="1634" customFormat="1">
      <c r="G31298" s="3336"/>
      <c r="P31298" s="3337"/>
    </row>
    <row r="31299" spans="7:16" s="1634" customFormat="1">
      <c r="G31299" s="3336"/>
      <c r="P31299" s="3337"/>
    </row>
    <row r="31300" spans="7:16" s="1634" customFormat="1">
      <c r="G31300" s="3336"/>
      <c r="P31300" s="3337"/>
    </row>
    <row r="31301" spans="7:16" s="1634" customFormat="1">
      <c r="G31301" s="3336"/>
      <c r="P31301" s="3337"/>
    </row>
    <row r="31302" spans="7:16" s="1634" customFormat="1">
      <c r="G31302" s="3336"/>
      <c r="P31302" s="3337"/>
    </row>
    <row r="31303" spans="7:16" s="1634" customFormat="1">
      <c r="G31303" s="3336"/>
      <c r="P31303" s="3337"/>
    </row>
    <row r="31304" spans="7:16" s="1634" customFormat="1">
      <c r="G31304" s="3336"/>
      <c r="P31304" s="3337"/>
    </row>
    <row r="31305" spans="7:16" s="1634" customFormat="1">
      <c r="G31305" s="3336"/>
      <c r="P31305" s="3337"/>
    </row>
    <row r="31306" spans="7:16" s="1634" customFormat="1">
      <c r="G31306" s="3336"/>
      <c r="P31306" s="3337"/>
    </row>
    <row r="31307" spans="7:16" s="1634" customFormat="1">
      <c r="G31307" s="3336"/>
      <c r="P31307" s="3337"/>
    </row>
    <row r="31308" spans="7:16" s="1634" customFormat="1">
      <c r="G31308" s="3336"/>
      <c r="P31308" s="3337"/>
    </row>
    <row r="31309" spans="7:16" s="1634" customFormat="1">
      <c r="G31309" s="3336"/>
      <c r="P31309" s="3337"/>
    </row>
    <row r="31310" spans="7:16" s="1634" customFormat="1">
      <c r="G31310" s="3336"/>
      <c r="P31310" s="3337"/>
    </row>
    <row r="31311" spans="7:16" s="1634" customFormat="1">
      <c r="G31311" s="3336"/>
      <c r="P31311" s="3337"/>
    </row>
    <row r="31312" spans="7:16" s="1634" customFormat="1">
      <c r="G31312" s="3336"/>
      <c r="P31312" s="3337"/>
    </row>
    <row r="31313" spans="7:16" s="1634" customFormat="1">
      <c r="G31313" s="3336"/>
      <c r="P31313" s="3337"/>
    </row>
    <row r="31314" spans="7:16" s="1634" customFormat="1">
      <c r="G31314" s="3336"/>
      <c r="P31314" s="3337"/>
    </row>
    <row r="31315" spans="7:16" s="1634" customFormat="1">
      <c r="G31315" s="3336"/>
      <c r="P31315" s="3337"/>
    </row>
    <row r="31316" spans="7:16" s="1634" customFormat="1">
      <c r="G31316" s="3336"/>
      <c r="P31316" s="3337"/>
    </row>
    <row r="31317" spans="7:16" s="1634" customFormat="1">
      <c r="G31317" s="3336"/>
      <c r="P31317" s="3337"/>
    </row>
    <row r="31318" spans="7:16" s="1634" customFormat="1">
      <c r="G31318" s="3336"/>
      <c r="P31318" s="3337"/>
    </row>
    <row r="31319" spans="7:16" s="1634" customFormat="1">
      <c r="G31319" s="3336"/>
      <c r="P31319" s="3337"/>
    </row>
    <row r="31320" spans="7:16" s="1634" customFormat="1">
      <c r="G31320" s="3336"/>
      <c r="P31320" s="3337"/>
    </row>
    <row r="31321" spans="7:16" s="1634" customFormat="1">
      <c r="G31321" s="3336"/>
      <c r="P31321" s="3337"/>
    </row>
    <row r="31322" spans="7:16" s="1634" customFormat="1">
      <c r="G31322" s="3336"/>
      <c r="P31322" s="3337"/>
    </row>
    <row r="31323" spans="7:16" s="1634" customFormat="1">
      <c r="G31323" s="3336"/>
      <c r="P31323" s="3337"/>
    </row>
    <row r="31324" spans="7:16" s="1634" customFormat="1">
      <c r="G31324" s="3336"/>
      <c r="P31324" s="3337"/>
    </row>
    <row r="31325" spans="7:16" s="1634" customFormat="1">
      <c r="G31325" s="3336"/>
      <c r="P31325" s="3337"/>
    </row>
    <row r="31326" spans="7:16" s="1634" customFormat="1">
      <c r="G31326" s="3336"/>
      <c r="P31326" s="3337"/>
    </row>
    <row r="31327" spans="7:16" s="1634" customFormat="1">
      <c r="G31327" s="3336"/>
      <c r="P31327" s="3337"/>
    </row>
    <row r="31328" spans="7:16" s="1634" customFormat="1">
      <c r="G31328" s="3336"/>
      <c r="P31328" s="3337"/>
    </row>
    <row r="31329" spans="7:16" s="1634" customFormat="1">
      <c r="G31329" s="3336"/>
      <c r="P31329" s="3337"/>
    </row>
    <row r="31330" spans="7:16" s="1634" customFormat="1">
      <c r="G31330" s="3336"/>
      <c r="P31330" s="3337"/>
    </row>
    <row r="31331" spans="7:16" s="1634" customFormat="1">
      <c r="G31331" s="3336"/>
      <c r="P31331" s="3337"/>
    </row>
    <row r="31332" spans="7:16" s="1634" customFormat="1">
      <c r="G31332" s="3336"/>
      <c r="P31332" s="3337"/>
    </row>
    <row r="31333" spans="7:16" s="1634" customFormat="1">
      <c r="G31333" s="3336"/>
      <c r="P31333" s="3337"/>
    </row>
    <row r="31334" spans="7:16" s="1634" customFormat="1">
      <c r="G31334" s="3336"/>
      <c r="P31334" s="3337"/>
    </row>
    <row r="31335" spans="7:16" s="1634" customFormat="1">
      <c r="G31335" s="3336"/>
      <c r="P31335" s="3337"/>
    </row>
    <row r="31336" spans="7:16" s="1634" customFormat="1">
      <c r="G31336" s="3336"/>
      <c r="P31336" s="3337"/>
    </row>
    <row r="31337" spans="7:16" s="1634" customFormat="1">
      <c r="G31337" s="3336"/>
      <c r="P31337" s="3337"/>
    </row>
    <row r="31338" spans="7:16" s="1634" customFormat="1">
      <c r="G31338" s="3336"/>
      <c r="P31338" s="3337"/>
    </row>
    <row r="31339" spans="7:16" s="1634" customFormat="1">
      <c r="G31339" s="3336"/>
      <c r="P31339" s="3337"/>
    </row>
    <row r="31340" spans="7:16" s="1634" customFormat="1">
      <c r="G31340" s="3336"/>
      <c r="P31340" s="3337"/>
    </row>
    <row r="31341" spans="7:16" s="1634" customFormat="1">
      <c r="G31341" s="3336"/>
      <c r="P31341" s="3337"/>
    </row>
    <row r="31342" spans="7:16" s="1634" customFormat="1">
      <c r="G31342" s="3336"/>
      <c r="P31342" s="3337"/>
    </row>
    <row r="31343" spans="7:16" s="1634" customFormat="1">
      <c r="G31343" s="3336"/>
      <c r="P31343" s="3337"/>
    </row>
    <row r="31344" spans="7:16" s="1634" customFormat="1">
      <c r="G31344" s="3336"/>
      <c r="P31344" s="3337"/>
    </row>
    <row r="31345" spans="7:16" s="1634" customFormat="1">
      <c r="G31345" s="3336"/>
      <c r="P31345" s="3337"/>
    </row>
    <row r="31346" spans="7:16" s="1634" customFormat="1">
      <c r="G31346" s="3336"/>
      <c r="P31346" s="3337"/>
    </row>
    <row r="31347" spans="7:16" s="1634" customFormat="1">
      <c r="G31347" s="3336"/>
      <c r="P31347" s="3337"/>
    </row>
    <row r="31348" spans="7:16" s="1634" customFormat="1">
      <c r="G31348" s="3336"/>
      <c r="P31348" s="3337"/>
    </row>
    <row r="31349" spans="7:16" s="1634" customFormat="1">
      <c r="G31349" s="3336"/>
      <c r="P31349" s="3337"/>
    </row>
    <row r="31350" spans="7:16" s="1634" customFormat="1">
      <c r="G31350" s="3336"/>
      <c r="P31350" s="3337"/>
    </row>
    <row r="31351" spans="7:16" s="1634" customFormat="1">
      <c r="G31351" s="3336"/>
      <c r="P31351" s="3337"/>
    </row>
    <row r="31352" spans="7:16" s="1634" customFormat="1">
      <c r="G31352" s="3336"/>
      <c r="P31352" s="3337"/>
    </row>
    <row r="31353" spans="7:16" s="1634" customFormat="1">
      <c r="G31353" s="3336"/>
      <c r="P31353" s="3337"/>
    </row>
    <row r="31354" spans="7:16" s="1634" customFormat="1">
      <c r="G31354" s="3336"/>
      <c r="P31354" s="3337"/>
    </row>
    <row r="31355" spans="7:16" s="1634" customFormat="1">
      <c r="G31355" s="3336"/>
      <c r="P31355" s="3337"/>
    </row>
    <row r="31356" spans="7:16" s="1634" customFormat="1">
      <c r="G31356" s="3336"/>
      <c r="P31356" s="3337"/>
    </row>
    <row r="31357" spans="7:16" s="1634" customFormat="1">
      <c r="G31357" s="3336"/>
      <c r="P31357" s="3337"/>
    </row>
    <row r="31358" spans="7:16" s="1634" customFormat="1">
      <c r="G31358" s="3336"/>
      <c r="P31358" s="3337"/>
    </row>
    <row r="31359" spans="7:16" s="1634" customFormat="1">
      <c r="G31359" s="3336"/>
      <c r="P31359" s="3337"/>
    </row>
    <row r="31360" spans="7:16" s="1634" customFormat="1">
      <c r="G31360" s="3336"/>
      <c r="P31360" s="3337"/>
    </row>
    <row r="31361" spans="7:16" s="1634" customFormat="1">
      <c r="G31361" s="3336"/>
      <c r="P31361" s="3337"/>
    </row>
    <row r="31362" spans="7:16" s="1634" customFormat="1">
      <c r="G31362" s="3336"/>
      <c r="P31362" s="3337"/>
    </row>
    <row r="31363" spans="7:16" s="1634" customFormat="1">
      <c r="G31363" s="3336"/>
      <c r="P31363" s="3337"/>
    </row>
    <row r="31364" spans="7:16" s="1634" customFormat="1">
      <c r="G31364" s="3336"/>
      <c r="P31364" s="3337"/>
    </row>
    <row r="31365" spans="7:16" s="1634" customFormat="1">
      <c r="G31365" s="3336"/>
      <c r="P31365" s="3337"/>
    </row>
    <row r="31366" spans="7:16" s="1634" customFormat="1">
      <c r="G31366" s="3336"/>
      <c r="P31366" s="3337"/>
    </row>
    <row r="31367" spans="7:16" s="1634" customFormat="1">
      <c r="G31367" s="3336"/>
      <c r="P31367" s="3337"/>
    </row>
    <row r="31368" spans="7:16" s="1634" customFormat="1">
      <c r="G31368" s="3336"/>
      <c r="P31368" s="3337"/>
    </row>
    <row r="31369" spans="7:16" s="1634" customFormat="1">
      <c r="G31369" s="3336"/>
      <c r="P31369" s="3337"/>
    </row>
    <row r="31370" spans="7:16" s="1634" customFormat="1">
      <c r="G31370" s="3336"/>
      <c r="P31370" s="3337"/>
    </row>
    <row r="31371" spans="7:16" s="1634" customFormat="1">
      <c r="G31371" s="3336"/>
      <c r="P31371" s="3337"/>
    </row>
    <row r="31372" spans="7:16" s="1634" customFormat="1">
      <c r="G31372" s="3336"/>
      <c r="P31372" s="3337"/>
    </row>
    <row r="31373" spans="7:16" s="1634" customFormat="1">
      <c r="G31373" s="3336"/>
      <c r="P31373" s="3337"/>
    </row>
    <row r="31374" spans="7:16" s="1634" customFormat="1">
      <c r="G31374" s="3336"/>
      <c r="P31374" s="3337"/>
    </row>
    <row r="31375" spans="7:16" s="1634" customFormat="1">
      <c r="G31375" s="3336"/>
      <c r="P31375" s="3337"/>
    </row>
    <row r="31376" spans="7:16" s="1634" customFormat="1">
      <c r="G31376" s="3336"/>
      <c r="P31376" s="3337"/>
    </row>
    <row r="31377" spans="7:16" s="1634" customFormat="1">
      <c r="G31377" s="3336"/>
      <c r="P31377" s="3337"/>
    </row>
    <row r="31378" spans="7:16" s="1634" customFormat="1">
      <c r="G31378" s="3336"/>
      <c r="P31378" s="3337"/>
    </row>
    <row r="31379" spans="7:16" s="1634" customFormat="1">
      <c r="G31379" s="3336"/>
      <c r="P31379" s="3337"/>
    </row>
    <row r="31380" spans="7:16" s="1634" customFormat="1">
      <c r="G31380" s="3336"/>
      <c r="P31380" s="3337"/>
    </row>
    <row r="31381" spans="7:16" s="1634" customFormat="1">
      <c r="G31381" s="3336"/>
      <c r="P31381" s="3337"/>
    </row>
    <row r="31382" spans="7:16" s="1634" customFormat="1">
      <c r="G31382" s="3336"/>
      <c r="P31382" s="3337"/>
    </row>
    <row r="31383" spans="7:16" s="1634" customFormat="1">
      <c r="G31383" s="3336"/>
      <c r="P31383" s="3337"/>
    </row>
    <row r="31384" spans="7:16" s="1634" customFormat="1">
      <c r="G31384" s="3336"/>
      <c r="P31384" s="3337"/>
    </row>
    <row r="31385" spans="7:16" s="1634" customFormat="1">
      <c r="G31385" s="3336"/>
      <c r="P31385" s="3337"/>
    </row>
    <row r="31386" spans="7:16" s="1634" customFormat="1">
      <c r="G31386" s="3336"/>
      <c r="P31386" s="3337"/>
    </row>
    <row r="31387" spans="7:16" s="1634" customFormat="1">
      <c r="G31387" s="3336"/>
      <c r="P31387" s="3337"/>
    </row>
    <row r="31388" spans="7:16" s="1634" customFormat="1">
      <c r="G31388" s="3336"/>
      <c r="P31388" s="3337"/>
    </row>
    <row r="31389" spans="7:16" s="1634" customFormat="1">
      <c r="G31389" s="3336"/>
      <c r="P31389" s="3337"/>
    </row>
    <row r="31390" spans="7:16" s="1634" customFormat="1">
      <c r="G31390" s="3336"/>
      <c r="P31390" s="3337"/>
    </row>
    <row r="31391" spans="7:16" s="1634" customFormat="1">
      <c r="G31391" s="3336"/>
      <c r="P31391" s="3337"/>
    </row>
    <row r="31392" spans="7:16" s="1634" customFormat="1">
      <c r="G31392" s="3336"/>
      <c r="P31392" s="3337"/>
    </row>
    <row r="31393" spans="7:16" s="1634" customFormat="1">
      <c r="G31393" s="3336"/>
      <c r="P31393" s="3337"/>
    </row>
    <row r="31394" spans="7:16" s="1634" customFormat="1">
      <c r="G31394" s="3336"/>
      <c r="P31394" s="3337"/>
    </row>
    <row r="31395" spans="7:16" s="1634" customFormat="1">
      <c r="G31395" s="3336"/>
      <c r="P31395" s="3337"/>
    </row>
    <row r="31396" spans="7:16" s="1634" customFormat="1">
      <c r="G31396" s="3336"/>
      <c r="P31396" s="3337"/>
    </row>
    <row r="31397" spans="7:16" s="1634" customFormat="1">
      <c r="G31397" s="3336"/>
      <c r="P31397" s="3337"/>
    </row>
    <row r="31398" spans="7:16" s="1634" customFormat="1">
      <c r="G31398" s="3336"/>
      <c r="P31398" s="3337"/>
    </row>
    <row r="31399" spans="7:16" s="1634" customFormat="1">
      <c r="G31399" s="3336"/>
      <c r="P31399" s="3337"/>
    </row>
    <row r="31400" spans="7:16" s="1634" customFormat="1">
      <c r="G31400" s="3336"/>
      <c r="P31400" s="3337"/>
    </row>
    <row r="31401" spans="7:16" s="1634" customFormat="1">
      <c r="G31401" s="3336"/>
      <c r="P31401" s="3337"/>
    </row>
    <row r="31402" spans="7:16" s="1634" customFormat="1">
      <c r="G31402" s="3336"/>
      <c r="P31402" s="3337"/>
    </row>
    <row r="31403" spans="7:16" s="1634" customFormat="1">
      <c r="G31403" s="3336"/>
      <c r="P31403" s="3337"/>
    </row>
    <row r="31404" spans="7:16" s="1634" customFormat="1">
      <c r="G31404" s="3336"/>
      <c r="P31404" s="3337"/>
    </row>
    <row r="31405" spans="7:16" s="1634" customFormat="1">
      <c r="G31405" s="3336"/>
      <c r="P31405" s="3337"/>
    </row>
    <row r="31406" spans="7:16" s="1634" customFormat="1">
      <c r="G31406" s="3336"/>
      <c r="P31406" s="3337"/>
    </row>
    <row r="31407" spans="7:16" s="1634" customFormat="1">
      <c r="G31407" s="3336"/>
      <c r="P31407" s="3337"/>
    </row>
    <row r="31408" spans="7:16" s="1634" customFormat="1">
      <c r="G31408" s="3336"/>
      <c r="P31408" s="3337"/>
    </row>
    <row r="31409" spans="7:16" s="1634" customFormat="1">
      <c r="G31409" s="3336"/>
      <c r="P31409" s="3337"/>
    </row>
    <row r="31410" spans="7:16" s="1634" customFormat="1">
      <c r="G31410" s="3336"/>
      <c r="P31410" s="3337"/>
    </row>
    <row r="31411" spans="7:16" s="1634" customFormat="1">
      <c r="G31411" s="3336"/>
      <c r="P31411" s="3337"/>
    </row>
    <row r="31412" spans="7:16" s="1634" customFormat="1">
      <c r="G31412" s="3336"/>
      <c r="P31412" s="3337"/>
    </row>
    <row r="31413" spans="7:16" s="1634" customFormat="1">
      <c r="G31413" s="3336"/>
      <c r="P31413" s="3337"/>
    </row>
    <row r="31414" spans="7:16" s="1634" customFormat="1">
      <c r="G31414" s="3336"/>
      <c r="P31414" s="3337"/>
    </row>
    <row r="31415" spans="7:16" s="1634" customFormat="1">
      <c r="G31415" s="3336"/>
      <c r="P31415" s="3337"/>
    </row>
    <row r="31416" spans="7:16" s="1634" customFormat="1">
      <c r="G31416" s="3336"/>
      <c r="P31416" s="3337"/>
    </row>
    <row r="31417" spans="7:16" s="1634" customFormat="1">
      <c r="G31417" s="3336"/>
      <c r="P31417" s="3337"/>
    </row>
    <row r="31418" spans="7:16" s="1634" customFormat="1">
      <c r="G31418" s="3336"/>
      <c r="P31418" s="3337"/>
    </row>
    <row r="31419" spans="7:16" s="1634" customFormat="1">
      <c r="G31419" s="3336"/>
      <c r="P31419" s="3337"/>
    </row>
    <row r="31420" spans="7:16" s="1634" customFormat="1">
      <c r="G31420" s="3336"/>
      <c r="P31420" s="3337"/>
    </row>
    <row r="31421" spans="7:16" s="1634" customFormat="1">
      <c r="G31421" s="3336"/>
      <c r="P31421" s="3337"/>
    </row>
    <row r="31422" spans="7:16" s="1634" customFormat="1">
      <c r="G31422" s="3336"/>
      <c r="P31422" s="3337"/>
    </row>
    <row r="31423" spans="7:16" s="1634" customFormat="1">
      <c r="G31423" s="3336"/>
      <c r="P31423" s="3337"/>
    </row>
    <row r="31424" spans="7:16" s="1634" customFormat="1">
      <c r="G31424" s="3336"/>
      <c r="P31424" s="3337"/>
    </row>
    <row r="31425" spans="7:16" s="1634" customFormat="1">
      <c r="G31425" s="3336"/>
      <c r="P31425" s="3337"/>
    </row>
    <row r="31426" spans="7:16" s="1634" customFormat="1">
      <c r="G31426" s="3336"/>
      <c r="P31426" s="3337"/>
    </row>
    <row r="31427" spans="7:16" s="1634" customFormat="1">
      <c r="G31427" s="3336"/>
      <c r="P31427" s="3337"/>
    </row>
    <row r="31428" spans="7:16" s="1634" customFormat="1">
      <c r="G31428" s="3336"/>
      <c r="P31428" s="3337"/>
    </row>
    <row r="31429" spans="7:16" s="1634" customFormat="1">
      <c r="G31429" s="3336"/>
      <c r="P31429" s="3337"/>
    </row>
    <row r="31430" spans="7:16" s="1634" customFormat="1">
      <c r="G31430" s="3336"/>
      <c r="P31430" s="3337"/>
    </row>
    <row r="31431" spans="7:16" s="1634" customFormat="1">
      <c r="G31431" s="3336"/>
      <c r="P31431" s="3337"/>
    </row>
    <row r="31432" spans="7:16" s="1634" customFormat="1">
      <c r="G31432" s="3336"/>
      <c r="P31432" s="3337"/>
    </row>
    <row r="31433" spans="7:16" s="1634" customFormat="1">
      <c r="G31433" s="3336"/>
      <c r="P31433" s="3337"/>
    </row>
    <row r="31434" spans="7:16" s="1634" customFormat="1">
      <c r="G31434" s="3336"/>
      <c r="P31434" s="3337"/>
    </row>
    <row r="31435" spans="7:16" s="1634" customFormat="1">
      <c r="G31435" s="3336"/>
      <c r="P31435" s="3337"/>
    </row>
    <row r="31436" spans="7:16" s="1634" customFormat="1">
      <c r="G31436" s="3336"/>
      <c r="P31436" s="3337"/>
    </row>
    <row r="31437" spans="7:16" s="1634" customFormat="1">
      <c r="G31437" s="3336"/>
      <c r="P31437" s="3337"/>
    </row>
    <row r="31438" spans="7:16" s="1634" customFormat="1">
      <c r="G31438" s="3336"/>
      <c r="P31438" s="3337"/>
    </row>
    <row r="31439" spans="7:16" s="1634" customFormat="1">
      <c r="G31439" s="3336"/>
      <c r="P31439" s="3337"/>
    </row>
    <row r="31440" spans="7:16" s="1634" customFormat="1">
      <c r="G31440" s="3336"/>
      <c r="P31440" s="3337"/>
    </row>
    <row r="31441" spans="7:16" s="1634" customFormat="1">
      <c r="G31441" s="3336"/>
      <c r="P31441" s="3337"/>
    </row>
    <row r="31442" spans="7:16" s="1634" customFormat="1">
      <c r="G31442" s="3336"/>
      <c r="P31442" s="3337"/>
    </row>
    <row r="31443" spans="7:16" s="1634" customFormat="1">
      <c r="G31443" s="3336"/>
      <c r="P31443" s="3337"/>
    </row>
    <row r="31444" spans="7:16" s="1634" customFormat="1">
      <c r="G31444" s="3336"/>
      <c r="P31444" s="3337"/>
    </row>
    <row r="31445" spans="7:16" s="1634" customFormat="1">
      <c r="G31445" s="3336"/>
      <c r="P31445" s="3337"/>
    </row>
    <row r="31446" spans="7:16" s="1634" customFormat="1">
      <c r="G31446" s="3336"/>
      <c r="P31446" s="3337"/>
    </row>
    <row r="31447" spans="7:16" s="1634" customFormat="1">
      <c r="G31447" s="3336"/>
      <c r="P31447" s="3337"/>
    </row>
    <row r="31448" spans="7:16" s="1634" customFormat="1">
      <c r="G31448" s="3336"/>
      <c r="P31448" s="3337"/>
    </row>
    <row r="31449" spans="7:16" s="1634" customFormat="1">
      <c r="G31449" s="3336"/>
      <c r="P31449" s="3337"/>
    </row>
    <row r="31450" spans="7:16" s="1634" customFormat="1">
      <c r="G31450" s="3336"/>
      <c r="P31450" s="3337"/>
    </row>
    <row r="31451" spans="7:16" s="1634" customFormat="1">
      <c r="G31451" s="3336"/>
      <c r="P31451" s="3337"/>
    </row>
    <row r="31452" spans="7:16" s="1634" customFormat="1">
      <c r="G31452" s="3336"/>
      <c r="P31452" s="3337"/>
    </row>
    <row r="31453" spans="7:16" s="1634" customFormat="1">
      <c r="G31453" s="3336"/>
      <c r="P31453" s="3337"/>
    </row>
    <row r="31454" spans="7:16" s="1634" customFormat="1">
      <c r="G31454" s="3336"/>
      <c r="P31454" s="3337"/>
    </row>
    <row r="31455" spans="7:16" s="1634" customFormat="1">
      <c r="G31455" s="3336"/>
      <c r="P31455" s="3337"/>
    </row>
    <row r="31456" spans="7:16" s="1634" customFormat="1">
      <c r="G31456" s="3336"/>
      <c r="P31456" s="3337"/>
    </row>
    <row r="31457" spans="7:16" s="1634" customFormat="1">
      <c r="G31457" s="3336"/>
      <c r="P31457" s="3337"/>
    </row>
    <row r="31458" spans="7:16" s="1634" customFormat="1">
      <c r="G31458" s="3336"/>
      <c r="P31458" s="3337"/>
    </row>
    <row r="31459" spans="7:16" s="1634" customFormat="1">
      <c r="G31459" s="3336"/>
      <c r="P31459" s="3337"/>
    </row>
    <row r="31460" spans="7:16" s="1634" customFormat="1">
      <c r="G31460" s="3336"/>
      <c r="P31460" s="3337"/>
    </row>
    <row r="31461" spans="7:16" s="1634" customFormat="1">
      <c r="G31461" s="3336"/>
      <c r="P31461" s="3337"/>
    </row>
    <row r="31462" spans="7:16" s="1634" customFormat="1">
      <c r="G31462" s="3336"/>
      <c r="P31462" s="3337"/>
    </row>
    <row r="31463" spans="7:16" s="1634" customFormat="1">
      <c r="G31463" s="3336"/>
      <c r="P31463" s="3337"/>
    </row>
    <row r="31464" spans="7:16" s="1634" customFormat="1">
      <c r="G31464" s="3336"/>
      <c r="P31464" s="3337"/>
    </row>
    <row r="31465" spans="7:16" s="1634" customFormat="1">
      <c r="G31465" s="3336"/>
      <c r="P31465" s="3337"/>
    </row>
    <row r="31466" spans="7:16" s="1634" customFormat="1">
      <c r="G31466" s="3336"/>
      <c r="P31466" s="3337"/>
    </row>
    <row r="31467" spans="7:16" s="1634" customFormat="1">
      <c r="G31467" s="3336"/>
      <c r="P31467" s="3337"/>
    </row>
    <row r="31468" spans="7:16" s="1634" customFormat="1">
      <c r="G31468" s="3336"/>
      <c r="P31468" s="3337"/>
    </row>
    <row r="31469" spans="7:16" s="1634" customFormat="1">
      <c r="G31469" s="3336"/>
      <c r="P31469" s="3337"/>
    </row>
    <row r="31470" spans="7:16" s="1634" customFormat="1">
      <c r="G31470" s="3336"/>
      <c r="P31470" s="3337"/>
    </row>
    <row r="31471" spans="7:16" s="1634" customFormat="1">
      <c r="G31471" s="3336"/>
      <c r="P31471" s="3337"/>
    </row>
    <row r="31472" spans="7:16" s="1634" customFormat="1">
      <c r="G31472" s="3336"/>
      <c r="P31472" s="3337"/>
    </row>
    <row r="31473" spans="7:16" s="1634" customFormat="1">
      <c r="G31473" s="3336"/>
      <c r="P31473" s="3337"/>
    </row>
    <row r="31474" spans="7:16" s="1634" customFormat="1">
      <c r="G31474" s="3336"/>
      <c r="P31474" s="3337"/>
    </row>
    <row r="31475" spans="7:16" s="1634" customFormat="1">
      <c r="G31475" s="3336"/>
      <c r="P31475" s="3337"/>
    </row>
    <row r="31476" spans="7:16" s="1634" customFormat="1">
      <c r="G31476" s="3336"/>
      <c r="P31476" s="3337"/>
    </row>
    <row r="31477" spans="7:16" s="1634" customFormat="1">
      <c r="G31477" s="3336"/>
      <c r="P31477" s="3337"/>
    </row>
    <row r="31478" spans="7:16" s="1634" customFormat="1">
      <c r="G31478" s="3336"/>
      <c r="P31478" s="3337"/>
    </row>
    <row r="31479" spans="7:16" s="1634" customFormat="1">
      <c r="G31479" s="3336"/>
      <c r="P31479" s="3337"/>
    </row>
    <row r="31480" spans="7:16" s="1634" customFormat="1">
      <c r="G31480" s="3336"/>
      <c r="P31480" s="3337"/>
    </row>
    <row r="31481" spans="7:16" s="1634" customFormat="1">
      <c r="G31481" s="3336"/>
      <c r="P31481" s="3337"/>
    </row>
    <row r="31482" spans="7:16" s="1634" customFormat="1">
      <c r="G31482" s="3336"/>
      <c r="P31482" s="3337"/>
    </row>
    <row r="31483" spans="7:16" s="1634" customFormat="1">
      <c r="G31483" s="3336"/>
      <c r="P31483" s="3337"/>
    </row>
    <row r="31484" spans="7:16" s="1634" customFormat="1">
      <c r="G31484" s="3336"/>
      <c r="P31484" s="3337"/>
    </row>
    <row r="31485" spans="7:16" s="1634" customFormat="1">
      <c r="G31485" s="3336"/>
      <c r="P31485" s="3337"/>
    </row>
    <row r="31486" spans="7:16" s="1634" customFormat="1">
      <c r="G31486" s="3336"/>
      <c r="P31486" s="3337"/>
    </row>
    <row r="31487" spans="7:16" s="1634" customFormat="1">
      <c r="G31487" s="3336"/>
      <c r="P31487" s="3337"/>
    </row>
    <row r="31488" spans="7:16" s="1634" customFormat="1">
      <c r="G31488" s="3336"/>
      <c r="P31488" s="3337"/>
    </row>
    <row r="31489" spans="7:16" s="1634" customFormat="1">
      <c r="G31489" s="3336"/>
      <c r="P31489" s="3337"/>
    </row>
    <row r="31490" spans="7:16" s="1634" customFormat="1">
      <c r="G31490" s="3336"/>
      <c r="P31490" s="3337"/>
    </row>
    <row r="31491" spans="7:16" s="1634" customFormat="1">
      <c r="G31491" s="3336"/>
      <c r="P31491" s="3337"/>
    </row>
    <row r="31492" spans="7:16" s="1634" customFormat="1">
      <c r="G31492" s="3336"/>
      <c r="P31492" s="3337"/>
    </row>
    <row r="31493" spans="7:16" s="1634" customFormat="1">
      <c r="G31493" s="3336"/>
      <c r="P31493" s="3337"/>
    </row>
    <row r="31494" spans="7:16" s="1634" customFormat="1">
      <c r="G31494" s="3336"/>
      <c r="P31494" s="3337"/>
    </row>
    <row r="31495" spans="7:16" s="1634" customFormat="1">
      <c r="G31495" s="3336"/>
      <c r="P31495" s="3337"/>
    </row>
    <row r="31496" spans="7:16" s="1634" customFormat="1">
      <c r="G31496" s="3336"/>
      <c r="P31496" s="3337"/>
    </row>
    <row r="31497" spans="7:16" s="1634" customFormat="1">
      <c r="G31497" s="3336"/>
      <c r="P31497" s="3337"/>
    </row>
    <row r="31498" spans="7:16" s="1634" customFormat="1">
      <c r="G31498" s="3336"/>
      <c r="P31498" s="3337"/>
    </row>
    <row r="31499" spans="7:16" s="1634" customFormat="1">
      <c r="G31499" s="3336"/>
      <c r="P31499" s="3337"/>
    </row>
    <row r="31500" spans="7:16" s="1634" customFormat="1">
      <c r="G31500" s="3336"/>
      <c r="P31500" s="3337"/>
    </row>
    <row r="31501" spans="7:16" s="1634" customFormat="1">
      <c r="G31501" s="3336"/>
      <c r="P31501" s="3337"/>
    </row>
    <row r="31502" spans="7:16" s="1634" customFormat="1">
      <c r="G31502" s="3336"/>
      <c r="P31502" s="3337"/>
    </row>
    <row r="31503" spans="7:16" s="1634" customFormat="1">
      <c r="G31503" s="3336"/>
      <c r="P31503" s="3337"/>
    </row>
    <row r="31504" spans="7:16" s="1634" customFormat="1">
      <c r="G31504" s="3336"/>
      <c r="P31504" s="3337"/>
    </row>
    <row r="31505" spans="7:16" s="1634" customFormat="1">
      <c r="G31505" s="3336"/>
      <c r="P31505" s="3337"/>
    </row>
    <row r="31506" spans="7:16" s="1634" customFormat="1">
      <c r="G31506" s="3336"/>
      <c r="P31506" s="3337"/>
    </row>
    <row r="31507" spans="7:16" s="1634" customFormat="1">
      <c r="G31507" s="3336"/>
      <c r="P31507" s="3337"/>
    </row>
    <row r="31508" spans="7:16" s="1634" customFormat="1">
      <c r="G31508" s="3336"/>
      <c r="P31508" s="3337"/>
    </row>
    <row r="31509" spans="7:16" s="1634" customFormat="1">
      <c r="G31509" s="3336"/>
      <c r="P31509" s="3337"/>
    </row>
    <row r="31510" spans="7:16" s="1634" customFormat="1">
      <c r="G31510" s="3336"/>
      <c r="P31510" s="3337"/>
    </row>
    <row r="31511" spans="7:16" s="1634" customFormat="1">
      <c r="G31511" s="3336"/>
      <c r="P31511" s="3337"/>
    </row>
    <row r="31512" spans="7:16" s="1634" customFormat="1">
      <c r="G31512" s="3336"/>
      <c r="P31512" s="3337"/>
    </row>
    <row r="31513" spans="7:16" s="1634" customFormat="1">
      <c r="G31513" s="3336"/>
      <c r="P31513" s="3337"/>
    </row>
    <row r="31514" spans="7:16" s="1634" customFormat="1">
      <c r="G31514" s="3336"/>
      <c r="P31514" s="3337"/>
    </row>
    <row r="31515" spans="7:16" s="1634" customFormat="1">
      <c r="G31515" s="3336"/>
      <c r="P31515" s="3337"/>
    </row>
    <row r="31516" spans="7:16" s="1634" customFormat="1">
      <c r="G31516" s="3336"/>
      <c r="P31516" s="3337"/>
    </row>
    <row r="31517" spans="7:16" s="1634" customFormat="1">
      <c r="G31517" s="3336"/>
      <c r="P31517" s="3337"/>
    </row>
    <row r="31518" spans="7:16" s="1634" customFormat="1">
      <c r="G31518" s="3336"/>
      <c r="P31518" s="3337"/>
    </row>
    <row r="31519" spans="7:16" s="1634" customFormat="1">
      <c r="G31519" s="3336"/>
      <c r="P31519" s="3337"/>
    </row>
    <row r="31520" spans="7:16" s="1634" customFormat="1">
      <c r="G31520" s="3336"/>
      <c r="P31520" s="3337"/>
    </row>
    <row r="31521" spans="7:16" s="1634" customFormat="1">
      <c r="G31521" s="3336"/>
      <c r="P31521" s="3337"/>
    </row>
    <row r="31522" spans="7:16" s="1634" customFormat="1">
      <c r="G31522" s="3336"/>
      <c r="P31522" s="3337"/>
    </row>
    <row r="31523" spans="7:16" s="1634" customFormat="1">
      <c r="G31523" s="3336"/>
      <c r="P31523" s="3337"/>
    </row>
    <row r="31524" spans="7:16" s="1634" customFormat="1">
      <c r="G31524" s="3336"/>
      <c r="P31524" s="3337"/>
    </row>
    <row r="31525" spans="7:16" s="1634" customFormat="1">
      <c r="G31525" s="3336"/>
      <c r="P31525" s="3337"/>
    </row>
    <row r="31526" spans="7:16" s="1634" customFormat="1">
      <c r="G31526" s="3336"/>
      <c r="P31526" s="3337"/>
    </row>
    <row r="31527" spans="7:16" s="1634" customFormat="1">
      <c r="G31527" s="3336"/>
      <c r="P31527" s="3337"/>
    </row>
    <row r="31528" spans="7:16" s="1634" customFormat="1">
      <c r="G31528" s="3336"/>
      <c r="P31528" s="3337"/>
    </row>
    <row r="31529" spans="7:16" s="1634" customFormat="1">
      <c r="G31529" s="3336"/>
      <c r="P31529" s="3337"/>
    </row>
    <row r="31530" spans="7:16" s="1634" customFormat="1">
      <c r="G31530" s="3336"/>
      <c r="P31530" s="3337"/>
    </row>
    <row r="31531" spans="7:16" s="1634" customFormat="1">
      <c r="G31531" s="3336"/>
      <c r="P31531" s="3337"/>
    </row>
    <row r="31532" spans="7:16" s="1634" customFormat="1">
      <c r="G31532" s="3336"/>
      <c r="P31532" s="3337"/>
    </row>
    <row r="31533" spans="7:16" s="1634" customFormat="1">
      <c r="G31533" s="3336"/>
      <c r="P31533" s="3337"/>
    </row>
    <row r="31534" spans="7:16" s="1634" customFormat="1">
      <c r="G31534" s="3336"/>
      <c r="P31534" s="3337"/>
    </row>
    <row r="31535" spans="7:16" s="1634" customFormat="1">
      <c r="G31535" s="3336"/>
      <c r="P31535" s="3337"/>
    </row>
    <row r="31536" spans="7:16" s="1634" customFormat="1">
      <c r="G31536" s="3336"/>
      <c r="P31536" s="3337"/>
    </row>
    <row r="31537" spans="7:16" s="1634" customFormat="1">
      <c r="G31537" s="3336"/>
      <c r="P31537" s="3337"/>
    </row>
    <row r="31538" spans="7:16" s="1634" customFormat="1">
      <c r="G31538" s="3336"/>
      <c r="P31538" s="3337"/>
    </row>
    <row r="31539" spans="7:16" s="1634" customFormat="1">
      <c r="G31539" s="3336"/>
      <c r="P31539" s="3337"/>
    </row>
    <row r="31540" spans="7:16" s="1634" customFormat="1">
      <c r="G31540" s="3336"/>
      <c r="P31540" s="3337"/>
    </row>
    <row r="31541" spans="7:16" s="1634" customFormat="1">
      <c r="G31541" s="3336"/>
      <c r="P31541" s="3337"/>
    </row>
    <row r="31542" spans="7:16" s="1634" customFormat="1">
      <c r="G31542" s="3336"/>
      <c r="P31542" s="3337"/>
    </row>
    <row r="31543" spans="7:16" s="1634" customFormat="1">
      <c r="G31543" s="3336"/>
      <c r="P31543" s="3337"/>
    </row>
    <row r="31544" spans="7:16" s="1634" customFormat="1">
      <c r="G31544" s="3336"/>
      <c r="P31544" s="3337"/>
    </row>
    <row r="31545" spans="7:16" s="1634" customFormat="1">
      <c r="G31545" s="3336"/>
      <c r="P31545" s="3337"/>
    </row>
    <row r="31546" spans="7:16" s="1634" customFormat="1">
      <c r="G31546" s="3336"/>
      <c r="P31546" s="3337"/>
    </row>
    <row r="31547" spans="7:16" s="1634" customFormat="1">
      <c r="G31547" s="3336"/>
      <c r="P31547" s="3337"/>
    </row>
    <row r="31548" spans="7:16" s="1634" customFormat="1">
      <c r="G31548" s="3336"/>
      <c r="P31548" s="3337"/>
    </row>
    <row r="31549" spans="7:16" s="1634" customFormat="1">
      <c r="G31549" s="3336"/>
      <c r="P31549" s="3337"/>
    </row>
    <row r="31550" spans="7:16" s="1634" customFormat="1">
      <c r="G31550" s="3336"/>
      <c r="P31550" s="3337"/>
    </row>
    <row r="31551" spans="7:16" s="1634" customFormat="1">
      <c r="G31551" s="3336"/>
      <c r="P31551" s="3337"/>
    </row>
    <row r="31552" spans="7:16" s="1634" customFormat="1">
      <c r="G31552" s="3336"/>
      <c r="P31552" s="3337"/>
    </row>
    <row r="31553" spans="7:16" s="1634" customFormat="1">
      <c r="G31553" s="3336"/>
      <c r="P31553" s="3337"/>
    </row>
    <row r="31554" spans="7:16" s="1634" customFormat="1">
      <c r="G31554" s="3336"/>
      <c r="P31554" s="3337"/>
    </row>
    <row r="31555" spans="7:16" s="1634" customFormat="1">
      <c r="G31555" s="3336"/>
      <c r="P31555" s="3337"/>
    </row>
    <row r="31556" spans="7:16" s="1634" customFormat="1">
      <c r="G31556" s="3336"/>
      <c r="P31556" s="3337"/>
    </row>
    <row r="31557" spans="7:16" s="1634" customFormat="1">
      <c r="G31557" s="3336"/>
      <c r="P31557" s="3337"/>
    </row>
    <row r="31558" spans="7:16" s="1634" customFormat="1">
      <c r="G31558" s="3336"/>
      <c r="P31558" s="3337"/>
    </row>
    <row r="31559" spans="7:16" s="1634" customFormat="1">
      <c r="G31559" s="3336"/>
      <c r="P31559" s="3337"/>
    </row>
    <row r="31560" spans="7:16" s="1634" customFormat="1">
      <c r="G31560" s="3336"/>
      <c r="P31560" s="3337"/>
    </row>
    <row r="31561" spans="7:16" s="1634" customFormat="1">
      <c r="G31561" s="3336"/>
      <c r="P31561" s="3337"/>
    </row>
    <row r="31562" spans="7:16" s="1634" customFormat="1">
      <c r="G31562" s="3336"/>
      <c r="P31562" s="3337"/>
    </row>
    <row r="31563" spans="7:16" s="1634" customFormat="1">
      <c r="G31563" s="3336"/>
      <c r="P31563" s="3337"/>
    </row>
    <row r="31564" spans="7:16" s="1634" customFormat="1">
      <c r="G31564" s="3336"/>
      <c r="P31564" s="3337"/>
    </row>
    <row r="31565" spans="7:16" s="1634" customFormat="1">
      <c r="G31565" s="3336"/>
      <c r="P31565" s="3337"/>
    </row>
    <row r="31566" spans="7:16" s="1634" customFormat="1">
      <c r="G31566" s="3336"/>
      <c r="P31566" s="3337"/>
    </row>
    <row r="31567" spans="7:16" s="1634" customFormat="1">
      <c r="G31567" s="3336"/>
      <c r="P31567" s="3337"/>
    </row>
    <row r="31568" spans="7:16" s="1634" customFormat="1">
      <c r="G31568" s="3336"/>
      <c r="P31568" s="3337"/>
    </row>
    <row r="31569" spans="7:16" s="1634" customFormat="1">
      <c r="G31569" s="3336"/>
      <c r="P31569" s="3337"/>
    </row>
    <row r="31570" spans="7:16" s="1634" customFormat="1">
      <c r="G31570" s="3336"/>
      <c r="P31570" s="3337"/>
    </row>
    <row r="31571" spans="7:16" s="1634" customFormat="1">
      <c r="G31571" s="3336"/>
      <c r="P31571" s="3337"/>
    </row>
    <row r="31572" spans="7:16" s="1634" customFormat="1">
      <c r="G31572" s="3336"/>
      <c r="P31572" s="3337"/>
    </row>
    <row r="31573" spans="7:16" s="1634" customFormat="1">
      <c r="G31573" s="3336"/>
      <c r="P31573" s="3337"/>
    </row>
    <row r="31574" spans="7:16" s="1634" customFormat="1">
      <c r="G31574" s="3336"/>
      <c r="P31574" s="3337"/>
    </row>
    <row r="31575" spans="7:16" s="1634" customFormat="1">
      <c r="G31575" s="3336"/>
      <c r="P31575" s="3337"/>
    </row>
    <row r="31576" spans="7:16" s="1634" customFormat="1">
      <c r="G31576" s="3336"/>
      <c r="P31576" s="3337"/>
    </row>
    <row r="31577" spans="7:16" s="1634" customFormat="1">
      <c r="G31577" s="3336"/>
      <c r="P31577" s="3337"/>
    </row>
    <row r="31578" spans="7:16" s="1634" customFormat="1">
      <c r="G31578" s="3336"/>
      <c r="P31578" s="3337"/>
    </row>
    <row r="31579" spans="7:16" s="1634" customFormat="1">
      <c r="G31579" s="3336"/>
      <c r="P31579" s="3337"/>
    </row>
    <row r="31580" spans="7:16" s="1634" customFormat="1">
      <c r="G31580" s="3336"/>
      <c r="P31580" s="3337"/>
    </row>
    <row r="31581" spans="7:16" s="1634" customFormat="1">
      <c r="G31581" s="3336"/>
      <c r="P31581" s="3337"/>
    </row>
    <row r="31582" spans="7:16" s="1634" customFormat="1">
      <c r="G31582" s="3336"/>
      <c r="P31582" s="3337"/>
    </row>
    <row r="31583" spans="7:16" s="1634" customFormat="1">
      <c r="G31583" s="3336"/>
      <c r="P31583" s="3337"/>
    </row>
    <row r="31584" spans="7:16" s="1634" customFormat="1">
      <c r="G31584" s="3336"/>
      <c r="P31584" s="3337"/>
    </row>
    <row r="31585" spans="7:16" s="1634" customFormat="1">
      <c r="G31585" s="3336"/>
      <c r="P31585" s="3337"/>
    </row>
    <row r="31586" spans="7:16" s="1634" customFormat="1">
      <c r="G31586" s="3336"/>
      <c r="P31586" s="3337"/>
    </row>
    <row r="31587" spans="7:16" s="1634" customFormat="1">
      <c r="G31587" s="3336"/>
      <c r="P31587" s="3337"/>
    </row>
    <row r="31588" spans="7:16" s="1634" customFormat="1">
      <c r="G31588" s="3336"/>
      <c r="P31588" s="3337"/>
    </row>
    <row r="31589" spans="7:16" s="1634" customFormat="1">
      <c r="G31589" s="3336"/>
      <c r="P31589" s="3337"/>
    </row>
    <row r="31590" spans="7:16" s="1634" customFormat="1">
      <c r="G31590" s="3336"/>
      <c r="P31590" s="3337"/>
    </row>
    <row r="31591" spans="7:16" s="1634" customFormat="1">
      <c r="G31591" s="3336"/>
      <c r="P31591" s="3337"/>
    </row>
    <row r="31592" spans="7:16" s="1634" customFormat="1">
      <c r="G31592" s="3336"/>
      <c r="P31592" s="3337"/>
    </row>
    <row r="31593" spans="7:16" s="1634" customFormat="1">
      <c r="G31593" s="3336"/>
      <c r="P31593" s="3337"/>
    </row>
    <row r="31594" spans="7:16" s="1634" customFormat="1">
      <c r="G31594" s="3336"/>
      <c r="P31594" s="3337"/>
    </row>
    <row r="31595" spans="7:16" s="1634" customFormat="1">
      <c r="G31595" s="3336"/>
      <c r="P31595" s="3337"/>
    </row>
    <row r="31596" spans="7:16" s="1634" customFormat="1">
      <c r="G31596" s="3336"/>
      <c r="P31596" s="3337"/>
    </row>
    <row r="31597" spans="7:16" s="1634" customFormat="1">
      <c r="G31597" s="3336"/>
      <c r="P31597" s="3337"/>
    </row>
    <row r="31598" spans="7:16" s="1634" customFormat="1">
      <c r="G31598" s="3336"/>
      <c r="P31598" s="3337"/>
    </row>
    <row r="31599" spans="7:16" s="1634" customFormat="1">
      <c r="G31599" s="3336"/>
      <c r="P31599" s="3337"/>
    </row>
    <row r="31600" spans="7:16" s="1634" customFormat="1">
      <c r="G31600" s="3336"/>
      <c r="P31600" s="3337"/>
    </row>
    <row r="31601" spans="7:16" s="1634" customFormat="1">
      <c r="G31601" s="3336"/>
      <c r="P31601" s="3337"/>
    </row>
    <row r="31602" spans="7:16" s="1634" customFormat="1">
      <c r="G31602" s="3336"/>
      <c r="P31602" s="3337"/>
    </row>
    <row r="31603" spans="7:16" s="1634" customFormat="1">
      <c r="G31603" s="3336"/>
      <c r="P31603" s="3337"/>
    </row>
    <row r="31604" spans="7:16" s="1634" customFormat="1">
      <c r="G31604" s="3336"/>
      <c r="P31604" s="3337"/>
    </row>
    <row r="31605" spans="7:16" s="1634" customFormat="1">
      <c r="G31605" s="3336"/>
      <c r="P31605" s="3337"/>
    </row>
    <row r="31606" spans="7:16" s="1634" customFormat="1">
      <c r="G31606" s="3336"/>
      <c r="P31606" s="3337"/>
    </row>
    <row r="31607" spans="7:16" s="1634" customFormat="1">
      <c r="G31607" s="3336"/>
      <c r="P31607" s="3337"/>
    </row>
    <row r="31608" spans="7:16" s="1634" customFormat="1">
      <c r="G31608" s="3336"/>
      <c r="P31608" s="3337"/>
    </row>
    <row r="31609" spans="7:16" s="1634" customFormat="1">
      <c r="G31609" s="3336"/>
      <c r="P31609" s="3337"/>
    </row>
    <row r="31610" spans="7:16" s="1634" customFormat="1">
      <c r="G31610" s="3336"/>
      <c r="P31610" s="3337"/>
    </row>
    <row r="31611" spans="7:16" s="1634" customFormat="1">
      <c r="G31611" s="3336"/>
      <c r="P31611" s="3337"/>
    </row>
    <row r="31612" spans="7:16" s="1634" customFormat="1">
      <c r="G31612" s="3336"/>
      <c r="P31612" s="3337"/>
    </row>
    <row r="31613" spans="7:16" s="1634" customFormat="1">
      <c r="G31613" s="3336"/>
      <c r="P31613" s="3337"/>
    </row>
    <row r="31614" spans="7:16" s="1634" customFormat="1">
      <c r="G31614" s="3336"/>
      <c r="P31614" s="3337"/>
    </row>
    <row r="31615" spans="7:16" s="1634" customFormat="1">
      <c r="G31615" s="3336"/>
      <c r="P31615" s="3337"/>
    </row>
    <row r="31616" spans="7:16" s="1634" customFormat="1">
      <c r="G31616" s="3336"/>
      <c r="P31616" s="3337"/>
    </row>
    <row r="31617" spans="7:16" s="1634" customFormat="1">
      <c r="G31617" s="3336"/>
      <c r="P31617" s="3337"/>
    </row>
    <row r="31618" spans="7:16" s="1634" customFormat="1">
      <c r="G31618" s="3336"/>
      <c r="P31618" s="3337"/>
    </row>
    <row r="31619" spans="7:16" s="1634" customFormat="1">
      <c r="G31619" s="3336"/>
      <c r="P31619" s="3337"/>
    </row>
    <row r="31620" spans="7:16" s="1634" customFormat="1">
      <c r="G31620" s="3336"/>
      <c r="P31620" s="3337"/>
    </row>
    <row r="31621" spans="7:16" s="1634" customFormat="1">
      <c r="G31621" s="3336"/>
      <c r="P31621" s="3337"/>
    </row>
    <row r="31622" spans="7:16" s="1634" customFormat="1">
      <c r="G31622" s="3336"/>
      <c r="P31622" s="3337"/>
    </row>
    <row r="31623" spans="7:16" s="1634" customFormat="1">
      <c r="G31623" s="3336"/>
      <c r="P31623" s="3337"/>
    </row>
    <row r="31624" spans="7:16" s="1634" customFormat="1">
      <c r="G31624" s="3336"/>
      <c r="P31624" s="3337"/>
    </row>
    <row r="31625" spans="7:16" s="1634" customFormat="1">
      <c r="G31625" s="3336"/>
      <c r="P31625" s="3337"/>
    </row>
    <row r="31626" spans="7:16" s="1634" customFormat="1">
      <c r="G31626" s="3336"/>
      <c r="P31626" s="3337"/>
    </row>
    <row r="31627" spans="7:16" s="1634" customFormat="1">
      <c r="G31627" s="3336"/>
      <c r="P31627" s="3337"/>
    </row>
    <row r="31628" spans="7:16" s="1634" customFormat="1">
      <c r="G31628" s="3336"/>
      <c r="P31628" s="3337"/>
    </row>
    <row r="31629" spans="7:16" s="1634" customFormat="1">
      <c r="G31629" s="3336"/>
      <c r="P31629" s="3337"/>
    </row>
    <row r="31630" spans="7:16" s="1634" customFormat="1">
      <c r="G31630" s="3336"/>
      <c r="P31630" s="3337"/>
    </row>
    <row r="31631" spans="7:16" s="1634" customFormat="1">
      <c r="G31631" s="3336"/>
      <c r="P31631" s="3337"/>
    </row>
    <row r="31632" spans="7:16" s="1634" customFormat="1">
      <c r="G31632" s="3336"/>
      <c r="P31632" s="3337"/>
    </row>
    <row r="31633" spans="7:16" s="1634" customFormat="1">
      <c r="G31633" s="3336"/>
      <c r="P31633" s="3337"/>
    </row>
    <row r="31634" spans="7:16" s="1634" customFormat="1">
      <c r="G31634" s="3336"/>
      <c r="P31634" s="3337"/>
    </row>
    <row r="31635" spans="7:16" s="1634" customFormat="1">
      <c r="G31635" s="3336"/>
      <c r="P31635" s="3337"/>
    </row>
    <row r="31636" spans="7:16" s="1634" customFormat="1">
      <c r="G31636" s="3336"/>
      <c r="P31636" s="3337"/>
    </row>
    <row r="31637" spans="7:16" s="1634" customFormat="1">
      <c r="G31637" s="3336"/>
      <c r="P31637" s="3337"/>
    </row>
    <row r="31638" spans="7:16" s="1634" customFormat="1">
      <c r="G31638" s="3336"/>
      <c r="P31638" s="3337"/>
    </row>
    <row r="31639" spans="7:16" s="1634" customFormat="1">
      <c r="G31639" s="3336"/>
      <c r="P31639" s="3337"/>
    </row>
    <row r="31640" spans="7:16" s="1634" customFormat="1">
      <c r="G31640" s="3336"/>
      <c r="P31640" s="3337"/>
    </row>
    <row r="31641" spans="7:16" s="1634" customFormat="1">
      <c r="G31641" s="3336"/>
      <c r="P31641" s="3337"/>
    </row>
    <row r="31642" spans="7:16" s="1634" customFormat="1">
      <c r="G31642" s="3336"/>
      <c r="P31642" s="3337"/>
    </row>
    <row r="31643" spans="7:16" s="1634" customFormat="1">
      <c r="G31643" s="3336"/>
      <c r="P31643" s="3337"/>
    </row>
    <row r="31644" spans="7:16" s="1634" customFormat="1">
      <c r="G31644" s="3336"/>
      <c r="P31644" s="3337"/>
    </row>
    <row r="31645" spans="7:16" s="1634" customFormat="1">
      <c r="G31645" s="3336"/>
      <c r="P31645" s="3337"/>
    </row>
    <row r="31646" spans="7:16" s="1634" customFormat="1">
      <c r="G31646" s="3336"/>
      <c r="P31646" s="3337"/>
    </row>
    <row r="31647" spans="7:16" s="1634" customFormat="1">
      <c r="G31647" s="3336"/>
      <c r="P31647" s="3337"/>
    </row>
    <row r="31648" spans="7:16" s="1634" customFormat="1">
      <c r="G31648" s="3336"/>
      <c r="P31648" s="3337"/>
    </row>
    <row r="31649" spans="7:16" s="1634" customFormat="1">
      <c r="G31649" s="3336"/>
      <c r="P31649" s="3337"/>
    </row>
    <row r="31650" spans="7:16" s="1634" customFormat="1">
      <c r="G31650" s="3336"/>
      <c r="P31650" s="3337"/>
    </row>
    <row r="31651" spans="7:16" s="1634" customFormat="1">
      <c r="G31651" s="3336"/>
      <c r="P31651" s="3337"/>
    </row>
    <row r="31652" spans="7:16" s="1634" customFormat="1">
      <c r="G31652" s="3336"/>
      <c r="P31652" s="3337"/>
    </row>
    <row r="31653" spans="7:16" s="1634" customFormat="1">
      <c r="G31653" s="3336"/>
      <c r="P31653" s="3337"/>
    </row>
    <row r="31654" spans="7:16" s="1634" customFormat="1">
      <c r="G31654" s="3336"/>
      <c r="P31654" s="3337"/>
    </row>
    <row r="31655" spans="7:16" s="1634" customFormat="1">
      <c r="G31655" s="3336"/>
      <c r="P31655" s="3337"/>
    </row>
    <row r="31656" spans="7:16" s="1634" customFormat="1">
      <c r="G31656" s="3336"/>
      <c r="P31656" s="3337"/>
    </row>
    <row r="31657" spans="7:16" s="1634" customFormat="1">
      <c r="G31657" s="3336"/>
      <c r="P31657" s="3337"/>
    </row>
    <row r="31658" spans="7:16" s="1634" customFormat="1">
      <c r="G31658" s="3336"/>
      <c r="P31658" s="3337"/>
    </row>
    <row r="31659" spans="7:16" s="1634" customFormat="1">
      <c r="G31659" s="3336"/>
      <c r="P31659" s="3337"/>
    </row>
    <row r="31660" spans="7:16" s="1634" customFormat="1">
      <c r="G31660" s="3336"/>
      <c r="P31660" s="3337"/>
    </row>
    <row r="31661" spans="7:16" s="1634" customFormat="1">
      <c r="G31661" s="3336"/>
      <c r="P31661" s="3337"/>
    </row>
    <row r="31662" spans="7:16" s="1634" customFormat="1">
      <c r="G31662" s="3336"/>
      <c r="P31662" s="3337"/>
    </row>
    <row r="31663" spans="7:16" s="1634" customFormat="1">
      <c r="G31663" s="3336"/>
      <c r="P31663" s="3337"/>
    </row>
    <row r="31664" spans="7:16" s="1634" customFormat="1">
      <c r="G31664" s="3336"/>
      <c r="P31664" s="3337"/>
    </row>
    <row r="31665" spans="7:16" s="1634" customFormat="1">
      <c r="G31665" s="3336"/>
      <c r="P31665" s="3337"/>
    </row>
    <row r="31666" spans="7:16" s="1634" customFormat="1">
      <c r="G31666" s="3336"/>
      <c r="P31666" s="3337"/>
    </row>
    <row r="31667" spans="7:16" s="1634" customFormat="1">
      <c r="G31667" s="3336"/>
      <c r="P31667" s="3337"/>
    </row>
    <row r="31668" spans="7:16" s="1634" customFormat="1">
      <c r="G31668" s="3336"/>
      <c r="P31668" s="3337"/>
    </row>
    <row r="31669" spans="7:16" s="1634" customFormat="1">
      <c r="G31669" s="3336"/>
      <c r="P31669" s="3337"/>
    </row>
    <row r="31670" spans="7:16" s="1634" customFormat="1">
      <c r="G31670" s="3336"/>
      <c r="P31670" s="3337"/>
    </row>
    <row r="31671" spans="7:16" s="1634" customFormat="1">
      <c r="G31671" s="3336"/>
      <c r="P31671" s="3337"/>
    </row>
    <row r="31672" spans="7:16" s="1634" customFormat="1">
      <c r="G31672" s="3336"/>
      <c r="P31672" s="3337"/>
    </row>
    <row r="31673" spans="7:16" s="1634" customFormat="1">
      <c r="G31673" s="3336"/>
      <c r="P31673" s="3337"/>
    </row>
    <row r="31674" spans="7:16" s="1634" customFormat="1">
      <c r="G31674" s="3336"/>
      <c r="P31674" s="3337"/>
    </row>
    <row r="31675" spans="7:16" s="1634" customFormat="1">
      <c r="G31675" s="3336"/>
      <c r="P31675" s="3337"/>
    </row>
    <row r="31676" spans="7:16" s="1634" customFormat="1">
      <c r="G31676" s="3336"/>
      <c r="P31676" s="3337"/>
    </row>
    <row r="31677" spans="7:16" s="1634" customFormat="1">
      <c r="G31677" s="3336"/>
      <c r="P31677" s="3337"/>
    </row>
    <row r="31678" spans="7:16" s="1634" customFormat="1">
      <c r="G31678" s="3336"/>
      <c r="P31678" s="3337"/>
    </row>
    <row r="31679" spans="7:16" s="1634" customFormat="1">
      <c r="G31679" s="3336"/>
      <c r="P31679" s="3337"/>
    </row>
    <row r="31680" spans="7:16" s="1634" customFormat="1">
      <c r="G31680" s="3336"/>
      <c r="P31680" s="3337"/>
    </row>
    <row r="31681" spans="7:16" s="1634" customFormat="1">
      <c r="G31681" s="3336"/>
      <c r="P31681" s="3337"/>
    </row>
    <row r="31682" spans="7:16" s="1634" customFormat="1">
      <c r="G31682" s="3336"/>
      <c r="P31682" s="3337"/>
    </row>
    <row r="31683" spans="7:16" s="1634" customFormat="1">
      <c r="G31683" s="3336"/>
      <c r="P31683" s="3337"/>
    </row>
    <row r="31684" spans="7:16" s="1634" customFormat="1">
      <c r="G31684" s="3336"/>
      <c r="P31684" s="3337"/>
    </row>
    <row r="31685" spans="7:16" s="1634" customFormat="1">
      <c r="G31685" s="3336"/>
      <c r="P31685" s="3337"/>
    </row>
    <row r="31686" spans="7:16" s="1634" customFormat="1">
      <c r="G31686" s="3336"/>
      <c r="P31686" s="3337"/>
    </row>
    <row r="31687" spans="7:16" s="1634" customFormat="1">
      <c r="G31687" s="3336"/>
      <c r="P31687" s="3337"/>
    </row>
    <row r="31688" spans="7:16" s="1634" customFormat="1">
      <c r="G31688" s="3336"/>
      <c r="P31688" s="3337"/>
    </row>
    <row r="31689" spans="7:16" s="1634" customFormat="1">
      <c r="G31689" s="3336"/>
      <c r="P31689" s="3337"/>
    </row>
    <row r="31690" spans="7:16" s="1634" customFormat="1">
      <c r="G31690" s="3336"/>
      <c r="P31690" s="3337"/>
    </row>
    <row r="31691" spans="7:16" s="1634" customFormat="1">
      <c r="G31691" s="3336"/>
      <c r="P31691" s="3337"/>
    </row>
    <row r="31692" spans="7:16" s="1634" customFormat="1">
      <c r="G31692" s="3336"/>
      <c r="P31692" s="3337"/>
    </row>
    <row r="31693" spans="7:16" s="1634" customFormat="1">
      <c r="G31693" s="3336"/>
      <c r="P31693" s="3337"/>
    </row>
    <row r="31694" spans="7:16" s="1634" customFormat="1">
      <c r="G31694" s="3336"/>
      <c r="P31694" s="3337"/>
    </row>
    <row r="31695" spans="7:16" s="1634" customFormat="1">
      <c r="G31695" s="3336"/>
      <c r="P31695" s="3337"/>
    </row>
    <row r="31696" spans="7:16" s="1634" customFormat="1">
      <c r="G31696" s="3336"/>
      <c r="P31696" s="3337"/>
    </row>
    <row r="31697" spans="7:16" s="1634" customFormat="1">
      <c r="G31697" s="3336"/>
      <c r="P31697" s="3337"/>
    </row>
    <row r="31698" spans="7:16" s="1634" customFormat="1">
      <c r="G31698" s="3336"/>
      <c r="P31698" s="3337"/>
    </row>
    <row r="31699" spans="7:16" s="1634" customFormat="1">
      <c r="G31699" s="3336"/>
      <c r="P31699" s="3337"/>
    </row>
    <row r="31700" spans="7:16" s="1634" customFormat="1">
      <c r="G31700" s="3336"/>
      <c r="P31700" s="3337"/>
    </row>
    <row r="31701" spans="7:16" s="1634" customFormat="1">
      <c r="G31701" s="3336"/>
      <c r="P31701" s="3337"/>
    </row>
    <row r="31702" spans="7:16" s="1634" customFormat="1">
      <c r="G31702" s="3336"/>
      <c r="P31702" s="3337"/>
    </row>
    <row r="31703" spans="7:16" s="1634" customFormat="1">
      <c r="G31703" s="3336"/>
      <c r="P31703" s="3337"/>
    </row>
    <row r="31704" spans="7:16" s="1634" customFormat="1">
      <c r="G31704" s="3336"/>
      <c r="P31704" s="3337"/>
    </row>
    <row r="31705" spans="7:16" s="1634" customFormat="1">
      <c r="G31705" s="3336"/>
      <c r="P31705" s="3337"/>
    </row>
    <row r="31706" spans="7:16" s="1634" customFormat="1">
      <c r="G31706" s="3336"/>
      <c r="P31706" s="3337"/>
    </row>
    <row r="31707" spans="7:16" s="1634" customFormat="1">
      <c r="G31707" s="3336"/>
      <c r="P31707" s="3337"/>
    </row>
    <row r="31708" spans="7:16" s="1634" customFormat="1">
      <c r="G31708" s="3336"/>
      <c r="P31708" s="3337"/>
    </row>
    <row r="31709" spans="7:16" s="1634" customFormat="1">
      <c r="G31709" s="3336"/>
      <c r="P31709" s="3337"/>
    </row>
    <row r="31710" spans="7:16" s="1634" customFormat="1">
      <c r="G31710" s="3336"/>
      <c r="P31710" s="3337"/>
    </row>
    <row r="31711" spans="7:16" s="1634" customFormat="1">
      <c r="G31711" s="3336"/>
      <c r="P31711" s="3337"/>
    </row>
    <row r="31712" spans="7:16" s="1634" customFormat="1">
      <c r="G31712" s="3336"/>
      <c r="P31712" s="3337"/>
    </row>
    <row r="31713" spans="7:16" s="1634" customFormat="1">
      <c r="G31713" s="3336"/>
      <c r="P31713" s="3337"/>
    </row>
    <row r="31714" spans="7:16" s="1634" customFormat="1">
      <c r="G31714" s="3336"/>
      <c r="P31714" s="3337"/>
    </row>
    <row r="31715" spans="7:16" s="1634" customFormat="1">
      <c r="G31715" s="3336"/>
      <c r="P31715" s="3337"/>
    </row>
    <row r="31716" spans="7:16" s="1634" customFormat="1">
      <c r="G31716" s="3336"/>
      <c r="P31716" s="3337"/>
    </row>
    <row r="31717" spans="7:16" s="1634" customFormat="1">
      <c r="G31717" s="3336"/>
      <c r="P31717" s="3337"/>
    </row>
    <row r="31718" spans="7:16" s="1634" customFormat="1">
      <c r="G31718" s="3336"/>
      <c r="P31718" s="3337"/>
    </row>
    <row r="31719" spans="7:16" s="1634" customFormat="1">
      <c r="G31719" s="3336"/>
      <c r="P31719" s="3337"/>
    </row>
    <row r="31720" spans="7:16" s="1634" customFormat="1">
      <c r="G31720" s="3336"/>
      <c r="P31720" s="3337"/>
    </row>
    <row r="31721" spans="7:16" s="1634" customFormat="1">
      <c r="G31721" s="3336"/>
      <c r="P31721" s="3337"/>
    </row>
    <row r="31722" spans="7:16" s="1634" customFormat="1">
      <c r="G31722" s="3336"/>
      <c r="P31722" s="3337"/>
    </row>
    <row r="31723" spans="7:16" s="1634" customFormat="1">
      <c r="G31723" s="3336"/>
      <c r="P31723" s="3337"/>
    </row>
    <row r="31724" spans="7:16" s="1634" customFormat="1">
      <c r="G31724" s="3336"/>
      <c r="P31724" s="3337"/>
    </row>
    <row r="31725" spans="7:16" s="1634" customFormat="1">
      <c r="G31725" s="3336"/>
      <c r="P31725" s="3337"/>
    </row>
    <row r="31726" spans="7:16" s="1634" customFormat="1">
      <c r="G31726" s="3336"/>
      <c r="P31726" s="3337"/>
    </row>
    <row r="31727" spans="7:16" s="1634" customFormat="1">
      <c r="G31727" s="3336"/>
      <c r="P31727" s="3337"/>
    </row>
    <row r="31728" spans="7:16" s="1634" customFormat="1">
      <c r="G31728" s="3336"/>
      <c r="P31728" s="3337"/>
    </row>
    <row r="31729" spans="7:16" s="1634" customFormat="1">
      <c r="G31729" s="3336"/>
      <c r="P31729" s="3337"/>
    </row>
    <row r="31730" spans="7:16" s="1634" customFormat="1">
      <c r="G31730" s="3336"/>
      <c r="P31730" s="3337"/>
    </row>
    <row r="31731" spans="7:16" s="1634" customFormat="1">
      <c r="G31731" s="3336"/>
      <c r="P31731" s="3337"/>
    </row>
    <row r="31732" spans="7:16" s="1634" customFormat="1">
      <c r="G31732" s="3336"/>
      <c r="P31732" s="3337"/>
    </row>
    <row r="31733" spans="7:16" s="1634" customFormat="1">
      <c r="G31733" s="3336"/>
      <c r="P31733" s="3337"/>
    </row>
    <row r="31734" spans="7:16" s="1634" customFormat="1">
      <c r="G31734" s="3336"/>
      <c r="P31734" s="3337"/>
    </row>
    <row r="31735" spans="7:16" s="1634" customFormat="1">
      <c r="G31735" s="3336"/>
      <c r="P31735" s="3337"/>
    </row>
    <row r="31736" spans="7:16" s="1634" customFormat="1">
      <c r="G31736" s="3336"/>
      <c r="P31736" s="3337"/>
    </row>
    <row r="31737" spans="7:16" s="1634" customFormat="1">
      <c r="G31737" s="3336"/>
      <c r="P31737" s="3337"/>
    </row>
    <row r="31738" spans="7:16" s="1634" customFormat="1">
      <c r="G31738" s="3336"/>
      <c r="P31738" s="3337"/>
    </row>
    <row r="31739" spans="7:16" s="1634" customFormat="1">
      <c r="G31739" s="3336"/>
      <c r="P31739" s="3337"/>
    </row>
    <row r="31740" spans="7:16" s="1634" customFormat="1">
      <c r="G31740" s="3336"/>
      <c r="P31740" s="3337"/>
    </row>
    <row r="31741" spans="7:16" s="1634" customFormat="1">
      <c r="G31741" s="3336"/>
      <c r="P31741" s="3337"/>
    </row>
    <row r="31742" spans="7:16" s="1634" customFormat="1">
      <c r="G31742" s="3336"/>
      <c r="P31742" s="3337"/>
    </row>
    <row r="31743" spans="7:16" s="1634" customFormat="1">
      <c r="G31743" s="3336"/>
      <c r="P31743" s="3337"/>
    </row>
    <row r="31744" spans="7:16" s="1634" customFormat="1">
      <c r="G31744" s="3336"/>
      <c r="P31744" s="3337"/>
    </row>
    <row r="31745" spans="7:16" s="1634" customFormat="1">
      <c r="G31745" s="3336"/>
      <c r="P31745" s="3337"/>
    </row>
    <row r="31746" spans="7:16" s="1634" customFormat="1">
      <c r="G31746" s="3336"/>
      <c r="P31746" s="3337"/>
    </row>
    <row r="31747" spans="7:16" s="1634" customFormat="1">
      <c r="G31747" s="3336"/>
      <c r="P31747" s="3337"/>
    </row>
    <row r="31748" spans="7:16" s="1634" customFormat="1">
      <c r="G31748" s="3336"/>
      <c r="P31748" s="3337"/>
    </row>
    <row r="31749" spans="7:16" s="1634" customFormat="1">
      <c r="G31749" s="3336"/>
      <c r="P31749" s="3337"/>
    </row>
    <row r="31750" spans="7:16" s="1634" customFormat="1">
      <c r="G31750" s="3336"/>
      <c r="P31750" s="3337"/>
    </row>
    <row r="31751" spans="7:16" s="1634" customFormat="1">
      <c r="G31751" s="3336"/>
      <c r="P31751" s="3337"/>
    </row>
    <row r="31752" spans="7:16" s="1634" customFormat="1">
      <c r="G31752" s="3336"/>
      <c r="P31752" s="3337"/>
    </row>
    <row r="31753" spans="7:16" s="1634" customFormat="1">
      <c r="G31753" s="3336"/>
      <c r="P31753" s="3337"/>
    </row>
    <row r="31754" spans="7:16" s="1634" customFormat="1">
      <c r="G31754" s="3336"/>
      <c r="P31754" s="3337"/>
    </row>
    <row r="31755" spans="7:16" s="1634" customFormat="1">
      <c r="G31755" s="3336"/>
      <c r="P31755" s="3337"/>
    </row>
    <row r="31756" spans="7:16" s="1634" customFormat="1">
      <c r="G31756" s="3336"/>
      <c r="P31756" s="3337"/>
    </row>
    <row r="31757" spans="7:16" s="1634" customFormat="1">
      <c r="G31757" s="3336"/>
      <c r="P31757" s="3337"/>
    </row>
    <row r="31758" spans="7:16" s="1634" customFormat="1">
      <c r="G31758" s="3336"/>
      <c r="P31758" s="3337"/>
    </row>
    <row r="31759" spans="7:16" s="1634" customFormat="1">
      <c r="G31759" s="3336"/>
      <c r="P31759" s="3337"/>
    </row>
    <row r="31760" spans="7:16" s="1634" customFormat="1">
      <c r="G31760" s="3336"/>
      <c r="P31760" s="3337"/>
    </row>
    <row r="31761" spans="7:16" s="1634" customFormat="1">
      <c r="G31761" s="3336"/>
      <c r="P31761" s="3337"/>
    </row>
    <row r="31762" spans="7:16" s="1634" customFormat="1">
      <c r="G31762" s="3336"/>
      <c r="P31762" s="3337"/>
    </row>
    <row r="31763" spans="7:16" s="1634" customFormat="1">
      <c r="G31763" s="3336"/>
      <c r="P31763" s="3337"/>
    </row>
    <row r="31764" spans="7:16" s="1634" customFormat="1">
      <c r="G31764" s="3336"/>
      <c r="P31764" s="3337"/>
    </row>
    <row r="31765" spans="7:16" s="1634" customFormat="1">
      <c r="G31765" s="3336"/>
      <c r="P31765" s="3337"/>
    </row>
    <row r="31766" spans="7:16" s="1634" customFormat="1">
      <c r="G31766" s="3336"/>
      <c r="P31766" s="3337"/>
    </row>
    <row r="31767" spans="7:16" s="1634" customFormat="1">
      <c r="G31767" s="3336"/>
      <c r="P31767" s="3337"/>
    </row>
    <row r="31768" spans="7:16" s="1634" customFormat="1">
      <c r="G31768" s="3336"/>
      <c r="P31768" s="3337"/>
    </row>
    <row r="31769" spans="7:16" s="1634" customFormat="1">
      <c r="G31769" s="3336"/>
      <c r="P31769" s="3337"/>
    </row>
    <row r="31770" spans="7:16" s="1634" customFormat="1">
      <c r="G31770" s="3336"/>
      <c r="P31770" s="3337"/>
    </row>
    <row r="31771" spans="7:16" s="1634" customFormat="1">
      <c r="G31771" s="3336"/>
      <c r="P31771" s="3337"/>
    </row>
    <row r="31772" spans="7:16" s="1634" customFormat="1">
      <c r="G31772" s="3336"/>
      <c r="P31772" s="3337"/>
    </row>
    <row r="31773" spans="7:16" s="1634" customFormat="1">
      <c r="G31773" s="3336"/>
      <c r="P31773" s="3337"/>
    </row>
    <row r="31774" spans="7:16" s="1634" customFormat="1">
      <c r="G31774" s="3336"/>
      <c r="P31774" s="3337"/>
    </row>
    <row r="31775" spans="7:16" s="1634" customFormat="1">
      <c r="G31775" s="3336"/>
      <c r="P31775" s="3337"/>
    </row>
    <row r="31776" spans="7:16" s="1634" customFormat="1">
      <c r="G31776" s="3336"/>
      <c r="P31776" s="3337"/>
    </row>
    <row r="31777" spans="7:16" s="1634" customFormat="1">
      <c r="G31777" s="3336"/>
      <c r="P31777" s="3337"/>
    </row>
    <row r="31778" spans="7:16" s="1634" customFormat="1">
      <c r="G31778" s="3336"/>
      <c r="P31778" s="3337"/>
    </row>
    <row r="31779" spans="7:16" s="1634" customFormat="1">
      <c r="G31779" s="3336"/>
      <c r="P31779" s="3337"/>
    </row>
    <row r="31780" spans="7:16" s="1634" customFormat="1">
      <c r="G31780" s="3336"/>
      <c r="P31780" s="3337"/>
    </row>
    <row r="31781" spans="7:16" s="1634" customFormat="1">
      <c r="G31781" s="3336"/>
      <c r="P31781" s="3337"/>
    </row>
    <row r="31782" spans="7:16" s="1634" customFormat="1">
      <c r="G31782" s="3336"/>
      <c r="P31782" s="3337"/>
    </row>
    <row r="31783" spans="7:16" s="1634" customFormat="1">
      <c r="G31783" s="3336"/>
      <c r="P31783" s="3337"/>
    </row>
    <row r="31784" spans="7:16" s="1634" customFormat="1">
      <c r="G31784" s="3336"/>
      <c r="P31784" s="3337"/>
    </row>
    <row r="31785" spans="7:16" s="1634" customFormat="1">
      <c r="G31785" s="3336"/>
      <c r="P31785" s="3337"/>
    </row>
    <row r="31786" spans="7:16" s="1634" customFormat="1">
      <c r="G31786" s="3336"/>
      <c r="P31786" s="3337"/>
    </row>
    <row r="31787" spans="7:16" s="1634" customFormat="1">
      <c r="G31787" s="3336"/>
      <c r="P31787" s="3337"/>
    </row>
    <row r="31788" spans="7:16" s="1634" customFormat="1">
      <c r="G31788" s="3336"/>
      <c r="P31788" s="3337"/>
    </row>
    <row r="31789" spans="7:16" s="1634" customFormat="1">
      <c r="G31789" s="3336"/>
      <c r="P31789" s="3337"/>
    </row>
    <row r="31790" spans="7:16" s="1634" customFormat="1">
      <c r="G31790" s="3336"/>
      <c r="P31790" s="3337"/>
    </row>
    <row r="31791" spans="7:16" s="1634" customFormat="1">
      <c r="G31791" s="3336"/>
      <c r="P31791" s="3337"/>
    </row>
    <row r="31792" spans="7:16" s="1634" customFormat="1">
      <c r="G31792" s="3336"/>
      <c r="P31792" s="3337"/>
    </row>
    <row r="31793" spans="7:16" s="1634" customFormat="1">
      <c r="G31793" s="3336"/>
      <c r="P31793" s="3337"/>
    </row>
    <row r="31794" spans="7:16" s="1634" customFormat="1">
      <c r="G31794" s="3336"/>
      <c r="P31794" s="3337"/>
    </row>
    <row r="31795" spans="7:16" s="1634" customFormat="1">
      <c r="G31795" s="3336"/>
      <c r="P31795" s="3337"/>
    </row>
    <row r="31796" spans="7:16" s="1634" customFormat="1">
      <c r="G31796" s="3336"/>
      <c r="P31796" s="3337"/>
    </row>
    <row r="31797" spans="7:16" s="1634" customFormat="1">
      <c r="G31797" s="3336"/>
      <c r="P31797" s="3337"/>
    </row>
    <row r="31798" spans="7:16" s="1634" customFormat="1">
      <c r="G31798" s="3336"/>
      <c r="P31798" s="3337"/>
    </row>
    <row r="31799" spans="7:16" s="1634" customFormat="1">
      <c r="G31799" s="3336"/>
      <c r="P31799" s="3337"/>
    </row>
    <row r="31800" spans="7:16" s="1634" customFormat="1">
      <c r="G31800" s="3336"/>
      <c r="P31800" s="3337"/>
    </row>
    <row r="31801" spans="7:16" s="1634" customFormat="1">
      <c r="G31801" s="3336"/>
      <c r="P31801" s="3337"/>
    </row>
    <row r="31802" spans="7:16" s="1634" customFormat="1">
      <c r="G31802" s="3336"/>
      <c r="P31802" s="3337"/>
    </row>
    <row r="31803" spans="7:16" s="1634" customFormat="1">
      <c r="G31803" s="3336"/>
      <c r="P31803" s="3337"/>
    </row>
    <row r="31804" spans="7:16" s="1634" customFormat="1">
      <c r="G31804" s="3336"/>
      <c r="P31804" s="3337"/>
    </row>
    <row r="31805" spans="7:16" s="1634" customFormat="1">
      <c r="G31805" s="3336"/>
      <c r="P31805" s="3337"/>
    </row>
    <row r="31806" spans="7:16" s="1634" customFormat="1">
      <c r="G31806" s="3336"/>
      <c r="P31806" s="3337"/>
    </row>
    <row r="31807" spans="7:16" s="1634" customFormat="1">
      <c r="G31807" s="3336"/>
      <c r="P31807" s="3337"/>
    </row>
    <row r="31808" spans="7:16" s="1634" customFormat="1">
      <c r="G31808" s="3336"/>
      <c r="P31808" s="3337"/>
    </row>
    <row r="31809" spans="7:16" s="1634" customFormat="1">
      <c r="G31809" s="3336"/>
      <c r="P31809" s="3337"/>
    </row>
    <row r="31810" spans="7:16" s="1634" customFormat="1">
      <c r="G31810" s="3336"/>
      <c r="P31810" s="3337"/>
    </row>
    <row r="31811" spans="7:16" s="1634" customFormat="1">
      <c r="G31811" s="3336"/>
      <c r="P31811" s="3337"/>
    </row>
    <row r="31812" spans="7:16" s="1634" customFormat="1">
      <c r="G31812" s="3336"/>
      <c r="P31812" s="3337"/>
    </row>
    <row r="31813" spans="7:16" s="1634" customFormat="1">
      <c r="G31813" s="3336"/>
      <c r="P31813" s="3337"/>
    </row>
    <row r="31814" spans="7:16" s="1634" customFormat="1">
      <c r="G31814" s="3336"/>
      <c r="P31814" s="3337"/>
    </row>
    <row r="31815" spans="7:16" s="1634" customFormat="1">
      <c r="G31815" s="3336"/>
      <c r="P31815" s="3337"/>
    </row>
    <row r="31816" spans="7:16" s="1634" customFormat="1">
      <c r="G31816" s="3336"/>
      <c r="P31816" s="3337"/>
    </row>
    <row r="31817" spans="7:16" s="1634" customFormat="1">
      <c r="G31817" s="3336"/>
      <c r="P31817" s="3337"/>
    </row>
    <row r="31818" spans="7:16" s="1634" customFormat="1">
      <c r="G31818" s="3336"/>
      <c r="P31818" s="3337"/>
    </row>
    <row r="31819" spans="7:16" s="1634" customFormat="1">
      <c r="G31819" s="3336"/>
      <c r="P31819" s="3337"/>
    </row>
    <row r="31820" spans="7:16" s="1634" customFormat="1">
      <c r="G31820" s="3336"/>
      <c r="P31820" s="3337"/>
    </row>
    <row r="31821" spans="7:16" s="1634" customFormat="1">
      <c r="G31821" s="3336"/>
      <c r="P31821" s="3337"/>
    </row>
    <row r="31822" spans="7:16" s="1634" customFormat="1">
      <c r="G31822" s="3336"/>
      <c r="P31822" s="3337"/>
    </row>
    <row r="31823" spans="7:16" s="1634" customFormat="1">
      <c r="G31823" s="3336"/>
      <c r="P31823" s="3337"/>
    </row>
    <row r="31824" spans="7:16" s="1634" customFormat="1">
      <c r="G31824" s="3336"/>
      <c r="P31824" s="3337"/>
    </row>
    <row r="31825" spans="7:16" s="1634" customFormat="1">
      <c r="G31825" s="3336"/>
      <c r="P31825" s="3337"/>
    </row>
    <row r="31826" spans="7:16" s="1634" customFormat="1">
      <c r="G31826" s="3336"/>
      <c r="P31826" s="3337"/>
    </row>
    <row r="31827" spans="7:16" s="1634" customFormat="1">
      <c r="G31827" s="3336"/>
      <c r="P31827" s="3337"/>
    </row>
    <row r="31828" spans="7:16" s="1634" customFormat="1">
      <c r="G31828" s="3336"/>
      <c r="P31828" s="3337"/>
    </row>
    <row r="31829" spans="7:16" s="1634" customFormat="1">
      <c r="G31829" s="3336"/>
      <c r="P31829" s="3337"/>
    </row>
    <row r="31830" spans="7:16" s="1634" customFormat="1">
      <c r="G31830" s="3336"/>
      <c r="P31830" s="3337"/>
    </row>
    <row r="31831" spans="7:16" s="1634" customFormat="1">
      <c r="G31831" s="3336"/>
      <c r="P31831" s="3337"/>
    </row>
    <row r="31832" spans="7:16" s="1634" customFormat="1">
      <c r="G31832" s="3336"/>
      <c r="P31832" s="3337"/>
    </row>
    <row r="31833" spans="7:16" s="1634" customFormat="1">
      <c r="G31833" s="3336"/>
      <c r="P31833" s="3337"/>
    </row>
    <row r="31834" spans="7:16" s="1634" customFormat="1">
      <c r="G31834" s="3336"/>
      <c r="P31834" s="3337"/>
    </row>
    <row r="31835" spans="7:16" s="1634" customFormat="1">
      <c r="G31835" s="3336"/>
      <c r="P31835" s="3337"/>
    </row>
    <row r="31836" spans="7:16" s="1634" customFormat="1">
      <c r="G31836" s="3336"/>
      <c r="P31836" s="3337"/>
    </row>
    <row r="31837" spans="7:16" s="1634" customFormat="1">
      <c r="G31837" s="3336"/>
      <c r="P31837" s="3337"/>
    </row>
    <row r="31838" spans="7:16" s="1634" customFormat="1">
      <c r="G31838" s="3336"/>
      <c r="P31838" s="3337"/>
    </row>
    <row r="31839" spans="7:16" s="1634" customFormat="1">
      <c r="G31839" s="3336"/>
      <c r="P31839" s="3337"/>
    </row>
    <row r="31840" spans="7:16" s="1634" customFormat="1">
      <c r="G31840" s="3336"/>
      <c r="P31840" s="3337"/>
    </row>
    <row r="31841" spans="7:16" s="1634" customFormat="1">
      <c r="G31841" s="3336"/>
      <c r="P31841" s="3337"/>
    </row>
    <row r="31842" spans="7:16" s="1634" customFormat="1">
      <c r="G31842" s="3336"/>
      <c r="P31842" s="3337"/>
    </row>
    <row r="31843" spans="7:16" s="1634" customFormat="1">
      <c r="G31843" s="3336"/>
      <c r="P31843" s="3337"/>
    </row>
    <row r="31844" spans="7:16" s="1634" customFormat="1">
      <c r="G31844" s="3336"/>
      <c r="P31844" s="3337"/>
    </row>
    <row r="31845" spans="7:16" s="1634" customFormat="1">
      <c r="G31845" s="3336"/>
      <c r="P31845" s="3337"/>
    </row>
    <row r="31846" spans="7:16" s="1634" customFormat="1">
      <c r="G31846" s="3336"/>
      <c r="P31846" s="3337"/>
    </row>
    <row r="31847" spans="7:16" s="1634" customFormat="1">
      <c r="G31847" s="3336"/>
      <c r="P31847" s="3337"/>
    </row>
    <row r="31848" spans="7:16" s="1634" customFormat="1">
      <c r="G31848" s="3336"/>
      <c r="P31848" s="3337"/>
    </row>
    <row r="31849" spans="7:16" s="1634" customFormat="1">
      <c r="G31849" s="3336"/>
      <c r="P31849" s="3337"/>
    </row>
    <row r="31850" spans="7:16" s="1634" customFormat="1">
      <c r="G31850" s="3336"/>
      <c r="P31850" s="3337"/>
    </row>
    <row r="31851" spans="7:16" s="1634" customFormat="1">
      <c r="G31851" s="3336"/>
      <c r="P31851" s="3337"/>
    </row>
    <row r="31852" spans="7:16" s="1634" customFormat="1">
      <c r="G31852" s="3336"/>
      <c r="P31852" s="3337"/>
    </row>
    <row r="31853" spans="7:16" s="1634" customFormat="1">
      <c r="G31853" s="3336"/>
      <c r="P31853" s="3337"/>
    </row>
    <row r="31854" spans="7:16" s="1634" customFormat="1">
      <c r="G31854" s="3336"/>
      <c r="P31854" s="3337"/>
    </row>
    <row r="31855" spans="7:16" s="1634" customFormat="1">
      <c r="G31855" s="3336"/>
      <c r="P31855" s="3337"/>
    </row>
    <row r="31856" spans="7:16" s="1634" customFormat="1">
      <c r="G31856" s="3336"/>
      <c r="P31856" s="3337"/>
    </row>
    <row r="31857" spans="7:16" s="1634" customFormat="1">
      <c r="G31857" s="3336"/>
      <c r="P31857" s="3337"/>
    </row>
    <row r="31858" spans="7:16" s="1634" customFormat="1">
      <c r="G31858" s="3336"/>
      <c r="P31858" s="3337"/>
    </row>
    <row r="31859" spans="7:16" s="1634" customFormat="1">
      <c r="G31859" s="3336"/>
      <c r="P31859" s="3337"/>
    </row>
    <row r="31860" spans="7:16" s="1634" customFormat="1">
      <c r="G31860" s="3336"/>
      <c r="P31860" s="3337"/>
    </row>
    <row r="31861" spans="7:16" s="1634" customFormat="1">
      <c r="G31861" s="3336"/>
      <c r="P31861" s="3337"/>
    </row>
    <row r="31862" spans="7:16" s="1634" customFormat="1">
      <c r="G31862" s="3336"/>
      <c r="P31862" s="3337"/>
    </row>
    <row r="31863" spans="7:16" s="1634" customFormat="1">
      <c r="G31863" s="3336"/>
      <c r="P31863" s="3337"/>
    </row>
    <row r="31864" spans="7:16" s="1634" customFormat="1">
      <c r="G31864" s="3336"/>
      <c r="P31864" s="3337"/>
    </row>
    <row r="31865" spans="7:16" s="1634" customFormat="1">
      <c r="G31865" s="3336"/>
      <c r="P31865" s="3337"/>
    </row>
    <row r="31866" spans="7:16" s="1634" customFormat="1">
      <c r="G31866" s="3336"/>
      <c r="P31866" s="3337"/>
    </row>
    <row r="31867" spans="7:16" s="1634" customFormat="1">
      <c r="G31867" s="3336"/>
      <c r="P31867" s="3337"/>
    </row>
    <row r="31868" spans="7:16" s="1634" customFormat="1">
      <c r="G31868" s="3336"/>
      <c r="P31868" s="3337"/>
    </row>
    <row r="31869" spans="7:16" s="1634" customFormat="1">
      <c r="G31869" s="3336"/>
      <c r="P31869" s="3337"/>
    </row>
    <row r="31870" spans="7:16" s="1634" customFormat="1">
      <c r="G31870" s="3336"/>
      <c r="P31870" s="3337"/>
    </row>
    <row r="31871" spans="7:16" s="1634" customFormat="1">
      <c r="G31871" s="3336"/>
      <c r="P31871" s="3337"/>
    </row>
    <row r="31872" spans="7:16" s="1634" customFormat="1">
      <c r="G31872" s="3336"/>
      <c r="P31872" s="3337"/>
    </row>
    <row r="31873" spans="7:16" s="1634" customFormat="1">
      <c r="G31873" s="3336"/>
      <c r="P31873" s="3337"/>
    </row>
    <row r="31874" spans="7:16" s="1634" customFormat="1">
      <c r="G31874" s="3336"/>
      <c r="P31874" s="3337"/>
    </row>
    <row r="31875" spans="7:16" s="1634" customFormat="1">
      <c r="G31875" s="3336"/>
      <c r="P31875" s="3337"/>
    </row>
    <row r="31876" spans="7:16" s="1634" customFormat="1">
      <c r="G31876" s="3336"/>
      <c r="P31876" s="3337"/>
    </row>
    <row r="31877" spans="7:16" s="1634" customFormat="1">
      <c r="G31877" s="3336"/>
      <c r="P31877" s="3337"/>
    </row>
    <row r="31878" spans="7:16" s="1634" customFormat="1">
      <c r="G31878" s="3336"/>
      <c r="P31878" s="3337"/>
    </row>
    <row r="31879" spans="7:16" s="1634" customFormat="1">
      <c r="G31879" s="3336"/>
      <c r="P31879" s="3337"/>
    </row>
    <row r="31880" spans="7:16" s="1634" customFormat="1">
      <c r="G31880" s="3336"/>
      <c r="P31880" s="3337"/>
    </row>
    <row r="31881" spans="7:16" s="1634" customFormat="1">
      <c r="G31881" s="3336"/>
      <c r="P31881" s="3337"/>
    </row>
    <row r="31882" spans="7:16" s="1634" customFormat="1">
      <c r="G31882" s="3336"/>
      <c r="P31882" s="3337"/>
    </row>
    <row r="31883" spans="7:16" s="1634" customFormat="1">
      <c r="G31883" s="3336"/>
      <c r="P31883" s="3337"/>
    </row>
    <row r="31884" spans="7:16" s="1634" customFormat="1">
      <c r="G31884" s="3336"/>
      <c r="P31884" s="3337"/>
    </row>
    <row r="31885" spans="7:16" s="1634" customFormat="1">
      <c r="G31885" s="3336"/>
      <c r="P31885" s="3337"/>
    </row>
    <row r="31886" spans="7:16" s="1634" customFormat="1">
      <c r="G31886" s="3336"/>
      <c r="P31886" s="3337"/>
    </row>
    <row r="31887" spans="7:16" s="1634" customFormat="1">
      <c r="G31887" s="3336"/>
      <c r="P31887" s="3337"/>
    </row>
    <row r="31888" spans="7:16" s="1634" customFormat="1">
      <c r="G31888" s="3336"/>
      <c r="P31888" s="3337"/>
    </row>
    <row r="31889" spans="7:16" s="1634" customFormat="1">
      <c r="G31889" s="3336"/>
      <c r="P31889" s="3337"/>
    </row>
    <row r="31890" spans="7:16" s="1634" customFormat="1">
      <c r="G31890" s="3336"/>
      <c r="P31890" s="3337"/>
    </row>
    <row r="31891" spans="7:16" s="1634" customFormat="1">
      <c r="G31891" s="3336"/>
      <c r="P31891" s="3337"/>
    </row>
    <row r="31892" spans="7:16" s="1634" customFormat="1">
      <c r="G31892" s="3336"/>
      <c r="P31892" s="3337"/>
    </row>
    <row r="31893" spans="7:16" s="1634" customFormat="1">
      <c r="G31893" s="3336"/>
      <c r="P31893" s="3337"/>
    </row>
    <row r="31894" spans="7:16" s="1634" customFormat="1">
      <c r="G31894" s="3336"/>
      <c r="P31894" s="3337"/>
    </row>
    <row r="31895" spans="7:16" s="1634" customFormat="1">
      <c r="G31895" s="3336"/>
      <c r="P31895" s="3337"/>
    </row>
    <row r="31896" spans="7:16" s="1634" customFormat="1">
      <c r="G31896" s="3336"/>
      <c r="P31896" s="3337"/>
    </row>
    <row r="31897" spans="7:16" s="1634" customFormat="1">
      <c r="G31897" s="3336"/>
      <c r="P31897" s="3337"/>
    </row>
    <row r="31898" spans="7:16" s="1634" customFormat="1">
      <c r="G31898" s="3336"/>
      <c r="P31898" s="3337"/>
    </row>
    <row r="31899" spans="7:16" s="1634" customFormat="1">
      <c r="G31899" s="3336"/>
      <c r="P31899" s="3337"/>
    </row>
    <row r="31900" spans="7:16" s="1634" customFormat="1">
      <c r="G31900" s="3336"/>
      <c r="P31900" s="3337"/>
    </row>
    <row r="31901" spans="7:16" s="1634" customFormat="1">
      <c r="G31901" s="3336"/>
      <c r="P31901" s="3337"/>
    </row>
    <row r="31902" spans="7:16" s="1634" customFormat="1">
      <c r="G31902" s="3336"/>
      <c r="P31902" s="3337"/>
    </row>
    <row r="31903" spans="7:16" s="1634" customFormat="1">
      <c r="G31903" s="3336"/>
      <c r="P31903" s="3337"/>
    </row>
    <row r="31904" spans="7:16" s="1634" customFormat="1">
      <c r="G31904" s="3336"/>
      <c r="P31904" s="3337"/>
    </row>
    <row r="31905" spans="7:16" s="1634" customFormat="1">
      <c r="G31905" s="3336"/>
      <c r="P31905" s="3337"/>
    </row>
    <row r="31906" spans="7:16" s="1634" customFormat="1">
      <c r="G31906" s="3336"/>
      <c r="P31906" s="3337"/>
    </row>
    <row r="31907" spans="7:16" s="1634" customFormat="1">
      <c r="G31907" s="3336"/>
      <c r="P31907" s="3337"/>
    </row>
    <row r="31908" spans="7:16" s="1634" customFormat="1">
      <c r="G31908" s="3336"/>
      <c r="P31908" s="3337"/>
    </row>
    <row r="31909" spans="7:16" s="1634" customFormat="1">
      <c r="G31909" s="3336"/>
      <c r="P31909" s="3337"/>
    </row>
    <row r="31910" spans="7:16" s="1634" customFormat="1">
      <c r="G31910" s="3336"/>
      <c r="P31910" s="3337"/>
    </row>
    <row r="31911" spans="7:16" s="1634" customFormat="1">
      <c r="G31911" s="3336"/>
      <c r="P31911" s="3337"/>
    </row>
    <row r="31912" spans="7:16" s="1634" customFormat="1">
      <c r="G31912" s="3336"/>
      <c r="P31912" s="3337"/>
    </row>
    <row r="31913" spans="7:16" s="1634" customFormat="1">
      <c r="G31913" s="3336"/>
      <c r="P31913" s="3337"/>
    </row>
    <row r="31914" spans="7:16" s="1634" customFormat="1">
      <c r="G31914" s="3336"/>
      <c r="P31914" s="3337"/>
    </row>
    <row r="31915" spans="7:16" s="1634" customFormat="1">
      <c r="G31915" s="3336"/>
      <c r="P31915" s="3337"/>
    </row>
    <row r="31916" spans="7:16" s="1634" customFormat="1">
      <c r="G31916" s="3336"/>
      <c r="P31916" s="3337"/>
    </row>
    <row r="31917" spans="7:16" s="1634" customFormat="1">
      <c r="G31917" s="3336"/>
      <c r="P31917" s="3337"/>
    </row>
    <row r="31918" spans="7:16" s="1634" customFormat="1">
      <c r="G31918" s="3336"/>
      <c r="P31918" s="3337"/>
    </row>
    <row r="31919" spans="7:16" s="1634" customFormat="1">
      <c r="G31919" s="3336"/>
      <c r="P31919" s="3337"/>
    </row>
    <row r="31920" spans="7:16" s="1634" customFormat="1">
      <c r="G31920" s="3336"/>
      <c r="P31920" s="3337"/>
    </row>
    <row r="31921" spans="7:16" s="1634" customFormat="1">
      <c r="G31921" s="3336"/>
      <c r="P31921" s="3337"/>
    </row>
    <row r="31922" spans="7:16" s="1634" customFormat="1">
      <c r="G31922" s="3336"/>
      <c r="P31922" s="3337"/>
    </row>
    <row r="31923" spans="7:16" s="1634" customFormat="1">
      <c r="G31923" s="3336"/>
      <c r="P31923" s="3337"/>
    </row>
    <row r="31924" spans="7:16" s="1634" customFormat="1">
      <c r="G31924" s="3336"/>
      <c r="P31924" s="3337"/>
    </row>
    <row r="31925" spans="7:16" s="1634" customFormat="1">
      <c r="G31925" s="3336"/>
      <c r="P31925" s="3337"/>
    </row>
    <row r="31926" spans="7:16" s="1634" customFormat="1">
      <c r="G31926" s="3336"/>
      <c r="P31926" s="3337"/>
    </row>
    <row r="31927" spans="7:16" s="1634" customFormat="1">
      <c r="G31927" s="3336"/>
      <c r="P31927" s="3337"/>
    </row>
    <row r="31928" spans="7:16" s="1634" customFormat="1">
      <c r="G31928" s="3336"/>
      <c r="P31928" s="3337"/>
    </row>
    <row r="31929" spans="7:16" s="1634" customFormat="1">
      <c r="G31929" s="3336"/>
      <c r="P31929" s="3337"/>
    </row>
    <row r="31930" spans="7:16" s="1634" customFormat="1">
      <c r="G31930" s="3336"/>
      <c r="P31930" s="3337"/>
    </row>
    <row r="31931" spans="7:16" s="1634" customFormat="1">
      <c r="G31931" s="3336"/>
      <c r="P31931" s="3337"/>
    </row>
    <row r="31932" spans="7:16" s="1634" customFormat="1">
      <c r="G31932" s="3336"/>
      <c r="P31932" s="3337"/>
    </row>
    <row r="31933" spans="7:16" s="1634" customFormat="1">
      <c r="G31933" s="3336"/>
      <c r="P31933" s="3337"/>
    </row>
    <row r="31934" spans="7:16" s="1634" customFormat="1">
      <c r="G31934" s="3336"/>
      <c r="P31934" s="3337"/>
    </row>
    <row r="31935" spans="7:16" s="1634" customFormat="1">
      <c r="G31935" s="3336"/>
      <c r="P31935" s="3337"/>
    </row>
    <row r="31936" spans="7:16" s="1634" customFormat="1">
      <c r="G31936" s="3336"/>
      <c r="P31936" s="3337"/>
    </row>
    <row r="31937" spans="7:16" s="1634" customFormat="1">
      <c r="G31937" s="3336"/>
      <c r="P31937" s="3337"/>
    </row>
    <row r="31938" spans="7:16" s="1634" customFormat="1">
      <c r="G31938" s="3336"/>
      <c r="P31938" s="3337"/>
    </row>
    <row r="31939" spans="7:16" s="1634" customFormat="1">
      <c r="G31939" s="3336"/>
      <c r="P31939" s="3337"/>
    </row>
    <row r="31940" spans="7:16" s="1634" customFormat="1">
      <c r="G31940" s="3336"/>
      <c r="P31940" s="3337"/>
    </row>
    <row r="31941" spans="7:16" s="1634" customFormat="1">
      <c r="G31941" s="3336"/>
      <c r="P31941" s="3337"/>
    </row>
    <row r="31942" spans="7:16" s="1634" customFormat="1">
      <c r="G31942" s="3336"/>
      <c r="P31942" s="3337"/>
    </row>
    <row r="31943" spans="7:16" s="1634" customFormat="1">
      <c r="G31943" s="3336"/>
      <c r="P31943" s="3337"/>
    </row>
    <row r="31944" spans="7:16" s="1634" customFormat="1">
      <c r="G31944" s="3336"/>
      <c r="P31944" s="3337"/>
    </row>
    <row r="31945" spans="7:16" s="1634" customFormat="1">
      <c r="G31945" s="3336"/>
      <c r="P31945" s="3337"/>
    </row>
    <row r="31946" spans="7:16" s="1634" customFormat="1">
      <c r="G31946" s="3336"/>
      <c r="P31946" s="3337"/>
    </row>
    <row r="31947" spans="7:16" s="1634" customFormat="1">
      <c r="G31947" s="3336"/>
      <c r="P31947" s="3337"/>
    </row>
    <row r="31948" spans="7:16" s="1634" customFormat="1">
      <c r="G31948" s="3336"/>
      <c r="P31948" s="3337"/>
    </row>
    <row r="31949" spans="7:16" s="1634" customFormat="1">
      <c r="G31949" s="3336"/>
      <c r="P31949" s="3337"/>
    </row>
    <row r="31950" spans="7:16" s="1634" customFormat="1">
      <c r="G31950" s="3336"/>
      <c r="P31950" s="3337"/>
    </row>
    <row r="31951" spans="7:16" s="1634" customFormat="1">
      <c r="G31951" s="3336"/>
      <c r="P31951" s="3337"/>
    </row>
    <row r="31952" spans="7:16" s="1634" customFormat="1">
      <c r="G31952" s="3336"/>
      <c r="P31952" s="3337"/>
    </row>
    <row r="31953" spans="7:16" s="1634" customFormat="1">
      <c r="G31953" s="3336"/>
      <c r="P31953" s="3337"/>
    </row>
    <row r="31954" spans="7:16" s="1634" customFormat="1">
      <c r="G31954" s="3336"/>
      <c r="P31954" s="3337"/>
    </row>
    <row r="31955" spans="7:16" s="1634" customFormat="1">
      <c r="G31955" s="3336"/>
      <c r="P31955" s="3337"/>
    </row>
    <row r="31956" spans="7:16" s="1634" customFormat="1">
      <c r="G31956" s="3336"/>
      <c r="P31956" s="3337"/>
    </row>
    <row r="31957" spans="7:16" s="1634" customFormat="1">
      <c r="G31957" s="3336"/>
      <c r="P31957" s="3337"/>
    </row>
    <row r="31958" spans="7:16" s="1634" customFormat="1">
      <c r="G31958" s="3336"/>
      <c r="P31958" s="3337"/>
    </row>
    <row r="31959" spans="7:16" s="1634" customFormat="1">
      <c r="G31959" s="3336"/>
      <c r="P31959" s="3337"/>
    </row>
    <row r="31960" spans="7:16" s="1634" customFormat="1">
      <c r="G31960" s="3336"/>
      <c r="P31960" s="3337"/>
    </row>
    <row r="31961" spans="7:16" s="1634" customFormat="1">
      <c r="G31961" s="3336"/>
      <c r="P31961" s="3337"/>
    </row>
    <row r="31962" spans="7:16" s="1634" customFormat="1">
      <c r="G31962" s="3336"/>
      <c r="P31962" s="3337"/>
    </row>
    <row r="31963" spans="7:16" s="1634" customFormat="1">
      <c r="G31963" s="3336"/>
      <c r="P31963" s="3337"/>
    </row>
    <row r="31964" spans="7:16" s="1634" customFormat="1">
      <c r="G31964" s="3336"/>
      <c r="P31964" s="3337"/>
    </row>
    <row r="31965" spans="7:16" s="1634" customFormat="1">
      <c r="G31965" s="3336"/>
      <c r="P31965" s="3337"/>
    </row>
    <row r="31966" spans="7:16" s="1634" customFormat="1">
      <c r="G31966" s="3336"/>
      <c r="P31966" s="3337"/>
    </row>
    <row r="31967" spans="7:16" s="1634" customFormat="1">
      <c r="G31967" s="3336"/>
      <c r="P31967" s="3337"/>
    </row>
    <row r="31968" spans="7:16" s="1634" customFormat="1">
      <c r="G31968" s="3336"/>
      <c r="P31968" s="3337"/>
    </row>
    <row r="31969" spans="7:16" s="1634" customFormat="1">
      <c r="G31969" s="3336"/>
      <c r="P31969" s="3337"/>
    </row>
    <row r="31970" spans="7:16" s="1634" customFormat="1">
      <c r="G31970" s="3336"/>
      <c r="P31970" s="3337"/>
    </row>
    <row r="31971" spans="7:16" s="1634" customFormat="1">
      <c r="G31971" s="3336"/>
      <c r="P31971" s="3337"/>
    </row>
    <row r="31972" spans="7:16" s="1634" customFormat="1">
      <c r="G31972" s="3336"/>
      <c r="P31972" s="3337"/>
    </row>
    <row r="31973" spans="7:16" s="1634" customFormat="1">
      <c r="G31973" s="3336"/>
      <c r="P31973" s="3337"/>
    </row>
    <row r="31974" spans="7:16" s="1634" customFormat="1">
      <c r="G31974" s="3336"/>
      <c r="P31974" s="3337"/>
    </row>
    <row r="31975" spans="7:16" s="1634" customFormat="1">
      <c r="G31975" s="3336"/>
      <c r="P31975" s="3337"/>
    </row>
    <row r="31976" spans="7:16" s="1634" customFormat="1">
      <c r="G31976" s="3336"/>
      <c r="P31976" s="3337"/>
    </row>
    <row r="31977" spans="7:16" s="1634" customFormat="1">
      <c r="G31977" s="3336"/>
      <c r="P31977" s="3337"/>
    </row>
    <row r="31978" spans="7:16" s="1634" customFormat="1">
      <c r="G31978" s="3336"/>
      <c r="P31978" s="3337"/>
    </row>
    <row r="31979" spans="7:16" s="1634" customFormat="1">
      <c r="G31979" s="3336"/>
      <c r="P31979" s="3337"/>
    </row>
    <row r="31980" spans="7:16" s="1634" customFormat="1">
      <c r="G31980" s="3336"/>
      <c r="P31980" s="3337"/>
    </row>
    <row r="31981" spans="7:16" s="1634" customFormat="1">
      <c r="G31981" s="3336"/>
      <c r="P31981" s="3337"/>
    </row>
    <row r="31982" spans="7:16" s="1634" customFormat="1">
      <c r="G31982" s="3336"/>
      <c r="P31982" s="3337"/>
    </row>
    <row r="31983" spans="7:16" s="1634" customFormat="1">
      <c r="G31983" s="3336"/>
      <c r="P31983" s="3337"/>
    </row>
    <row r="31984" spans="7:16" s="1634" customFormat="1">
      <c r="G31984" s="3336"/>
      <c r="P31984" s="3337"/>
    </row>
    <row r="31985" spans="7:16" s="1634" customFormat="1">
      <c r="G31985" s="3336"/>
      <c r="P31985" s="3337"/>
    </row>
    <row r="31986" spans="7:16" s="1634" customFormat="1">
      <c r="G31986" s="3336"/>
      <c r="P31986" s="3337"/>
    </row>
    <row r="31987" spans="7:16" s="1634" customFormat="1">
      <c r="G31987" s="3336"/>
      <c r="P31987" s="3337"/>
    </row>
    <row r="31988" spans="7:16" s="1634" customFormat="1">
      <c r="G31988" s="3336"/>
      <c r="P31988" s="3337"/>
    </row>
    <row r="31989" spans="7:16" s="1634" customFormat="1">
      <c r="G31989" s="3336"/>
      <c r="P31989" s="3337"/>
    </row>
    <row r="31990" spans="7:16" s="1634" customFormat="1">
      <c r="G31990" s="3336"/>
      <c r="P31990" s="3337"/>
    </row>
    <row r="31991" spans="7:16" s="1634" customFormat="1">
      <c r="G31991" s="3336"/>
      <c r="P31991" s="3337"/>
    </row>
    <row r="31992" spans="7:16" s="1634" customFormat="1">
      <c r="G31992" s="3336"/>
      <c r="P31992" s="3337"/>
    </row>
    <row r="31993" spans="7:16" s="1634" customFormat="1">
      <c r="G31993" s="3336"/>
      <c r="P31993" s="3337"/>
    </row>
    <row r="31994" spans="7:16" s="1634" customFormat="1">
      <c r="G31994" s="3336"/>
      <c r="P31994" s="3337"/>
    </row>
    <row r="31995" spans="7:16" s="1634" customFormat="1">
      <c r="G31995" s="3336"/>
      <c r="P31995" s="3337"/>
    </row>
    <row r="31996" spans="7:16" s="1634" customFormat="1">
      <c r="G31996" s="3336"/>
      <c r="P31996" s="3337"/>
    </row>
    <row r="31997" spans="7:16" s="1634" customFormat="1">
      <c r="G31997" s="3336"/>
      <c r="P31997" s="3337"/>
    </row>
    <row r="31998" spans="7:16" s="1634" customFormat="1">
      <c r="G31998" s="3336"/>
      <c r="P31998" s="3337"/>
    </row>
    <row r="31999" spans="7:16" s="1634" customFormat="1">
      <c r="G31999" s="3336"/>
      <c r="P31999" s="3337"/>
    </row>
    <row r="32000" spans="7:16" s="1634" customFormat="1">
      <c r="G32000" s="3336"/>
      <c r="P32000" s="3337"/>
    </row>
    <row r="32001" spans="7:16" s="1634" customFormat="1">
      <c r="G32001" s="3336"/>
      <c r="P32001" s="3337"/>
    </row>
    <row r="32002" spans="7:16" s="1634" customFormat="1">
      <c r="G32002" s="3336"/>
      <c r="P32002" s="3337"/>
    </row>
    <row r="32003" spans="7:16" s="1634" customFormat="1">
      <c r="G32003" s="3336"/>
      <c r="P32003" s="3337"/>
    </row>
    <row r="32004" spans="7:16" s="1634" customFormat="1">
      <c r="G32004" s="3336"/>
      <c r="P32004" s="3337"/>
    </row>
    <row r="32005" spans="7:16" s="1634" customFormat="1">
      <c r="G32005" s="3336"/>
      <c r="P32005" s="3337"/>
    </row>
    <row r="32006" spans="7:16" s="1634" customFormat="1">
      <c r="G32006" s="3336"/>
      <c r="P32006" s="3337"/>
    </row>
    <row r="32007" spans="7:16" s="1634" customFormat="1">
      <c r="G32007" s="3336"/>
      <c r="P32007" s="3337"/>
    </row>
    <row r="32008" spans="7:16" s="1634" customFormat="1">
      <c r="G32008" s="3336"/>
      <c r="P32008" s="3337"/>
    </row>
    <row r="32009" spans="7:16" s="1634" customFormat="1">
      <c r="G32009" s="3336"/>
      <c r="P32009" s="3337"/>
    </row>
    <row r="32010" spans="7:16" s="1634" customFormat="1">
      <c r="G32010" s="3336"/>
      <c r="P32010" s="3337"/>
    </row>
    <row r="32011" spans="7:16" s="1634" customFormat="1">
      <c r="G32011" s="3336"/>
      <c r="P32011" s="3337"/>
    </row>
    <row r="32012" spans="7:16" s="1634" customFormat="1">
      <c r="G32012" s="3336"/>
      <c r="P32012" s="3337"/>
    </row>
    <row r="32013" spans="7:16" s="1634" customFormat="1">
      <c r="G32013" s="3336"/>
      <c r="P32013" s="3337"/>
    </row>
    <row r="32014" spans="7:16" s="1634" customFormat="1">
      <c r="G32014" s="3336"/>
      <c r="P32014" s="3337"/>
    </row>
    <row r="32015" spans="7:16" s="1634" customFormat="1">
      <c r="G32015" s="3336"/>
      <c r="P32015" s="3337"/>
    </row>
    <row r="32016" spans="7:16" s="1634" customFormat="1">
      <c r="G32016" s="3336"/>
      <c r="P32016" s="3337"/>
    </row>
    <row r="32017" spans="7:16" s="1634" customFormat="1">
      <c r="G32017" s="3336"/>
      <c r="P32017" s="3337"/>
    </row>
    <row r="32018" spans="7:16" s="1634" customFormat="1">
      <c r="G32018" s="3336"/>
      <c r="P32018" s="3337"/>
    </row>
    <row r="32019" spans="7:16" s="1634" customFormat="1">
      <c r="G32019" s="3336"/>
      <c r="P32019" s="3337"/>
    </row>
    <row r="32020" spans="7:16" s="1634" customFormat="1">
      <c r="G32020" s="3336"/>
      <c r="P32020" s="3337"/>
    </row>
    <row r="32021" spans="7:16" s="1634" customFormat="1">
      <c r="G32021" s="3336"/>
      <c r="P32021" s="3337"/>
    </row>
    <row r="32022" spans="7:16" s="1634" customFormat="1">
      <c r="G32022" s="3336"/>
      <c r="P32022" s="3337"/>
    </row>
    <row r="32023" spans="7:16" s="1634" customFormat="1">
      <c r="G32023" s="3336"/>
      <c r="P32023" s="3337"/>
    </row>
    <row r="32024" spans="7:16" s="1634" customFormat="1">
      <c r="G32024" s="3336"/>
      <c r="P32024" s="3337"/>
    </row>
    <row r="32025" spans="7:16" s="1634" customFormat="1">
      <c r="G32025" s="3336"/>
      <c r="P32025" s="3337"/>
    </row>
    <row r="32026" spans="7:16" s="1634" customFormat="1">
      <c r="G32026" s="3336"/>
      <c r="P32026" s="3337"/>
    </row>
    <row r="32027" spans="7:16" s="1634" customFormat="1">
      <c r="G32027" s="3336"/>
      <c r="P32027" s="3337"/>
    </row>
    <row r="32028" spans="7:16" s="1634" customFormat="1">
      <c r="G32028" s="3336"/>
      <c r="P32028" s="3337"/>
    </row>
    <row r="32029" spans="7:16" s="1634" customFormat="1">
      <c r="G32029" s="3336"/>
      <c r="P32029" s="3337"/>
    </row>
    <row r="32030" spans="7:16" s="1634" customFormat="1">
      <c r="G32030" s="3336"/>
      <c r="P32030" s="3337"/>
    </row>
    <row r="32031" spans="7:16" s="1634" customFormat="1">
      <c r="G32031" s="3336"/>
      <c r="P32031" s="3337"/>
    </row>
    <row r="32032" spans="7:16" s="1634" customFormat="1">
      <c r="G32032" s="3336"/>
      <c r="P32032" s="3337"/>
    </row>
    <row r="32033" spans="7:16" s="1634" customFormat="1">
      <c r="G32033" s="3336"/>
      <c r="P32033" s="3337"/>
    </row>
    <row r="32034" spans="7:16" s="1634" customFormat="1">
      <c r="G32034" s="3336"/>
      <c r="P32034" s="3337"/>
    </row>
    <row r="32035" spans="7:16" s="1634" customFormat="1">
      <c r="G32035" s="3336"/>
      <c r="P32035" s="3337"/>
    </row>
    <row r="32036" spans="7:16" s="1634" customFormat="1">
      <c r="G32036" s="3336"/>
      <c r="P32036" s="3337"/>
    </row>
    <row r="32037" spans="7:16" s="1634" customFormat="1">
      <c r="G32037" s="3336"/>
      <c r="P32037" s="3337"/>
    </row>
    <row r="32038" spans="7:16" s="1634" customFormat="1">
      <c r="G32038" s="3336"/>
      <c r="P32038" s="3337"/>
    </row>
    <row r="32039" spans="7:16" s="1634" customFormat="1">
      <c r="G32039" s="3336"/>
      <c r="P32039" s="3337"/>
    </row>
    <row r="32040" spans="7:16" s="1634" customFormat="1">
      <c r="G32040" s="3336"/>
      <c r="P32040" s="3337"/>
    </row>
    <row r="32041" spans="7:16" s="1634" customFormat="1">
      <c r="G32041" s="3336"/>
      <c r="P32041" s="3337"/>
    </row>
    <row r="32042" spans="7:16" s="1634" customFormat="1">
      <c r="G32042" s="3336"/>
      <c r="P32042" s="3337"/>
    </row>
    <row r="32043" spans="7:16" s="1634" customFormat="1">
      <c r="G32043" s="3336"/>
      <c r="P32043" s="3337"/>
    </row>
    <row r="32044" spans="7:16" s="1634" customFormat="1">
      <c r="G32044" s="3336"/>
      <c r="P32044" s="3337"/>
    </row>
    <row r="32045" spans="7:16" s="1634" customFormat="1">
      <c r="G32045" s="3336"/>
      <c r="P32045" s="3337"/>
    </row>
    <row r="32046" spans="7:16" s="1634" customFormat="1">
      <c r="G32046" s="3336"/>
      <c r="P32046" s="3337"/>
    </row>
    <row r="32047" spans="7:16" s="1634" customFormat="1">
      <c r="G32047" s="3336"/>
      <c r="P32047" s="3337"/>
    </row>
    <row r="32048" spans="7:16" s="1634" customFormat="1">
      <c r="G32048" s="3336"/>
      <c r="P32048" s="3337"/>
    </row>
    <row r="32049" spans="7:16" s="1634" customFormat="1">
      <c r="G32049" s="3336"/>
      <c r="P32049" s="3337"/>
    </row>
    <row r="32050" spans="7:16" s="1634" customFormat="1">
      <c r="G32050" s="3336"/>
      <c r="P32050" s="3337"/>
    </row>
    <row r="32051" spans="7:16" s="1634" customFormat="1">
      <c r="G32051" s="3336"/>
      <c r="P32051" s="3337"/>
    </row>
    <row r="32052" spans="7:16" s="1634" customFormat="1">
      <c r="G32052" s="3336"/>
      <c r="P32052" s="3337"/>
    </row>
    <row r="32053" spans="7:16" s="1634" customFormat="1">
      <c r="G32053" s="3336"/>
      <c r="P32053" s="3337"/>
    </row>
    <row r="32054" spans="7:16" s="1634" customFormat="1">
      <c r="G32054" s="3336"/>
      <c r="P32054" s="3337"/>
    </row>
    <row r="32055" spans="7:16" s="1634" customFormat="1">
      <c r="G32055" s="3336"/>
      <c r="P32055" s="3337"/>
    </row>
    <row r="32056" spans="7:16" s="1634" customFormat="1">
      <c r="G32056" s="3336"/>
      <c r="P32056" s="3337"/>
    </row>
    <row r="32057" spans="7:16" s="1634" customFormat="1">
      <c r="G32057" s="3336"/>
      <c r="P32057" s="3337"/>
    </row>
    <row r="32058" spans="7:16" s="1634" customFormat="1">
      <c r="G32058" s="3336"/>
      <c r="P32058" s="3337"/>
    </row>
    <row r="32059" spans="7:16" s="1634" customFormat="1">
      <c r="G32059" s="3336"/>
      <c r="P32059" s="3337"/>
    </row>
    <row r="32060" spans="7:16" s="1634" customFormat="1">
      <c r="G32060" s="3336"/>
      <c r="P32060" s="3337"/>
    </row>
    <row r="32061" spans="7:16" s="1634" customFormat="1">
      <c r="G32061" s="3336"/>
      <c r="P32061" s="3337"/>
    </row>
    <row r="32062" spans="7:16" s="1634" customFormat="1">
      <c r="G32062" s="3336"/>
      <c r="P32062" s="3337"/>
    </row>
    <row r="32063" spans="7:16" s="1634" customFormat="1">
      <c r="G32063" s="3336"/>
      <c r="P32063" s="3337"/>
    </row>
    <row r="32064" spans="7:16" s="1634" customFormat="1">
      <c r="G32064" s="3336"/>
      <c r="P32064" s="3337"/>
    </row>
    <row r="32065" spans="7:16" s="1634" customFormat="1">
      <c r="G32065" s="3336"/>
      <c r="P32065" s="3337"/>
    </row>
    <row r="32066" spans="7:16" s="1634" customFormat="1">
      <c r="G32066" s="3336"/>
      <c r="P32066" s="3337"/>
    </row>
    <row r="32067" spans="7:16" s="1634" customFormat="1">
      <c r="G32067" s="3336"/>
      <c r="P32067" s="3337"/>
    </row>
    <row r="32068" spans="7:16" s="1634" customFormat="1">
      <c r="G32068" s="3336"/>
      <c r="P32068" s="3337"/>
    </row>
    <row r="32069" spans="7:16" s="1634" customFormat="1">
      <c r="G32069" s="3336"/>
      <c r="P32069" s="3337"/>
    </row>
    <row r="32070" spans="7:16" s="1634" customFormat="1">
      <c r="G32070" s="3336"/>
      <c r="P32070" s="3337"/>
    </row>
    <row r="32071" spans="7:16" s="1634" customFormat="1">
      <c r="G32071" s="3336"/>
      <c r="P32071" s="3337"/>
    </row>
    <row r="32072" spans="7:16" s="1634" customFormat="1">
      <c r="G32072" s="3336"/>
      <c r="P32072" s="3337"/>
    </row>
    <row r="32073" spans="7:16" s="1634" customFormat="1">
      <c r="G32073" s="3336"/>
      <c r="P32073" s="3337"/>
    </row>
    <row r="32074" spans="7:16" s="1634" customFormat="1">
      <c r="G32074" s="3336"/>
      <c r="P32074" s="3337"/>
    </row>
    <row r="32075" spans="7:16" s="1634" customFormat="1">
      <c r="G32075" s="3336"/>
      <c r="P32075" s="3337"/>
    </row>
    <row r="32076" spans="7:16" s="1634" customFormat="1">
      <c r="G32076" s="3336"/>
      <c r="P32076" s="3337"/>
    </row>
    <row r="32077" spans="7:16" s="1634" customFormat="1">
      <c r="G32077" s="3336"/>
      <c r="P32077" s="3337"/>
    </row>
    <row r="32078" spans="7:16" s="1634" customFormat="1">
      <c r="G32078" s="3336"/>
      <c r="P32078" s="3337"/>
    </row>
    <row r="32079" spans="7:16" s="1634" customFormat="1">
      <c r="G32079" s="3336"/>
      <c r="P32079" s="3337"/>
    </row>
    <row r="32080" spans="7:16" s="1634" customFormat="1">
      <c r="G32080" s="3336"/>
      <c r="P32080" s="3337"/>
    </row>
    <row r="32081" spans="7:16" s="1634" customFormat="1">
      <c r="G32081" s="3336"/>
      <c r="P32081" s="3337"/>
    </row>
    <row r="32082" spans="7:16" s="1634" customFormat="1">
      <c r="G32082" s="3336"/>
      <c r="P32082" s="3337"/>
    </row>
    <row r="32083" spans="7:16" s="1634" customFormat="1">
      <c r="G32083" s="3336"/>
      <c r="P32083" s="3337"/>
    </row>
    <row r="32084" spans="7:16" s="1634" customFormat="1">
      <c r="G32084" s="3336"/>
      <c r="P32084" s="3337"/>
    </row>
    <row r="32085" spans="7:16" s="1634" customFormat="1">
      <c r="G32085" s="3336"/>
      <c r="P32085" s="3337"/>
    </row>
    <row r="32086" spans="7:16" s="1634" customFormat="1">
      <c r="G32086" s="3336"/>
      <c r="P32086" s="3337"/>
    </row>
    <row r="32087" spans="7:16" s="1634" customFormat="1">
      <c r="G32087" s="3336"/>
      <c r="P32087" s="3337"/>
    </row>
    <row r="32088" spans="7:16" s="1634" customFormat="1">
      <c r="G32088" s="3336"/>
      <c r="P32088" s="3337"/>
    </row>
    <row r="32089" spans="7:16" s="1634" customFormat="1">
      <c r="G32089" s="3336"/>
      <c r="P32089" s="3337"/>
    </row>
    <row r="32090" spans="7:16" s="1634" customFormat="1">
      <c r="G32090" s="3336"/>
      <c r="P32090" s="3337"/>
    </row>
    <row r="32091" spans="7:16" s="1634" customFormat="1">
      <c r="G32091" s="3336"/>
      <c r="P32091" s="3337"/>
    </row>
    <row r="32092" spans="7:16" s="1634" customFormat="1">
      <c r="G32092" s="3336"/>
      <c r="P32092" s="3337"/>
    </row>
    <row r="32093" spans="7:16" s="1634" customFormat="1">
      <c r="G32093" s="3336"/>
      <c r="P32093" s="3337"/>
    </row>
    <row r="32094" spans="7:16" s="1634" customFormat="1">
      <c r="G32094" s="3336"/>
      <c r="P32094" s="3337"/>
    </row>
    <row r="32095" spans="7:16" s="1634" customFormat="1">
      <c r="G32095" s="3336"/>
      <c r="P32095" s="3337"/>
    </row>
    <row r="32096" spans="7:16" s="1634" customFormat="1">
      <c r="G32096" s="3336"/>
      <c r="P32096" s="3337"/>
    </row>
    <row r="32097" spans="7:16" s="1634" customFormat="1">
      <c r="G32097" s="3336"/>
      <c r="P32097" s="3337"/>
    </row>
    <row r="32098" spans="7:16" s="1634" customFormat="1">
      <c r="G32098" s="3336"/>
      <c r="P32098" s="3337"/>
    </row>
    <row r="32099" spans="7:16" s="1634" customFormat="1">
      <c r="G32099" s="3336"/>
      <c r="P32099" s="3337"/>
    </row>
    <row r="32100" spans="7:16" s="1634" customFormat="1">
      <c r="G32100" s="3336"/>
      <c r="P32100" s="3337"/>
    </row>
    <row r="32101" spans="7:16" s="1634" customFormat="1">
      <c r="G32101" s="3336"/>
      <c r="P32101" s="3337"/>
    </row>
    <row r="32102" spans="7:16" s="1634" customFormat="1">
      <c r="G32102" s="3336"/>
      <c r="P32102" s="3337"/>
    </row>
    <row r="32103" spans="7:16" s="1634" customFormat="1">
      <c r="G32103" s="3336"/>
      <c r="P32103" s="3337"/>
    </row>
    <row r="32104" spans="7:16" s="1634" customFormat="1">
      <c r="G32104" s="3336"/>
      <c r="P32104" s="3337"/>
    </row>
    <row r="32105" spans="7:16" s="1634" customFormat="1">
      <c r="G32105" s="3336"/>
      <c r="P32105" s="3337"/>
    </row>
    <row r="32106" spans="7:16" s="1634" customFormat="1">
      <c r="G32106" s="3336"/>
      <c r="P32106" s="3337"/>
    </row>
    <row r="32107" spans="7:16" s="1634" customFormat="1">
      <c r="G32107" s="3336"/>
      <c r="P32107" s="3337"/>
    </row>
    <row r="32108" spans="7:16" s="1634" customFormat="1">
      <c r="G32108" s="3336"/>
      <c r="P32108" s="3337"/>
    </row>
    <row r="32109" spans="7:16" s="1634" customFormat="1">
      <c r="G32109" s="3336"/>
      <c r="P32109" s="3337"/>
    </row>
    <row r="32110" spans="7:16" s="1634" customFormat="1">
      <c r="G32110" s="3336"/>
      <c r="P32110" s="3337"/>
    </row>
    <row r="32111" spans="7:16" s="1634" customFormat="1">
      <c r="G32111" s="3336"/>
      <c r="P32111" s="3337"/>
    </row>
    <row r="32112" spans="7:16" s="1634" customFormat="1">
      <c r="G32112" s="3336"/>
      <c r="P32112" s="3337"/>
    </row>
    <row r="32113" spans="7:16" s="1634" customFormat="1">
      <c r="G32113" s="3336"/>
      <c r="P32113" s="3337"/>
    </row>
    <row r="32114" spans="7:16" s="1634" customFormat="1">
      <c r="G32114" s="3336"/>
      <c r="P32114" s="3337"/>
    </row>
    <row r="32115" spans="7:16" s="1634" customFormat="1">
      <c r="G32115" s="3336"/>
      <c r="P32115" s="3337"/>
    </row>
    <row r="32116" spans="7:16" s="1634" customFormat="1">
      <c r="G32116" s="3336"/>
      <c r="P32116" s="3337"/>
    </row>
    <row r="32117" spans="7:16" s="1634" customFormat="1">
      <c r="G32117" s="3336"/>
      <c r="P32117" s="3337"/>
    </row>
    <row r="32118" spans="7:16" s="1634" customFormat="1">
      <c r="G32118" s="3336"/>
      <c r="P32118" s="3337"/>
    </row>
    <row r="32119" spans="7:16" s="1634" customFormat="1">
      <c r="G32119" s="3336"/>
      <c r="P32119" s="3337"/>
    </row>
    <row r="32120" spans="7:16" s="1634" customFormat="1">
      <c r="G32120" s="3336"/>
      <c r="P32120" s="3337"/>
    </row>
    <row r="32121" spans="7:16" s="1634" customFormat="1">
      <c r="G32121" s="3336"/>
      <c r="P32121" s="3337"/>
    </row>
    <row r="32122" spans="7:16" s="1634" customFormat="1">
      <c r="G32122" s="3336"/>
      <c r="P32122" s="3337"/>
    </row>
    <row r="32123" spans="7:16" s="1634" customFormat="1">
      <c r="G32123" s="3336"/>
      <c r="P32123" s="3337"/>
    </row>
    <row r="32124" spans="7:16" s="1634" customFormat="1">
      <c r="G32124" s="3336"/>
      <c r="P32124" s="3337"/>
    </row>
    <row r="32125" spans="7:16" s="1634" customFormat="1">
      <c r="G32125" s="3336"/>
      <c r="P32125" s="3337"/>
    </row>
    <row r="32126" spans="7:16" s="1634" customFormat="1">
      <c r="G32126" s="3336"/>
      <c r="P32126" s="3337"/>
    </row>
    <row r="32127" spans="7:16" s="1634" customFormat="1">
      <c r="G32127" s="3336"/>
      <c r="P32127" s="3337"/>
    </row>
    <row r="32128" spans="7:16" s="1634" customFormat="1">
      <c r="G32128" s="3336"/>
      <c r="P32128" s="3337"/>
    </row>
    <row r="32129" spans="7:16" s="1634" customFormat="1">
      <c r="G32129" s="3336"/>
      <c r="P32129" s="3337"/>
    </row>
    <row r="32130" spans="7:16" s="1634" customFormat="1">
      <c r="G32130" s="3336"/>
      <c r="P32130" s="3337"/>
    </row>
    <row r="32131" spans="7:16" s="1634" customFormat="1">
      <c r="G32131" s="3336"/>
      <c r="P32131" s="3337"/>
    </row>
    <row r="32132" spans="7:16" s="1634" customFormat="1">
      <c r="G32132" s="3336"/>
      <c r="P32132" s="3337"/>
    </row>
    <row r="32133" spans="7:16" s="1634" customFormat="1">
      <c r="G32133" s="3336"/>
      <c r="P32133" s="3337"/>
    </row>
    <row r="32134" spans="7:16" s="1634" customFormat="1">
      <c r="G32134" s="3336"/>
      <c r="P32134" s="3337"/>
    </row>
    <row r="32135" spans="7:16" s="1634" customFormat="1">
      <c r="G32135" s="3336"/>
      <c r="P32135" s="3337"/>
    </row>
    <row r="32136" spans="7:16" s="1634" customFormat="1">
      <c r="G32136" s="3336"/>
      <c r="P32136" s="3337"/>
    </row>
    <row r="32137" spans="7:16" s="1634" customFormat="1">
      <c r="G32137" s="3336"/>
      <c r="P32137" s="3337"/>
    </row>
    <row r="32138" spans="7:16" s="1634" customFormat="1">
      <c r="G32138" s="3336"/>
      <c r="P32138" s="3337"/>
    </row>
    <row r="32139" spans="7:16" s="1634" customFormat="1">
      <c r="G32139" s="3336"/>
      <c r="P32139" s="3337"/>
    </row>
    <row r="32140" spans="7:16" s="1634" customFormat="1">
      <c r="G32140" s="3336"/>
      <c r="P32140" s="3337"/>
    </row>
    <row r="32141" spans="7:16" s="1634" customFormat="1">
      <c r="G32141" s="3336"/>
      <c r="P32141" s="3337"/>
    </row>
    <row r="32142" spans="7:16" s="1634" customFormat="1">
      <c r="G32142" s="3336"/>
      <c r="P32142" s="3337"/>
    </row>
    <row r="32143" spans="7:16" s="1634" customFormat="1">
      <c r="G32143" s="3336"/>
      <c r="P32143" s="3337"/>
    </row>
    <row r="32144" spans="7:16" s="1634" customFormat="1">
      <c r="G32144" s="3336"/>
      <c r="P32144" s="3337"/>
    </row>
    <row r="32145" spans="7:16" s="1634" customFormat="1">
      <c r="G32145" s="3336"/>
      <c r="P32145" s="3337"/>
    </row>
    <row r="32146" spans="7:16" s="1634" customFormat="1">
      <c r="G32146" s="3336"/>
      <c r="P32146" s="3337"/>
    </row>
    <row r="32147" spans="7:16" s="1634" customFormat="1">
      <c r="G32147" s="3336"/>
      <c r="P32147" s="3337"/>
    </row>
    <row r="32148" spans="7:16" s="1634" customFormat="1">
      <c r="G32148" s="3336"/>
      <c r="P32148" s="3337"/>
    </row>
    <row r="32149" spans="7:16" s="1634" customFormat="1">
      <c r="G32149" s="3336"/>
      <c r="P32149" s="3337"/>
    </row>
    <row r="32150" spans="7:16" s="1634" customFormat="1">
      <c r="G32150" s="3336"/>
      <c r="P32150" s="3337"/>
    </row>
    <row r="32151" spans="7:16" s="1634" customFormat="1">
      <c r="G32151" s="3336"/>
      <c r="P32151" s="3337"/>
    </row>
    <row r="32152" spans="7:16" s="1634" customFormat="1">
      <c r="G32152" s="3336"/>
      <c r="P32152" s="3337"/>
    </row>
    <row r="32153" spans="7:16" s="1634" customFormat="1">
      <c r="G32153" s="3336"/>
      <c r="P32153" s="3337"/>
    </row>
    <row r="32154" spans="7:16" s="1634" customFormat="1">
      <c r="G32154" s="3336"/>
      <c r="P32154" s="3337"/>
    </row>
    <row r="32155" spans="7:16" s="1634" customFormat="1">
      <c r="G32155" s="3336"/>
      <c r="P32155" s="3337"/>
    </row>
    <row r="32156" spans="7:16" s="1634" customFormat="1">
      <c r="G32156" s="3336"/>
      <c r="P32156" s="3337"/>
    </row>
    <row r="32157" spans="7:16" s="1634" customFormat="1">
      <c r="G32157" s="3336"/>
      <c r="P32157" s="3337"/>
    </row>
    <row r="32158" spans="7:16" s="1634" customFormat="1">
      <c r="G32158" s="3336"/>
      <c r="P32158" s="3337"/>
    </row>
    <row r="32159" spans="7:16" s="1634" customFormat="1">
      <c r="G32159" s="3336"/>
      <c r="P32159" s="3337"/>
    </row>
    <row r="32160" spans="7:16" s="1634" customFormat="1">
      <c r="G32160" s="3336"/>
      <c r="P32160" s="3337"/>
    </row>
    <row r="32161" spans="7:16" s="1634" customFormat="1">
      <c r="G32161" s="3336"/>
      <c r="P32161" s="3337"/>
    </row>
    <row r="32162" spans="7:16" s="1634" customFormat="1">
      <c r="G32162" s="3336"/>
      <c r="P32162" s="3337"/>
    </row>
    <row r="32163" spans="7:16" s="1634" customFormat="1">
      <c r="G32163" s="3336"/>
      <c r="P32163" s="3337"/>
    </row>
    <row r="32164" spans="7:16" s="1634" customFormat="1">
      <c r="G32164" s="3336"/>
      <c r="P32164" s="3337"/>
    </row>
    <row r="32165" spans="7:16" s="1634" customFormat="1">
      <c r="G32165" s="3336"/>
      <c r="P32165" s="3337"/>
    </row>
    <row r="32166" spans="7:16" s="1634" customFormat="1">
      <c r="G32166" s="3336"/>
      <c r="P32166" s="3337"/>
    </row>
    <row r="32167" spans="7:16" s="1634" customFormat="1">
      <c r="G32167" s="3336"/>
      <c r="P32167" s="3337"/>
    </row>
    <row r="32168" spans="7:16" s="1634" customFormat="1">
      <c r="G32168" s="3336"/>
      <c r="P32168" s="3337"/>
    </row>
    <row r="32169" spans="7:16" s="1634" customFormat="1">
      <c r="G32169" s="3336"/>
      <c r="P32169" s="3337"/>
    </row>
    <row r="32170" spans="7:16" s="1634" customFormat="1">
      <c r="G32170" s="3336"/>
      <c r="P32170" s="3337"/>
    </row>
    <row r="32171" spans="7:16" s="1634" customFormat="1">
      <c r="G32171" s="3336"/>
      <c r="P32171" s="3337"/>
    </row>
    <row r="32172" spans="7:16" s="1634" customFormat="1">
      <c r="G32172" s="3336"/>
      <c r="P32172" s="3337"/>
    </row>
    <row r="32173" spans="7:16" s="1634" customFormat="1">
      <c r="G32173" s="3336"/>
      <c r="P32173" s="3337"/>
    </row>
    <row r="32174" spans="7:16" s="1634" customFormat="1">
      <c r="G32174" s="3336"/>
      <c r="P32174" s="3337"/>
    </row>
    <row r="32175" spans="7:16" s="1634" customFormat="1">
      <c r="G32175" s="3336"/>
      <c r="P32175" s="3337"/>
    </row>
    <row r="32176" spans="7:16" s="1634" customFormat="1">
      <c r="G32176" s="3336"/>
      <c r="P32176" s="3337"/>
    </row>
    <row r="32177" spans="7:16" s="1634" customFormat="1">
      <c r="G32177" s="3336"/>
      <c r="P32177" s="3337"/>
    </row>
    <row r="32178" spans="7:16" s="1634" customFormat="1">
      <c r="G32178" s="3336"/>
      <c r="P32178" s="3337"/>
    </row>
    <row r="32179" spans="7:16" s="1634" customFormat="1">
      <c r="G32179" s="3336"/>
      <c r="P32179" s="3337"/>
    </row>
    <row r="32180" spans="7:16" s="1634" customFormat="1">
      <c r="G32180" s="3336"/>
      <c r="P32180" s="3337"/>
    </row>
    <row r="32181" spans="7:16" s="1634" customFormat="1">
      <c r="G32181" s="3336"/>
      <c r="P32181" s="3337"/>
    </row>
    <row r="32182" spans="7:16" s="1634" customFormat="1">
      <c r="G32182" s="3336"/>
      <c r="P32182" s="3337"/>
    </row>
    <row r="32183" spans="7:16" s="1634" customFormat="1">
      <c r="G32183" s="3336"/>
      <c r="P32183" s="3337"/>
    </row>
    <row r="32184" spans="7:16" s="1634" customFormat="1">
      <c r="G32184" s="3336"/>
      <c r="P32184" s="3337"/>
    </row>
    <row r="32185" spans="7:16" s="1634" customFormat="1">
      <c r="G32185" s="3336"/>
      <c r="P32185" s="3337"/>
    </row>
    <row r="32186" spans="7:16" s="1634" customFormat="1">
      <c r="G32186" s="3336"/>
      <c r="P32186" s="3337"/>
    </row>
    <row r="32187" spans="7:16" s="1634" customFormat="1">
      <c r="G32187" s="3336"/>
      <c r="P32187" s="3337"/>
    </row>
    <row r="32188" spans="7:16" s="1634" customFormat="1">
      <c r="G32188" s="3336"/>
      <c r="P32188" s="3337"/>
    </row>
    <row r="32189" spans="7:16" s="1634" customFormat="1">
      <c r="G32189" s="3336"/>
      <c r="P32189" s="3337"/>
    </row>
    <row r="32190" spans="7:16" s="1634" customFormat="1">
      <c r="G32190" s="3336"/>
      <c r="P32190" s="3337"/>
    </row>
    <row r="32191" spans="7:16" s="1634" customFormat="1">
      <c r="G32191" s="3336"/>
      <c r="P32191" s="3337"/>
    </row>
    <row r="32192" spans="7:16" s="1634" customFormat="1">
      <c r="G32192" s="3336"/>
      <c r="P32192" s="3337"/>
    </row>
    <row r="32193" spans="7:16" s="1634" customFormat="1">
      <c r="G32193" s="3336"/>
      <c r="P32193" s="3337"/>
    </row>
    <row r="32194" spans="7:16" s="1634" customFormat="1">
      <c r="G32194" s="3336"/>
      <c r="P32194" s="3337"/>
    </row>
    <row r="32195" spans="7:16" s="1634" customFormat="1">
      <c r="G32195" s="3336"/>
      <c r="P32195" s="3337"/>
    </row>
    <row r="32196" spans="7:16" s="1634" customFormat="1">
      <c r="G32196" s="3336"/>
      <c r="P32196" s="3337"/>
    </row>
    <row r="32197" spans="7:16" s="1634" customFormat="1">
      <c r="G32197" s="3336"/>
      <c r="P32197" s="3337"/>
    </row>
    <row r="32198" spans="7:16" s="1634" customFormat="1">
      <c r="G32198" s="3336"/>
      <c r="P32198" s="3337"/>
    </row>
    <row r="32199" spans="7:16" s="1634" customFormat="1">
      <c r="G32199" s="3336"/>
      <c r="P32199" s="3337"/>
    </row>
    <row r="32200" spans="7:16" s="1634" customFormat="1">
      <c r="G32200" s="3336"/>
      <c r="P32200" s="3337"/>
    </row>
    <row r="32201" spans="7:16" s="1634" customFormat="1">
      <c r="G32201" s="3336"/>
      <c r="P32201" s="3337"/>
    </row>
    <row r="32202" spans="7:16" s="1634" customFormat="1">
      <c r="G32202" s="3336"/>
      <c r="P32202" s="3337"/>
    </row>
    <row r="32203" spans="7:16" s="1634" customFormat="1">
      <c r="G32203" s="3336"/>
      <c r="P32203" s="3337"/>
    </row>
    <row r="32204" spans="7:16" s="1634" customFormat="1">
      <c r="G32204" s="3336"/>
      <c r="P32204" s="3337"/>
    </row>
    <row r="32205" spans="7:16" s="1634" customFormat="1">
      <c r="G32205" s="3336"/>
      <c r="P32205" s="3337"/>
    </row>
    <row r="32206" spans="7:16" s="1634" customFormat="1">
      <c r="G32206" s="3336"/>
      <c r="P32206" s="3337"/>
    </row>
    <row r="32207" spans="7:16" s="1634" customFormat="1">
      <c r="G32207" s="3336"/>
      <c r="P32207" s="3337"/>
    </row>
    <row r="32208" spans="7:16" s="1634" customFormat="1">
      <c r="G32208" s="3336"/>
      <c r="P32208" s="3337"/>
    </row>
    <row r="32209" spans="7:16" s="1634" customFormat="1">
      <c r="G32209" s="3336"/>
      <c r="P32209" s="3337"/>
    </row>
    <row r="32210" spans="7:16" s="1634" customFormat="1">
      <c r="G32210" s="3336"/>
      <c r="P32210" s="3337"/>
    </row>
    <row r="32211" spans="7:16" s="1634" customFormat="1">
      <c r="G32211" s="3336"/>
      <c r="P32211" s="3337"/>
    </row>
    <row r="32212" spans="7:16" s="1634" customFormat="1">
      <c r="G32212" s="3336"/>
      <c r="P32212" s="3337"/>
    </row>
    <row r="32213" spans="7:16" s="1634" customFormat="1">
      <c r="G32213" s="3336"/>
      <c r="P32213" s="3337"/>
    </row>
    <row r="32214" spans="7:16" s="1634" customFormat="1">
      <c r="G32214" s="3336"/>
      <c r="P32214" s="3337"/>
    </row>
    <row r="32215" spans="7:16" s="1634" customFormat="1">
      <c r="G32215" s="3336"/>
      <c r="P32215" s="3337"/>
    </row>
    <row r="32216" spans="7:16" s="1634" customFormat="1">
      <c r="G32216" s="3336"/>
      <c r="P32216" s="3337"/>
    </row>
    <row r="32217" spans="7:16" s="1634" customFormat="1">
      <c r="G32217" s="3336"/>
      <c r="P32217" s="3337"/>
    </row>
    <row r="32218" spans="7:16" s="1634" customFormat="1">
      <c r="G32218" s="3336"/>
      <c r="P32218" s="3337"/>
    </row>
    <row r="32219" spans="7:16" s="1634" customFormat="1">
      <c r="G32219" s="3336"/>
      <c r="P32219" s="3337"/>
    </row>
    <row r="32220" spans="7:16" s="1634" customFormat="1">
      <c r="G32220" s="3336"/>
      <c r="P32220" s="3337"/>
    </row>
    <row r="32221" spans="7:16" s="1634" customFormat="1">
      <c r="G32221" s="3336"/>
      <c r="P32221" s="3337"/>
    </row>
    <row r="32222" spans="7:16" s="1634" customFormat="1">
      <c r="G32222" s="3336"/>
      <c r="P32222" s="3337"/>
    </row>
    <row r="32223" spans="7:16" s="1634" customFormat="1">
      <c r="G32223" s="3336"/>
      <c r="P32223" s="3337"/>
    </row>
    <row r="32224" spans="7:16" s="1634" customFormat="1">
      <c r="G32224" s="3336"/>
      <c r="P32224" s="3337"/>
    </row>
    <row r="32225" spans="7:16" s="1634" customFormat="1">
      <c r="G32225" s="3336"/>
      <c r="P32225" s="3337"/>
    </row>
    <row r="32226" spans="7:16" s="1634" customFormat="1">
      <c r="G32226" s="3336"/>
      <c r="P32226" s="3337"/>
    </row>
    <row r="32227" spans="7:16" s="1634" customFormat="1">
      <c r="G32227" s="3336"/>
      <c r="P32227" s="3337"/>
    </row>
    <row r="32228" spans="7:16" s="1634" customFormat="1">
      <c r="G32228" s="3336"/>
      <c r="P32228" s="3337"/>
    </row>
    <row r="32229" spans="7:16" s="1634" customFormat="1">
      <c r="G32229" s="3336"/>
      <c r="P32229" s="3337"/>
    </row>
    <row r="32230" spans="7:16" s="1634" customFormat="1">
      <c r="G32230" s="3336"/>
      <c r="P32230" s="3337"/>
    </row>
    <row r="32231" spans="7:16" s="1634" customFormat="1">
      <c r="G32231" s="3336"/>
      <c r="P32231" s="3337"/>
    </row>
    <row r="32232" spans="7:16" s="1634" customFormat="1">
      <c r="G32232" s="3336"/>
      <c r="P32232" s="3337"/>
    </row>
    <row r="32233" spans="7:16" s="1634" customFormat="1">
      <c r="G32233" s="3336"/>
      <c r="P32233" s="3337"/>
    </row>
    <row r="32234" spans="7:16" s="1634" customFormat="1">
      <c r="G32234" s="3336"/>
      <c r="P32234" s="3337"/>
    </row>
    <row r="32235" spans="7:16" s="1634" customFormat="1">
      <c r="G32235" s="3336"/>
      <c r="P32235" s="3337"/>
    </row>
    <row r="32236" spans="7:16" s="1634" customFormat="1">
      <c r="G32236" s="3336"/>
      <c r="P32236" s="3337"/>
    </row>
    <row r="32237" spans="7:16" s="1634" customFormat="1">
      <c r="G32237" s="3336"/>
      <c r="P32237" s="3337"/>
    </row>
    <row r="32238" spans="7:16" s="1634" customFormat="1">
      <c r="G32238" s="3336"/>
      <c r="P32238" s="3337"/>
    </row>
    <row r="32239" spans="7:16" s="1634" customFormat="1">
      <c r="G32239" s="3336"/>
      <c r="P32239" s="3337"/>
    </row>
    <row r="32240" spans="7:16" s="1634" customFormat="1">
      <c r="G32240" s="3336"/>
      <c r="P32240" s="3337"/>
    </row>
    <row r="32241" spans="7:16" s="1634" customFormat="1">
      <c r="G32241" s="3336"/>
      <c r="P32241" s="3337"/>
    </row>
    <row r="32242" spans="7:16" s="1634" customFormat="1">
      <c r="G32242" s="3336"/>
      <c r="P32242" s="3337"/>
    </row>
    <row r="32243" spans="7:16" s="1634" customFormat="1">
      <c r="G32243" s="3336"/>
      <c r="P32243" s="3337"/>
    </row>
    <row r="32244" spans="7:16" s="1634" customFormat="1">
      <c r="G32244" s="3336"/>
      <c r="P32244" s="3337"/>
    </row>
    <row r="32245" spans="7:16" s="1634" customFormat="1">
      <c r="G32245" s="3336"/>
      <c r="P32245" s="3337"/>
    </row>
    <row r="32246" spans="7:16" s="1634" customFormat="1">
      <c r="G32246" s="3336"/>
      <c r="P32246" s="3337"/>
    </row>
    <row r="32247" spans="7:16" s="1634" customFormat="1">
      <c r="G32247" s="3336"/>
      <c r="P32247" s="3337"/>
    </row>
    <row r="32248" spans="7:16" s="1634" customFormat="1">
      <c r="G32248" s="3336"/>
      <c r="P32248" s="3337"/>
    </row>
    <row r="32249" spans="7:16" s="1634" customFormat="1">
      <c r="G32249" s="3336"/>
      <c r="P32249" s="3337"/>
    </row>
    <row r="32250" spans="7:16" s="1634" customFormat="1">
      <c r="G32250" s="3336"/>
      <c r="P32250" s="3337"/>
    </row>
    <row r="32251" spans="7:16" s="1634" customFormat="1">
      <c r="G32251" s="3336"/>
      <c r="P32251" s="3337"/>
    </row>
    <row r="32252" spans="7:16" s="1634" customFormat="1">
      <c r="G32252" s="3336"/>
      <c r="P32252" s="3337"/>
    </row>
    <row r="32253" spans="7:16" s="1634" customFormat="1">
      <c r="G32253" s="3336"/>
      <c r="P32253" s="3337"/>
    </row>
    <row r="32254" spans="7:16" s="1634" customFormat="1">
      <c r="G32254" s="3336"/>
      <c r="P32254" s="3337"/>
    </row>
    <row r="32255" spans="7:16" s="1634" customFormat="1">
      <c r="G32255" s="3336"/>
      <c r="P32255" s="3337"/>
    </row>
    <row r="32256" spans="7:16" s="1634" customFormat="1">
      <c r="G32256" s="3336"/>
      <c r="P32256" s="3337"/>
    </row>
    <row r="32257" spans="7:16" s="1634" customFormat="1">
      <c r="G32257" s="3336"/>
      <c r="P32257" s="3337"/>
    </row>
    <row r="32258" spans="7:16" s="1634" customFormat="1">
      <c r="G32258" s="3336"/>
      <c r="P32258" s="3337"/>
    </row>
    <row r="32259" spans="7:16" s="1634" customFormat="1">
      <c r="G32259" s="3336"/>
      <c r="P32259" s="3337"/>
    </row>
    <row r="32260" spans="7:16" s="1634" customFormat="1">
      <c r="G32260" s="3336"/>
      <c r="P32260" s="3337"/>
    </row>
    <row r="32261" spans="7:16" s="1634" customFormat="1">
      <c r="G32261" s="3336"/>
      <c r="P32261" s="3337"/>
    </row>
    <row r="32262" spans="7:16" s="1634" customFormat="1">
      <c r="G32262" s="3336"/>
      <c r="P32262" s="3337"/>
    </row>
    <row r="32263" spans="7:16" s="1634" customFormat="1">
      <c r="G32263" s="3336"/>
      <c r="P32263" s="3337"/>
    </row>
    <row r="32264" spans="7:16" s="1634" customFormat="1">
      <c r="G32264" s="3336"/>
      <c r="P32264" s="3337"/>
    </row>
    <row r="32265" spans="7:16" s="1634" customFormat="1">
      <c r="G32265" s="3336"/>
      <c r="P32265" s="3337"/>
    </row>
    <row r="32266" spans="7:16" s="1634" customFormat="1">
      <c r="G32266" s="3336"/>
      <c r="P32266" s="3337"/>
    </row>
    <row r="32267" spans="7:16" s="1634" customFormat="1">
      <c r="G32267" s="3336"/>
      <c r="P32267" s="3337"/>
    </row>
    <row r="32268" spans="7:16" s="1634" customFormat="1">
      <c r="G32268" s="3336"/>
      <c r="P32268" s="3337"/>
    </row>
    <row r="32269" spans="7:16" s="1634" customFormat="1">
      <c r="G32269" s="3336"/>
      <c r="P32269" s="3337"/>
    </row>
    <row r="32270" spans="7:16" s="1634" customFormat="1">
      <c r="G32270" s="3336"/>
      <c r="P32270" s="3337"/>
    </row>
    <row r="32271" spans="7:16" s="1634" customFormat="1">
      <c r="G32271" s="3336"/>
      <c r="P32271" s="3337"/>
    </row>
    <row r="32272" spans="7:16" s="1634" customFormat="1">
      <c r="G32272" s="3336"/>
      <c r="P32272" s="3337"/>
    </row>
    <row r="32273" spans="7:16" s="1634" customFormat="1">
      <c r="G32273" s="3336"/>
      <c r="P32273" s="3337"/>
    </row>
    <row r="32274" spans="7:16" s="1634" customFormat="1">
      <c r="G32274" s="3336"/>
      <c r="P32274" s="3337"/>
    </row>
    <row r="32275" spans="7:16" s="1634" customFormat="1">
      <c r="G32275" s="3336"/>
      <c r="P32275" s="3337"/>
    </row>
    <row r="32276" spans="7:16" s="1634" customFormat="1">
      <c r="G32276" s="3336"/>
      <c r="P32276" s="3337"/>
    </row>
    <row r="32277" spans="7:16" s="1634" customFormat="1">
      <c r="G32277" s="3336"/>
      <c r="P32277" s="3337"/>
    </row>
    <row r="32278" spans="7:16" s="1634" customFormat="1">
      <c r="G32278" s="3336"/>
      <c r="P32278" s="3337"/>
    </row>
    <row r="32279" spans="7:16" s="1634" customFormat="1">
      <c r="G32279" s="3336"/>
      <c r="P32279" s="3337"/>
    </row>
    <row r="32280" spans="7:16" s="1634" customFormat="1">
      <c r="G32280" s="3336"/>
      <c r="P32280" s="3337"/>
    </row>
    <row r="32281" spans="7:16" s="1634" customFormat="1">
      <c r="G32281" s="3336"/>
      <c r="P32281" s="3337"/>
    </row>
    <row r="32282" spans="7:16" s="1634" customFormat="1">
      <c r="G32282" s="3336"/>
      <c r="P32282" s="3337"/>
    </row>
    <row r="32283" spans="7:16" s="1634" customFormat="1">
      <c r="G32283" s="3336"/>
      <c r="P32283" s="3337"/>
    </row>
    <row r="32284" spans="7:16" s="1634" customFormat="1">
      <c r="G32284" s="3336"/>
      <c r="P32284" s="3337"/>
    </row>
    <row r="32285" spans="7:16" s="1634" customFormat="1">
      <c r="G32285" s="3336"/>
      <c r="P32285" s="3337"/>
    </row>
    <row r="32286" spans="7:16" s="1634" customFormat="1">
      <c r="G32286" s="3336"/>
      <c r="P32286" s="3337"/>
    </row>
    <row r="32287" spans="7:16" s="1634" customFormat="1">
      <c r="G32287" s="3336"/>
      <c r="P32287" s="3337"/>
    </row>
    <row r="32288" spans="7:16" s="1634" customFormat="1">
      <c r="G32288" s="3336"/>
      <c r="P32288" s="3337"/>
    </row>
    <row r="32289" spans="7:16" s="1634" customFormat="1">
      <c r="G32289" s="3336"/>
      <c r="P32289" s="3337"/>
    </row>
    <row r="32290" spans="7:16" s="1634" customFormat="1">
      <c r="G32290" s="3336"/>
      <c r="P32290" s="3337"/>
    </row>
    <row r="32291" spans="7:16" s="1634" customFormat="1">
      <c r="G32291" s="3336"/>
      <c r="P32291" s="3337"/>
    </row>
    <row r="32292" spans="7:16" s="1634" customFormat="1">
      <c r="G32292" s="3336"/>
      <c r="P32292" s="3337"/>
    </row>
    <row r="32293" spans="7:16" s="1634" customFormat="1">
      <c r="G32293" s="3336"/>
      <c r="P32293" s="3337"/>
    </row>
    <row r="32294" spans="7:16" s="1634" customFormat="1">
      <c r="G32294" s="3336"/>
      <c r="P32294" s="3337"/>
    </row>
    <row r="32295" spans="7:16" s="1634" customFormat="1">
      <c r="G32295" s="3336"/>
      <c r="P32295" s="3337"/>
    </row>
    <row r="32296" spans="7:16" s="1634" customFormat="1">
      <c r="G32296" s="3336"/>
      <c r="P32296" s="3337"/>
    </row>
    <row r="32297" spans="7:16" s="1634" customFormat="1">
      <c r="G32297" s="3336"/>
      <c r="P32297" s="3337"/>
    </row>
    <row r="32298" spans="7:16" s="1634" customFormat="1">
      <c r="G32298" s="3336"/>
      <c r="P32298" s="3337"/>
    </row>
    <row r="32299" spans="7:16" s="1634" customFormat="1">
      <c r="G32299" s="3336"/>
      <c r="P32299" s="3337"/>
    </row>
    <row r="32300" spans="7:16" s="1634" customFormat="1">
      <c r="G32300" s="3336"/>
      <c r="P32300" s="3337"/>
    </row>
    <row r="32301" spans="7:16" s="1634" customFormat="1">
      <c r="G32301" s="3336"/>
      <c r="P32301" s="3337"/>
    </row>
    <row r="32302" spans="7:16" s="1634" customFormat="1">
      <c r="G32302" s="3336"/>
      <c r="P32302" s="3337"/>
    </row>
    <row r="32303" spans="7:16" s="1634" customFormat="1">
      <c r="G32303" s="3336"/>
      <c r="P32303" s="3337"/>
    </row>
    <row r="32304" spans="7:16" s="1634" customFormat="1">
      <c r="G32304" s="3336"/>
      <c r="P32304" s="3337"/>
    </row>
    <row r="32305" spans="7:16" s="1634" customFormat="1">
      <c r="G32305" s="3336"/>
      <c r="P32305" s="3337"/>
    </row>
    <row r="32306" spans="7:16" s="1634" customFormat="1">
      <c r="G32306" s="3336"/>
      <c r="P32306" s="3337"/>
    </row>
    <row r="32307" spans="7:16" s="1634" customFormat="1">
      <c r="G32307" s="3336"/>
      <c r="P32307" s="3337"/>
    </row>
    <row r="32308" spans="7:16" s="1634" customFormat="1">
      <c r="G32308" s="3336"/>
      <c r="P32308" s="3337"/>
    </row>
    <row r="32309" spans="7:16" s="1634" customFormat="1">
      <c r="G32309" s="3336"/>
      <c r="P32309" s="3337"/>
    </row>
    <row r="32310" spans="7:16" s="1634" customFormat="1">
      <c r="G32310" s="3336"/>
      <c r="P32310" s="3337"/>
    </row>
    <row r="32311" spans="7:16" s="1634" customFormat="1">
      <c r="G32311" s="3336"/>
      <c r="P32311" s="3337"/>
    </row>
    <row r="32312" spans="7:16" s="1634" customFormat="1">
      <c r="G32312" s="3336"/>
      <c r="P32312" s="3337"/>
    </row>
    <row r="32313" spans="7:16" s="1634" customFormat="1">
      <c r="G32313" s="3336"/>
      <c r="P32313" s="3337"/>
    </row>
    <row r="32314" spans="7:16" s="1634" customFormat="1">
      <c r="G32314" s="3336"/>
      <c r="P32314" s="3337"/>
    </row>
    <row r="32315" spans="7:16" s="1634" customFormat="1">
      <c r="G32315" s="3336"/>
      <c r="P32315" s="3337"/>
    </row>
    <row r="32316" spans="7:16" s="1634" customFormat="1">
      <c r="G32316" s="3336"/>
      <c r="P32316" s="3337"/>
    </row>
    <row r="32317" spans="7:16" s="1634" customFormat="1">
      <c r="G32317" s="3336"/>
      <c r="P32317" s="3337"/>
    </row>
    <row r="32318" spans="7:16" s="1634" customFormat="1">
      <c r="G32318" s="3336"/>
      <c r="P32318" s="3337"/>
    </row>
    <row r="32319" spans="7:16" s="1634" customFormat="1">
      <c r="G32319" s="3336"/>
      <c r="P32319" s="3337"/>
    </row>
    <row r="32320" spans="7:16" s="1634" customFormat="1">
      <c r="G32320" s="3336"/>
      <c r="P32320" s="3337"/>
    </row>
    <row r="32321" spans="7:16" s="1634" customFormat="1">
      <c r="G32321" s="3336"/>
      <c r="P32321" s="3337"/>
    </row>
    <row r="32322" spans="7:16" s="1634" customFormat="1">
      <c r="G32322" s="3336"/>
      <c r="P32322" s="3337"/>
    </row>
    <row r="32323" spans="7:16" s="1634" customFormat="1">
      <c r="G32323" s="3336"/>
      <c r="P32323" s="3337"/>
    </row>
    <row r="32324" spans="7:16" s="1634" customFormat="1">
      <c r="G32324" s="3336"/>
      <c r="P32324" s="3337"/>
    </row>
    <row r="32325" spans="7:16" s="1634" customFormat="1">
      <c r="G32325" s="3336"/>
      <c r="P32325" s="3337"/>
    </row>
    <row r="32326" spans="7:16" s="1634" customFormat="1">
      <c r="G32326" s="3336"/>
      <c r="P32326" s="3337"/>
    </row>
    <row r="32327" spans="7:16" s="1634" customFormat="1">
      <c r="G32327" s="3336"/>
      <c r="P32327" s="3337"/>
    </row>
    <row r="32328" spans="7:16" s="1634" customFormat="1">
      <c r="G32328" s="3336"/>
      <c r="P32328" s="3337"/>
    </row>
    <row r="32329" spans="7:16" s="1634" customFormat="1">
      <c r="G32329" s="3336"/>
      <c r="P32329" s="3337"/>
    </row>
    <row r="32330" spans="7:16" s="1634" customFormat="1">
      <c r="G32330" s="3336"/>
      <c r="P32330" s="3337"/>
    </row>
    <row r="32331" spans="7:16" s="1634" customFormat="1">
      <c r="G32331" s="3336"/>
      <c r="P32331" s="3337"/>
    </row>
    <row r="32332" spans="7:16" s="1634" customFormat="1">
      <c r="G32332" s="3336"/>
      <c r="P32332" s="3337"/>
    </row>
    <row r="32333" spans="7:16" s="1634" customFormat="1">
      <c r="G32333" s="3336"/>
      <c r="P32333" s="3337"/>
    </row>
    <row r="32334" spans="7:16" s="1634" customFormat="1">
      <c r="G32334" s="3336"/>
      <c r="P32334" s="3337"/>
    </row>
    <row r="32335" spans="7:16" s="1634" customFormat="1">
      <c r="G32335" s="3336"/>
      <c r="P32335" s="3337"/>
    </row>
    <row r="32336" spans="7:16" s="1634" customFormat="1">
      <c r="G32336" s="3336"/>
      <c r="P32336" s="3337"/>
    </row>
    <row r="32337" spans="7:16" s="1634" customFormat="1">
      <c r="G32337" s="3336"/>
      <c r="P32337" s="3337"/>
    </row>
    <row r="32338" spans="7:16" s="1634" customFormat="1">
      <c r="G32338" s="3336"/>
      <c r="P32338" s="3337"/>
    </row>
    <row r="32339" spans="7:16" s="1634" customFormat="1">
      <c r="G32339" s="3336"/>
      <c r="P32339" s="3337"/>
    </row>
    <row r="32340" spans="7:16" s="1634" customFormat="1">
      <c r="G32340" s="3336"/>
      <c r="P32340" s="3337"/>
    </row>
    <row r="32341" spans="7:16" s="1634" customFormat="1">
      <c r="G32341" s="3336"/>
      <c r="P32341" s="3337"/>
    </row>
    <row r="32342" spans="7:16" s="1634" customFormat="1">
      <c r="G32342" s="3336"/>
      <c r="P32342" s="3337"/>
    </row>
    <row r="32343" spans="7:16" s="1634" customFormat="1">
      <c r="G32343" s="3336"/>
      <c r="P32343" s="3337"/>
    </row>
    <row r="32344" spans="7:16" s="1634" customFormat="1">
      <c r="G32344" s="3336"/>
      <c r="P32344" s="3337"/>
    </row>
    <row r="32345" spans="7:16" s="1634" customFormat="1">
      <c r="G32345" s="3336"/>
      <c r="P32345" s="3337"/>
    </row>
    <row r="32346" spans="7:16" s="1634" customFormat="1">
      <c r="G32346" s="3336"/>
      <c r="P32346" s="3337"/>
    </row>
    <row r="32347" spans="7:16" s="1634" customFormat="1">
      <c r="G32347" s="3336"/>
      <c r="P32347" s="3337"/>
    </row>
    <row r="32348" spans="7:16" s="1634" customFormat="1">
      <c r="G32348" s="3336"/>
      <c r="P32348" s="3337"/>
    </row>
    <row r="32349" spans="7:16" s="1634" customFormat="1">
      <c r="G32349" s="3336"/>
      <c r="P32349" s="3337"/>
    </row>
    <row r="32350" spans="7:16" s="1634" customFormat="1">
      <c r="G32350" s="3336"/>
      <c r="P32350" s="3337"/>
    </row>
    <row r="32351" spans="7:16" s="1634" customFormat="1">
      <c r="G32351" s="3336"/>
      <c r="P32351" s="3337"/>
    </row>
    <row r="32352" spans="7:16" s="1634" customFormat="1">
      <c r="G32352" s="3336"/>
      <c r="P32352" s="3337"/>
    </row>
    <row r="32353" spans="7:16" s="1634" customFormat="1">
      <c r="G32353" s="3336"/>
      <c r="P32353" s="3337"/>
    </row>
    <row r="32354" spans="7:16" s="1634" customFormat="1">
      <c r="G32354" s="3336"/>
      <c r="P32354" s="3337"/>
    </row>
    <row r="32355" spans="7:16" s="1634" customFormat="1">
      <c r="G32355" s="3336"/>
      <c r="P32355" s="3337"/>
    </row>
    <row r="32356" spans="7:16" s="1634" customFormat="1">
      <c r="G32356" s="3336"/>
      <c r="P32356" s="3337"/>
    </row>
    <row r="32357" spans="7:16" s="1634" customFormat="1">
      <c r="G32357" s="3336"/>
      <c r="P32357" s="3337"/>
    </row>
    <row r="32358" spans="7:16" s="1634" customFormat="1">
      <c r="G32358" s="3336"/>
      <c r="P32358" s="3337"/>
    </row>
    <row r="32359" spans="7:16" s="1634" customFormat="1">
      <c r="G32359" s="3336"/>
      <c r="P32359" s="3337"/>
    </row>
    <row r="32360" spans="7:16" s="1634" customFormat="1">
      <c r="G32360" s="3336"/>
      <c r="P32360" s="3337"/>
    </row>
    <row r="32361" spans="7:16" s="1634" customFormat="1">
      <c r="G32361" s="3336"/>
      <c r="P32361" s="3337"/>
    </row>
    <row r="32362" spans="7:16" s="1634" customFormat="1">
      <c r="G32362" s="3336"/>
      <c r="P32362" s="3337"/>
    </row>
    <row r="32363" spans="7:16" s="1634" customFormat="1">
      <c r="G32363" s="3336"/>
      <c r="P32363" s="3337"/>
    </row>
    <row r="32364" spans="7:16" s="1634" customFormat="1">
      <c r="G32364" s="3336"/>
      <c r="P32364" s="3337"/>
    </row>
    <row r="32365" spans="7:16" s="1634" customFormat="1">
      <c r="G32365" s="3336"/>
      <c r="P32365" s="3337"/>
    </row>
    <row r="32366" spans="7:16" s="1634" customFormat="1">
      <c r="G32366" s="3336"/>
      <c r="P32366" s="3337"/>
    </row>
    <row r="32367" spans="7:16" s="1634" customFormat="1">
      <c r="G32367" s="3336"/>
      <c r="P32367" s="3337"/>
    </row>
    <row r="32368" spans="7:16" s="1634" customFormat="1">
      <c r="G32368" s="3336"/>
      <c r="P32368" s="3337"/>
    </row>
    <row r="32369" spans="7:16" s="1634" customFormat="1">
      <c r="G32369" s="3336"/>
      <c r="P32369" s="3337"/>
    </row>
    <row r="32370" spans="7:16" s="1634" customFormat="1">
      <c r="G32370" s="3336"/>
      <c r="P32370" s="3337"/>
    </row>
    <row r="32371" spans="7:16" s="1634" customFormat="1">
      <c r="G32371" s="3336"/>
      <c r="P32371" s="3337"/>
    </row>
    <row r="32372" spans="7:16" s="1634" customFormat="1">
      <c r="G32372" s="3336"/>
      <c r="P32372" s="3337"/>
    </row>
    <row r="32373" spans="7:16" s="1634" customFormat="1">
      <c r="G32373" s="3336"/>
      <c r="P32373" s="3337"/>
    </row>
    <row r="32374" spans="7:16" s="1634" customFormat="1">
      <c r="G32374" s="3336"/>
      <c r="P32374" s="3337"/>
    </row>
    <row r="32375" spans="7:16" s="1634" customFormat="1">
      <c r="G32375" s="3336"/>
      <c r="P32375" s="3337"/>
    </row>
    <row r="32376" spans="7:16" s="1634" customFormat="1">
      <c r="G32376" s="3336"/>
      <c r="P32376" s="3337"/>
    </row>
    <row r="32377" spans="7:16" s="1634" customFormat="1">
      <c r="G32377" s="3336"/>
      <c r="P32377" s="3337"/>
    </row>
    <row r="32378" spans="7:16" s="1634" customFormat="1">
      <c r="G32378" s="3336"/>
      <c r="P32378" s="3337"/>
    </row>
    <row r="32379" spans="7:16" s="1634" customFormat="1">
      <c r="G32379" s="3336"/>
      <c r="P32379" s="3337"/>
    </row>
    <row r="32380" spans="7:16" s="1634" customFormat="1">
      <c r="G32380" s="3336"/>
      <c r="P32380" s="3337"/>
    </row>
    <row r="32381" spans="7:16" s="1634" customFormat="1">
      <c r="G32381" s="3336"/>
      <c r="P32381" s="3337"/>
    </row>
    <row r="32382" spans="7:16" s="1634" customFormat="1">
      <c r="G32382" s="3336"/>
      <c r="P32382" s="3337"/>
    </row>
    <row r="32383" spans="7:16" s="1634" customFormat="1">
      <c r="G32383" s="3336"/>
      <c r="P32383" s="3337"/>
    </row>
    <row r="32384" spans="7:16" s="1634" customFormat="1">
      <c r="G32384" s="3336"/>
      <c r="P32384" s="3337"/>
    </row>
    <row r="32385" spans="7:16" s="1634" customFormat="1">
      <c r="G32385" s="3336"/>
      <c r="P32385" s="3337"/>
    </row>
    <row r="32386" spans="7:16" s="1634" customFormat="1">
      <c r="G32386" s="3336"/>
      <c r="P32386" s="3337"/>
    </row>
    <row r="32387" spans="7:16" s="1634" customFormat="1">
      <c r="G32387" s="3336"/>
      <c r="P32387" s="3337"/>
    </row>
    <row r="32388" spans="7:16" s="1634" customFormat="1">
      <c r="G32388" s="3336"/>
      <c r="P32388" s="3337"/>
    </row>
    <row r="32389" spans="7:16" s="1634" customFormat="1">
      <c r="G32389" s="3336"/>
      <c r="P32389" s="3337"/>
    </row>
    <row r="32390" spans="7:16" s="1634" customFormat="1">
      <c r="G32390" s="3336"/>
      <c r="P32390" s="3337"/>
    </row>
    <row r="32391" spans="7:16" s="1634" customFormat="1">
      <c r="G32391" s="3336"/>
      <c r="P32391" s="3337"/>
    </row>
    <row r="32392" spans="7:16" s="1634" customFormat="1">
      <c r="G32392" s="3336"/>
      <c r="P32392" s="3337"/>
    </row>
    <row r="32393" spans="7:16" s="1634" customFormat="1">
      <c r="G32393" s="3336"/>
      <c r="P32393" s="3337"/>
    </row>
    <row r="32394" spans="7:16" s="1634" customFormat="1">
      <c r="G32394" s="3336"/>
      <c r="P32394" s="3337"/>
    </row>
    <row r="32395" spans="7:16" s="1634" customFormat="1">
      <c r="G32395" s="3336"/>
      <c r="P32395" s="3337"/>
    </row>
    <row r="32396" spans="7:16" s="1634" customFormat="1">
      <c r="G32396" s="3336"/>
      <c r="P32396" s="3337"/>
    </row>
    <row r="32397" spans="7:16" s="1634" customFormat="1">
      <c r="G32397" s="3336"/>
      <c r="P32397" s="3337"/>
    </row>
    <row r="32398" spans="7:16" s="1634" customFormat="1">
      <c r="G32398" s="3336"/>
      <c r="P32398" s="3337"/>
    </row>
    <row r="32399" spans="7:16" s="1634" customFormat="1">
      <c r="G32399" s="3336"/>
      <c r="P32399" s="3337"/>
    </row>
    <row r="32400" spans="7:16" s="1634" customFormat="1">
      <c r="G32400" s="3336"/>
      <c r="P32400" s="3337"/>
    </row>
    <row r="32401" spans="7:16" s="1634" customFormat="1">
      <c r="G32401" s="3336"/>
      <c r="P32401" s="3337"/>
    </row>
    <row r="32402" spans="7:16" s="1634" customFormat="1">
      <c r="G32402" s="3336"/>
      <c r="P32402" s="3337"/>
    </row>
    <row r="32403" spans="7:16" s="1634" customFormat="1">
      <c r="G32403" s="3336"/>
      <c r="P32403" s="3337"/>
    </row>
    <row r="32404" spans="7:16" s="1634" customFormat="1">
      <c r="G32404" s="3336"/>
      <c r="P32404" s="3337"/>
    </row>
    <row r="32405" spans="7:16" s="1634" customFormat="1">
      <c r="G32405" s="3336"/>
      <c r="P32405" s="3337"/>
    </row>
    <row r="32406" spans="7:16" s="1634" customFormat="1">
      <c r="G32406" s="3336"/>
      <c r="P32406" s="3337"/>
    </row>
    <row r="32407" spans="7:16" s="1634" customFormat="1">
      <c r="G32407" s="3336"/>
      <c r="P32407" s="3337"/>
    </row>
    <row r="32408" spans="7:16" s="1634" customFormat="1">
      <c r="G32408" s="3336"/>
      <c r="P32408" s="3337"/>
    </row>
    <row r="32409" spans="7:16" s="1634" customFormat="1">
      <c r="G32409" s="3336"/>
      <c r="P32409" s="3337"/>
    </row>
    <row r="32410" spans="7:16" s="1634" customFormat="1">
      <c r="G32410" s="3336"/>
      <c r="P32410" s="3337"/>
    </row>
    <row r="32411" spans="7:16" s="1634" customFormat="1">
      <c r="G32411" s="3336"/>
      <c r="P32411" s="3337"/>
    </row>
    <row r="32412" spans="7:16" s="1634" customFormat="1">
      <c r="G32412" s="3336"/>
      <c r="P32412" s="3337"/>
    </row>
    <row r="32413" spans="7:16" s="1634" customFormat="1">
      <c r="G32413" s="3336"/>
      <c r="P32413" s="3337"/>
    </row>
    <row r="32414" spans="7:16" s="1634" customFormat="1">
      <c r="G32414" s="3336"/>
      <c r="P32414" s="3337"/>
    </row>
    <row r="32415" spans="7:16" s="1634" customFormat="1">
      <c r="G32415" s="3336"/>
      <c r="P32415" s="3337"/>
    </row>
    <row r="32416" spans="7:16" s="1634" customFormat="1">
      <c r="G32416" s="3336"/>
      <c r="P32416" s="3337"/>
    </row>
    <row r="32417" spans="7:16" s="1634" customFormat="1">
      <c r="G32417" s="3336"/>
      <c r="P32417" s="3337"/>
    </row>
    <row r="32418" spans="7:16" s="1634" customFormat="1">
      <c r="G32418" s="3336"/>
      <c r="P32418" s="3337"/>
    </row>
    <row r="32419" spans="7:16" s="1634" customFormat="1">
      <c r="G32419" s="3336"/>
      <c r="P32419" s="3337"/>
    </row>
    <row r="32420" spans="7:16" s="1634" customFormat="1">
      <c r="G32420" s="3336"/>
      <c r="P32420" s="3337"/>
    </row>
    <row r="32421" spans="7:16" s="1634" customFormat="1">
      <c r="G32421" s="3336"/>
      <c r="P32421" s="3337"/>
    </row>
    <row r="32422" spans="7:16" s="1634" customFormat="1">
      <c r="G32422" s="3336"/>
      <c r="P32422" s="3337"/>
    </row>
    <row r="32423" spans="7:16" s="1634" customFormat="1">
      <c r="G32423" s="3336"/>
      <c r="P32423" s="3337"/>
    </row>
    <row r="32424" spans="7:16" s="1634" customFormat="1">
      <c r="G32424" s="3336"/>
      <c r="P32424" s="3337"/>
    </row>
    <row r="32425" spans="7:16" s="1634" customFormat="1">
      <c r="G32425" s="3336"/>
      <c r="P32425" s="3337"/>
    </row>
    <row r="32426" spans="7:16" s="1634" customFormat="1">
      <c r="G32426" s="3336"/>
      <c r="P32426" s="3337"/>
    </row>
    <row r="32427" spans="7:16" s="1634" customFormat="1">
      <c r="G32427" s="3336"/>
      <c r="P32427" s="3337"/>
    </row>
    <row r="32428" spans="7:16" s="1634" customFormat="1">
      <c r="G32428" s="3336"/>
      <c r="P32428" s="3337"/>
    </row>
    <row r="32429" spans="7:16" s="1634" customFormat="1">
      <c r="G32429" s="3336"/>
      <c r="P32429" s="3337"/>
    </row>
    <row r="32430" spans="7:16" s="1634" customFormat="1">
      <c r="G32430" s="3336"/>
      <c r="P32430" s="3337"/>
    </row>
    <row r="32431" spans="7:16" s="1634" customFormat="1">
      <c r="G32431" s="3336"/>
      <c r="P32431" s="3337"/>
    </row>
    <row r="32432" spans="7:16" s="1634" customFormat="1">
      <c r="G32432" s="3336"/>
      <c r="P32432" s="3337"/>
    </row>
    <row r="32433" spans="7:16" s="1634" customFormat="1">
      <c r="G32433" s="3336"/>
      <c r="P32433" s="3337"/>
    </row>
    <row r="32434" spans="7:16" s="1634" customFormat="1">
      <c r="G32434" s="3336"/>
      <c r="P32434" s="3337"/>
    </row>
    <row r="32435" spans="7:16" s="1634" customFormat="1">
      <c r="G32435" s="3336"/>
      <c r="P32435" s="3337"/>
    </row>
    <row r="32436" spans="7:16" s="1634" customFormat="1">
      <c r="G32436" s="3336"/>
      <c r="P32436" s="3337"/>
    </row>
    <row r="32437" spans="7:16" s="1634" customFormat="1">
      <c r="G32437" s="3336"/>
      <c r="P32437" s="3337"/>
    </row>
    <row r="32438" spans="7:16" s="1634" customFormat="1">
      <c r="G32438" s="3336"/>
      <c r="P32438" s="3337"/>
    </row>
    <row r="32439" spans="7:16" s="1634" customFormat="1">
      <c r="G32439" s="3336"/>
      <c r="P32439" s="3337"/>
    </row>
    <row r="32440" spans="7:16" s="1634" customFormat="1">
      <c r="G32440" s="3336"/>
      <c r="P32440" s="3337"/>
    </row>
    <row r="32441" spans="7:16" s="1634" customFormat="1">
      <c r="G32441" s="3336"/>
      <c r="P32441" s="3337"/>
    </row>
    <row r="32442" spans="7:16" s="1634" customFormat="1">
      <c r="G32442" s="3336"/>
      <c r="P32442" s="3337"/>
    </row>
    <row r="32443" spans="7:16" s="1634" customFormat="1">
      <c r="G32443" s="3336"/>
      <c r="P32443" s="3337"/>
    </row>
    <row r="32444" spans="7:16" s="1634" customFormat="1">
      <c r="G32444" s="3336"/>
      <c r="P32444" s="3337"/>
    </row>
    <row r="32445" spans="7:16" s="1634" customFormat="1">
      <c r="G32445" s="3336"/>
      <c r="P32445" s="3337"/>
    </row>
    <row r="32446" spans="7:16" s="1634" customFormat="1">
      <c r="G32446" s="3336"/>
      <c r="P32446" s="3337"/>
    </row>
    <row r="32447" spans="7:16" s="1634" customFormat="1">
      <c r="G32447" s="3336"/>
      <c r="P32447" s="3337"/>
    </row>
    <row r="32448" spans="7:16" s="1634" customFormat="1">
      <c r="G32448" s="3336"/>
      <c r="P32448" s="3337"/>
    </row>
    <row r="32449" spans="7:16" s="1634" customFormat="1">
      <c r="G32449" s="3336"/>
      <c r="P32449" s="3337"/>
    </row>
    <row r="32450" spans="7:16" s="1634" customFormat="1">
      <c r="G32450" s="3336"/>
      <c r="P32450" s="3337"/>
    </row>
    <row r="32451" spans="7:16" s="1634" customFormat="1">
      <c r="G32451" s="3336"/>
      <c r="P32451" s="3337"/>
    </row>
    <row r="32452" spans="7:16" s="1634" customFormat="1">
      <c r="G32452" s="3336"/>
      <c r="P32452" s="3337"/>
    </row>
    <row r="32453" spans="7:16" s="1634" customFormat="1">
      <c r="G32453" s="3336"/>
      <c r="P32453" s="3337"/>
    </row>
    <row r="32454" spans="7:16" s="1634" customFormat="1">
      <c r="G32454" s="3336"/>
      <c r="P32454" s="3337"/>
    </row>
    <row r="32455" spans="7:16" s="1634" customFormat="1">
      <c r="G32455" s="3336"/>
      <c r="P32455" s="3337"/>
    </row>
    <row r="32456" spans="7:16" s="1634" customFormat="1">
      <c r="G32456" s="3336"/>
      <c r="P32456" s="3337"/>
    </row>
    <row r="32457" spans="7:16" s="1634" customFormat="1">
      <c r="G32457" s="3336"/>
      <c r="P32457" s="3337"/>
    </row>
    <row r="32458" spans="7:16" s="1634" customFormat="1">
      <c r="G32458" s="3336"/>
      <c r="P32458" s="3337"/>
    </row>
    <row r="32459" spans="7:16" s="1634" customFormat="1">
      <c r="G32459" s="3336"/>
      <c r="P32459" s="3337"/>
    </row>
    <row r="32460" spans="7:16" s="1634" customFormat="1">
      <c r="G32460" s="3336"/>
      <c r="P32460" s="3337"/>
    </row>
    <row r="32461" spans="7:16" s="1634" customFormat="1">
      <c r="G32461" s="3336"/>
      <c r="P32461" s="3337"/>
    </row>
    <row r="32462" spans="7:16" s="1634" customFormat="1">
      <c r="G32462" s="3336"/>
      <c r="P32462" s="3337"/>
    </row>
    <row r="32463" spans="7:16" s="1634" customFormat="1">
      <c r="G32463" s="3336"/>
      <c r="P32463" s="3337"/>
    </row>
    <row r="32464" spans="7:16" s="1634" customFormat="1">
      <c r="G32464" s="3336"/>
      <c r="P32464" s="3337"/>
    </row>
    <row r="32465" spans="7:16" s="1634" customFormat="1">
      <c r="G32465" s="3336"/>
      <c r="P32465" s="3337"/>
    </row>
    <row r="32466" spans="7:16" s="1634" customFormat="1">
      <c r="G32466" s="3336"/>
      <c r="P32466" s="3337"/>
    </row>
    <row r="32467" spans="7:16" s="1634" customFormat="1">
      <c r="G32467" s="3336"/>
      <c r="P32467" s="3337"/>
    </row>
    <row r="32468" spans="7:16" s="1634" customFormat="1">
      <c r="G32468" s="3336"/>
      <c r="P32468" s="3337"/>
    </row>
    <row r="32469" spans="7:16" s="1634" customFormat="1">
      <c r="G32469" s="3336"/>
      <c r="P32469" s="3337"/>
    </row>
    <row r="32470" spans="7:16" s="1634" customFormat="1">
      <c r="G32470" s="3336"/>
      <c r="P32470" s="3337"/>
    </row>
    <row r="32471" spans="7:16" s="1634" customFormat="1">
      <c r="G32471" s="3336"/>
      <c r="P32471" s="3337"/>
    </row>
    <row r="32472" spans="7:16" s="1634" customFormat="1">
      <c r="G32472" s="3336"/>
      <c r="P32472" s="3337"/>
    </row>
    <row r="32473" spans="7:16" s="1634" customFormat="1">
      <c r="G32473" s="3336"/>
      <c r="P32473" s="3337"/>
    </row>
    <row r="32474" spans="7:16" s="1634" customFormat="1">
      <c r="G32474" s="3336"/>
      <c r="P32474" s="3337"/>
    </row>
    <row r="32475" spans="7:16" s="1634" customFormat="1">
      <c r="G32475" s="3336"/>
      <c r="P32475" s="3337"/>
    </row>
    <row r="32476" spans="7:16" s="1634" customFormat="1">
      <c r="G32476" s="3336"/>
      <c r="P32476" s="3337"/>
    </row>
    <row r="32477" spans="7:16" s="1634" customFormat="1">
      <c r="G32477" s="3336"/>
      <c r="P32477" s="3337"/>
    </row>
    <row r="32478" spans="7:16" s="1634" customFormat="1">
      <c r="G32478" s="3336"/>
      <c r="P32478" s="3337"/>
    </row>
    <row r="32479" spans="7:16" s="1634" customFormat="1">
      <c r="G32479" s="3336"/>
      <c r="P32479" s="3337"/>
    </row>
    <row r="32480" spans="7:16" s="1634" customFormat="1">
      <c r="G32480" s="3336"/>
      <c r="P32480" s="3337"/>
    </row>
    <row r="32481" spans="7:16" s="1634" customFormat="1">
      <c r="G32481" s="3336"/>
      <c r="P32481" s="3337"/>
    </row>
    <row r="32482" spans="7:16" s="1634" customFormat="1">
      <c r="G32482" s="3336"/>
      <c r="P32482" s="3337"/>
    </row>
    <row r="32483" spans="7:16" s="1634" customFormat="1">
      <c r="G32483" s="3336"/>
      <c r="P32483" s="3337"/>
    </row>
    <row r="32484" spans="7:16" s="1634" customFormat="1">
      <c r="G32484" s="3336"/>
      <c r="P32484" s="3337"/>
    </row>
    <row r="32485" spans="7:16" s="1634" customFormat="1">
      <c r="G32485" s="3336"/>
      <c r="P32485" s="3337"/>
    </row>
    <row r="32486" spans="7:16" s="1634" customFormat="1">
      <c r="G32486" s="3336"/>
      <c r="P32486" s="3337"/>
    </row>
    <row r="32487" spans="7:16" s="1634" customFormat="1">
      <c r="G32487" s="3336"/>
      <c r="P32487" s="3337"/>
    </row>
    <row r="32488" spans="7:16" s="1634" customFormat="1">
      <c r="G32488" s="3336"/>
      <c r="P32488" s="3337"/>
    </row>
    <row r="32489" spans="7:16" s="1634" customFormat="1">
      <c r="G32489" s="3336"/>
      <c r="P32489" s="3337"/>
    </row>
    <row r="32490" spans="7:16" s="1634" customFormat="1">
      <c r="G32490" s="3336"/>
      <c r="P32490" s="3337"/>
    </row>
    <row r="32491" spans="7:16" s="1634" customFormat="1">
      <c r="G32491" s="3336"/>
      <c r="P32491" s="3337"/>
    </row>
    <row r="32492" spans="7:16" s="1634" customFormat="1">
      <c r="G32492" s="3336"/>
      <c r="P32492" s="3337"/>
    </row>
    <row r="32493" spans="7:16" s="1634" customFormat="1">
      <c r="G32493" s="3336"/>
      <c r="P32493" s="3337"/>
    </row>
    <row r="32494" spans="7:16" s="1634" customFormat="1">
      <c r="G32494" s="3336"/>
      <c r="P32494" s="3337"/>
    </row>
    <row r="32495" spans="7:16" s="1634" customFormat="1">
      <c r="G32495" s="3336"/>
      <c r="P32495" s="3337"/>
    </row>
    <row r="32496" spans="7:16" s="1634" customFormat="1">
      <c r="G32496" s="3336"/>
      <c r="P32496" s="3337"/>
    </row>
    <row r="32497" spans="7:16" s="1634" customFormat="1">
      <c r="G32497" s="3336"/>
      <c r="P32497" s="3337"/>
    </row>
    <row r="32498" spans="7:16" s="1634" customFormat="1">
      <c r="G32498" s="3336"/>
      <c r="P32498" s="3337"/>
    </row>
    <row r="32499" spans="7:16" s="1634" customFormat="1">
      <c r="G32499" s="3336"/>
      <c r="P32499" s="3337"/>
    </row>
    <row r="32500" spans="7:16" s="1634" customFormat="1">
      <c r="G32500" s="3336"/>
      <c r="P32500" s="3337"/>
    </row>
    <row r="32501" spans="7:16" s="1634" customFormat="1">
      <c r="G32501" s="3336"/>
      <c r="P32501" s="3337"/>
    </row>
    <row r="32502" spans="7:16" s="1634" customFormat="1">
      <c r="G32502" s="3336"/>
      <c r="P32502" s="3337"/>
    </row>
    <row r="32503" spans="7:16" s="1634" customFormat="1">
      <c r="G32503" s="3336"/>
      <c r="P32503" s="3337"/>
    </row>
    <row r="32504" spans="7:16" s="1634" customFormat="1">
      <c r="G32504" s="3336"/>
      <c r="P32504" s="3337"/>
    </row>
    <row r="32505" spans="7:16" s="1634" customFormat="1">
      <c r="G32505" s="3336"/>
      <c r="P32505" s="3337"/>
    </row>
    <row r="32506" spans="7:16" s="1634" customFormat="1">
      <c r="G32506" s="3336"/>
      <c r="P32506" s="3337"/>
    </row>
    <row r="32507" spans="7:16" s="1634" customFormat="1">
      <c r="G32507" s="3336"/>
      <c r="P32507" s="3337"/>
    </row>
    <row r="32508" spans="7:16" s="1634" customFormat="1">
      <c r="G32508" s="3336"/>
      <c r="P32508" s="3337"/>
    </row>
    <row r="32509" spans="7:16" s="1634" customFormat="1">
      <c r="G32509" s="3336"/>
      <c r="P32509" s="3337"/>
    </row>
    <row r="32510" spans="7:16" s="1634" customFormat="1">
      <c r="G32510" s="3336"/>
      <c r="P32510" s="3337"/>
    </row>
    <row r="32511" spans="7:16" s="1634" customFormat="1">
      <c r="G32511" s="3336"/>
      <c r="P32511" s="3337"/>
    </row>
    <row r="32512" spans="7:16" s="1634" customFormat="1">
      <c r="G32512" s="3336"/>
      <c r="P32512" s="3337"/>
    </row>
    <row r="32513" spans="7:16" s="1634" customFormat="1">
      <c r="G32513" s="3336"/>
      <c r="P32513" s="3337"/>
    </row>
    <row r="32514" spans="7:16" s="1634" customFormat="1">
      <c r="G32514" s="3336"/>
      <c r="P32514" s="3337"/>
    </row>
    <row r="32515" spans="7:16" s="1634" customFormat="1">
      <c r="G32515" s="3336"/>
      <c r="P32515" s="3337"/>
    </row>
    <row r="32516" spans="7:16" s="1634" customFormat="1">
      <c r="G32516" s="3336"/>
      <c r="P32516" s="3337"/>
    </row>
    <row r="32517" spans="7:16" s="1634" customFormat="1">
      <c r="G32517" s="3336"/>
      <c r="P32517" s="3337"/>
    </row>
    <row r="32518" spans="7:16" s="1634" customFormat="1">
      <c r="G32518" s="3336"/>
      <c r="P32518" s="3337"/>
    </row>
    <row r="32519" spans="7:16" s="1634" customFormat="1">
      <c r="G32519" s="3336"/>
      <c r="P32519" s="3337"/>
    </row>
    <row r="32520" spans="7:16" s="1634" customFormat="1">
      <c r="G32520" s="3336"/>
      <c r="P32520" s="3337"/>
    </row>
    <row r="32521" spans="7:16" s="1634" customFormat="1">
      <c r="G32521" s="3336"/>
      <c r="P32521" s="3337"/>
    </row>
    <row r="32522" spans="7:16" s="1634" customFormat="1">
      <c r="G32522" s="3336"/>
      <c r="P32522" s="3337"/>
    </row>
    <row r="32523" spans="7:16" s="1634" customFormat="1">
      <c r="G32523" s="3336"/>
      <c r="P32523" s="3337"/>
    </row>
    <row r="32524" spans="7:16" s="1634" customFormat="1">
      <c r="G32524" s="3336"/>
      <c r="P32524" s="3337"/>
    </row>
    <row r="32525" spans="7:16" s="1634" customFormat="1">
      <c r="G32525" s="3336"/>
      <c r="P32525" s="3337"/>
    </row>
    <row r="32526" spans="7:16" s="1634" customFormat="1">
      <c r="G32526" s="3336"/>
      <c r="P32526" s="3337"/>
    </row>
    <row r="32527" spans="7:16" s="1634" customFormat="1">
      <c r="G32527" s="3336"/>
      <c r="P32527" s="3337"/>
    </row>
    <row r="32528" spans="7:16" s="1634" customFormat="1">
      <c r="G32528" s="3336"/>
      <c r="P32528" s="3337"/>
    </row>
    <row r="32529" spans="7:16" s="1634" customFormat="1">
      <c r="G32529" s="3336"/>
      <c r="P32529" s="3337"/>
    </row>
    <row r="32530" spans="7:16" s="1634" customFormat="1">
      <c r="G32530" s="3336"/>
      <c r="P32530" s="3337"/>
    </row>
    <row r="32531" spans="7:16" s="1634" customFormat="1">
      <c r="G32531" s="3336"/>
      <c r="P32531" s="3337"/>
    </row>
    <row r="32532" spans="7:16" s="1634" customFormat="1">
      <c r="G32532" s="3336"/>
      <c r="P32532" s="3337"/>
    </row>
    <row r="32533" spans="7:16" s="1634" customFormat="1">
      <c r="G32533" s="3336"/>
      <c r="P32533" s="3337"/>
    </row>
    <row r="32534" spans="7:16" s="1634" customFormat="1">
      <c r="G32534" s="3336"/>
      <c r="P32534" s="3337"/>
    </row>
    <row r="32535" spans="7:16" s="1634" customFormat="1">
      <c r="G32535" s="3336"/>
      <c r="P32535" s="3337"/>
    </row>
    <row r="32536" spans="7:16" s="1634" customFormat="1">
      <c r="G32536" s="3336"/>
      <c r="P32536" s="3337"/>
    </row>
    <row r="32537" spans="7:16" s="1634" customFormat="1">
      <c r="G32537" s="3336"/>
      <c r="P32537" s="3337"/>
    </row>
    <row r="32538" spans="7:16" s="1634" customFormat="1">
      <c r="G32538" s="3336"/>
      <c r="P32538" s="3337"/>
    </row>
    <row r="32539" spans="7:16" s="1634" customFormat="1">
      <c r="G32539" s="3336"/>
      <c r="P32539" s="3337"/>
    </row>
    <row r="32540" spans="7:16" s="1634" customFormat="1">
      <c r="G32540" s="3336"/>
      <c r="P32540" s="3337"/>
    </row>
    <row r="32541" spans="7:16" s="1634" customFormat="1">
      <c r="G32541" s="3336"/>
      <c r="P32541" s="3337"/>
    </row>
    <row r="32542" spans="7:16" s="1634" customFormat="1">
      <c r="G32542" s="3336"/>
      <c r="P32542" s="3337"/>
    </row>
    <row r="32543" spans="7:16" s="1634" customFormat="1">
      <c r="G32543" s="3336"/>
      <c r="P32543" s="3337"/>
    </row>
    <row r="32544" spans="7:16" s="1634" customFormat="1">
      <c r="G32544" s="3336"/>
      <c r="P32544" s="3337"/>
    </row>
    <row r="32545" spans="7:16" s="1634" customFormat="1">
      <c r="G32545" s="3336"/>
      <c r="P32545" s="3337"/>
    </row>
    <row r="32546" spans="7:16" s="1634" customFormat="1">
      <c r="G32546" s="3336"/>
      <c r="P32546" s="3337"/>
    </row>
    <row r="32547" spans="7:16" s="1634" customFormat="1">
      <c r="G32547" s="3336"/>
      <c r="P32547" s="3337"/>
    </row>
    <row r="32548" spans="7:16" s="1634" customFormat="1">
      <c r="G32548" s="3336"/>
      <c r="P32548" s="3337"/>
    </row>
    <row r="32549" spans="7:16" s="1634" customFormat="1">
      <c r="G32549" s="3336"/>
      <c r="P32549" s="3337"/>
    </row>
    <row r="32550" spans="7:16" s="1634" customFormat="1">
      <c r="G32550" s="3336"/>
      <c r="P32550" s="3337"/>
    </row>
    <row r="32551" spans="7:16" s="1634" customFormat="1">
      <c r="G32551" s="3336"/>
      <c r="P32551" s="3337"/>
    </row>
    <row r="32552" spans="7:16" s="1634" customFormat="1">
      <c r="G32552" s="3336"/>
      <c r="P32552" s="3337"/>
    </row>
    <row r="32553" spans="7:16" s="1634" customFormat="1">
      <c r="G32553" s="3336"/>
      <c r="P32553" s="3337"/>
    </row>
    <row r="32554" spans="7:16" s="1634" customFormat="1">
      <c r="G32554" s="3336"/>
      <c r="P32554" s="3337"/>
    </row>
    <row r="32555" spans="7:16" s="1634" customFormat="1">
      <c r="G32555" s="3336"/>
      <c r="P32555" s="3337"/>
    </row>
    <row r="32556" spans="7:16" s="1634" customFormat="1">
      <c r="G32556" s="3336"/>
      <c r="P32556" s="3337"/>
    </row>
    <row r="32557" spans="7:16" s="1634" customFormat="1">
      <c r="G32557" s="3336"/>
      <c r="P32557" s="3337"/>
    </row>
    <row r="32558" spans="7:16" s="1634" customFormat="1">
      <c r="G32558" s="3336"/>
      <c r="P32558" s="3337"/>
    </row>
    <row r="32559" spans="7:16" s="1634" customFormat="1">
      <c r="G32559" s="3336"/>
      <c r="P32559" s="3337"/>
    </row>
    <row r="32560" spans="7:16" s="1634" customFormat="1">
      <c r="G32560" s="3336"/>
      <c r="P32560" s="3337"/>
    </row>
    <row r="32561" spans="7:16" s="1634" customFormat="1">
      <c r="G32561" s="3336"/>
      <c r="P32561" s="3337"/>
    </row>
    <row r="32562" spans="7:16" s="1634" customFormat="1">
      <c r="G32562" s="3336"/>
      <c r="P32562" s="3337"/>
    </row>
    <row r="32563" spans="7:16" s="1634" customFormat="1">
      <c r="G32563" s="3336"/>
      <c r="P32563" s="3337"/>
    </row>
    <row r="32564" spans="7:16" s="1634" customFormat="1">
      <c r="G32564" s="3336"/>
      <c r="P32564" s="3337"/>
    </row>
    <row r="32565" spans="7:16" s="1634" customFormat="1">
      <c r="G32565" s="3336"/>
      <c r="P32565" s="3337"/>
    </row>
    <row r="32566" spans="7:16" s="1634" customFormat="1">
      <c r="G32566" s="3336"/>
      <c r="P32566" s="3337"/>
    </row>
    <row r="32567" spans="7:16" s="1634" customFormat="1">
      <c r="G32567" s="3336"/>
      <c r="P32567" s="3337"/>
    </row>
    <row r="32568" spans="7:16" s="1634" customFormat="1">
      <c r="G32568" s="3336"/>
      <c r="P32568" s="3337"/>
    </row>
    <row r="32569" spans="7:16" s="1634" customFormat="1">
      <c r="G32569" s="3336"/>
      <c r="P32569" s="3337"/>
    </row>
    <row r="32570" spans="7:16" s="1634" customFormat="1">
      <c r="G32570" s="3336"/>
      <c r="P32570" s="3337"/>
    </row>
    <row r="32571" spans="7:16" s="1634" customFormat="1">
      <c r="G32571" s="3336"/>
      <c r="P32571" s="3337"/>
    </row>
    <row r="32572" spans="7:16" s="1634" customFormat="1">
      <c r="G32572" s="3336"/>
      <c r="P32572" s="3337"/>
    </row>
    <row r="32573" spans="7:16" s="1634" customFormat="1">
      <c r="G32573" s="3336"/>
      <c r="P32573" s="3337"/>
    </row>
    <row r="32574" spans="7:16" s="1634" customFormat="1">
      <c r="G32574" s="3336"/>
      <c r="P32574" s="3337"/>
    </row>
    <row r="32575" spans="7:16" s="1634" customFormat="1">
      <c r="G32575" s="3336"/>
      <c r="P32575" s="3337"/>
    </row>
    <row r="32576" spans="7:16" s="1634" customFormat="1">
      <c r="G32576" s="3336"/>
      <c r="P32576" s="3337"/>
    </row>
    <row r="32577" spans="7:16" s="1634" customFormat="1">
      <c r="G32577" s="3336"/>
      <c r="P32577" s="3337"/>
    </row>
    <row r="32578" spans="7:16" s="1634" customFormat="1">
      <c r="G32578" s="3336"/>
      <c r="P32578" s="3337"/>
    </row>
    <row r="32579" spans="7:16" s="1634" customFormat="1">
      <c r="G32579" s="3336"/>
      <c r="P32579" s="3337"/>
    </row>
    <row r="32580" spans="7:16" s="1634" customFormat="1">
      <c r="G32580" s="3336"/>
      <c r="P32580" s="3337"/>
    </row>
    <row r="32581" spans="7:16" s="1634" customFormat="1">
      <c r="G32581" s="3336"/>
      <c r="P32581" s="3337"/>
    </row>
    <row r="32582" spans="7:16" s="1634" customFormat="1">
      <c r="G32582" s="3336"/>
      <c r="P32582" s="3337"/>
    </row>
    <row r="32583" spans="7:16" s="1634" customFormat="1">
      <c r="G32583" s="3336"/>
      <c r="P32583" s="3337"/>
    </row>
    <row r="32584" spans="7:16" s="1634" customFormat="1">
      <c r="G32584" s="3336"/>
      <c r="P32584" s="3337"/>
    </row>
    <row r="32585" spans="7:16" s="1634" customFormat="1">
      <c r="G32585" s="3336"/>
      <c r="P32585" s="3337"/>
    </row>
    <row r="32586" spans="7:16" s="1634" customFormat="1">
      <c r="G32586" s="3336"/>
      <c r="P32586" s="3337"/>
    </row>
    <row r="32587" spans="7:16" s="1634" customFormat="1">
      <c r="G32587" s="3336"/>
      <c r="P32587" s="3337"/>
    </row>
    <row r="32588" spans="7:16" s="1634" customFormat="1">
      <c r="G32588" s="3336"/>
      <c r="P32588" s="3337"/>
    </row>
    <row r="32589" spans="7:16" s="1634" customFormat="1">
      <c r="G32589" s="3336"/>
      <c r="P32589" s="3337"/>
    </row>
    <row r="32590" spans="7:16" s="1634" customFormat="1">
      <c r="G32590" s="3336"/>
      <c r="P32590" s="3337"/>
    </row>
    <row r="32591" spans="7:16" s="1634" customFormat="1">
      <c r="G32591" s="3336"/>
      <c r="P32591" s="3337"/>
    </row>
    <row r="32592" spans="7:16" s="1634" customFormat="1">
      <c r="G32592" s="3336"/>
      <c r="P32592" s="3337"/>
    </row>
    <row r="32593" spans="7:16" s="1634" customFormat="1">
      <c r="G32593" s="3336"/>
      <c r="P32593" s="3337"/>
    </row>
    <row r="32594" spans="7:16" s="1634" customFormat="1">
      <c r="G32594" s="3336"/>
      <c r="P32594" s="3337"/>
    </row>
    <row r="32595" spans="7:16" s="1634" customFormat="1">
      <c r="G32595" s="3336"/>
      <c r="P32595" s="3337"/>
    </row>
    <row r="32596" spans="7:16" s="1634" customFormat="1">
      <c r="G32596" s="3336"/>
      <c r="P32596" s="3337"/>
    </row>
    <row r="32597" spans="7:16" s="1634" customFormat="1">
      <c r="G32597" s="3336"/>
      <c r="P32597" s="3337"/>
    </row>
    <row r="32598" spans="7:16" s="1634" customFormat="1">
      <c r="G32598" s="3336"/>
      <c r="P32598" s="3337"/>
    </row>
    <row r="32599" spans="7:16" s="1634" customFormat="1">
      <c r="G32599" s="3336"/>
      <c r="P32599" s="3337"/>
    </row>
    <row r="32600" spans="7:16" s="1634" customFormat="1">
      <c r="G32600" s="3336"/>
      <c r="P32600" s="3337"/>
    </row>
    <row r="32601" spans="7:16" s="1634" customFormat="1">
      <c r="G32601" s="3336"/>
      <c r="P32601" s="3337"/>
    </row>
    <row r="32602" spans="7:16" s="1634" customFormat="1">
      <c r="G32602" s="3336"/>
      <c r="P32602" s="3337"/>
    </row>
    <row r="32603" spans="7:16" s="1634" customFormat="1">
      <c r="G32603" s="3336"/>
      <c r="P32603" s="3337"/>
    </row>
    <row r="32604" spans="7:16" s="1634" customFormat="1">
      <c r="G32604" s="3336"/>
      <c r="P32604" s="3337"/>
    </row>
    <row r="32605" spans="7:16" s="1634" customFormat="1">
      <c r="G32605" s="3336"/>
      <c r="P32605" s="3337"/>
    </row>
    <row r="32606" spans="7:16" s="1634" customFormat="1">
      <c r="G32606" s="3336"/>
      <c r="P32606" s="3337"/>
    </row>
    <row r="32607" spans="7:16" s="1634" customFormat="1">
      <c r="G32607" s="3336"/>
      <c r="P32607" s="3337"/>
    </row>
    <row r="32608" spans="7:16" s="1634" customFormat="1">
      <c r="G32608" s="3336"/>
      <c r="P32608" s="3337"/>
    </row>
    <row r="32609" spans="7:16" s="1634" customFormat="1">
      <c r="G32609" s="3336"/>
      <c r="P32609" s="3337"/>
    </row>
    <row r="32610" spans="7:16" s="1634" customFormat="1">
      <c r="G32610" s="3336"/>
      <c r="P32610" s="3337"/>
    </row>
    <row r="32611" spans="7:16" s="1634" customFormat="1">
      <c r="G32611" s="3336"/>
      <c r="P32611" s="3337"/>
    </row>
    <row r="32612" spans="7:16" s="1634" customFormat="1">
      <c r="G32612" s="3336"/>
      <c r="P32612" s="3337"/>
    </row>
    <row r="32613" spans="7:16" s="1634" customFormat="1">
      <c r="G32613" s="3336"/>
      <c r="P32613" s="3337"/>
    </row>
    <row r="32614" spans="7:16" s="1634" customFormat="1">
      <c r="G32614" s="3336"/>
      <c r="P32614" s="3337"/>
    </row>
    <row r="32615" spans="7:16" s="1634" customFormat="1">
      <c r="G32615" s="3336"/>
      <c r="P32615" s="3337"/>
    </row>
    <row r="32616" spans="7:16" s="1634" customFormat="1">
      <c r="G32616" s="3336"/>
      <c r="P32616" s="3337"/>
    </row>
    <row r="32617" spans="7:16" s="1634" customFormat="1">
      <c r="G32617" s="3336"/>
      <c r="P32617" s="3337"/>
    </row>
    <row r="32618" spans="7:16" s="1634" customFormat="1">
      <c r="G32618" s="3336"/>
      <c r="P32618" s="3337"/>
    </row>
    <row r="32619" spans="7:16" s="1634" customFormat="1">
      <c r="G32619" s="3336"/>
      <c r="P32619" s="3337"/>
    </row>
    <row r="32620" spans="7:16" s="1634" customFormat="1">
      <c r="G32620" s="3336"/>
      <c r="P32620" s="3337"/>
    </row>
    <row r="32621" spans="7:16" s="1634" customFormat="1">
      <c r="G32621" s="3336"/>
      <c r="P32621" s="3337"/>
    </row>
    <row r="32622" spans="7:16" s="1634" customFormat="1">
      <c r="G32622" s="3336"/>
      <c r="P32622" s="3337"/>
    </row>
    <row r="32623" spans="7:16" s="1634" customFormat="1">
      <c r="G32623" s="3336"/>
      <c r="P32623" s="3337"/>
    </row>
    <row r="32624" spans="7:16" s="1634" customFormat="1">
      <c r="G32624" s="3336"/>
      <c r="P32624" s="3337"/>
    </row>
    <row r="32625" spans="7:16" s="1634" customFormat="1">
      <c r="G32625" s="3336"/>
      <c r="P32625" s="3337"/>
    </row>
    <row r="32626" spans="7:16" s="1634" customFormat="1">
      <c r="G32626" s="3336"/>
      <c r="P32626" s="3337"/>
    </row>
    <row r="32627" spans="7:16" s="1634" customFormat="1">
      <c r="G32627" s="3336"/>
      <c r="P32627" s="3337"/>
    </row>
    <row r="32628" spans="7:16" s="1634" customFormat="1">
      <c r="G32628" s="3336"/>
      <c r="P32628" s="3337"/>
    </row>
    <row r="32629" spans="7:16" s="1634" customFormat="1">
      <c r="G32629" s="3336"/>
      <c r="P32629" s="3337"/>
    </row>
    <row r="32630" spans="7:16" s="1634" customFormat="1">
      <c r="G32630" s="3336"/>
      <c r="P32630" s="3337"/>
    </row>
    <row r="32631" spans="7:16" s="1634" customFormat="1">
      <c r="G32631" s="3336"/>
      <c r="P32631" s="3337"/>
    </row>
    <row r="32632" spans="7:16" s="1634" customFormat="1">
      <c r="G32632" s="3336"/>
      <c r="P32632" s="3337"/>
    </row>
    <row r="32633" spans="7:16" s="1634" customFormat="1">
      <c r="G32633" s="3336"/>
      <c r="P32633" s="3337"/>
    </row>
    <row r="32634" spans="7:16" s="1634" customFormat="1">
      <c r="G32634" s="3336"/>
      <c r="P32634" s="3337"/>
    </row>
    <row r="32635" spans="7:16" s="1634" customFormat="1">
      <c r="G32635" s="3336"/>
      <c r="P32635" s="3337"/>
    </row>
    <row r="32636" spans="7:16" s="1634" customFormat="1">
      <c r="G32636" s="3336"/>
      <c r="P32636" s="3337"/>
    </row>
    <row r="32637" spans="7:16" s="1634" customFormat="1">
      <c r="G32637" s="3336"/>
      <c r="P32637" s="3337"/>
    </row>
    <row r="32638" spans="7:16" s="1634" customFormat="1">
      <c r="G32638" s="3336"/>
      <c r="P32638" s="3337"/>
    </row>
    <row r="32639" spans="7:16" s="1634" customFormat="1">
      <c r="G32639" s="3336"/>
      <c r="P32639" s="3337"/>
    </row>
    <row r="32640" spans="7:16" s="1634" customFormat="1">
      <c r="G32640" s="3336"/>
      <c r="P32640" s="3337"/>
    </row>
    <row r="32641" spans="7:16" s="1634" customFormat="1">
      <c r="G32641" s="3336"/>
      <c r="P32641" s="3337"/>
    </row>
    <row r="32642" spans="7:16" s="1634" customFormat="1">
      <c r="G32642" s="3336"/>
      <c r="P32642" s="3337"/>
    </row>
    <row r="32643" spans="7:16" s="1634" customFormat="1">
      <c r="G32643" s="3336"/>
      <c r="P32643" s="3337"/>
    </row>
    <row r="32644" spans="7:16" s="1634" customFormat="1">
      <c r="G32644" s="3336"/>
      <c r="P32644" s="3337"/>
    </row>
    <row r="32645" spans="7:16" s="1634" customFormat="1">
      <c r="G32645" s="3336"/>
      <c r="P32645" s="3337"/>
    </row>
    <row r="32646" spans="7:16" s="1634" customFormat="1">
      <c r="G32646" s="3336"/>
      <c r="P32646" s="3337"/>
    </row>
    <row r="32647" spans="7:16" s="1634" customFormat="1">
      <c r="G32647" s="3336"/>
      <c r="P32647" s="3337"/>
    </row>
    <row r="32648" spans="7:16" s="1634" customFormat="1">
      <c r="G32648" s="3336"/>
      <c r="P32648" s="3337"/>
    </row>
    <row r="32649" spans="7:16" s="1634" customFormat="1">
      <c r="G32649" s="3336"/>
      <c r="P32649" s="3337"/>
    </row>
    <row r="32650" spans="7:16" s="1634" customFormat="1">
      <c r="G32650" s="3336"/>
      <c r="P32650" s="3337"/>
    </row>
    <row r="32651" spans="7:16" s="1634" customFormat="1">
      <c r="G32651" s="3336"/>
      <c r="P32651" s="3337"/>
    </row>
    <row r="32652" spans="7:16" s="1634" customFormat="1">
      <c r="G32652" s="3336"/>
      <c r="P32652" s="3337"/>
    </row>
    <row r="32653" spans="7:16" s="1634" customFormat="1">
      <c r="G32653" s="3336"/>
      <c r="P32653" s="3337"/>
    </row>
    <row r="32654" spans="7:16" s="1634" customFormat="1">
      <c r="G32654" s="3336"/>
      <c r="P32654" s="3337"/>
    </row>
    <row r="32655" spans="7:16" s="1634" customFormat="1">
      <c r="G32655" s="3336"/>
      <c r="P32655" s="3337"/>
    </row>
    <row r="32656" spans="7:16" s="1634" customFormat="1">
      <c r="G32656" s="3336"/>
      <c r="P32656" s="3337"/>
    </row>
    <row r="32657" spans="7:16" s="1634" customFormat="1">
      <c r="G32657" s="3336"/>
      <c r="P32657" s="3337"/>
    </row>
    <row r="32658" spans="7:16" s="1634" customFormat="1">
      <c r="G32658" s="3336"/>
      <c r="P32658" s="3337"/>
    </row>
    <row r="32659" spans="7:16" s="1634" customFormat="1">
      <c r="G32659" s="3336"/>
      <c r="P32659" s="3337"/>
    </row>
    <row r="32660" spans="7:16" s="1634" customFormat="1">
      <c r="G32660" s="3336"/>
      <c r="P32660" s="3337"/>
    </row>
    <row r="32661" spans="7:16" s="1634" customFormat="1">
      <c r="G32661" s="3336"/>
      <c r="P32661" s="3337"/>
    </row>
    <row r="32662" spans="7:16" s="1634" customFormat="1">
      <c r="G32662" s="3336"/>
      <c r="P32662" s="3337"/>
    </row>
    <row r="32663" spans="7:16" s="1634" customFormat="1">
      <c r="G32663" s="3336"/>
      <c r="P32663" s="3337"/>
    </row>
    <row r="32664" spans="7:16" s="1634" customFormat="1">
      <c r="G32664" s="3336"/>
      <c r="P32664" s="3337"/>
    </row>
    <row r="32665" spans="7:16" s="1634" customFormat="1">
      <c r="G32665" s="3336"/>
      <c r="P32665" s="3337"/>
    </row>
    <row r="32666" spans="7:16" s="1634" customFormat="1">
      <c r="G32666" s="3336"/>
      <c r="P32666" s="3337"/>
    </row>
    <row r="32667" spans="7:16" s="1634" customFormat="1">
      <c r="G32667" s="3336"/>
      <c r="P32667" s="3337"/>
    </row>
    <row r="32668" spans="7:16" s="1634" customFormat="1">
      <c r="G32668" s="3336"/>
      <c r="P32668" s="3337"/>
    </row>
    <row r="32669" spans="7:16" s="1634" customFormat="1">
      <c r="G32669" s="3336"/>
      <c r="P32669" s="3337"/>
    </row>
    <row r="32670" spans="7:16" s="1634" customFormat="1">
      <c r="G32670" s="3336"/>
      <c r="P32670" s="3337"/>
    </row>
    <row r="32671" spans="7:16" s="1634" customFormat="1">
      <c r="G32671" s="3336"/>
      <c r="P32671" s="3337"/>
    </row>
    <row r="32672" spans="7:16" s="1634" customFormat="1">
      <c r="G32672" s="3336"/>
      <c r="P32672" s="3337"/>
    </row>
    <row r="32673" spans="7:16" s="1634" customFormat="1">
      <c r="G32673" s="3336"/>
      <c r="P32673" s="3337"/>
    </row>
    <row r="32674" spans="7:16" s="1634" customFormat="1">
      <c r="G32674" s="3336"/>
      <c r="P32674" s="3337"/>
    </row>
    <row r="32675" spans="7:16" s="1634" customFormat="1">
      <c r="G32675" s="3336"/>
      <c r="P32675" s="3337"/>
    </row>
    <row r="32676" spans="7:16" s="1634" customFormat="1">
      <c r="G32676" s="3336"/>
      <c r="P32676" s="3337"/>
    </row>
    <row r="32677" spans="7:16" s="1634" customFormat="1">
      <c r="G32677" s="3336"/>
      <c r="P32677" s="3337"/>
    </row>
    <row r="32678" spans="7:16" s="1634" customFormat="1">
      <c r="G32678" s="3336"/>
      <c r="P32678" s="3337"/>
    </row>
    <row r="32679" spans="7:16" s="1634" customFormat="1">
      <c r="G32679" s="3336"/>
      <c r="P32679" s="3337"/>
    </row>
    <row r="32680" spans="7:16" s="1634" customFormat="1">
      <c r="G32680" s="3336"/>
      <c r="P32680" s="3337"/>
    </row>
    <row r="32681" spans="7:16" s="1634" customFormat="1">
      <c r="G32681" s="3336"/>
      <c r="P32681" s="3337"/>
    </row>
    <row r="32682" spans="7:16" s="1634" customFormat="1">
      <c r="G32682" s="3336"/>
      <c r="P32682" s="3337"/>
    </row>
    <row r="32683" spans="7:16" s="1634" customFormat="1">
      <c r="G32683" s="3336"/>
      <c r="P32683" s="3337"/>
    </row>
    <row r="32684" spans="7:16" s="1634" customFormat="1">
      <c r="G32684" s="3336"/>
      <c r="P32684" s="3337"/>
    </row>
    <row r="32685" spans="7:16" s="1634" customFormat="1">
      <c r="G32685" s="3336"/>
      <c r="P32685" s="3337"/>
    </row>
    <row r="32686" spans="7:16" s="1634" customFormat="1">
      <c r="G32686" s="3336"/>
      <c r="P32686" s="3337"/>
    </row>
    <row r="32687" spans="7:16" s="1634" customFormat="1">
      <c r="G32687" s="3336"/>
      <c r="P32687" s="3337"/>
    </row>
    <row r="32688" spans="7:16" s="1634" customFormat="1">
      <c r="G32688" s="3336"/>
      <c r="P32688" s="3337"/>
    </row>
    <row r="32689" spans="7:16" s="1634" customFormat="1">
      <c r="G32689" s="3336"/>
      <c r="P32689" s="3337"/>
    </row>
    <row r="32690" spans="7:16" s="1634" customFormat="1">
      <c r="G32690" s="3336"/>
      <c r="P32690" s="3337"/>
    </row>
    <row r="32691" spans="7:16" s="1634" customFormat="1">
      <c r="G32691" s="3336"/>
      <c r="P32691" s="3337"/>
    </row>
    <row r="32692" spans="7:16" s="1634" customFormat="1">
      <c r="G32692" s="3336"/>
      <c r="P32692" s="3337"/>
    </row>
    <row r="32693" spans="7:16" s="1634" customFormat="1">
      <c r="G32693" s="3336"/>
      <c r="P32693" s="3337"/>
    </row>
    <row r="32694" spans="7:16" s="1634" customFormat="1">
      <c r="G32694" s="3336"/>
      <c r="P32694" s="3337"/>
    </row>
    <row r="32695" spans="7:16" s="1634" customFormat="1">
      <c r="G32695" s="3336"/>
      <c r="P32695" s="3337"/>
    </row>
    <row r="32696" spans="7:16" s="1634" customFormat="1">
      <c r="G32696" s="3336"/>
      <c r="P32696" s="3337"/>
    </row>
    <row r="32697" spans="7:16" s="1634" customFormat="1">
      <c r="G32697" s="3336"/>
      <c r="P32697" s="3337"/>
    </row>
    <row r="32698" spans="7:16" s="1634" customFormat="1">
      <c r="G32698" s="3336"/>
      <c r="P32698" s="3337"/>
    </row>
    <row r="32699" spans="7:16" s="1634" customFormat="1">
      <c r="G32699" s="3336"/>
      <c r="P32699" s="3337"/>
    </row>
    <row r="32700" spans="7:16" s="1634" customFormat="1">
      <c r="G32700" s="3336"/>
      <c r="P32700" s="3337"/>
    </row>
    <row r="32701" spans="7:16" s="1634" customFormat="1">
      <c r="G32701" s="3336"/>
      <c r="P32701" s="3337"/>
    </row>
    <row r="32702" spans="7:16" s="1634" customFormat="1">
      <c r="G32702" s="3336"/>
      <c r="P32702" s="3337"/>
    </row>
    <row r="32703" spans="7:16" s="1634" customFormat="1">
      <c r="G32703" s="3336"/>
      <c r="P32703" s="3337"/>
    </row>
    <row r="32704" spans="7:16" s="1634" customFormat="1">
      <c r="G32704" s="3336"/>
      <c r="P32704" s="3337"/>
    </row>
    <row r="32705" spans="7:16" s="1634" customFormat="1">
      <c r="G32705" s="3336"/>
      <c r="P32705" s="3337"/>
    </row>
    <row r="32706" spans="7:16" s="1634" customFormat="1">
      <c r="G32706" s="3336"/>
      <c r="P32706" s="3337"/>
    </row>
    <row r="32707" spans="7:16" s="1634" customFormat="1">
      <c r="G32707" s="3336"/>
      <c r="P32707" s="3337"/>
    </row>
    <row r="32708" spans="7:16" s="1634" customFormat="1">
      <c r="G32708" s="3336"/>
      <c r="P32708" s="3337"/>
    </row>
    <row r="32709" spans="7:16" s="1634" customFormat="1">
      <c r="G32709" s="3336"/>
      <c r="P32709" s="3337"/>
    </row>
    <row r="32710" spans="7:16" s="1634" customFormat="1">
      <c r="G32710" s="3336"/>
      <c r="P32710" s="3337"/>
    </row>
    <row r="32711" spans="7:16" s="1634" customFormat="1">
      <c r="G32711" s="3336"/>
      <c r="P32711" s="3337"/>
    </row>
    <row r="32712" spans="7:16" s="1634" customFormat="1">
      <c r="G32712" s="3336"/>
      <c r="P32712" s="3337"/>
    </row>
    <row r="32713" spans="7:16" s="1634" customFormat="1">
      <c r="G32713" s="3336"/>
      <c r="P32713" s="3337"/>
    </row>
    <row r="32714" spans="7:16" s="1634" customFormat="1">
      <c r="G32714" s="3336"/>
      <c r="P32714" s="3337"/>
    </row>
    <row r="32715" spans="7:16" s="1634" customFormat="1">
      <c r="G32715" s="3336"/>
      <c r="P32715" s="3337"/>
    </row>
    <row r="32716" spans="7:16" s="1634" customFormat="1">
      <c r="G32716" s="3336"/>
      <c r="P32716" s="3337"/>
    </row>
    <row r="32717" spans="7:16" s="1634" customFormat="1">
      <c r="G32717" s="3336"/>
      <c r="P32717" s="3337"/>
    </row>
    <row r="32718" spans="7:16" s="1634" customFormat="1">
      <c r="G32718" s="3336"/>
      <c r="P32718" s="3337"/>
    </row>
    <row r="32719" spans="7:16" s="1634" customFormat="1">
      <c r="G32719" s="3336"/>
      <c r="P32719" s="3337"/>
    </row>
    <row r="32720" spans="7:16" s="1634" customFormat="1">
      <c r="G32720" s="3336"/>
      <c r="P32720" s="3337"/>
    </row>
    <row r="32721" spans="7:16" s="1634" customFormat="1">
      <c r="G32721" s="3336"/>
      <c r="P32721" s="3337"/>
    </row>
    <row r="32722" spans="7:16" s="1634" customFormat="1">
      <c r="G32722" s="3336"/>
      <c r="P32722" s="3337"/>
    </row>
    <row r="32723" spans="7:16" s="1634" customFormat="1">
      <c r="G32723" s="3336"/>
      <c r="P32723" s="3337"/>
    </row>
    <row r="32724" spans="7:16" s="1634" customFormat="1">
      <c r="G32724" s="3336"/>
      <c r="P32724" s="3337"/>
    </row>
    <row r="32725" spans="7:16" s="1634" customFormat="1">
      <c r="G32725" s="3336"/>
      <c r="P32725" s="3337"/>
    </row>
    <row r="32726" spans="7:16" s="1634" customFormat="1">
      <c r="G32726" s="3336"/>
      <c r="P32726" s="3337"/>
    </row>
    <row r="32727" spans="7:16" s="1634" customFormat="1">
      <c r="G32727" s="3336"/>
      <c r="P32727" s="3337"/>
    </row>
    <row r="32728" spans="7:16" s="1634" customFormat="1">
      <c r="G32728" s="3336"/>
      <c r="P32728" s="3337"/>
    </row>
    <row r="32729" spans="7:16" s="1634" customFormat="1">
      <c r="G32729" s="3336"/>
      <c r="P32729" s="3337"/>
    </row>
    <row r="32730" spans="7:16" s="1634" customFormat="1">
      <c r="G32730" s="3336"/>
      <c r="P32730" s="3337"/>
    </row>
    <row r="32731" spans="7:16" s="1634" customFormat="1">
      <c r="G32731" s="3336"/>
      <c r="P32731" s="3337"/>
    </row>
    <row r="32732" spans="7:16" s="1634" customFormat="1">
      <c r="G32732" s="3336"/>
      <c r="P32732" s="3337"/>
    </row>
    <row r="32733" spans="7:16" s="1634" customFormat="1">
      <c r="G32733" s="3336"/>
      <c r="P32733" s="3337"/>
    </row>
    <row r="32734" spans="7:16" s="1634" customFormat="1">
      <c r="G32734" s="3336"/>
      <c r="P32734" s="3337"/>
    </row>
    <row r="32735" spans="7:16" s="1634" customFormat="1">
      <c r="G32735" s="3336"/>
      <c r="P32735" s="3337"/>
    </row>
    <row r="32736" spans="7:16" s="1634" customFormat="1">
      <c r="G32736" s="3336"/>
      <c r="P32736" s="3337"/>
    </row>
    <row r="32737" spans="7:16" s="1634" customFormat="1">
      <c r="G32737" s="3336"/>
      <c r="P32737" s="3337"/>
    </row>
    <row r="32738" spans="7:16" s="1634" customFormat="1">
      <c r="G32738" s="3336"/>
      <c r="P32738" s="3337"/>
    </row>
    <row r="32739" spans="7:16" s="1634" customFormat="1">
      <c r="G32739" s="3336"/>
      <c r="P32739" s="3337"/>
    </row>
    <row r="32740" spans="7:16" s="1634" customFormat="1">
      <c r="G32740" s="3336"/>
      <c r="P32740" s="3337"/>
    </row>
    <row r="32741" spans="7:16" s="1634" customFormat="1">
      <c r="G32741" s="3336"/>
      <c r="P32741" s="3337"/>
    </row>
    <row r="32742" spans="7:16" s="1634" customFormat="1">
      <c r="G32742" s="3336"/>
      <c r="P32742" s="3337"/>
    </row>
    <row r="32743" spans="7:16" s="1634" customFormat="1">
      <c r="G32743" s="3336"/>
      <c r="P32743" s="3337"/>
    </row>
    <row r="32744" spans="7:16" s="1634" customFormat="1">
      <c r="G32744" s="3336"/>
      <c r="P32744" s="3337"/>
    </row>
    <row r="32745" spans="7:16" s="1634" customFormat="1">
      <c r="G32745" s="3336"/>
      <c r="P32745" s="3337"/>
    </row>
    <row r="32746" spans="7:16" s="1634" customFormat="1">
      <c r="G32746" s="3336"/>
      <c r="P32746" s="3337"/>
    </row>
    <row r="32747" spans="7:16" s="1634" customFormat="1">
      <c r="G32747" s="3336"/>
      <c r="P32747" s="3337"/>
    </row>
    <row r="32748" spans="7:16" s="1634" customFormat="1">
      <c r="G32748" s="3336"/>
      <c r="P32748" s="3337"/>
    </row>
    <row r="32749" spans="7:16" s="1634" customFormat="1">
      <c r="G32749" s="3336"/>
      <c r="P32749" s="3337"/>
    </row>
    <row r="32750" spans="7:16" s="1634" customFormat="1">
      <c r="G32750" s="3336"/>
      <c r="P32750" s="3337"/>
    </row>
    <row r="32751" spans="7:16" s="1634" customFormat="1">
      <c r="G32751" s="3336"/>
      <c r="P32751" s="3337"/>
    </row>
    <row r="32752" spans="7:16" s="1634" customFormat="1">
      <c r="G32752" s="3336"/>
      <c r="P32752" s="3337"/>
    </row>
    <row r="32753" spans="7:16" s="1634" customFormat="1">
      <c r="G32753" s="3336"/>
      <c r="P32753" s="3337"/>
    </row>
    <row r="32754" spans="7:16" s="1634" customFormat="1">
      <c r="G32754" s="3336"/>
      <c r="P32754" s="3337"/>
    </row>
    <row r="32755" spans="7:16" s="1634" customFormat="1">
      <c r="G32755" s="3336"/>
      <c r="P32755" s="3337"/>
    </row>
    <row r="32756" spans="7:16" s="1634" customFormat="1">
      <c r="G32756" s="3336"/>
      <c r="P32756" s="3337"/>
    </row>
    <row r="32757" spans="7:16" s="1634" customFormat="1">
      <c r="G32757" s="3336"/>
      <c r="P32757" s="3337"/>
    </row>
    <row r="32758" spans="7:16" s="1634" customFormat="1">
      <c r="G32758" s="3336"/>
      <c r="P32758" s="3337"/>
    </row>
    <row r="32759" spans="7:16" s="1634" customFormat="1">
      <c r="G32759" s="3336"/>
      <c r="P32759" s="3337"/>
    </row>
    <row r="32760" spans="7:16" s="1634" customFormat="1">
      <c r="G32760" s="3336"/>
      <c r="P32760" s="3337"/>
    </row>
    <row r="32761" spans="7:16" s="1634" customFormat="1">
      <c r="G32761" s="3336"/>
      <c r="P32761" s="3337"/>
    </row>
    <row r="32762" spans="7:16" s="1634" customFormat="1">
      <c r="G32762" s="3336"/>
      <c r="P32762" s="3337"/>
    </row>
    <row r="32763" spans="7:16" s="1634" customFormat="1">
      <c r="G32763" s="3336"/>
      <c r="P32763" s="3337"/>
    </row>
    <row r="32764" spans="7:16" s="1634" customFormat="1">
      <c r="G32764" s="3336"/>
      <c r="P32764" s="3337"/>
    </row>
    <row r="32765" spans="7:16" s="1634" customFormat="1">
      <c r="G32765" s="3336"/>
      <c r="P32765" s="3337"/>
    </row>
    <row r="32766" spans="7:16" s="1634" customFormat="1">
      <c r="G32766" s="3336"/>
      <c r="P32766" s="3337"/>
    </row>
    <row r="32767" spans="7:16" s="1634" customFormat="1">
      <c r="G32767" s="3336"/>
      <c r="P32767" s="3337"/>
    </row>
    <row r="32768" spans="7:16" s="1634" customFormat="1">
      <c r="G32768" s="3336"/>
      <c r="P32768" s="3337"/>
    </row>
    <row r="32769" spans="7:16" s="1634" customFormat="1">
      <c r="G32769" s="3336"/>
      <c r="P32769" s="3337"/>
    </row>
    <row r="32770" spans="7:16" s="1634" customFormat="1">
      <c r="G32770" s="3336"/>
      <c r="P32770" s="3337"/>
    </row>
    <row r="32771" spans="7:16" s="1634" customFormat="1">
      <c r="G32771" s="3336"/>
      <c r="P32771" s="3337"/>
    </row>
    <row r="32772" spans="7:16" s="1634" customFormat="1">
      <c r="G32772" s="3336"/>
      <c r="P32772" s="3337"/>
    </row>
    <row r="32773" spans="7:16" s="1634" customFormat="1">
      <c r="G32773" s="3336"/>
      <c r="P32773" s="3337"/>
    </row>
    <row r="32774" spans="7:16" s="1634" customFormat="1">
      <c r="G32774" s="3336"/>
      <c r="P32774" s="3337"/>
    </row>
    <row r="32775" spans="7:16" s="1634" customFormat="1">
      <c r="G32775" s="3336"/>
      <c r="P32775" s="3337"/>
    </row>
    <row r="32776" spans="7:16" s="1634" customFormat="1">
      <c r="G32776" s="3336"/>
      <c r="P32776" s="3337"/>
    </row>
    <row r="32777" spans="7:16" s="1634" customFormat="1">
      <c r="G32777" s="3336"/>
      <c r="P32777" s="3337"/>
    </row>
    <row r="32778" spans="7:16" s="1634" customFormat="1">
      <c r="G32778" s="3336"/>
      <c r="P32778" s="3337"/>
    </row>
    <row r="32779" spans="7:16" s="1634" customFormat="1">
      <c r="G32779" s="3336"/>
      <c r="P32779" s="3337"/>
    </row>
    <row r="32780" spans="7:16" s="1634" customFormat="1">
      <c r="G32780" s="3336"/>
      <c r="P32780" s="3337"/>
    </row>
    <row r="32781" spans="7:16" s="1634" customFormat="1">
      <c r="G32781" s="3336"/>
      <c r="P32781" s="3337"/>
    </row>
    <row r="32782" spans="7:16" s="1634" customFormat="1">
      <c r="G32782" s="3336"/>
      <c r="P32782" s="3337"/>
    </row>
    <row r="32783" spans="7:16" s="1634" customFormat="1">
      <c r="G32783" s="3336"/>
      <c r="P32783" s="3337"/>
    </row>
    <row r="32784" spans="7:16" s="1634" customFormat="1">
      <c r="G32784" s="3336"/>
      <c r="P32784" s="3337"/>
    </row>
    <row r="32785" spans="7:16" s="1634" customFormat="1">
      <c r="G32785" s="3336"/>
      <c r="P32785" s="3337"/>
    </row>
    <row r="32786" spans="7:16" s="1634" customFormat="1">
      <c r="G32786" s="3336"/>
      <c r="P32786" s="3337"/>
    </row>
    <row r="32787" spans="7:16" s="1634" customFormat="1">
      <c r="G32787" s="3336"/>
      <c r="P32787" s="3337"/>
    </row>
    <row r="32788" spans="7:16" s="1634" customFormat="1">
      <c r="G32788" s="3336"/>
      <c r="P32788" s="3337"/>
    </row>
    <row r="32789" spans="7:16" s="1634" customFormat="1">
      <c r="G32789" s="3336"/>
      <c r="P32789" s="3337"/>
    </row>
    <row r="32790" spans="7:16" s="1634" customFormat="1">
      <c r="G32790" s="3336"/>
      <c r="P32790" s="3337"/>
    </row>
    <row r="32791" spans="7:16" s="1634" customFormat="1">
      <c r="G32791" s="3336"/>
      <c r="P32791" s="3337"/>
    </row>
    <row r="32792" spans="7:16" s="1634" customFormat="1">
      <c r="G32792" s="3336"/>
      <c r="P32792" s="3337"/>
    </row>
    <row r="32793" spans="7:16" s="1634" customFormat="1">
      <c r="G32793" s="3336"/>
      <c r="P32793" s="3337"/>
    </row>
    <row r="32794" spans="7:16" s="1634" customFormat="1">
      <c r="G32794" s="3336"/>
      <c r="P32794" s="3337"/>
    </row>
    <row r="32795" spans="7:16" s="1634" customFormat="1">
      <c r="G32795" s="3336"/>
      <c r="P32795" s="3337"/>
    </row>
    <row r="32796" spans="7:16" s="1634" customFormat="1">
      <c r="G32796" s="3336"/>
      <c r="P32796" s="3337"/>
    </row>
    <row r="32797" spans="7:16" s="1634" customFormat="1">
      <c r="G32797" s="3336"/>
      <c r="P32797" s="3337"/>
    </row>
    <row r="32798" spans="7:16" s="1634" customFormat="1">
      <c r="G32798" s="3336"/>
      <c r="P32798" s="3337"/>
    </row>
    <row r="32799" spans="7:16" s="1634" customFormat="1">
      <c r="G32799" s="3336"/>
      <c r="P32799" s="3337"/>
    </row>
    <row r="32800" spans="7:16" s="1634" customFormat="1">
      <c r="G32800" s="3336"/>
      <c r="P32800" s="3337"/>
    </row>
    <row r="32801" spans="7:16" s="1634" customFormat="1">
      <c r="G32801" s="3336"/>
      <c r="P32801" s="3337"/>
    </row>
    <row r="32802" spans="7:16" s="1634" customFormat="1">
      <c r="G32802" s="3336"/>
      <c r="P32802" s="3337"/>
    </row>
    <row r="32803" spans="7:16" s="1634" customFormat="1">
      <c r="G32803" s="3336"/>
      <c r="P32803" s="3337"/>
    </row>
    <row r="32804" spans="7:16" s="1634" customFormat="1">
      <c r="G32804" s="3336"/>
      <c r="P32804" s="3337"/>
    </row>
    <row r="32805" spans="7:16" s="1634" customFormat="1">
      <c r="G32805" s="3336"/>
      <c r="P32805" s="3337"/>
    </row>
    <row r="32806" spans="7:16" s="1634" customFormat="1">
      <c r="G32806" s="3336"/>
      <c r="P32806" s="3337"/>
    </row>
    <row r="32807" spans="7:16" s="1634" customFormat="1">
      <c r="G32807" s="3336"/>
      <c r="P32807" s="3337"/>
    </row>
    <row r="32808" spans="7:16" s="1634" customFormat="1">
      <c r="G32808" s="3336"/>
      <c r="P32808" s="3337"/>
    </row>
    <row r="32809" spans="7:16" s="1634" customFormat="1">
      <c r="G32809" s="3336"/>
      <c r="P32809" s="3337"/>
    </row>
    <row r="32810" spans="7:16" s="1634" customFormat="1">
      <c r="G32810" s="3336"/>
      <c r="P32810" s="3337"/>
    </row>
    <row r="32811" spans="7:16" s="1634" customFormat="1">
      <c r="G32811" s="3336"/>
      <c r="P32811" s="3337"/>
    </row>
    <row r="32812" spans="7:16" s="1634" customFormat="1">
      <c r="G32812" s="3336"/>
      <c r="P32812" s="3337"/>
    </row>
    <row r="32813" spans="7:16" s="1634" customFormat="1">
      <c r="G32813" s="3336"/>
      <c r="P32813" s="3337"/>
    </row>
    <row r="32814" spans="7:16" s="1634" customFormat="1">
      <c r="G32814" s="3336"/>
      <c r="P32814" s="3337"/>
    </row>
    <row r="32815" spans="7:16" s="1634" customFormat="1">
      <c r="G32815" s="3336"/>
      <c r="P32815" s="3337"/>
    </row>
    <row r="32816" spans="7:16" s="1634" customFormat="1">
      <c r="G32816" s="3336"/>
      <c r="P32816" s="3337"/>
    </row>
    <row r="32817" spans="7:16" s="1634" customFormat="1">
      <c r="G32817" s="3336"/>
      <c r="P32817" s="3337"/>
    </row>
    <row r="32818" spans="7:16" s="1634" customFormat="1">
      <c r="G32818" s="3336"/>
      <c r="P32818" s="3337"/>
    </row>
    <row r="32819" spans="7:16" s="1634" customFormat="1">
      <c r="G32819" s="3336"/>
      <c r="P32819" s="3337"/>
    </row>
    <row r="32820" spans="7:16" s="1634" customFormat="1">
      <c r="G32820" s="3336"/>
      <c r="P32820" s="3337"/>
    </row>
    <row r="32821" spans="7:16" s="1634" customFormat="1">
      <c r="G32821" s="3336"/>
      <c r="P32821" s="3337"/>
    </row>
    <row r="32822" spans="7:16" s="1634" customFormat="1">
      <c r="G32822" s="3336"/>
      <c r="P32822" s="3337"/>
    </row>
    <row r="32823" spans="7:16" s="1634" customFormat="1">
      <c r="G32823" s="3336"/>
      <c r="P32823" s="3337"/>
    </row>
    <row r="32824" spans="7:16" s="1634" customFormat="1">
      <c r="G32824" s="3336"/>
      <c r="P32824" s="3337"/>
    </row>
    <row r="32825" spans="7:16" s="1634" customFormat="1">
      <c r="G32825" s="3336"/>
      <c r="P32825" s="3337"/>
    </row>
    <row r="32826" spans="7:16" s="1634" customFormat="1">
      <c r="G32826" s="3336"/>
      <c r="P32826" s="3337"/>
    </row>
    <row r="32827" spans="7:16" s="1634" customFormat="1">
      <c r="G32827" s="3336"/>
      <c r="P32827" s="3337"/>
    </row>
    <row r="32828" spans="7:16" s="1634" customFormat="1">
      <c r="G32828" s="3336"/>
      <c r="P32828" s="3337"/>
    </row>
    <row r="32829" spans="7:16" s="1634" customFormat="1">
      <c r="G32829" s="3336"/>
      <c r="P32829" s="3337"/>
    </row>
    <row r="32830" spans="7:16" s="1634" customFormat="1">
      <c r="G32830" s="3336"/>
      <c r="P32830" s="3337"/>
    </row>
    <row r="32831" spans="7:16" s="1634" customFormat="1">
      <c r="G32831" s="3336"/>
      <c r="P32831" s="3337"/>
    </row>
    <row r="32832" spans="7:16" s="1634" customFormat="1">
      <c r="G32832" s="3336"/>
      <c r="P32832" s="3337"/>
    </row>
    <row r="32833" spans="7:16" s="1634" customFormat="1">
      <c r="G32833" s="3336"/>
      <c r="P32833" s="3337"/>
    </row>
    <row r="32834" spans="7:16" s="1634" customFormat="1">
      <c r="G32834" s="3336"/>
      <c r="P32834" s="3337"/>
    </row>
    <row r="32835" spans="7:16" s="1634" customFormat="1">
      <c r="G32835" s="3336"/>
      <c r="P32835" s="3337"/>
    </row>
    <row r="32836" spans="7:16" s="1634" customFormat="1">
      <c r="G32836" s="3336"/>
      <c r="P32836" s="3337"/>
    </row>
    <row r="32837" spans="7:16" s="1634" customFormat="1">
      <c r="G32837" s="3336"/>
      <c r="P32837" s="3337"/>
    </row>
    <row r="32838" spans="7:16" s="1634" customFormat="1">
      <c r="G32838" s="3336"/>
      <c r="P32838" s="3337"/>
    </row>
    <row r="32839" spans="7:16" s="1634" customFormat="1">
      <c r="G32839" s="3336"/>
      <c r="P32839" s="3337"/>
    </row>
    <row r="32840" spans="7:16" s="1634" customFormat="1">
      <c r="G32840" s="3336"/>
      <c r="P32840" s="3337"/>
    </row>
    <row r="32841" spans="7:16" s="1634" customFormat="1">
      <c r="G32841" s="3336"/>
      <c r="P32841" s="3337"/>
    </row>
    <row r="32842" spans="7:16" s="1634" customFormat="1">
      <c r="G32842" s="3336"/>
      <c r="P32842" s="3337"/>
    </row>
    <row r="32843" spans="7:16" s="1634" customFormat="1">
      <c r="G32843" s="3336"/>
      <c r="P32843" s="3337"/>
    </row>
    <row r="32844" spans="7:16" s="1634" customFormat="1">
      <c r="G32844" s="3336"/>
      <c r="P32844" s="3337"/>
    </row>
    <row r="32845" spans="7:16" s="1634" customFormat="1">
      <c r="G32845" s="3336"/>
      <c r="P32845" s="3337"/>
    </row>
    <row r="32846" spans="7:16" s="1634" customFormat="1">
      <c r="G32846" s="3336"/>
      <c r="P32846" s="3337"/>
    </row>
    <row r="32847" spans="7:16" s="1634" customFormat="1">
      <c r="G32847" s="3336"/>
      <c r="P32847" s="3337"/>
    </row>
    <row r="32848" spans="7:16" s="1634" customFormat="1">
      <c r="G32848" s="3336"/>
      <c r="P32848" s="3337"/>
    </row>
    <row r="32849" spans="7:16" s="1634" customFormat="1">
      <c r="G32849" s="3336"/>
      <c r="P32849" s="3337"/>
    </row>
    <row r="32850" spans="7:16" s="1634" customFormat="1">
      <c r="G32850" s="3336"/>
      <c r="P32850" s="3337"/>
    </row>
    <row r="32851" spans="7:16" s="1634" customFormat="1">
      <c r="G32851" s="3336"/>
      <c r="P32851" s="3337"/>
    </row>
    <row r="32852" spans="7:16" s="1634" customFormat="1">
      <c r="G32852" s="3336"/>
      <c r="P32852" s="3337"/>
    </row>
    <row r="32853" spans="7:16" s="1634" customFormat="1">
      <c r="G32853" s="3336"/>
      <c r="P32853" s="3337"/>
    </row>
    <row r="32854" spans="7:16" s="1634" customFormat="1">
      <c r="G32854" s="3336"/>
      <c r="P32854" s="3337"/>
    </row>
    <row r="32855" spans="7:16" s="1634" customFormat="1">
      <c r="G32855" s="3336"/>
      <c r="P32855" s="3337"/>
    </row>
    <row r="32856" spans="7:16" s="1634" customFormat="1">
      <c r="G32856" s="3336"/>
      <c r="P32856" s="3337"/>
    </row>
    <row r="32857" spans="7:16" s="1634" customFormat="1">
      <c r="G32857" s="3336"/>
      <c r="P32857" s="3337"/>
    </row>
    <row r="32858" spans="7:16" s="1634" customFormat="1">
      <c r="G32858" s="3336"/>
      <c r="P32858" s="3337"/>
    </row>
    <row r="32859" spans="7:16" s="1634" customFormat="1">
      <c r="G32859" s="3336"/>
      <c r="P32859" s="3337"/>
    </row>
    <row r="32860" spans="7:16" s="1634" customFormat="1">
      <c r="G32860" s="3336"/>
      <c r="P32860" s="3337"/>
    </row>
    <row r="32861" spans="7:16" s="1634" customFormat="1">
      <c r="G32861" s="3336"/>
      <c r="P32861" s="3337"/>
    </row>
    <row r="32862" spans="7:16" s="1634" customFormat="1">
      <c r="G32862" s="3336"/>
      <c r="P32862" s="3337"/>
    </row>
    <row r="32863" spans="7:16" s="1634" customFormat="1">
      <c r="G32863" s="3336"/>
      <c r="P32863" s="3337"/>
    </row>
    <row r="32864" spans="7:16" s="1634" customFormat="1">
      <c r="G32864" s="3336"/>
      <c r="P32864" s="3337"/>
    </row>
    <row r="32865" spans="7:16" s="1634" customFormat="1">
      <c r="G32865" s="3336"/>
      <c r="P32865" s="3337"/>
    </row>
    <row r="32866" spans="7:16" s="1634" customFormat="1">
      <c r="G32866" s="3336"/>
      <c r="P32866" s="3337"/>
    </row>
    <row r="32867" spans="7:16" s="1634" customFormat="1">
      <c r="G32867" s="3336"/>
      <c r="P32867" s="3337"/>
    </row>
    <row r="32868" spans="7:16" s="1634" customFormat="1">
      <c r="G32868" s="3336"/>
      <c r="P32868" s="3337"/>
    </row>
    <row r="32869" spans="7:16" s="1634" customFormat="1">
      <c r="G32869" s="3336"/>
      <c r="P32869" s="3337"/>
    </row>
    <row r="32870" spans="7:16" s="1634" customFormat="1">
      <c r="G32870" s="3336"/>
      <c r="P32870" s="3337"/>
    </row>
    <row r="32871" spans="7:16" s="1634" customFormat="1">
      <c r="G32871" s="3336"/>
      <c r="P32871" s="3337"/>
    </row>
    <row r="32872" spans="7:16" s="1634" customFormat="1">
      <c r="G32872" s="3336"/>
      <c r="P32872" s="3337"/>
    </row>
    <row r="32873" spans="7:16" s="1634" customFormat="1">
      <c r="G32873" s="3336"/>
      <c r="P32873" s="3337"/>
    </row>
    <row r="32874" spans="7:16" s="1634" customFormat="1">
      <c r="G32874" s="3336"/>
      <c r="P32874" s="3337"/>
    </row>
    <row r="32875" spans="7:16" s="1634" customFormat="1">
      <c r="G32875" s="3336"/>
      <c r="P32875" s="3337"/>
    </row>
    <row r="32876" spans="7:16" s="1634" customFormat="1">
      <c r="G32876" s="3336"/>
      <c r="P32876" s="3337"/>
    </row>
    <row r="32877" spans="7:16" s="1634" customFormat="1">
      <c r="G32877" s="3336"/>
      <c r="P32877" s="3337"/>
    </row>
    <row r="32878" spans="7:16" s="1634" customFormat="1">
      <c r="G32878" s="3336"/>
      <c r="P32878" s="3337"/>
    </row>
    <row r="32879" spans="7:16" s="1634" customFormat="1">
      <c r="G32879" s="3336"/>
      <c r="P32879" s="3337"/>
    </row>
    <row r="32880" spans="7:16" s="1634" customFormat="1">
      <c r="G32880" s="3336"/>
      <c r="P32880" s="3337"/>
    </row>
    <row r="32881" spans="7:16" s="1634" customFormat="1">
      <c r="G32881" s="3336"/>
      <c r="P32881" s="3337"/>
    </row>
    <row r="32882" spans="7:16" s="1634" customFormat="1">
      <c r="G32882" s="3336"/>
      <c r="P32882" s="3337"/>
    </row>
    <row r="32883" spans="7:16" s="1634" customFormat="1">
      <c r="G32883" s="3336"/>
      <c r="P32883" s="3337"/>
    </row>
    <row r="32884" spans="7:16" s="1634" customFormat="1">
      <c r="G32884" s="3336"/>
      <c r="P32884" s="3337"/>
    </row>
    <row r="32885" spans="7:16" s="1634" customFormat="1">
      <c r="G32885" s="3336"/>
      <c r="P32885" s="3337"/>
    </row>
    <row r="32886" spans="7:16" s="1634" customFormat="1">
      <c r="G32886" s="3336"/>
      <c r="P32886" s="3337"/>
    </row>
    <row r="32887" spans="7:16" s="1634" customFormat="1">
      <c r="G32887" s="3336"/>
      <c r="P32887" s="3337"/>
    </row>
    <row r="32888" spans="7:16" s="1634" customFormat="1">
      <c r="G32888" s="3336"/>
      <c r="P32888" s="3337"/>
    </row>
    <row r="32889" spans="7:16" s="1634" customFormat="1">
      <c r="G32889" s="3336"/>
      <c r="P32889" s="3337"/>
    </row>
    <row r="32890" spans="7:16" s="1634" customFormat="1">
      <c r="G32890" s="3336"/>
      <c r="P32890" s="3337"/>
    </row>
    <row r="32891" spans="7:16" s="1634" customFormat="1">
      <c r="G32891" s="3336"/>
      <c r="P32891" s="3337"/>
    </row>
    <row r="32892" spans="7:16" s="1634" customFormat="1">
      <c r="G32892" s="3336"/>
      <c r="P32892" s="3337"/>
    </row>
    <row r="32893" spans="7:16" s="1634" customFormat="1">
      <c r="G32893" s="3336"/>
      <c r="P32893" s="3337"/>
    </row>
    <row r="32894" spans="7:16" s="1634" customFormat="1">
      <c r="G32894" s="3336"/>
      <c r="P32894" s="3337"/>
    </row>
    <row r="32895" spans="7:16" s="1634" customFormat="1">
      <c r="G32895" s="3336"/>
      <c r="P32895" s="3337"/>
    </row>
    <row r="32896" spans="7:16" s="1634" customFormat="1">
      <c r="G32896" s="3336"/>
      <c r="P32896" s="3337"/>
    </row>
    <row r="32897" spans="7:16" s="1634" customFormat="1">
      <c r="G32897" s="3336"/>
      <c r="P32897" s="3337"/>
    </row>
    <row r="32898" spans="7:16" s="1634" customFormat="1">
      <c r="G32898" s="3336"/>
      <c r="P32898" s="3337"/>
    </row>
    <row r="32899" spans="7:16" s="1634" customFormat="1">
      <c r="G32899" s="3336"/>
      <c r="P32899" s="3337"/>
    </row>
    <row r="32900" spans="7:16" s="1634" customFormat="1">
      <c r="G32900" s="3336"/>
      <c r="P32900" s="3337"/>
    </row>
    <row r="32901" spans="7:16" s="1634" customFormat="1">
      <c r="G32901" s="3336"/>
      <c r="P32901" s="3337"/>
    </row>
    <row r="32902" spans="7:16" s="1634" customFormat="1">
      <c r="G32902" s="3336"/>
      <c r="P32902" s="3337"/>
    </row>
    <row r="32903" spans="7:16" s="1634" customFormat="1">
      <c r="G32903" s="3336"/>
      <c r="P32903" s="3337"/>
    </row>
    <row r="32904" spans="7:16" s="1634" customFormat="1">
      <c r="G32904" s="3336"/>
      <c r="P32904" s="3337"/>
    </row>
    <row r="32905" spans="7:16" s="1634" customFormat="1">
      <c r="G32905" s="3336"/>
      <c r="P32905" s="3337"/>
    </row>
    <row r="32906" spans="7:16" s="1634" customFormat="1">
      <c r="G32906" s="3336"/>
      <c r="P32906" s="3337"/>
    </row>
    <row r="32907" spans="7:16" s="1634" customFormat="1">
      <c r="G32907" s="3336"/>
      <c r="P32907" s="3337"/>
    </row>
    <row r="32908" spans="7:16" s="1634" customFormat="1">
      <c r="G32908" s="3336"/>
      <c r="P32908" s="3337"/>
    </row>
    <row r="32909" spans="7:16" s="1634" customFormat="1">
      <c r="G32909" s="3336"/>
      <c r="P32909" s="3337"/>
    </row>
    <row r="32910" spans="7:16" s="1634" customFormat="1">
      <c r="G32910" s="3336"/>
      <c r="P32910" s="3337"/>
    </row>
    <row r="32911" spans="7:16" s="1634" customFormat="1">
      <c r="G32911" s="3336"/>
      <c r="P32911" s="3337"/>
    </row>
    <row r="32912" spans="7:16" s="1634" customFormat="1">
      <c r="G32912" s="3336"/>
      <c r="P32912" s="3337"/>
    </row>
    <row r="32913" spans="7:16" s="1634" customFormat="1">
      <c r="G32913" s="3336"/>
      <c r="P32913" s="3337"/>
    </row>
    <row r="32914" spans="7:16" s="1634" customFormat="1">
      <c r="G32914" s="3336"/>
      <c r="P32914" s="3337"/>
    </row>
    <row r="32915" spans="7:16" s="1634" customFormat="1">
      <c r="G32915" s="3336"/>
      <c r="P32915" s="3337"/>
    </row>
    <row r="32916" spans="7:16" s="1634" customFormat="1">
      <c r="G32916" s="3336"/>
      <c r="P32916" s="3337"/>
    </row>
    <row r="32917" spans="7:16" s="1634" customFormat="1">
      <c r="G32917" s="3336"/>
      <c r="P32917" s="3337"/>
    </row>
    <row r="32918" spans="7:16" s="1634" customFormat="1">
      <c r="G32918" s="3336"/>
      <c r="P32918" s="3337"/>
    </row>
    <row r="32919" spans="7:16" s="1634" customFormat="1">
      <c r="G32919" s="3336"/>
      <c r="P32919" s="3337"/>
    </row>
    <row r="32920" spans="7:16" s="1634" customFormat="1">
      <c r="G32920" s="3336"/>
      <c r="P32920" s="3337"/>
    </row>
    <row r="32921" spans="7:16" s="1634" customFormat="1">
      <c r="G32921" s="3336"/>
      <c r="P32921" s="3337"/>
    </row>
    <row r="32922" spans="7:16" s="1634" customFormat="1">
      <c r="G32922" s="3336"/>
      <c r="P32922" s="3337"/>
    </row>
    <row r="32923" spans="7:16" s="1634" customFormat="1">
      <c r="G32923" s="3336"/>
      <c r="P32923" s="3337"/>
    </row>
    <row r="32924" spans="7:16" s="1634" customFormat="1">
      <c r="G32924" s="3336"/>
      <c r="P32924" s="3337"/>
    </row>
    <row r="32925" spans="7:16" s="1634" customFormat="1">
      <c r="G32925" s="3336"/>
      <c r="P32925" s="3337"/>
    </row>
    <row r="32926" spans="7:16" s="1634" customFormat="1">
      <c r="G32926" s="3336"/>
      <c r="P32926" s="3337"/>
    </row>
    <row r="32927" spans="7:16" s="1634" customFormat="1">
      <c r="G32927" s="3336"/>
      <c r="P32927" s="3337"/>
    </row>
    <row r="32928" spans="7:16" s="1634" customFormat="1">
      <c r="G32928" s="3336"/>
      <c r="P32928" s="3337"/>
    </row>
    <row r="32929" spans="7:16" s="1634" customFormat="1">
      <c r="G32929" s="3336"/>
      <c r="P32929" s="3337"/>
    </row>
    <row r="32930" spans="7:16" s="1634" customFormat="1">
      <c r="G32930" s="3336"/>
      <c r="P32930" s="3337"/>
    </row>
    <row r="32931" spans="7:16" s="1634" customFormat="1">
      <c r="G32931" s="3336"/>
      <c r="P32931" s="3337"/>
    </row>
    <row r="32932" spans="7:16" s="1634" customFormat="1">
      <c r="G32932" s="3336"/>
      <c r="P32932" s="3337"/>
    </row>
    <row r="32933" spans="7:16" s="1634" customFormat="1">
      <c r="G32933" s="3336"/>
      <c r="P32933" s="3337"/>
    </row>
    <row r="32934" spans="7:16" s="1634" customFormat="1">
      <c r="G32934" s="3336"/>
      <c r="P32934" s="3337"/>
    </row>
    <row r="32935" spans="7:16" s="1634" customFormat="1">
      <c r="G32935" s="3336"/>
      <c r="P32935" s="3337"/>
    </row>
    <row r="32936" spans="7:16" s="1634" customFormat="1">
      <c r="G32936" s="3336"/>
      <c r="P32936" s="3337"/>
    </row>
    <row r="32937" spans="7:16" s="1634" customFormat="1">
      <c r="G32937" s="3336"/>
      <c r="P32937" s="3337"/>
    </row>
    <row r="32938" spans="7:16" s="1634" customFormat="1">
      <c r="G32938" s="3336"/>
      <c r="P32938" s="3337"/>
    </row>
    <row r="32939" spans="7:16" s="1634" customFormat="1">
      <c r="G32939" s="3336"/>
      <c r="P32939" s="3337"/>
    </row>
    <row r="32940" spans="7:16" s="1634" customFormat="1">
      <c r="G32940" s="3336"/>
      <c r="P32940" s="3337"/>
    </row>
    <row r="32941" spans="7:16" s="1634" customFormat="1">
      <c r="G32941" s="3336"/>
      <c r="P32941" s="3337"/>
    </row>
    <row r="32942" spans="7:16" s="1634" customFormat="1">
      <c r="G32942" s="3336"/>
      <c r="P32942" s="3337"/>
    </row>
    <row r="32943" spans="7:16" s="1634" customFormat="1">
      <c r="G32943" s="3336"/>
      <c r="P32943" s="3337"/>
    </row>
    <row r="32944" spans="7:16" s="1634" customFormat="1">
      <c r="G32944" s="3336"/>
      <c r="P32944" s="3337"/>
    </row>
    <row r="32945" spans="7:16" s="1634" customFormat="1">
      <c r="G32945" s="3336"/>
      <c r="P32945" s="3337"/>
    </row>
    <row r="32946" spans="7:16" s="1634" customFormat="1">
      <c r="G32946" s="3336"/>
      <c r="P32946" s="3337"/>
    </row>
    <row r="32947" spans="7:16" s="1634" customFormat="1">
      <c r="G32947" s="3336"/>
      <c r="P32947" s="3337"/>
    </row>
    <row r="32948" spans="7:16" s="1634" customFormat="1">
      <c r="G32948" s="3336"/>
      <c r="P32948" s="3337"/>
    </row>
    <row r="32949" spans="7:16" s="1634" customFormat="1">
      <c r="G32949" s="3336"/>
      <c r="P32949" s="3337"/>
    </row>
    <row r="32950" spans="7:16" s="1634" customFormat="1">
      <c r="G32950" s="3336"/>
      <c r="P32950" s="3337"/>
    </row>
    <row r="32951" spans="7:16" s="1634" customFormat="1">
      <c r="G32951" s="3336"/>
      <c r="P32951" s="3337"/>
    </row>
    <row r="32952" spans="7:16" s="1634" customFormat="1">
      <c r="G32952" s="3336"/>
      <c r="P32952" s="3337"/>
    </row>
    <row r="32953" spans="7:16" s="1634" customFormat="1">
      <c r="G32953" s="3336"/>
      <c r="P32953" s="3337"/>
    </row>
    <row r="32954" spans="7:16" s="1634" customFormat="1">
      <c r="G32954" s="3336"/>
      <c r="P32954" s="3337"/>
    </row>
    <row r="32955" spans="7:16" s="1634" customFormat="1">
      <c r="G32955" s="3336"/>
      <c r="P32955" s="3337"/>
    </row>
    <row r="32956" spans="7:16" s="1634" customFormat="1">
      <c r="G32956" s="3336"/>
      <c r="P32956" s="3337"/>
    </row>
    <row r="32957" spans="7:16" s="1634" customFormat="1">
      <c r="G32957" s="3336"/>
      <c r="P32957" s="3337"/>
    </row>
    <row r="32958" spans="7:16" s="1634" customFormat="1">
      <c r="G32958" s="3336"/>
      <c r="P32958" s="3337"/>
    </row>
    <row r="32959" spans="7:16" s="1634" customFormat="1">
      <c r="G32959" s="3336"/>
      <c r="P32959" s="3337"/>
    </row>
    <row r="32960" spans="7:16" s="1634" customFormat="1">
      <c r="G32960" s="3336"/>
      <c r="P32960" s="3337"/>
    </row>
    <row r="32961" spans="7:16" s="1634" customFormat="1">
      <c r="G32961" s="3336"/>
      <c r="P32961" s="3337"/>
    </row>
    <row r="32962" spans="7:16" s="1634" customFormat="1">
      <c r="G32962" s="3336"/>
      <c r="P32962" s="3337"/>
    </row>
    <row r="32963" spans="7:16" s="1634" customFormat="1">
      <c r="G32963" s="3336"/>
      <c r="P32963" s="3337"/>
    </row>
    <row r="32964" spans="7:16" s="1634" customFormat="1">
      <c r="G32964" s="3336"/>
      <c r="P32964" s="3337"/>
    </row>
    <row r="32965" spans="7:16" s="1634" customFormat="1">
      <c r="G32965" s="3336"/>
      <c r="P32965" s="3337"/>
    </row>
    <row r="32966" spans="7:16" s="1634" customFormat="1">
      <c r="G32966" s="3336"/>
      <c r="P32966" s="3337"/>
    </row>
    <row r="32967" spans="7:16" s="1634" customFormat="1">
      <c r="G32967" s="3336"/>
      <c r="P32967" s="3337"/>
    </row>
    <row r="32968" spans="7:16" s="1634" customFormat="1">
      <c r="G32968" s="3336"/>
      <c r="P32968" s="3337"/>
    </row>
    <row r="32969" spans="7:16" s="1634" customFormat="1">
      <c r="G32969" s="3336"/>
      <c r="P32969" s="3337"/>
    </row>
    <row r="32970" spans="7:16" s="1634" customFormat="1">
      <c r="G32970" s="3336"/>
      <c r="P32970" s="3337"/>
    </row>
    <row r="32971" spans="7:16" s="1634" customFormat="1">
      <c r="G32971" s="3336"/>
      <c r="P32971" s="3337"/>
    </row>
    <row r="32972" spans="7:16" s="1634" customFormat="1">
      <c r="G32972" s="3336"/>
      <c r="P32972" s="3337"/>
    </row>
    <row r="32973" spans="7:16" s="1634" customFormat="1">
      <c r="G32973" s="3336"/>
      <c r="P32973" s="3337"/>
    </row>
    <row r="32974" spans="7:16" s="1634" customFormat="1">
      <c r="G32974" s="3336"/>
      <c r="P32974" s="3337"/>
    </row>
    <row r="32975" spans="7:16" s="1634" customFormat="1">
      <c r="G32975" s="3336"/>
      <c r="P32975" s="3337"/>
    </row>
    <row r="32976" spans="7:16" s="1634" customFormat="1">
      <c r="G32976" s="3336"/>
      <c r="P32976" s="3337"/>
    </row>
    <row r="32977" spans="7:16" s="1634" customFormat="1">
      <c r="G32977" s="3336"/>
      <c r="P32977" s="3337"/>
    </row>
    <row r="32978" spans="7:16" s="1634" customFormat="1">
      <c r="G32978" s="3336"/>
      <c r="P32978" s="3337"/>
    </row>
    <row r="32979" spans="7:16" s="1634" customFormat="1">
      <c r="G32979" s="3336"/>
      <c r="P32979" s="3337"/>
    </row>
    <row r="32980" spans="7:16" s="1634" customFormat="1">
      <c r="G32980" s="3336"/>
      <c r="P32980" s="3337"/>
    </row>
    <row r="32981" spans="7:16" s="1634" customFormat="1">
      <c r="G32981" s="3336"/>
      <c r="P32981" s="3337"/>
    </row>
    <row r="32982" spans="7:16" s="1634" customFormat="1">
      <c r="G32982" s="3336"/>
      <c r="P32982" s="3337"/>
    </row>
    <row r="32983" spans="7:16" s="1634" customFormat="1">
      <c r="G32983" s="3336"/>
      <c r="P32983" s="3337"/>
    </row>
    <row r="32984" spans="7:16" s="1634" customFormat="1">
      <c r="G32984" s="3336"/>
      <c r="P32984" s="3337"/>
    </row>
    <row r="32985" spans="7:16" s="1634" customFormat="1">
      <c r="G32985" s="3336"/>
      <c r="P32985" s="3337"/>
    </row>
    <row r="32986" spans="7:16" s="1634" customFormat="1">
      <c r="G32986" s="3336"/>
      <c r="P32986" s="3337"/>
    </row>
    <row r="32987" spans="7:16" s="1634" customFormat="1">
      <c r="G32987" s="3336"/>
      <c r="P32987" s="3337"/>
    </row>
    <row r="32988" spans="7:16" s="1634" customFormat="1">
      <c r="G32988" s="3336"/>
      <c r="P32988" s="3337"/>
    </row>
    <row r="32989" spans="7:16" s="1634" customFormat="1">
      <c r="G32989" s="3336"/>
      <c r="P32989" s="3337"/>
    </row>
    <row r="32990" spans="7:16" s="1634" customFormat="1">
      <c r="G32990" s="3336"/>
      <c r="P32990" s="3337"/>
    </row>
    <row r="32991" spans="7:16" s="1634" customFormat="1">
      <c r="G32991" s="3336"/>
      <c r="P32991" s="3337"/>
    </row>
    <row r="32992" spans="7:16" s="1634" customFormat="1">
      <c r="G32992" s="3336"/>
      <c r="P32992" s="3337"/>
    </row>
    <row r="32993" spans="7:16" s="1634" customFormat="1">
      <c r="G32993" s="3336"/>
      <c r="P32993" s="3337"/>
    </row>
    <row r="32994" spans="7:16" s="1634" customFormat="1">
      <c r="G32994" s="3336"/>
      <c r="P32994" s="3337"/>
    </row>
    <row r="32995" spans="7:16" s="1634" customFormat="1">
      <c r="G32995" s="3336"/>
      <c r="P32995" s="3337"/>
    </row>
    <row r="32996" spans="7:16" s="1634" customFormat="1">
      <c r="G32996" s="3336"/>
      <c r="P32996" s="3337"/>
    </row>
    <row r="32997" spans="7:16" s="1634" customFormat="1">
      <c r="G32997" s="3336"/>
      <c r="P32997" s="3337"/>
    </row>
    <row r="32998" spans="7:16" s="1634" customFormat="1">
      <c r="G32998" s="3336"/>
      <c r="P32998" s="3337"/>
    </row>
    <row r="32999" spans="7:16" s="1634" customFormat="1">
      <c r="G32999" s="3336"/>
      <c r="P32999" s="3337"/>
    </row>
    <row r="33000" spans="7:16" s="1634" customFormat="1">
      <c r="G33000" s="3336"/>
      <c r="P33000" s="3337"/>
    </row>
    <row r="33001" spans="7:16" s="1634" customFormat="1">
      <c r="G33001" s="3336"/>
      <c r="P33001" s="3337"/>
    </row>
    <row r="33002" spans="7:16" s="1634" customFormat="1">
      <c r="G33002" s="3336"/>
      <c r="P33002" s="3337"/>
    </row>
    <row r="33003" spans="7:16" s="1634" customFormat="1">
      <c r="G33003" s="3336"/>
      <c r="P33003" s="3337"/>
    </row>
    <row r="33004" spans="7:16" s="1634" customFormat="1">
      <c r="G33004" s="3336"/>
      <c r="P33004" s="3337"/>
    </row>
    <row r="33005" spans="7:16" s="1634" customFormat="1">
      <c r="G33005" s="3336"/>
      <c r="P33005" s="3337"/>
    </row>
    <row r="33006" spans="7:16" s="1634" customFormat="1">
      <c r="G33006" s="3336"/>
      <c r="P33006" s="3337"/>
    </row>
    <row r="33007" spans="7:16" s="1634" customFormat="1">
      <c r="G33007" s="3336"/>
      <c r="P33007" s="3337"/>
    </row>
    <row r="33008" spans="7:16" s="1634" customFormat="1">
      <c r="G33008" s="3336"/>
      <c r="P33008" s="3337"/>
    </row>
    <row r="33009" spans="7:16" s="1634" customFormat="1">
      <c r="G33009" s="3336"/>
      <c r="P33009" s="3337"/>
    </row>
    <row r="33010" spans="7:16" s="1634" customFormat="1">
      <c r="G33010" s="3336"/>
      <c r="P33010" s="3337"/>
    </row>
    <row r="33011" spans="7:16" s="1634" customFormat="1">
      <c r="G33011" s="3336"/>
      <c r="P33011" s="3337"/>
    </row>
    <row r="33012" spans="7:16" s="1634" customFormat="1">
      <c r="G33012" s="3336"/>
      <c r="P33012" s="3337"/>
    </row>
    <row r="33013" spans="7:16" s="1634" customFormat="1">
      <c r="G33013" s="3336"/>
      <c r="P33013" s="3337"/>
    </row>
    <row r="33014" spans="7:16" s="1634" customFormat="1">
      <c r="G33014" s="3336"/>
      <c r="P33014" s="3337"/>
    </row>
    <row r="33015" spans="7:16" s="1634" customFormat="1">
      <c r="G33015" s="3336"/>
      <c r="P33015" s="3337"/>
    </row>
    <row r="33016" spans="7:16" s="1634" customFormat="1">
      <c r="G33016" s="3336"/>
      <c r="P33016" s="3337"/>
    </row>
    <row r="33017" spans="7:16" s="1634" customFormat="1">
      <c r="G33017" s="3336"/>
      <c r="P33017" s="3337"/>
    </row>
    <row r="33018" spans="7:16" s="1634" customFormat="1">
      <c r="G33018" s="3336"/>
      <c r="P33018" s="3337"/>
    </row>
    <row r="33019" spans="7:16" s="1634" customFormat="1">
      <c r="G33019" s="3336"/>
      <c r="P33019" s="3337"/>
    </row>
    <row r="33020" spans="7:16" s="1634" customFormat="1">
      <c r="G33020" s="3336"/>
      <c r="P33020" s="3337"/>
    </row>
    <row r="33021" spans="7:16" s="1634" customFormat="1">
      <c r="G33021" s="3336"/>
      <c r="P33021" s="3337"/>
    </row>
    <row r="33022" spans="7:16" s="1634" customFormat="1">
      <c r="G33022" s="3336"/>
      <c r="P33022" s="3337"/>
    </row>
    <row r="33023" spans="7:16" s="1634" customFormat="1">
      <c r="G33023" s="3336"/>
      <c r="P33023" s="3337"/>
    </row>
    <row r="33024" spans="7:16" s="1634" customFormat="1">
      <c r="G33024" s="3336"/>
      <c r="P33024" s="3337"/>
    </row>
    <row r="33025" spans="7:16" s="1634" customFormat="1">
      <c r="G33025" s="3336"/>
      <c r="P33025" s="3337"/>
    </row>
    <row r="33026" spans="7:16" s="1634" customFormat="1">
      <c r="G33026" s="3336"/>
      <c r="P33026" s="3337"/>
    </row>
    <row r="33027" spans="7:16" s="1634" customFormat="1">
      <c r="G33027" s="3336"/>
      <c r="P33027" s="3337"/>
    </row>
    <row r="33028" spans="7:16" s="1634" customFormat="1">
      <c r="G33028" s="3336"/>
      <c r="P33028" s="3337"/>
    </row>
    <row r="33029" spans="7:16" s="1634" customFormat="1">
      <c r="G33029" s="3336"/>
      <c r="P33029" s="3337"/>
    </row>
    <row r="33030" spans="7:16" s="1634" customFormat="1">
      <c r="G33030" s="3336"/>
      <c r="P33030" s="3337"/>
    </row>
    <row r="33031" spans="7:16" s="1634" customFormat="1">
      <c r="G33031" s="3336"/>
      <c r="P33031" s="3337"/>
    </row>
    <row r="33032" spans="7:16" s="1634" customFormat="1">
      <c r="G33032" s="3336"/>
      <c r="P33032" s="3337"/>
    </row>
    <row r="33033" spans="7:16" s="1634" customFormat="1">
      <c r="G33033" s="3336"/>
      <c r="P33033" s="3337"/>
    </row>
    <row r="33034" spans="7:16" s="1634" customFormat="1">
      <c r="G33034" s="3336"/>
      <c r="P33034" s="3337"/>
    </row>
    <row r="33035" spans="7:16" s="1634" customFormat="1">
      <c r="G33035" s="3336"/>
      <c r="P33035" s="3337"/>
    </row>
    <row r="33036" spans="7:16" s="1634" customFormat="1">
      <c r="G33036" s="3336"/>
      <c r="P33036" s="3337"/>
    </row>
    <row r="33037" spans="7:16" s="1634" customFormat="1">
      <c r="G33037" s="3336"/>
      <c r="P33037" s="3337"/>
    </row>
    <row r="33038" spans="7:16" s="1634" customFormat="1">
      <c r="G33038" s="3336"/>
      <c r="P33038" s="3337"/>
    </row>
    <row r="33039" spans="7:16" s="1634" customFormat="1">
      <c r="G33039" s="3336"/>
      <c r="P33039" s="3337"/>
    </row>
    <row r="33040" spans="7:16" s="1634" customFormat="1">
      <c r="G33040" s="3336"/>
      <c r="P33040" s="3337"/>
    </row>
    <row r="33041" spans="7:16" s="1634" customFormat="1">
      <c r="G33041" s="3336"/>
      <c r="P33041" s="3337"/>
    </row>
    <row r="33042" spans="7:16" s="1634" customFormat="1">
      <c r="G33042" s="3336"/>
      <c r="P33042" s="3337"/>
    </row>
    <row r="33043" spans="7:16" s="1634" customFormat="1">
      <c r="G33043" s="3336"/>
      <c r="P33043" s="3337"/>
    </row>
    <row r="33044" spans="7:16" s="1634" customFormat="1">
      <c r="G33044" s="3336"/>
      <c r="P33044" s="3337"/>
    </row>
    <row r="33045" spans="7:16" s="1634" customFormat="1">
      <c r="G33045" s="3336"/>
      <c r="P33045" s="3337"/>
    </row>
    <row r="33046" spans="7:16" s="1634" customFormat="1">
      <c r="G33046" s="3336"/>
      <c r="P33046" s="3337"/>
    </row>
    <row r="33047" spans="7:16" s="1634" customFormat="1">
      <c r="G33047" s="3336"/>
      <c r="P33047" s="3337"/>
    </row>
    <row r="33048" spans="7:16" s="1634" customFormat="1">
      <c r="G33048" s="3336"/>
      <c r="P33048" s="3337"/>
    </row>
    <row r="33049" spans="7:16" s="1634" customFormat="1">
      <c r="G33049" s="3336"/>
      <c r="P33049" s="3337"/>
    </row>
    <row r="33050" spans="7:16" s="1634" customFormat="1">
      <c r="G33050" s="3336"/>
      <c r="P33050" s="3337"/>
    </row>
    <row r="33051" spans="7:16" s="1634" customFormat="1">
      <c r="G33051" s="3336"/>
      <c r="P33051" s="3337"/>
    </row>
    <row r="33052" spans="7:16" s="1634" customFormat="1">
      <c r="G33052" s="3336"/>
      <c r="P33052" s="3337"/>
    </row>
    <row r="33053" spans="7:16" s="1634" customFormat="1">
      <c r="G33053" s="3336"/>
      <c r="P33053" s="3337"/>
    </row>
    <row r="33054" spans="7:16" s="1634" customFormat="1">
      <c r="G33054" s="3336"/>
      <c r="P33054" s="3337"/>
    </row>
    <row r="33055" spans="7:16" s="1634" customFormat="1">
      <c r="G33055" s="3336"/>
      <c r="P33055" s="3337"/>
    </row>
    <row r="33056" spans="7:16" s="1634" customFormat="1">
      <c r="G33056" s="3336"/>
      <c r="P33056" s="3337"/>
    </row>
    <row r="33057" spans="7:16" s="1634" customFormat="1">
      <c r="G33057" s="3336"/>
      <c r="P33057" s="3337"/>
    </row>
    <row r="33058" spans="7:16" s="1634" customFormat="1">
      <c r="G33058" s="3336"/>
      <c r="P33058" s="3337"/>
    </row>
    <row r="33059" spans="7:16" s="1634" customFormat="1">
      <c r="G33059" s="3336"/>
      <c r="P33059" s="3337"/>
    </row>
    <row r="33060" spans="7:16" s="1634" customFormat="1">
      <c r="G33060" s="3336"/>
      <c r="P33060" s="3337"/>
    </row>
    <row r="33061" spans="7:16" s="1634" customFormat="1">
      <c r="G33061" s="3336"/>
      <c r="P33061" s="3337"/>
    </row>
    <row r="33062" spans="7:16" s="1634" customFormat="1">
      <c r="G33062" s="3336"/>
      <c r="P33062" s="3337"/>
    </row>
    <row r="33063" spans="7:16" s="1634" customFormat="1">
      <c r="G33063" s="3336"/>
      <c r="P33063" s="3337"/>
    </row>
    <row r="33064" spans="7:16" s="1634" customFormat="1">
      <c r="G33064" s="3336"/>
      <c r="P33064" s="3337"/>
    </row>
    <row r="33065" spans="7:16" s="1634" customFormat="1">
      <c r="G33065" s="3336"/>
      <c r="P33065" s="3337"/>
    </row>
    <row r="33066" spans="7:16" s="1634" customFormat="1">
      <c r="G33066" s="3336"/>
      <c r="P33066" s="3337"/>
    </row>
    <row r="33067" spans="7:16" s="1634" customFormat="1">
      <c r="G33067" s="3336"/>
      <c r="P33067" s="3337"/>
    </row>
    <row r="33068" spans="7:16" s="1634" customFormat="1">
      <c r="G33068" s="3336"/>
      <c r="P33068" s="3337"/>
    </row>
    <row r="33069" spans="7:16" s="1634" customFormat="1">
      <c r="G33069" s="3336"/>
      <c r="P33069" s="3337"/>
    </row>
    <row r="33070" spans="7:16" s="1634" customFormat="1">
      <c r="G33070" s="3336"/>
      <c r="P33070" s="3337"/>
    </row>
    <row r="33071" spans="7:16" s="1634" customFormat="1">
      <c r="G33071" s="3336"/>
      <c r="P33071" s="3337"/>
    </row>
    <row r="33072" spans="7:16" s="1634" customFormat="1">
      <c r="G33072" s="3336"/>
      <c r="P33072" s="3337"/>
    </row>
    <row r="33073" spans="7:16" s="1634" customFormat="1">
      <c r="G33073" s="3336"/>
      <c r="P33073" s="3337"/>
    </row>
    <row r="33074" spans="7:16" s="1634" customFormat="1">
      <c r="G33074" s="3336"/>
      <c r="P33074" s="3337"/>
    </row>
    <row r="33075" spans="7:16" s="1634" customFormat="1">
      <c r="G33075" s="3336"/>
      <c r="P33075" s="3337"/>
    </row>
    <row r="33076" spans="7:16" s="1634" customFormat="1">
      <c r="G33076" s="3336"/>
      <c r="P33076" s="3337"/>
    </row>
    <row r="33077" spans="7:16" s="1634" customFormat="1">
      <c r="G33077" s="3336"/>
      <c r="P33077" s="3337"/>
    </row>
    <row r="33078" spans="7:16" s="1634" customFormat="1">
      <c r="G33078" s="3336"/>
      <c r="P33078" s="3337"/>
    </row>
    <row r="33079" spans="7:16" s="1634" customFormat="1">
      <c r="G33079" s="3336"/>
      <c r="P33079" s="3337"/>
    </row>
    <row r="33080" spans="7:16" s="1634" customFormat="1">
      <c r="G33080" s="3336"/>
      <c r="P33080" s="3337"/>
    </row>
    <row r="33081" spans="7:16" s="1634" customFormat="1">
      <c r="G33081" s="3336"/>
      <c r="P33081" s="3337"/>
    </row>
    <row r="33082" spans="7:16" s="1634" customFormat="1">
      <c r="G33082" s="3336"/>
      <c r="P33082" s="3337"/>
    </row>
    <row r="33083" spans="7:16" s="1634" customFormat="1">
      <c r="G33083" s="3336"/>
      <c r="P33083" s="3337"/>
    </row>
    <row r="33084" spans="7:16" s="1634" customFormat="1">
      <c r="G33084" s="3336"/>
      <c r="P33084" s="3337"/>
    </row>
    <row r="33085" spans="7:16" s="1634" customFormat="1">
      <c r="G33085" s="3336"/>
      <c r="P33085" s="3337"/>
    </row>
    <row r="33086" spans="7:16" s="1634" customFormat="1">
      <c r="G33086" s="3336"/>
      <c r="P33086" s="3337"/>
    </row>
    <row r="33087" spans="7:16" s="1634" customFormat="1">
      <c r="G33087" s="3336"/>
      <c r="P33087" s="3337"/>
    </row>
    <row r="33088" spans="7:16" s="1634" customFormat="1">
      <c r="G33088" s="3336"/>
      <c r="P33088" s="3337"/>
    </row>
    <row r="33089" spans="7:16" s="1634" customFormat="1">
      <c r="G33089" s="3336"/>
      <c r="P33089" s="3337"/>
    </row>
    <row r="33090" spans="7:16" s="1634" customFormat="1">
      <c r="G33090" s="3336"/>
      <c r="P33090" s="3337"/>
    </row>
    <row r="33091" spans="7:16" s="1634" customFormat="1">
      <c r="G33091" s="3336"/>
      <c r="P33091" s="3337"/>
    </row>
    <row r="33092" spans="7:16" s="1634" customFormat="1">
      <c r="G33092" s="3336"/>
      <c r="P33092" s="3337"/>
    </row>
    <row r="33093" spans="7:16" s="1634" customFormat="1">
      <c r="G33093" s="3336"/>
      <c r="P33093" s="3337"/>
    </row>
    <row r="33094" spans="7:16" s="1634" customFormat="1">
      <c r="G33094" s="3336"/>
      <c r="P33094" s="3337"/>
    </row>
    <row r="33095" spans="7:16" s="1634" customFormat="1">
      <c r="G33095" s="3336"/>
      <c r="P33095" s="3337"/>
    </row>
    <row r="33096" spans="7:16" s="1634" customFormat="1">
      <c r="G33096" s="3336"/>
      <c r="P33096" s="3337"/>
    </row>
    <row r="33097" spans="7:16" s="1634" customFormat="1">
      <c r="G33097" s="3336"/>
      <c r="P33097" s="3337"/>
    </row>
    <row r="33098" spans="7:16" s="1634" customFormat="1">
      <c r="G33098" s="3336"/>
      <c r="P33098" s="3337"/>
    </row>
    <row r="33099" spans="7:16" s="1634" customFormat="1">
      <c r="G33099" s="3336"/>
      <c r="P33099" s="3337"/>
    </row>
    <row r="33100" spans="7:16" s="1634" customFormat="1">
      <c r="G33100" s="3336"/>
      <c r="P33100" s="3337"/>
    </row>
    <row r="33101" spans="7:16" s="1634" customFormat="1">
      <c r="G33101" s="3336"/>
      <c r="P33101" s="3337"/>
    </row>
    <row r="33102" spans="7:16" s="1634" customFormat="1">
      <c r="G33102" s="3336"/>
      <c r="P33102" s="3337"/>
    </row>
    <row r="33103" spans="7:16" s="1634" customFormat="1">
      <c r="G33103" s="3336"/>
      <c r="P33103" s="3337"/>
    </row>
    <row r="33104" spans="7:16" s="1634" customFormat="1">
      <c r="G33104" s="3336"/>
      <c r="P33104" s="3337"/>
    </row>
    <row r="33105" spans="7:16" s="1634" customFormat="1">
      <c r="G33105" s="3336"/>
      <c r="P33105" s="3337"/>
    </row>
    <row r="33106" spans="7:16" s="1634" customFormat="1">
      <c r="G33106" s="3336"/>
      <c r="P33106" s="3337"/>
    </row>
    <row r="33107" spans="7:16" s="1634" customFormat="1">
      <c r="G33107" s="3336"/>
      <c r="P33107" s="3337"/>
    </row>
    <row r="33108" spans="7:16" s="1634" customFormat="1">
      <c r="G33108" s="3336"/>
      <c r="P33108" s="3337"/>
    </row>
    <row r="33109" spans="7:16" s="1634" customFormat="1">
      <c r="G33109" s="3336"/>
      <c r="P33109" s="3337"/>
    </row>
    <row r="33110" spans="7:16" s="1634" customFormat="1">
      <c r="G33110" s="3336"/>
      <c r="P33110" s="3337"/>
    </row>
    <row r="33111" spans="7:16" s="1634" customFormat="1">
      <c r="G33111" s="3336"/>
      <c r="P33111" s="3337"/>
    </row>
    <row r="33112" spans="7:16" s="1634" customFormat="1">
      <c r="G33112" s="3336"/>
      <c r="P33112" s="3337"/>
    </row>
    <row r="33113" spans="7:16" s="1634" customFormat="1">
      <c r="G33113" s="3336"/>
      <c r="P33113" s="3337"/>
    </row>
    <row r="33114" spans="7:16" s="1634" customFormat="1">
      <c r="G33114" s="3336"/>
      <c r="P33114" s="3337"/>
    </row>
    <row r="33115" spans="7:16" s="1634" customFormat="1">
      <c r="G33115" s="3336"/>
      <c r="P33115" s="3337"/>
    </row>
    <row r="33116" spans="7:16" s="1634" customFormat="1">
      <c r="G33116" s="3336"/>
      <c r="P33116" s="3337"/>
    </row>
    <row r="33117" spans="7:16" s="1634" customFormat="1">
      <c r="G33117" s="3336"/>
      <c r="P33117" s="3337"/>
    </row>
    <row r="33118" spans="7:16" s="1634" customFormat="1">
      <c r="G33118" s="3336"/>
      <c r="P33118" s="3337"/>
    </row>
    <row r="33119" spans="7:16" s="1634" customFormat="1">
      <c r="G33119" s="3336"/>
      <c r="P33119" s="3337"/>
    </row>
    <row r="33120" spans="7:16" s="1634" customFormat="1">
      <c r="G33120" s="3336"/>
      <c r="P33120" s="3337"/>
    </row>
    <row r="33121" spans="7:16" s="1634" customFormat="1">
      <c r="G33121" s="3336"/>
      <c r="P33121" s="3337"/>
    </row>
    <row r="33122" spans="7:16" s="1634" customFormat="1">
      <c r="G33122" s="3336"/>
      <c r="P33122" s="3337"/>
    </row>
    <row r="33123" spans="7:16" s="1634" customFormat="1">
      <c r="G33123" s="3336"/>
      <c r="P33123" s="3337"/>
    </row>
    <row r="33124" spans="7:16" s="1634" customFormat="1">
      <c r="G33124" s="3336"/>
      <c r="P33124" s="3337"/>
    </row>
    <row r="33125" spans="7:16" s="1634" customFormat="1">
      <c r="G33125" s="3336"/>
      <c r="P33125" s="3337"/>
    </row>
    <row r="33126" spans="7:16" s="1634" customFormat="1">
      <c r="G33126" s="3336"/>
      <c r="P33126" s="3337"/>
    </row>
    <row r="33127" spans="7:16" s="1634" customFormat="1">
      <c r="G33127" s="3336"/>
      <c r="P33127" s="3337"/>
    </row>
    <row r="33128" spans="7:16" s="1634" customFormat="1">
      <c r="G33128" s="3336"/>
      <c r="P33128" s="3337"/>
    </row>
    <row r="33129" spans="7:16" s="1634" customFormat="1">
      <c r="G33129" s="3336"/>
      <c r="P33129" s="3337"/>
    </row>
    <row r="33130" spans="7:16" s="1634" customFormat="1">
      <c r="G33130" s="3336"/>
      <c r="P33130" s="3337"/>
    </row>
    <row r="33131" spans="7:16" s="1634" customFormat="1">
      <c r="G33131" s="3336"/>
      <c r="P33131" s="3337"/>
    </row>
    <row r="33132" spans="7:16" s="1634" customFormat="1">
      <c r="G33132" s="3336"/>
      <c r="P33132" s="3337"/>
    </row>
    <row r="33133" spans="7:16" s="1634" customFormat="1">
      <c r="G33133" s="3336"/>
      <c r="P33133" s="3337"/>
    </row>
    <row r="33134" spans="7:16" s="1634" customFormat="1">
      <c r="G33134" s="3336"/>
      <c r="P33134" s="3337"/>
    </row>
    <row r="33135" spans="7:16" s="1634" customFormat="1">
      <c r="G33135" s="3336"/>
      <c r="P33135" s="3337"/>
    </row>
    <row r="33136" spans="7:16" s="1634" customFormat="1">
      <c r="G33136" s="3336"/>
      <c r="P33136" s="3337"/>
    </row>
    <row r="33137" spans="7:16" s="1634" customFormat="1">
      <c r="G33137" s="3336"/>
      <c r="P33137" s="3337"/>
    </row>
    <row r="33138" spans="7:16" s="1634" customFormat="1">
      <c r="G33138" s="3336"/>
      <c r="P33138" s="3337"/>
    </row>
    <row r="33139" spans="7:16" s="1634" customFormat="1">
      <c r="G33139" s="3336"/>
      <c r="P33139" s="3337"/>
    </row>
    <row r="33140" spans="7:16" s="1634" customFormat="1">
      <c r="G33140" s="3336"/>
      <c r="P33140" s="3337"/>
    </row>
    <row r="33141" spans="7:16" s="1634" customFormat="1">
      <c r="G33141" s="3336"/>
      <c r="P33141" s="3337"/>
    </row>
    <row r="33142" spans="7:16" s="1634" customFormat="1">
      <c r="G33142" s="3336"/>
      <c r="P33142" s="3337"/>
    </row>
    <row r="33143" spans="7:16" s="1634" customFormat="1">
      <c r="G33143" s="3336"/>
      <c r="P33143" s="3337"/>
    </row>
    <row r="33144" spans="7:16" s="1634" customFormat="1">
      <c r="G33144" s="3336"/>
      <c r="P33144" s="3337"/>
    </row>
    <row r="33145" spans="7:16" s="1634" customFormat="1">
      <c r="G33145" s="3336"/>
      <c r="P33145" s="3337"/>
    </row>
    <row r="33146" spans="7:16" s="1634" customFormat="1">
      <c r="G33146" s="3336"/>
      <c r="P33146" s="3337"/>
    </row>
    <row r="33147" spans="7:16" s="1634" customFormat="1">
      <c r="G33147" s="3336"/>
      <c r="P33147" s="3337"/>
    </row>
    <row r="33148" spans="7:16" s="1634" customFormat="1">
      <c r="G33148" s="3336"/>
      <c r="P33148" s="3337"/>
    </row>
    <row r="33149" spans="7:16" s="1634" customFormat="1">
      <c r="G33149" s="3336"/>
      <c r="P33149" s="3337"/>
    </row>
    <row r="33150" spans="7:16" s="1634" customFormat="1">
      <c r="G33150" s="3336"/>
      <c r="P33150" s="3337"/>
    </row>
    <row r="33151" spans="7:16" s="1634" customFormat="1">
      <c r="G33151" s="3336"/>
      <c r="P33151" s="3337"/>
    </row>
    <row r="33152" spans="7:16" s="1634" customFormat="1">
      <c r="G33152" s="3336"/>
      <c r="P33152" s="3337"/>
    </row>
    <row r="33153" spans="7:16" s="1634" customFormat="1">
      <c r="G33153" s="3336"/>
      <c r="P33153" s="3337"/>
    </row>
    <row r="33154" spans="7:16" s="1634" customFormat="1">
      <c r="G33154" s="3336"/>
      <c r="P33154" s="3337"/>
    </row>
    <row r="33155" spans="7:16" s="1634" customFormat="1">
      <c r="G33155" s="3336"/>
      <c r="P33155" s="3337"/>
    </row>
    <row r="33156" spans="7:16" s="1634" customFormat="1">
      <c r="G33156" s="3336"/>
      <c r="P33156" s="3337"/>
    </row>
    <row r="33157" spans="7:16" s="1634" customFormat="1">
      <c r="G33157" s="3336"/>
      <c r="P33157" s="3337"/>
    </row>
    <row r="33158" spans="7:16" s="1634" customFormat="1">
      <c r="G33158" s="3336"/>
      <c r="P33158" s="3337"/>
    </row>
    <row r="33159" spans="7:16" s="1634" customFormat="1">
      <c r="G33159" s="3336"/>
      <c r="P33159" s="3337"/>
    </row>
    <row r="33160" spans="7:16" s="1634" customFormat="1">
      <c r="G33160" s="3336"/>
      <c r="P33160" s="3337"/>
    </row>
    <row r="33161" spans="7:16" s="1634" customFormat="1">
      <c r="G33161" s="3336"/>
      <c r="P33161" s="3337"/>
    </row>
    <row r="33162" spans="7:16" s="1634" customFormat="1">
      <c r="G33162" s="3336"/>
      <c r="P33162" s="3337"/>
    </row>
    <row r="33163" spans="7:16" s="1634" customFormat="1">
      <c r="G33163" s="3336"/>
      <c r="P33163" s="3337"/>
    </row>
    <row r="33164" spans="7:16" s="1634" customFormat="1">
      <c r="G33164" s="3336"/>
      <c r="P33164" s="3337"/>
    </row>
    <row r="33165" spans="7:16" s="1634" customFormat="1">
      <c r="G33165" s="3336"/>
      <c r="P33165" s="3337"/>
    </row>
    <row r="33166" spans="7:16" s="1634" customFormat="1">
      <c r="G33166" s="3336"/>
      <c r="P33166" s="3337"/>
    </row>
    <row r="33167" spans="7:16" s="1634" customFormat="1">
      <c r="G33167" s="3336"/>
      <c r="P33167" s="3337"/>
    </row>
    <row r="33168" spans="7:16" s="1634" customFormat="1">
      <c r="G33168" s="3336"/>
      <c r="P33168" s="3337"/>
    </row>
    <row r="33169" spans="7:16" s="1634" customFormat="1">
      <c r="G33169" s="3336"/>
      <c r="P33169" s="3337"/>
    </row>
    <row r="33170" spans="7:16" s="1634" customFormat="1">
      <c r="G33170" s="3336"/>
      <c r="P33170" s="3337"/>
    </row>
    <row r="33171" spans="7:16" s="1634" customFormat="1">
      <c r="G33171" s="3336"/>
      <c r="P33171" s="3337"/>
    </row>
    <row r="33172" spans="7:16" s="1634" customFormat="1">
      <c r="G33172" s="3336"/>
      <c r="P33172" s="3337"/>
    </row>
    <row r="33173" spans="7:16" s="1634" customFormat="1">
      <c r="G33173" s="3336"/>
      <c r="P33173" s="3337"/>
    </row>
    <row r="33174" spans="7:16" s="1634" customFormat="1">
      <c r="G33174" s="3336"/>
      <c r="P33174" s="3337"/>
    </row>
    <row r="33175" spans="7:16" s="1634" customFormat="1">
      <c r="G33175" s="3336"/>
      <c r="P33175" s="3337"/>
    </row>
    <row r="33176" spans="7:16" s="1634" customFormat="1">
      <c r="G33176" s="3336"/>
      <c r="P33176" s="3337"/>
    </row>
    <row r="33177" spans="7:16" s="1634" customFormat="1">
      <c r="G33177" s="3336"/>
      <c r="P33177" s="3337"/>
    </row>
    <row r="33178" spans="7:16" s="1634" customFormat="1">
      <c r="G33178" s="3336"/>
      <c r="P33178" s="3337"/>
    </row>
    <row r="33179" spans="7:16" s="1634" customFormat="1">
      <c r="G33179" s="3336"/>
      <c r="P33179" s="3337"/>
    </row>
    <row r="33180" spans="7:16" s="1634" customFormat="1">
      <c r="G33180" s="3336"/>
      <c r="P33180" s="3337"/>
    </row>
    <row r="33181" spans="7:16" s="1634" customFormat="1">
      <c r="G33181" s="3336"/>
      <c r="P33181" s="3337"/>
    </row>
    <row r="33182" spans="7:16" s="1634" customFormat="1">
      <c r="G33182" s="3336"/>
      <c r="P33182" s="3337"/>
    </row>
    <row r="33183" spans="7:16" s="1634" customFormat="1">
      <c r="G33183" s="3336"/>
      <c r="P33183" s="3337"/>
    </row>
    <row r="33184" spans="7:16" s="1634" customFormat="1">
      <c r="G33184" s="3336"/>
      <c r="P33184" s="3337"/>
    </row>
    <row r="33185" spans="7:16" s="1634" customFormat="1">
      <c r="G33185" s="3336"/>
      <c r="P33185" s="3337"/>
    </row>
    <row r="33186" spans="7:16" s="1634" customFormat="1">
      <c r="G33186" s="3336"/>
      <c r="P33186" s="3337"/>
    </row>
    <row r="33187" spans="7:16" s="1634" customFormat="1">
      <c r="G33187" s="3336"/>
      <c r="P33187" s="3337"/>
    </row>
    <row r="33188" spans="7:16" s="1634" customFormat="1">
      <c r="G33188" s="3336"/>
      <c r="P33188" s="3337"/>
    </row>
    <row r="33189" spans="7:16" s="1634" customFormat="1">
      <c r="G33189" s="3336"/>
      <c r="P33189" s="3337"/>
    </row>
    <row r="33190" spans="7:16" s="1634" customFormat="1">
      <c r="G33190" s="3336"/>
      <c r="P33190" s="3337"/>
    </row>
    <row r="33191" spans="7:16" s="1634" customFormat="1">
      <c r="G33191" s="3336"/>
      <c r="P33191" s="3337"/>
    </row>
    <row r="33192" spans="7:16" s="1634" customFormat="1">
      <c r="G33192" s="3336"/>
      <c r="P33192" s="3337"/>
    </row>
    <row r="33193" spans="7:16" s="1634" customFormat="1">
      <c r="G33193" s="3336"/>
      <c r="P33193" s="3337"/>
    </row>
    <row r="33194" spans="7:16" s="1634" customFormat="1">
      <c r="G33194" s="3336"/>
      <c r="P33194" s="3337"/>
    </row>
    <row r="33195" spans="7:16" s="1634" customFormat="1">
      <c r="G33195" s="3336"/>
      <c r="P33195" s="3337"/>
    </row>
    <row r="33196" spans="7:16" s="1634" customFormat="1">
      <c r="G33196" s="3336"/>
      <c r="P33196" s="3337"/>
    </row>
    <row r="33197" spans="7:16" s="1634" customFormat="1">
      <c r="G33197" s="3336"/>
      <c r="P33197" s="3337"/>
    </row>
    <row r="33198" spans="7:16" s="1634" customFormat="1">
      <c r="G33198" s="3336"/>
      <c r="P33198" s="3337"/>
    </row>
    <row r="33199" spans="7:16" s="1634" customFormat="1">
      <c r="G33199" s="3336"/>
      <c r="P33199" s="3337"/>
    </row>
    <row r="33200" spans="7:16" s="1634" customFormat="1">
      <c r="G33200" s="3336"/>
      <c r="P33200" s="3337"/>
    </row>
    <row r="33201" spans="7:16" s="1634" customFormat="1">
      <c r="G33201" s="3336"/>
      <c r="P33201" s="3337"/>
    </row>
    <row r="33202" spans="7:16" s="1634" customFormat="1">
      <c r="G33202" s="3336"/>
      <c r="P33202" s="3337"/>
    </row>
    <row r="33203" spans="7:16" s="1634" customFormat="1">
      <c r="G33203" s="3336"/>
      <c r="P33203" s="3337"/>
    </row>
    <row r="33204" spans="7:16" s="1634" customFormat="1">
      <c r="G33204" s="3336"/>
      <c r="P33204" s="3337"/>
    </row>
    <row r="33205" spans="7:16" s="1634" customFormat="1">
      <c r="G33205" s="3336"/>
      <c r="P33205" s="3337"/>
    </row>
    <row r="33206" spans="7:16" s="1634" customFormat="1">
      <c r="G33206" s="3336"/>
      <c r="P33206" s="3337"/>
    </row>
    <row r="33207" spans="7:16" s="1634" customFormat="1">
      <c r="G33207" s="3336"/>
      <c r="P33207" s="3337"/>
    </row>
    <row r="33208" spans="7:16" s="1634" customFormat="1">
      <c r="G33208" s="3336"/>
      <c r="P33208" s="3337"/>
    </row>
    <row r="33209" spans="7:16" s="1634" customFormat="1">
      <c r="G33209" s="3336"/>
      <c r="P33209" s="3337"/>
    </row>
    <row r="33210" spans="7:16" s="1634" customFormat="1">
      <c r="G33210" s="3336"/>
      <c r="P33210" s="3337"/>
    </row>
    <row r="33211" spans="7:16" s="1634" customFormat="1">
      <c r="G33211" s="3336"/>
      <c r="P33211" s="3337"/>
    </row>
    <row r="33212" spans="7:16" s="1634" customFormat="1">
      <c r="G33212" s="3336"/>
      <c r="P33212" s="3337"/>
    </row>
    <row r="33213" spans="7:16" s="1634" customFormat="1">
      <c r="G33213" s="3336"/>
      <c r="P33213" s="3337"/>
    </row>
    <row r="33214" spans="7:16" s="1634" customFormat="1">
      <c r="G33214" s="3336"/>
      <c r="P33214" s="3337"/>
    </row>
    <row r="33215" spans="7:16" s="1634" customFormat="1">
      <c r="G33215" s="3336"/>
      <c r="P33215" s="3337"/>
    </row>
    <row r="33216" spans="7:16" s="1634" customFormat="1">
      <c r="G33216" s="3336"/>
      <c r="P33216" s="3337"/>
    </row>
    <row r="33217" spans="7:16" s="1634" customFormat="1">
      <c r="G33217" s="3336"/>
      <c r="P33217" s="3337"/>
    </row>
    <row r="33218" spans="7:16" s="1634" customFormat="1">
      <c r="G33218" s="3336"/>
      <c r="P33218" s="3337"/>
    </row>
    <row r="33219" spans="7:16" s="1634" customFormat="1">
      <c r="G33219" s="3336"/>
      <c r="P33219" s="3337"/>
    </row>
    <row r="33220" spans="7:16" s="1634" customFormat="1">
      <c r="G33220" s="3336"/>
      <c r="P33220" s="3337"/>
    </row>
    <row r="33221" spans="7:16" s="1634" customFormat="1">
      <c r="G33221" s="3336"/>
      <c r="P33221" s="3337"/>
    </row>
    <row r="33222" spans="7:16" s="1634" customFormat="1">
      <c r="G33222" s="3336"/>
      <c r="P33222" s="3337"/>
    </row>
    <row r="33223" spans="7:16" s="1634" customFormat="1">
      <c r="G33223" s="3336"/>
      <c r="P33223" s="3337"/>
    </row>
    <row r="33224" spans="7:16" s="1634" customFormat="1">
      <c r="G33224" s="3336"/>
      <c r="P33224" s="3337"/>
    </row>
    <row r="33225" spans="7:16" s="1634" customFormat="1">
      <c r="G33225" s="3336"/>
      <c r="P33225" s="3337"/>
    </row>
    <row r="33226" spans="7:16" s="1634" customFormat="1">
      <c r="G33226" s="3336"/>
      <c r="P33226" s="3337"/>
    </row>
    <row r="33227" spans="7:16" s="1634" customFormat="1">
      <c r="G33227" s="3336"/>
      <c r="P33227" s="3337"/>
    </row>
    <row r="33228" spans="7:16" s="1634" customFormat="1">
      <c r="G33228" s="3336"/>
      <c r="P33228" s="3337"/>
    </row>
    <row r="33229" spans="7:16" s="1634" customFormat="1">
      <c r="G33229" s="3336"/>
      <c r="P33229" s="3337"/>
    </row>
    <row r="33230" spans="7:16" s="1634" customFormat="1">
      <c r="G33230" s="3336"/>
      <c r="P33230" s="3337"/>
    </row>
    <row r="33231" spans="7:16" s="1634" customFormat="1">
      <c r="G33231" s="3336"/>
      <c r="P33231" s="3337"/>
    </row>
    <row r="33232" spans="7:16" s="1634" customFormat="1">
      <c r="G33232" s="3336"/>
      <c r="P33232" s="3337"/>
    </row>
    <row r="33233" spans="7:16" s="1634" customFormat="1">
      <c r="G33233" s="3336"/>
      <c r="P33233" s="3337"/>
    </row>
    <row r="33234" spans="7:16" s="1634" customFormat="1">
      <c r="G33234" s="3336"/>
      <c r="P33234" s="3337"/>
    </row>
    <row r="33235" spans="7:16" s="1634" customFormat="1">
      <c r="G33235" s="3336"/>
      <c r="P33235" s="3337"/>
    </row>
    <row r="33236" spans="7:16" s="1634" customFormat="1">
      <c r="G33236" s="3336"/>
      <c r="P33236" s="3337"/>
    </row>
    <row r="33237" spans="7:16" s="1634" customFormat="1">
      <c r="G33237" s="3336"/>
      <c r="P33237" s="3337"/>
    </row>
    <row r="33238" spans="7:16" s="1634" customFormat="1">
      <c r="G33238" s="3336"/>
      <c r="P33238" s="3337"/>
    </row>
    <row r="33239" spans="7:16" s="1634" customFormat="1">
      <c r="G33239" s="3336"/>
      <c r="P33239" s="3337"/>
    </row>
    <row r="33240" spans="7:16" s="1634" customFormat="1">
      <c r="G33240" s="3336"/>
      <c r="P33240" s="3337"/>
    </row>
    <row r="33241" spans="7:16" s="1634" customFormat="1">
      <c r="G33241" s="3336"/>
      <c r="P33241" s="3337"/>
    </row>
    <row r="33242" spans="7:16" s="1634" customFormat="1">
      <c r="G33242" s="3336"/>
      <c r="P33242" s="3337"/>
    </row>
    <row r="33243" spans="7:16" s="1634" customFormat="1">
      <c r="G33243" s="3336"/>
      <c r="P33243" s="3337"/>
    </row>
    <row r="33244" spans="7:16" s="1634" customFormat="1">
      <c r="G33244" s="3336"/>
      <c r="P33244" s="3337"/>
    </row>
    <row r="33245" spans="7:16" s="1634" customFormat="1">
      <c r="G33245" s="3336"/>
      <c r="P33245" s="3337"/>
    </row>
    <row r="33246" spans="7:16" s="1634" customFormat="1">
      <c r="G33246" s="3336"/>
      <c r="P33246" s="3337"/>
    </row>
    <row r="33247" spans="7:16" s="1634" customFormat="1">
      <c r="G33247" s="3336"/>
      <c r="P33247" s="3337"/>
    </row>
    <row r="33248" spans="7:16" s="1634" customFormat="1">
      <c r="G33248" s="3336"/>
      <c r="P33248" s="3337"/>
    </row>
    <row r="33249" spans="7:16" s="1634" customFormat="1">
      <c r="G33249" s="3336"/>
      <c r="P33249" s="3337"/>
    </row>
    <row r="33250" spans="7:16" s="1634" customFormat="1">
      <c r="G33250" s="3336"/>
      <c r="P33250" s="3337"/>
    </row>
    <row r="33251" spans="7:16" s="1634" customFormat="1">
      <c r="G33251" s="3336"/>
      <c r="P33251" s="3337"/>
    </row>
    <row r="33252" spans="7:16" s="1634" customFormat="1">
      <c r="G33252" s="3336"/>
      <c r="P33252" s="3337"/>
    </row>
    <row r="33253" spans="7:16" s="1634" customFormat="1">
      <c r="G33253" s="3336"/>
      <c r="P33253" s="3337"/>
    </row>
    <row r="33254" spans="7:16" s="1634" customFormat="1">
      <c r="G33254" s="3336"/>
      <c r="P33254" s="3337"/>
    </row>
    <row r="33255" spans="7:16" s="1634" customFormat="1">
      <c r="G33255" s="3336"/>
      <c r="P33255" s="3337"/>
    </row>
    <row r="33256" spans="7:16" s="1634" customFormat="1">
      <c r="G33256" s="3336"/>
      <c r="P33256" s="3337"/>
    </row>
    <row r="33257" spans="7:16" s="1634" customFormat="1">
      <c r="G33257" s="3336"/>
      <c r="P33257" s="3337"/>
    </row>
    <row r="33258" spans="7:16" s="1634" customFormat="1">
      <c r="G33258" s="3336"/>
      <c r="P33258" s="3337"/>
    </row>
    <row r="33259" spans="7:16" s="1634" customFormat="1">
      <c r="G33259" s="3336"/>
      <c r="P33259" s="3337"/>
    </row>
    <row r="33260" spans="7:16" s="1634" customFormat="1">
      <c r="G33260" s="3336"/>
      <c r="P33260" s="3337"/>
    </row>
    <row r="33261" spans="7:16" s="1634" customFormat="1">
      <c r="G33261" s="3336"/>
      <c r="P33261" s="3337"/>
    </row>
    <row r="33262" spans="7:16" s="1634" customFormat="1">
      <c r="G33262" s="3336"/>
      <c r="P33262" s="3337"/>
    </row>
    <row r="33263" spans="7:16" s="1634" customFormat="1">
      <c r="G33263" s="3336"/>
      <c r="P33263" s="3337"/>
    </row>
    <row r="33264" spans="7:16" s="1634" customFormat="1">
      <c r="G33264" s="3336"/>
      <c r="P33264" s="3337"/>
    </row>
    <row r="33265" spans="7:16" s="1634" customFormat="1">
      <c r="G33265" s="3336"/>
      <c r="P33265" s="3337"/>
    </row>
    <row r="33266" spans="7:16" s="1634" customFormat="1">
      <c r="G33266" s="3336"/>
      <c r="P33266" s="3337"/>
    </row>
    <row r="33267" spans="7:16" s="1634" customFormat="1">
      <c r="G33267" s="3336"/>
      <c r="P33267" s="3337"/>
    </row>
    <row r="33268" spans="7:16" s="1634" customFormat="1">
      <c r="G33268" s="3336"/>
      <c r="P33268" s="3337"/>
    </row>
    <row r="33269" spans="7:16" s="1634" customFormat="1">
      <c r="G33269" s="3336"/>
      <c r="P33269" s="3337"/>
    </row>
    <row r="33270" spans="7:16" s="1634" customFormat="1">
      <c r="G33270" s="3336"/>
      <c r="P33270" s="3337"/>
    </row>
    <row r="33271" spans="7:16" s="1634" customFormat="1">
      <c r="G33271" s="3336"/>
      <c r="P33271" s="3337"/>
    </row>
    <row r="33272" spans="7:16" s="1634" customFormat="1">
      <c r="G33272" s="3336"/>
      <c r="P33272" s="3337"/>
    </row>
    <row r="33273" spans="7:16" s="1634" customFormat="1">
      <c r="G33273" s="3336"/>
      <c r="P33273" s="3337"/>
    </row>
    <row r="33274" spans="7:16" s="1634" customFormat="1">
      <c r="G33274" s="3336"/>
      <c r="P33274" s="3337"/>
    </row>
    <row r="33275" spans="7:16" s="1634" customFormat="1">
      <c r="G33275" s="3336"/>
      <c r="P33275" s="3337"/>
    </row>
    <row r="33276" spans="7:16" s="1634" customFormat="1">
      <c r="G33276" s="3336"/>
      <c r="P33276" s="3337"/>
    </row>
    <row r="33277" spans="7:16" s="1634" customFormat="1">
      <c r="G33277" s="3336"/>
      <c r="P33277" s="3337"/>
    </row>
    <row r="33278" spans="7:16" s="1634" customFormat="1">
      <c r="G33278" s="3336"/>
      <c r="P33278" s="3337"/>
    </row>
    <row r="33279" spans="7:16" s="1634" customFormat="1">
      <c r="G33279" s="3336"/>
      <c r="P33279" s="3337"/>
    </row>
    <row r="33280" spans="7:16" s="1634" customFormat="1">
      <c r="G33280" s="3336"/>
      <c r="P33280" s="3337"/>
    </row>
    <row r="33281" spans="7:16" s="1634" customFormat="1">
      <c r="G33281" s="3336"/>
      <c r="P33281" s="3337"/>
    </row>
    <row r="33282" spans="7:16" s="1634" customFormat="1">
      <c r="G33282" s="3336"/>
      <c r="P33282" s="3337"/>
    </row>
    <row r="33283" spans="7:16" s="1634" customFormat="1">
      <c r="G33283" s="3336"/>
      <c r="P33283" s="3337"/>
    </row>
    <row r="33284" spans="7:16" s="1634" customFormat="1">
      <c r="G33284" s="3336"/>
      <c r="P33284" s="3337"/>
    </row>
    <row r="33285" spans="7:16" s="1634" customFormat="1">
      <c r="G33285" s="3336"/>
      <c r="P33285" s="3337"/>
    </row>
    <row r="33286" spans="7:16" s="1634" customFormat="1">
      <c r="G33286" s="3336"/>
      <c r="P33286" s="3337"/>
    </row>
    <row r="33287" spans="7:16" s="1634" customFormat="1">
      <c r="G33287" s="3336"/>
      <c r="P33287" s="3337"/>
    </row>
    <row r="33288" spans="7:16" s="1634" customFormat="1">
      <c r="G33288" s="3336"/>
      <c r="P33288" s="3337"/>
    </row>
    <row r="33289" spans="7:16" s="1634" customFormat="1">
      <c r="G33289" s="3336"/>
      <c r="P33289" s="3337"/>
    </row>
    <row r="33290" spans="7:16" s="1634" customFormat="1">
      <c r="G33290" s="3336"/>
      <c r="P33290" s="3337"/>
    </row>
    <row r="33291" spans="7:16" s="1634" customFormat="1">
      <c r="G33291" s="3336"/>
      <c r="P33291" s="3337"/>
    </row>
    <row r="33292" spans="7:16" s="1634" customFormat="1">
      <c r="G33292" s="3336"/>
      <c r="P33292" s="3337"/>
    </row>
    <row r="33293" spans="7:16" s="1634" customFormat="1">
      <c r="G33293" s="3336"/>
      <c r="P33293" s="3337"/>
    </row>
    <row r="33294" spans="7:16" s="1634" customFormat="1">
      <c r="G33294" s="3336"/>
      <c r="P33294" s="3337"/>
    </row>
    <row r="33295" spans="7:16" s="1634" customFormat="1">
      <c r="G33295" s="3336"/>
      <c r="P33295" s="3337"/>
    </row>
    <row r="33296" spans="7:16" s="1634" customFormat="1">
      <c r="G33296" s="3336"/>
      <c r="P33296" s="3337"/>
    </row>
    <row r="33297" spans="7:16" s="1634" customFormat="1">
      <c r="G33297" s="3336"/>
      <c r="P33297" s="3337"/>
    </row>
    <row r="33298" spans="7:16" s="1634" customFormat="1">
      <c r="G33298" s="3336"/>
      <c r="P33298" s="3337"/>
    </row>
    <row r="33299" spans="7:16" s="1634" customFormat="1">
      <c r="G33299" s="3336"/>
      <c r="P33299" s="3337"/>
    </row>
    <row r="33300" spans="7:16" s="1634" customFormat="1">
      <c r="G33300" s="3336"/>
      <c r="P33300" s="3337"/>
    </row>
    <row r="33301" spans="7:16" s="1634" customFormat="1">
      <c r="G33301" s="3336"/>
      <c r="P33301" s="3337"/>
    </row>
    <row r="33302" spans="7:16" s="1634" customFormat="1">
      <c r="G33302" s="3336"/>
      <c r="P33302" s="3337"/>
    </row>
    <row r="33303" spans="7:16" s="1634" customFormat="1">
      <c r="G33303" s="3336"/>
      <c r="P33303" s="3337"/>
    </row>
    <row r="33304" spans="7:16" s="1634" customFormat="1">
      <c r="G33304" s="3336"/>
      <c r="P33304" s="3337"/>
    </row>
    <row r="33305" spans="7:16" s="1634" customFormat="1">
      <c r="G33305" s="3336"/>
      <c r="P33305" s="3337"/>
    </row>
    <row r="33306" spans="7:16" s="1634" customFormat="1">
      <c r="G33306" s="3336"/>
      <c r="P33306" s="3337"/>
    </row>
    <row r="33307" spans="7:16" s="1634" customFormat="1">
      <c r="G33307" s="3336"/>
      <c r="P33307" s="3337"/>
    </row>
    <row r="33308" spans="7:16" s="1634" customFormat="1">
      <c r="G33308" s="3336"/>
      <c r="P33308" s="3337"/>
    </row>
    <row r="33309" spans="7:16" s="1634" customFormat="1">
      <c r="G33309" s="3336"/>
      <c r="P33309" s="3337"/>
    </row>
    <row r="33310" spans="7:16" s="1634" customFormat="1">
      <c r="G33310" s="3336"/>
      <c r="P33310" s="3337"/>
    </row>
    <row r="33311" spans="7:16" s="1634" customFormat="1">
      <c r="G33311" s="3336"/>
      <c r="P33311" s="3337"/>
    </row>
    <row r="33312" spans="7:16" s="1634" customFormat="1">
      <c r="G33312" s="3336"/>
      <c r="P33312" s="3337"/>
    </row>
    <row r="33313" spans="7:16" s="1634" customFormat="1">
      <c r="G33313" s="3336"/>
      <c r="P33313" s="3337"/>
    </row>
    <row r="33314" spans="7:16" s="1634" customFormat="1">
      <c r="G33314" s="3336"/>
      <c r="P33314" s="3337"/>
    </row>
    <row r="33315" spans="7:16" s="1634" customFormat="1">
      <c r="G33315" s="3336"/>
      <c r="P33315" s="3337"/>
    </row>
    <row r="33316" spans="7:16" s="1634" customFormat="1">
      <c r="G33316" s="3336"/>
      <c r="P33316" s="3337"/>
    </row>
    <row r="33317" spans="7:16" s="1634" customFormat="1">
      <c r="G33317" s="3336"/>
      <c r="P33317" s="3337"/>
    </row>
    <row r="33318" spans="7:16" s="1634" customFormat="1">
      <c r="G33318" s="3336"/>
      <c r="P33318" s="3337"/>
    </row>
    <row r="33319" spans="7:16" s="1634" customFormat="1">
      <c r="G33319" s="3336"/>
      <c r="P33319" s="3337"/>
    </row>
    <row r="33320" spans="7:16" s="1634" customFormat="1">
      <c r="G33320" s="3336"/>
      <c r="P33320" s="3337"/>
    </row>
    <row r="33321" spans="7:16" s="1634" customFormat="1">
      <c r="G33321" s="3336"/>
      <c r="P33321" s="3337"/>
    </row>
    <row r="33322" spans="7:16" s="1634" customFormat="1">
      <c r="G33322" s="3336"/>
      <c r="P33322" s="3337"/>
    </row>
    <row r="33323" spans="7:16" s="1634" customFormat="1">
      <c r="G33323" s="3336"/>
      <c r="P33323" s="3337"/>
    </row>
    <row r="33324" spans="7:16" s="1634" customFormat="1">
      <c r="G33324" s="3336"/>
      <c r="P33324" s="3337"/>
    </row>
    <row r="33325" spans="7:16" s="1634" customFormat="1">
      <c r="G33325" s="3336"/>
      <c r="P33325" s="3337"/>
    </row>
    <row r="33326" spans="7:16" s="1634" customFormat="1">
      <c r="G33326" s="3336"/>
      <c r="P33326" s="3337"/>
    </row>
    <row r="33327" spans="7:16" s="1634" customFormat="1">
      <c r="G33327" s="3336"/>
      <c r="P33327" s="3337"/>
    </row>
    <row r="33328" spans="7:16" s="1634" customFormat="1">
      <c r="G33328" s="3336"/>
      <c r="P33328" s="3337"/>
    </row>
    <row r="33329" spans="7:16" s="1634" customFormat="1">
      <c r="G33329" s="3336"/>
      <c r="P33329" s="3337"/>
    </row>
    <row r="33330" spans="7:16" s="1634" customFormat="1">
      <c r="G33330" s="3336"/>
      <c r="P33330" s="3337"/>
    </row>
    <row r="33331" spans="7:16" s="1634" customFormat="1">
      <c r="G33331" s="3336"/>
      <c r="P33331" s="3337"/>
    </row>
    <row r="33332" spans="7:16" s="1634" customFormat="1">
      <c r="G33332" s="3336"/>
      <c r="P33332" s="3337"/>
    </row>
    <row r="33333" spans="7:16" s="1634" customFormat="1">
      <c r="G33333" s="3336"/>
      <c r="P33333" s="3337"/>
    </row>
    <row r="33334" spans="7:16" s="1634" customFormat="1">
      <c r="G33334" s="3336"/>
      <c r="P33334" s="3337"/>
    </row>
    <row r="33335" spans="7:16" s="1634" customFormat="1">
      <c r="G33335" s="3336"/>
      <c r="P33335" s="3337"/>
    </row>
    <row r="33336" spans="7:16" s="1634" customFormat="1">
      <c r="G33336" s="3336"/>
      <c r="P33336" s="3337"/>
    </row>
    <row r="33337" spans="7:16" s="1634" customFormat="1">
      <c r="G33337" s="3336"/>
      <c r="P33337" s="3337"/>
    </row>
    <row r="33338" spans="7:16" s="1634" customFormat="1">
      <c r="G33338" s="3336"/>
      <c r="P33338" s="3337"/>
    </row>
    <row r="33339" spans="7:16" s="1634" customFormat="1">
      <c r="G33339" s="3336"/>
      <c r="P33339" s="3337"/>
    </row>
    <row r="33340" spans="7:16" s="1634" customFormat="1">
      <c r="G33340" s="3336"/>
      <c r="P33340" s="3337"/>
    </row>
    <row r="33341" spans="7:16" s="1634" customFormat="1">
      <c r="G33341" s="3336"/>
      <c r="P33341" s="3337"/>
    </row>
    <row r="33342" spans="7:16" s="1634" customFormat="1">
      <c r="G33342" s="3336"/>
      <c r="P33342" s="3337"/>
    </row>
    <row r="33343" spans="7:16" s="1634" customFormat="1">
      <c r="G33343" s="3336"/>
      <c r="P33343" s="3337"/>
    </row>
    <row r="33344" spans="7:16" s="1634" customFormat="1">
      <c r="G33344" s="3336"/>
      <c r="P33344" s="3337"/>
    </row>
    <row r="33345" spans="7:16" s="1634" customFormat="1">
      <c r="G33345" s="3336"/>
      <c r="P33345" s="3337"/>
    </row>
    <row r="33346" spans="7:16" s="1634" customFormat="1">
      <c r="G33346" s="3336"/>
      <c r="P33346" s="3337"/>
    </row>
    <row r="33347" spans="7:16" s="1634" customFormat="1">
      <c r="G33347" s="3336"/>
      <c r="P33347" s="3337"/>
    </row>
    <row r="33348" spans="7:16" s="1634" customFormat="1">
      <c r="G33348" s="3336"/>
      <c r="P33348" s="3337"/>
    </row>
    <row r="33349" spans="7:16" s="1634" customFormat="1">
      <c r="G33349" s="3336"/>
      <c r="P33349" s="3337"/>
    </row>
    <row r="33350" spans="7:16" s="1634" customFormat="1">
      <c r="G33350" s="3336"/>
      <c r="P33350" s="3337"/>
    </row>
    <row r="33351" spans="7:16" s="1634" customFormat="1">
      <c r="G33351" s="3336"/>
      <c r="P33351" s="3337"/>
    </row>
    <row r="33352" spans="7:16" s="1634" customFormat="1">
      <c r="G33352" s="3336"/>
      <c r="P33352" s="3337"/>
    </row>
    <row r="33353" spans="7:16" s="1634" customFormat="1">
      <c r="G33353" s="3336"/>
      <c r="P33353" s="3337"/>
    </row>
    <row r="33354" spans="7:16" s="1634" customFormat="1">
      <c r="G33354" s="3336"/>
      <c r="P33354" s="3337"/>
    </row>
    <row r="33355" spans="7:16" s="1634" customFormat="1">
      <c r="G33355" s="3336"/>
      <c r="P33355" s="3337"/>
    </row>
    <row r="33356" spans="7:16" s="1634" customFormat="1">
      <c r="G33356" s="3336"/>
      <c r="P33356" s="3337"/>
    </row>
    <row r="33357" spans="7:16" s="1634" customFormat="1">
      <c r="G33357" s="3336"/>
      <c r="P33357" s="3337"/>
    </row>
    <row r="33358" spans="7:16" s="1634" customFormat="1">
      <c r="G33358" s="3336"/>
      <c r="P33358" s="3337"/>
    </row>
    <row r="33359" spans="7:16" s="1634" customFormat="1">
      <c r="G33359" s="3336"/>
      <c r="P33359" s="3337"/>
    </row>
    <row r="33360" spans="7:16" s="1634" customFormat="1">
      <c r="G33360" s="3336"/>
      <c r="P33360" s="3337"/>
    </row>
    <row r="33361" spans="7:16" s="1634" customFormat="1">
      <c r="G33361" s="3336"/>
      <c r="P33361" s="3337"/>
    </row>
    <row r="33362" spans="7:16" s="1634" customFormat="1">
      <c r="G33362" s="3336"/>
      <c r="P33362" s="3337"/>
    </row>
    <row r="33363" spans="7:16" s="1634" customFormat="1">
      <c r="G33363" s="3336"/>
      <c r="P33363" s="3337"/>
    </row>
    <row r="33364" spans="7:16" s="1634" customFormat="1">
      <c r="G33364" s="3336"/>
      <c r="P33364" s="3337"/>
    </row>
    <row r="33365" spans="7:16" s="1634" customFormat="1">
      <c r="G33365" s="3336"/>
      <c r="P33365" s="3337"/>
    </row>
    <row r="33366" spans="7:16" s="1634" customFormat="1">
      <c r="G33366" s="3336"/>
      <c r="P33366" s="3337"/>
    </row>
    <row r="33367" spans="7:16" s="1634" customFormat="1">
      <c r="G33367" s="3336"/>
      <c r="P33367" s="3337"/>
    </row>
    <row r="33368" spans="7:16" s="1634" customFormat="1">
      <c r="G33368" s="3336"/>
      <c r="P33368" s="3337"/>
    </row>
    <row r="33369" spans="7:16" s="1634" customFormat="1">
      <c r="G33369" s="3336"/>
      <c r="P33369" s="3337"/>
    </row>
    <row r="33370" spans="7:16" s="1634" customFormat="1">
      <c r="G33370" s="3336"/>
      <c r="P33370" s="3337"/>
    </row>
    <row r="33371" spans="7:16" s="1634" customFormat="1">
      <c r="G33371" s="3336"/>
      <c r="P33371" s="3337"/>
    </row>
    <row r="33372" spans="7:16" s="1634" customFormat="1">
      <c r="G33372" s="3336"/>
      <c r="P33372" s="3337"/>
    </row>
    <row r="33373" spans="7:16" s="1634" customFormat="1">
      <c r="G33373" s="3336"/>
      <c r="P33373" s="3337"/>
    </row>
    <row r="33374" spans="7:16" s="1634" customFormat="1">
      <c r="G33374" s="3336"/>
      <c r="P33374" s="3337"/>
    </row>
    <row r="33375" spans="7:16" s="1634" customFormat="1">
      <c r="G33375" s="3336"/>
      <c r="P33375" s="3337"/>
    </row>
    <row r="33376" spans="7:16" s="1634" customFormat="1">
      <c r="G33376" s="3336"/>
      <c r="P33376" s="3337"/>
    </row>
    <row r="33377" spans="7:16" s="1634" customFormat="1">
      <c r="G33377" s="3336"/>
      <c r="P33377" s="3337"/>
    </row>
    <row r="33378" spans="7:16" s="1634" customFormat="1">
      <c r="G33378" s="3336"/>
      <c r="P33378" s="3337"/>
    </row>
    <row r="33379" spans="7:16" s="1634" customFormat="1">
      <c r="G33379" s="3336"/>
      <c r="P33379" s="3337"/>
    </row>
    <row r="33380" spans="7:16" s="1634" customFormat="1">
      <c r="G33380" s="3336"/>
      <c r="P33380" s="3337"/>
    </row>
    <row r="33381" spans="7:16" s="1634" customFormat="1">
      <c r="G33381" s="3336"/>
      <c r="P33381" s="3337"/>
    </row>
    <row r="33382" spans="7:16" s="1634" customFormat="1">
      <c r="G33382" s="3336"/>
      <c r="P33382" s="3337"/>
    </row>
    <row r="33383" spans="7:16" s="1634" customFormat="1">
      <c r="G33383" s="3336"/>
      <c r="P33383" s="3337"/>
    </row>
    <row r="33384" spans="7:16" s="1634" customFormat="1">
      <c r="G33384" s="3336"/>
      <c r="P33384" s="3337"/>
    </row>
    <row r="33385" spans="7:16" s="1634" customFormat="1">
      <c r="G33385" s="3336"/>
      <c r="P33385" s="3337"/>
    </row>
    <row r="33386" spans="7:16" s="1634" customFormat="1">
      <c r="G33386" s="3336"/>
      <c r="P33386" s="3337"/>
    </row>
    <row r="33387" spans="7:16" s="1634" customFormat="1">
      <c r="G33387" s="3336"/>
      <c r="P33387" s="3337"/>
    </row>
    <row r="33388" spans="7:16" s="1634" customFormat="1">
      <c r="G33388" s="3336"/>
      <c r="P33388" s="3337"/>
    </row>
    <row r="33389" spans="7:16" s="1634" customFormat="1">
      <c r="G33389" s="3336"/>
      <c r="P33389" s="3337"/>
    </row>
    <row r="33390" spans="7:16" s="1634" customFormat="1">
      <c r="G33390" s="3336"/>
      <c r="P33390" s="3337"/>
    </row>
    <row r="33391" spans="7:16" s="1634" customFormat="1">
      <c r="G33391" s="3336"/>
      <c r="P33391" s="3337"/>
    </row>
    <row r="33392" spans="7:16" s="1634" customFormat="1">
      <c r="G33392" s="3336"/>
      <c r="P33392" s="3337"/>
    </row>
    <row r="33393" spans="7:16" s="1634" customFormat="1">
      <c r="G33393" s="3336"/>
      <c r="P33393" s="3337"/>
    </row>
    <row r="33394" spans="7:16" s="1634" customFormat="1">
      <c r="G33394" s="3336"/>
      <c r="P33394" s="3337"/>
    </row>
    <row r="33395" spans="7:16" s="1634" customFormat="1">
      <c r="G33395" s="3336"/>
      <c r="P33395" s="3337"/>
    </row>
    <row r="33396" spans="7:16" s="1634" customFormat="1">
      <c r="G33396" s="3336"/>
      <c r="P33396" s="3337"/>
    </row>
    <row r="33397" spans="7:16" s="1634" customFormat="1">
      <c r="G33397" s="3336"/>
      <c r="P33397" s="3337"/>
    </row>
    <row r="33398" spans="7:16" s="1634" customFormat="1">
      <c r="G33398" s="3336"/>
      <c r="P33398" s="3337"/>
    </row>
    <row r="33399" spans="7:16" s="1634" customFormat="1">
      <c r="G33399" s="3336"/>
      <c r="P33399" s="3337"/>
    </row>
    <row r="33400" spans="7:16" s="1634" customFormat="1">
      <c r="G33400" s="3336"/>
      <c r="P33400" s="3337"/>
    </row>
    <row r="33401" spans="7:16" s="1634" customFormat="1">
      <c r="G33401" s="3336"/>
      <c r="P33401" s="3337"/>
    </row>
    <row r="33402" spans="7:16" s="1634" customFormat="1">
      <c r="G33402" s="3336"/>
      <c r="P33402" s="3337"/>
    </row>
    <row r="33403" spans="7:16" s="1634" customFormat="1">
      <c r="G33403" s="3336"/>
      <c r="P33403" s="3337"/>
    </row>
    <row r="33404" spans="7:16" s="1634" customFormat="1">
      <c r="G33404" s="3336"/>
      <c r="P33404" s="3337"/>
    </row>
    <row r="33405" spans="7:16" s="1634" customFormat="1">
      <c r="G33405" s="3336"/>
      <c r="P33405" s="3337"/>
    </row>
    <row r="33406" spans="7:16" s="1634" customFormat="1">
      <c r="G33406" s="3336"/>
      <c r="P33406" s="3337"/>
    </row>
    <row r="33407" spans="7:16" s="1634" customFormat="1">
      <c r="G33407" s="3336"/>
      <c r="P33407" s="3337"/>
    </row>
    <row r="33408" spans="7:16" s="1634" customFormat="1">
      <c r="G33408" s="3336"/>
      <c r="P33408" s="3337"/>
    </row>
    <row r="33409" spans="7:16" s="1634" customFormat="1">
      <c r="G33409" s="3336"/>
      <c r="P33409" s="3337"/>
    </row>
    <row r="33410" spans="7:16" s="1634" customFormat="1">
      <c r="G33410" s="3336"/>
      <c r="P33410" s="3337"/>
    </row>
    <row r="33411" spans="7:16" s="1634" customFormat="1">
      <c r="G33411" s="3336"/>
      <c r="P33411" s="3337"/>
    </row>
    <row r="33412" spans="7:16" s="1634" customFormat="1">
      <c r="G33412" s="3336"/>
      <c r="P33412" s="3337"/>
    </row>
    <row r="33413" spans="7:16" s="1634" customFormat="1">
      <c r="G33413" s="3336"/>
      <c r="P33413" s="3337"/>
    </row>
    <row r="33414" spans="7:16" s="1634" customFormat="1">
      <c r="G33414" s="3336"/>
      <c r="P33414" s="3337"/>
    </row>
    <row r="33415" spans="7:16" s="1634" customFormat="1">
      <c r="G33415" s="3336"/>
      <c r="P33415" s="3337"/>
    </row>
    <row r="33416" spans="7:16" s="1634" customFormat="1">
      <c r="G33416" s="3336"/>
      <c r="P33416" s="3337"/>
    </row>
    <row r="33417" spans="7:16" s="1634" customFormat="1">
      <c r="G33417" s="3336"/>
      <c r="P33417" s="3337"/>
    </row>
    <row r="33418" spans="7:16" s="1634" customFormat="1">
      <c r="G33418" s="3336"/>
      <c r="P33418" s="3337"/>
    </row>
    <row r="33419" spans="7:16" s="1634" customFormat="1">
      <c r="G33419" s="3336"/>
      <c r="P33419" s="3337"/>
    </row>
    <row r="33420" spans="7:16" s="1634" customFormat="1">
      <c r="G33420" s="3336"/>
      <c r="P33420" s="3337"/>
    </row>
    <row r="33421" spans="7:16" s="1634" customFormat="1">
      <c r="G33421" s="3336"/>
      <c r="P33421" s="3337"/>
    </row>
    <row r="33422" spans="7:16" s="1634" customFormat="1">
      <c r="G33422" s="3336"/>
      <c r="P33422" s="3337"/>
    </row>
    <row r="33423" spans="7:16" s="1634" customFormat="1">
      <c r="G33423" s="3336"/>
      <c r="P33423" s="3337"/>
    </row>
    <row r="33424" spans="7:16" s="1634" customFormat="1">
      <c r="G33424" s="3336"/>
      <c r="P33424" s="3337"/>
    </row>
    <row r="33425" spans="7:16" s="1634" customFormat="1">
      <c r="G33425" s="3336"/>
      <c r="P33425" s="3337"/>
    </row>
    <row r="33426" spans="7:16" s="1634" customFormat="1">
      <c r="G33426" s="3336"/>
      <c r="P33426" s="3337"/>
    </row>
    <row r="33427" spans="7:16" s="1634" customFormat="1">
      <c r="G33427" s="3336"/>
      <c r="P33427" s="3337"/>
    </row>
    <row r="33428" spans="7:16" s="1634" customFormat="1">
      <c r="G33428" s="3336"/>
      <c r="P33428" s="3337"/>
    </row>
    <row r="33429" spans="7:16" s="1634" customFormat="1">
      <c r="G33429" s="3336"/>
      <c r="P33429" s="3337"/>
    </row>
    <row r="33430" spans="7:16" s="1634" customFormat="1">
      <c r="G33430" s="3336"/>
      <c r="P33430" s="3337"/>
    </row>
    <row r="33431" spans="7:16" s="1634" customFormat="1">
      <c r="G33431" s="3336"/>
      <c r="P33431" s="3337"/>
    </row>
    <row r="33432" spans="7:16" s="1634" customFormat="1">
      <c r="G33432" s="3336"/>
      <c r="P33432" s="3337"/>
    </row>
    <row r="33433" spans="7:16" s="1634" customFormat="1">
      <c r="G33433" s="3336"/>
      <c r="P33433" s="3337"/>
    </row>
    <row r="33434" spans="7:16" s="1634" customFormat="1">
      <c r="G33434" s="3336"/>
      <c r="P33434" s="3337"/>
    </row>
    <row r="33435" spans="7:16" s="1634" customFormat="1">
      <c r="G33435" s="3336"/>
      <c r="P33435" s="3337"/>
    </row>
    <row r="33436" spans="7:16" s="1634" customFormat="1">
      <c r="G33436" s="3336"/>
      <c r="P33436" s="3337"/>
    </row>
    <row r="33437" spans="7:16" s="1634" customFormat="1">
      <c r="G33437" s="3336"/>
      <c r="P33437" s="3337"/>
    </row>
    <row r="33438" spans="7:16" s="1634" customFormat="1">
      <c r="G33438" s="3336"/>
      <c r="P33438" s="3337"/>
    </row>
    <row r="33439" spans="7:16" s="1634" customFormat="1">
      <c r="G33439" s="3336"/>
      <c r="P33439" s="3337"/>
    </row>
    <row r="33440" spans="7:16" s="1634" customFormat="1">
      <c r="G33440" s="3336"/>
      <c r="P33440" s="3337"/>
    </row>
    <row r="33441" spans="7:16" s="1634" customFormat="1">
      <c r="G33441" s="3336"/>
      <c r="P33441" s="3337"/>
    </row>
    <row r="33442" spans="7:16" s="1634" customFormat="1">
      <c r="G33442" s="3336"/>
      <c r="P33442" s="3337"/>
    </row>
    <row r="33443" spans="7:16" s="1634" customFormat="1">
      <c r="G33443" s="3336"/>
      <c r="P33443" s="3337"/>
    </row>
    <row r="33444" spans="7:16" s="1634" customFormat="1">
      <c r="G33444" s="3336"/>
      <c r="P33444" s="3337"/>
    </row>
    <row r="33445" spans="7:16" s="1634" customFormat="1">
      <c r="G33445" s="3336"/>
      <c r="P33445" s="3337"/>
    </row>
    <row r="33446" spans="7:16" s="1634" customFormat="1">
      <c r="G33446" s="3336"/>
      <c r="P33446" s="3337"/>
    </row>
    <row r="33447" spans="7:16" s="1634" customFormat="1">
      <c r="G33447" s="3336"/>
      <c r="P33447" s="3337"/>
    </row>
    <row r="33448" spans="7:16" s="1634" customFormat="1">
      <c r="G33448" s="3336"/>
      <c r="P33448" s="3337"/>
    </row>
    <row r="33449" spans="7:16" s="1634" customFormat="1">
      <c r="G33449" s="3336"/>
      <c r="P33449" s="3337"/>
    </row>
    <row r="33450" spans="7:16" s="1634" customFormat="1">
      <c r="G33450" s="3336"/>
      <c r="P33450" s="3337"/>
    </row>
    <row r="33451" spans="7:16" s="1634" customFormat="1">
      <c r="G33451" s="3336"/>
      <c r="P33451" s="3337"/>
    </row>
    <row r="33452" spans="7:16" s="1634" customFormat="1">
      <c r="G33452" s="3336"/>
      <c r="P33452" s="3337"/>
    </row>
    <row r="33453" spans="7:16" s="1634" customFormat="1">
      <c r="G33453" s="3336"/>
      <c r="P33453" s="3337"/>
    </row>
    <row r="33454" spans="7:16" s="1634" customFormat="1">
      <c r="G33454" s="3336"/>
      <c r="P33454" s="3337"/>
    </row>
    <row r="33455" spans="7:16" s="1634" customFormat="1">
      <c r="G33455" s="3336"/>
      <c r="P33455" s="3337"/>
    </row>
    <row r="33456" spans="7:16" s="1634" customFormat="1">
      <c r="G33456" s="3336"/>
      <c r="P33456" s="3337"/>
    </row>
    <row r="33457" spans="7:16" s="1634" customFormat="1">
      <c r="G33457" s="3336"/>
      <c r="P33457" s="3337"/>
    </row>
    <row r="33458" spans="7:16" s="1634" customFormat="1">
      <c r="G33458" s="3336"/>
      <c r="P33458" s="3337"/>
    </row>
    <row r="33459" spans="7:16" s="1634" customFormat="1">
      <c r="G33459" s="3336"/>
      <c r="P33459" s="3337"/>
    </row>
    <row r="33460" spans="7:16" s="1634" customFormat="1">
      <c r="G33460" s="3336"/>
      <c r="P33460" s="3337"/>
    </row>
    <row r="33461" spans="7:16" s="1634" customFormat="1">
      <c r="G33461" s="3336"/>
      <c r="P33461" s="3337"/>
    </row>
    <row r="33462" spans="7:16" s="1634" customFormat="1">
      <c r="G33462" s="3336"/>
      <c r="P33462" s="3337"/>
    </row>
    <row r="33463" spans="7:16" s="1634" customFormat="1">
      <c r="G33463" s="3336"/>
      <c r="P33463" s="3337"/>
    </row>
    <row r="33464" spans="7:16" s="1634" customFormat="1">
      <c r="G33464" s="3336"/>
      <c r="P33464" s="3337"/>
    </row>
    <row r="33465" spans="7:16" s="1634" customFormat="1">
      <c r="G33465" s="3336"/>
      <c r="P33465" s="3337"/>
    </row>
    <row r="33466" spans="7:16" s="1634" customFormat="1">
      <c r="G33466" s="3336"/>
      <c r="P33466" s="3337"/>
    </row>
    <row r="33467" spans="7:16" s="1634" customFormat="1">
      <c r="G33467" s="3336"/>
      <c r="P33467" s="3337"/>
    </row>
    <row r="33468" spans="7:16" s="1634" customFormat="1">
      <c r="G33468" s="3336"/>
      <c r="P33468" s="3337"/>
    </row>
    <row r="33469" spans="7:16" s="1634" customFormat="1">
      <c r="G33469" s="3336"/>
      <c r="P33469" s="3337"/>
    </row>
    <row r="33470" spans="7:16" s="1634" customFormat="1">
      <c r="G33470" s="3336"/>
      <c r="P33470" s="3337"/>
    </row>
    <row r="33471" spans="7:16" s="1634" customFormat="1">
      <c r="G33471" s="3336"/>
      <c r="P33471" s="3337"/>
    </row>
    <row r="33472" spans="7:16" s="1634" customFormat="1">
      <c r="G33472" s="3336"/>
      <c r="P33472" s="3337"/>
    </row>
    <row r="33473" spans="7:16" s="1634" customFormat="1">
      <c r="G33473" s="3336"/>
      <c r="P33473" s="3337"/>
    </row>
    <row r="33474" spans="7:16" s="1634" customFormat="1">
      <c r="G33474" s="3336"/>
      <c r="P33474" s="3337"/>
    </row>
    <row r="33475" spans="7:16" s="1634" customFormat="1">
      <c r="G33475" s="3336"/>
      <c r="P33475" s="3337"/>
    </row>
    <row r="33476" spans="7:16" s="1634" customFormat="1">
      <c r="G33476" s="3336"/>
      <c r="P33476" s="3337"/>
    </row>
    <row r="33477" spans="7:16" s="1634" customFormat="1">
      <c r="G33477" s="3336"/>
      <c r="P33477" s="3337"/>
    </row>
    <row r="33478" spans="7:16" s="1634" customFormat="1">
      <c r="G33478" s="3336"/>
      <c r="P33478" s="3337"/>
    </row>
    <row r="33479" spans="7:16" s="1634" customFormat="1">
      <c r="G33479" s="3336"/>
      <c r="P33479" s="3337"/>
    </row>
    <row r="33480" spans="7:16" s="1634" customFormat="1">
      <c r="G33480" s="3336"/>
      <c r="P33480" s="3337"/>
    </row>
    <row r="33481" spans="7:16" s="1634" customFormat="1">
      <c r="G33481" s="3336"/>
      <c r="P33481" s="3337"/>
    </row>
    <row r="33482" spans="7:16" s="1634" customFormat="1">
      <c r="G33482" s="3336"/>
      <c r="P33482" s="3337"/>
    </row>
    <row r="33483" spans="7:16" s="1634" customFormat="1">
      <c r="G33483" s="3336"/>
      <c r="P33483" s="3337"/>
    </row>
    <row r="33484" spans="7:16" s="1634" customFormat="1">
      <c r="G33484" s="3336"/>
      <c r="P33484" s="3337"/>
    </row>
    <row r="33485" spans="7:16" s="1634" customFormat="1">
      <c r="G33485" s="3336"/>
      <c r="P33485" s="3337"/>
    </row>
    <row r="33486" spans="7:16" s="1634" customFormat="1">
      <c r="G33486" s="3336"/>
      <c r="P33486" s="3337"/>
    </row>
    <row r="33487" spans="7:16" s="1634" customFormat="1">
      <c r="G33487" s="3336"/>
      <c r="P33487" s="3337"/>
    </row>
    <row r="33488" spans="7:16" s="1634" customFormat="1">
      <c r="G33488" s="3336"/>
      <c r="P33488" s="3337"/>
    </row>
    <row r="33489" spans="7:16" s="1634" customFormat="1">
      <c r="G33489" s="3336"/>
      <c r="P33489" s="3337"/>
    </row>
    <row r="33490" spans="7:16" s="1634" customFormat="1">
      <c r="G33490" s="3336"/>
      <c r="P33490" s="3337"/>
    </row>
    <row r="33491" spans="7:16" s="1634" customFormat="1">
      <c r="G33491" s="3336"/>
      <c r="P33491" s="3337"/>
    </row>
    <row r="33492" spans="7:16" s="1634" customFormat="1">
      <c r="G33492" s="3336"/>
      <c r="P33492" s="3337"/>
    </row>
    <row r="33493" spans="7:16" s="1634" customFormat="1">
      <c r="G33493" s="3336"/>
      <c r="P33493" s="3337"/>
    </row>
    <row r="33494" spans="7:16" s="1634" customFormat="1">
      <c r="G33494" s="3336"/>
      <c r="P33494" s="3337"/>
    </row>
    <row r="33495" spans="7:16" s="1634" customFormat="1">
      <c r="G33495" s="3336"/>
      <c r="P33495" s="3337"/>
    </row>
    <row r="33496" spans="7:16" s="1634" customFormat="1">
      <c r="G33496" s="3336"/>
      <c r="P33496" s="3337"/>
    </row>
    <row r="33497" spans="7:16" s="1634" customFormat="1">
      <c r="G33497" s="3336"/>
      <c r="P33497" s="3337"/>
    </row>
    <row r="33498" spans="7:16" s="1634" customFormat="1">
      <c r="G33498" s="3336"/>
      <c r="P33498" s="3337"/>
    </row>
    <row r="33499" spans="7:16" s="1634" customFormat="1">
      <c r="G33499" s="3336"/>
      <c r="P33499" s="3337"/>
    </row>
    <row r="33500" spans="7:16" s="1634" customFormat="1">
      <c r="G33500" s="3336"/>
      <c r="P33500" s="3337"/>
    </row>
    <row r="33501" spans="7:16" s="1634" customFormat="1">
      <c r="G33501" s="3336"/>
      <c r="P33501" s="3337"/>
    </row>
    <row r="33502" spans="7:16" s="1634" customFormat="1">
      <c r="G33502" s="3336"/>
      <c r="P33502" s="3337"/>
    </row>
    <row r="33503" spans="7:16" s="1634" customFormat="1">
      <c r="G33503" s="3336"/>
      <c r="P33503" s="3337"/>
    </row>
    <row r="33504" spans="7:16" s="1634" customFormat="1">
      <c r="G33504" s="3336"/>
      <c r="P33504" s="3337"/>
    </row>
    <row r="33505" spans="7:16" s="1634" customFormat="1">
      <c r="G33505" s="3336"/>
      <c r="P33505" s="3337"/>
    </row>
    <row r="33506" spans="7:16" s="1634" customFormat="1">
      <c r="G33506" s="3336"/>
      <c r="P33506" s="3337"/>
    </row>
    <row r="33507" spans="7:16" s="1634" customFormat="1">
      <c r="G33507" s="3336"/>
      <c r="P33507" s="3337"/>
    </row>
    <row r="33508" spans="7:16" s="1634" customFormat="1">
      <c r="G33508" s="3336"/>
      <c r="P33508" s="3337"/>
    </row>
    <row r="33509" spans="7:16" s="1634" customFormat="1">
      <c r="G33509" s="3336"/>
      <c r="P33509" s="3337"/>
    </row>
    <row r="33510" spans="7:16" s="1634" customFormat="1">
      <c r="G33510" s="3336"/>
      <c r="P33510" s="3337"/>
    </row>
    <row r="33511" spans="7:16" s="1634" customFormat="1">
      <c r="G33511" s="3336"/>
      <c r="P33511" s="3337"/>
    </row>
    <row r="33512" spans="7:16" s="1634" customFormat="1">
      <c r="G33512" s="3336"/>
      <c r="P33512" s="3337"/>
    </row>
    <row r="33513" spans="7:16" s="1634" customFormat="1">
      <c r="G33513" s="3336"/>
      <c r="P33513" s="3337"/>
    </row>
    <row r="33514" spans="7:16" s="1634" customFormat="1">
      <c r="G33514" s="3336"/>
      <c r="P33514" s="3337"/>
    </row>
    <row r="33515" spans="7:16" s="1634" customFormat="1">
      <c r="G33515" s="3336"/>
      <c r="P33515" s="3337"/>
    </row>
    <row r="33516" spans="7:16" s="1634" customFormat="1">
      <c r="G33516" s="3336"/>
      <c r="P33516" s="3337"/>
    </row>
    <row r="33517" spans="7:16" s="1634" customFormat="1">
      <c r="G33517" s="3336"/>
      <c r="P33517" s="3337"/>
    </row>
    <row r="33518" spans="7:16" s="1634" customFormat="1">
      <c r="G33518" s="3336"/>
      <c r="P33518" s="3337"/>
    </row>
    <row r="33519" spans="7:16" s="1634" customFormat="1">
      <c r="G33519" s="3336"/>
      <c r="P33519" s="3337"/>
    </row>
    <row r="33520" spans="7:16" s="1634" customFormat="1">
      <c r="G33520" s="3336"/>
      <c r="P33520" s="3337"/>
    </row>
    <row r="33521" spans="7:16" s="1634" customFormat="1">
      <c r="G33521" s="3336"/>
      <c r="P33521" s="3337"/>
    </row>
    <row r="33522" spans="7:16" s="1634" customFormat="1">
      <c r="G33522" s="3336"/>
      <c r="P33522" s="3337"/>
    </row>
    <row r="33523" spans="7:16" s="1634" customFormat="1">
      <c r="G33523" s="3336"/>
      <c r="P33523" s="3337"/>
    </row>
    <row r="33524" spans="7:16" s="1634" customFormat="1">
      <c r="G33524" s="3336"/>
      <c r="P33524" s="3337"/>
    </row>
    <row r="33525" spans="7:16" s="1634" customFormat="1">
      <c r="G33525" s="3336"/>
      <c r="P33525" s="3337"/>
    </row>
    <row r="33526" spans="7:16" s="1634" customFormat="1">
      <c r="G33526" s="3336"/>
      <c r="P33526" s="3337"/>
    </row>
    <row r="33527" spans="7:16" s="1634" customFormat="1">
      <c r="G33527" s="3336"/>
      <c r="P33527" s="3337"/>
    </row>
    <row r="33528" spans="7:16" s="1634" customFormat="1">
      <c r="G33528" s="3336"/>
      <c r="P33528" s="3337"/>
    </row>
    <row r="33529" spans="7:16" s="1634" customFormat="1">
      <c r="G33529" s="3336"/>
      <c r="P33529" s="3337"/>
    </row>
    <row r="33530" spans="7:16" s="1634" customFormat="1">
      <c r="G33530" s="3336"/>
      <c r="P33530" s="3337"/>
    </row>
    <row r="33531" spans="7:16" s="1634" customFormat="1">
      <c r="G33531" s="3336"/>
      <c r="P33531" s="3337"/>
    </row>
    <row r="33532" spans="7:16" s="1634" customFormat="1">
      <c r="G33532" s="3336"/>
      <c r="P33532" s="3337"/>
    </row>
    <row r="33533" spans="7:16" s="1634" customFormat="1">
      <c r="G33533" s="3336"/>
      <c r="P33533" s="3337"/>
    </row>
    <row r="33534" spans="7:16" s="1634" customFormat="1">
      <c r="G33534" s="3336"/>
      <c r="P33534" s="3337"/>
    </row>
    <row r="33535" spans="7:16" s="1634" customFormat="1">
      <c r="G33535" s="3336"/>
      <c r="P33535" s="3337"/>
    </row>
    <row r="33536" spans="7:16" s="1634" customFormat="1">
      <c r="G33536" s="3336"/>
      <c r="P33536" s="3337"/>
    </row>
    <row r="33537" spans="7:16" s="1634" customFormat="1">
      <c r="G33537" s="3336"/>
      <c r="P33537" s="3337"/>
    </row>
    <row r="33538" spans="7:16" s="1634" customFormat="1">
      <c r="G33538" s="3336"/>
      <c r="P33538" s="3337"/>
    </row>
    <row r="33539" spans="7:16" s="1634" customFormat="1">
      <c r="G33539" s="3336"/>
      <c r="P33539" s="3337"/>
    </row>
    <row r="33540" spans="7:16" s="1634" customFormat="1">
      <c r="G33540" s="3336"/>
      <c r="P33540" s="3337"/>
    </row>
    <row r="33541" spans="7:16" s="1634" customFormat="1">
      <c r="G33541" s="3336"/>
      <c r="P33541" s="3337"/>
    </row>
    <row r="33542" spans="7:16" s="1634" customFormat="1">
      <c r="G33542" s="3336"/>
      <c r="P33542" s="3337"/>
    </row>
    <row r="33543" spans="7:16" s="1634" customFormat="1">
      <c r="G33543" s="3336"/>
      <c r="P33543" s="3337"/>
    </row>
    <row r="33544" spans="7:16" s="1634" customFormat="1">
      <c r="G33544" s="3336"/>
      <c r="P33544" s="3337"/>
    </row>
    <row r="33545" spans="7:16" s="1634" customFormat="1">
      <c r="G33545" s="3336"/>
      <c r="P33545" s="3337"/>
    </row>
    <row r="33546" spans="7:16" s="1634" customFormat="1">
      <c r="G33546" s="3336"/>
      <c r="P33546" s="3337"/>
    </row>
    <row r="33547" spans="7:16" s="1634" customFormat="1">
      <c r="G33547" s="3336"/>
      <c r="P33547" s="3337"/>
    </row>
    <row r="33548" spans="7:16" s="1634" customFormat="1">
      <c r="G33548" s="3336"/>
      <c r="P33548" s="3337"/>
    </row>
    <row r="33549" spans="7:16" s="1634" customFormat="1">
      <c r="G33549" s="3336"/>
      <c r="P33549" s="3337"/>
    </row>
    <row r="33550" spans="7:16" s="1634" customFormat="1">
      <c r="G33550" s="3336"/>
      <c r="P33550" s="3337"/>
    </row>
    <row r="33551" spans="7:16" s="1634" customFormat="1">
      <c r="G33551" s="3336"/>
      <c r="P33551" s="3337"/>
    </row>
    <row r="33552" spans="7:16" s="1634" customFormat="1">
      <c r="G33552" s="3336"/>
      <c r="P33552" s="3337"/>
    </row>
    <row r="33553" spans="7:16" s="1634" customFormat="1">
      <c r="G33553" s="3336"/>
      <c r="P33553" s="3337"/>
    </row>
    <row r="33554" spans="7:16" s="1634" customFormat="1">
      <c r="G33554" s="3336"/>
      <c r="P33554" s="3337"/>
    </row>
    <row r="33555" spans="7:16" s="1634" customFormat="1">
      <c r="G33555" s="3336"/>
      <c r="P33555" s="3337"/>
    </row>
    <row r="33556" spans="7:16" s="1634" customFormat="1">
      <c r="G33556" s="3336"/>
      <c r="P33556" s="3337"/>
    </row>
    <row r="33557" spans="7:16" s="1634" customFormat="1">
      <c r="G33557" s="3336"/>
      <c r="P33557" s="3337"/>
    </row>
    <row r="33558" spans="7:16" s="1634" customFormat="1">
      <c r="G33558" s="3336"/>
      <c r="P33558" s="3337"/>
    </row>
    <row r="33559" spans="7:16" s="1634" customFormat="1">
      <c r="G33559" s="3336"/>
      <c r="P33559" s="3337"/>
    </row>
    <row r="33560" spans="7:16" s="1634" customFormat="1">
      <c r="G33560" s="3336"/>
      <c r="P33560" s="3337"/>
    </row>
    <row r="33561" spans="7:16" s="1634" customFormat="1">
      <c r="G33561" s="3336"/>
      <c r="P33561" s="3337"/>
    </row>
    <row r="33562" spans="7:16" s="1634" customFormat="1">
      <c r="G33562" s="3336"/>
      <c r="P33562" s="3337"/>
    </row>
    <row r="33563" spans="7:16" s="1634" customFormat="1">
      <c r="G33563" s="3336"/>
      <c r="P33563" s="3337"/>
    </row>
    <row r="33564" spans="7:16" s="1634" customFormat="1">
      <c r="G33564" s="3336"/>
      <c r="P33564" s="3337"/>
    </row>
    <row r="33565" spans="7:16" s="1634" customFormat="1">
      <c r="G33565" s="3336"/>
      <c r="P33565" s="3337"/>
    </row>
    <row r="33566" spans="7:16" s="1634" customFormat="1">
      <c r="G33566" s="3336"/>
      <c r="P33566" s="3337"/>
    </row>
    <row r="33567" spans="7:16" s="1634" customFormat="1">
      <c r="G33567" s="3336"/>
      <c r="P33567" s="3337"/>
    </row>
    <row r="33568" spans="7:16" s="1634" customFormat="1">
      <c r="G33568" s="3336"/>
      <c r="P33568" s="3337"/>
    </row>
    <row r="33569" spans="7:16" s="1634" customFormat="1">
      <c r="G33569" s="3336"/>
      <c r="P33569" s="3337"/>
    </row>
    <row r="33570" spans="7:16" s="1634" customFormat="1">
      <c r="G33570" s="3336"/>
      <c r="P33570" s="3337"/>
    </row>
    <row r="33571" spans="7:16" s="1634" customFormat="1">
      <c r="G33571" s="3336"/>
      <c r="P33571" s="3337"/>
    </row>
    <row r="33572" spans="7:16" s="1634" customFormat="1">
      <c r="G33572" s="3336"/>
      <c r="P33572" s="3337"/>
    </row>
    <row r="33573" spans="7:16" s="1634" customFormat="1">
      <c r="G33573" s="3336"/>
      <c r="P33573" s="3337"/>
    </row>
    <row r="33574" spans="7:16" s="1634" customFormat="1">
      <c r="G33574" s="3336"/>
      <c r="P33574" s="3337"/>
    </row>
    <row r="33575" spans="7:16" s="1634" customFormat="1">
      <c r="G33575" s="3336"/>
      <c r="P33575" s="3337"/>
    </row>
    <row r="33576" spans="7:16" s="1634" customFormat="1">
      <c r="G33576" s="3336"/>
      <c r="P33576" s="3337"/>
    </row>
    <row r="33577" spans="7:16" s="1634" customFormat="1">
      <c r="G33577" s="3336"/>
      <c r="P33577" s="3337"/>
    </row>
    <row r="33578" spans="7:16" s="1634" customFormat="1">
      <c r="G33578" s="3336"/>
      <c r="P33578" s="3337"/>
    </row>
    <row r="33579" spans="7:16" s="1634" customFormat="1">
      <c r="G33579" s="3336"/>
      <c r="P33579" s="3337"/>
    </row>
    <row r="33580" spans="7:16" s="1634" customFormat="1">
      <c r="G33580" s="3336"/>
      <c r="P33580" s="3337"/>
    </row>
    <row r="33581" spans="7:16" s="1634" customFormat="1">
      <c r="G33581" s="3336"/>
      <c r="P33581" s="3337"/>
    </row>
    <row r="33582" spans="7:16" s="1634" customFormat="1">
      <c r="G33582" s="3336"/>
      <c r="P33582" s="3337"/>
    </row>
    <row r="33583" spans="7:16" s="1634" customFormat="1">
      <c r="G33583" s="3336"/>
      <c r="P33583" s="3337"/>
    </row>
    <row r="33584" spans="7:16" s="1634" customFormat="1">
      <c r="G33584" s="3336"/>
      <c r="P33584" s="3337"/>
    </row>
    <row r="33585" spans="7:16" s="1634" customFormat="1">
      <c r="G33585" s="3336"/>
      <c r="P33585" s="3337"/>
    </row>
    <row r="33586" spans="7:16" s="1634" customFormat="1">
      <c r="G33586" s="3336"/>
      <c r="P33586" s="3337"/>
    </row>
    <row r="33587" spans="7:16" s="1634" customFormat="1">
      <c r="G33587" s="3336"/>
      <c r="P33587" s="3337"/>
    </row>
    <row r="33588" spans="7:16" s="1634" customFormat="1">
      <c r="G33588" s="3336"/>
      <c r="P33588" s="3337"/>
    </row>
    <row r="33589" spans="7:16" s="1634" customFormat="1">
      <c r="G33589" s="3336"/>
      <c r="P33589" s="3337"/>
    </row>
    <row r="33590" spans="7:16" s="1634" customFormat="1">
      <c r="G33590" s="3336"/>
      <c r="P33590" s="3337"/>
    </row>
    <row r="33591" spans="7:16" s="1634" customFormat="1">
      <c r="G33591" s="3336"/>
      <c r="P33591" s="3337"/>
    </row>
    <row r="33592" spans="7:16" s="1634" customFormat="1">
      <c r="G33592" s="3336"/>
      <c r="P33592" s="3337"/>
    </row>
    <row r="33593" spans="7:16" s="1634" customFormat="1">
      <c r="G33593" s="3336"/>
      <c r="P33593" s="3337"/>
    </row>
    <row r="33594" spans="7:16" s="1634" customFormat="1">
      <c r="G33594" s="3336"/>
      <c r="P33594" s="3337"/>
    </row>
    <row r="33595" spans="7:16" s="1634" customFormat="1">
      <c r="G33595" s="3336"/>
      <c r="P33595" s="3337"/>
    </row>
    <row r="33596" spans="7:16" s="1634" customFormat="1">
      <c r="G33596" s="3336"/>
      <c r="P33596" s="3337"/>
    </row>
    <row r="33597" spans="7:16" s="1634" customFormat="1">
      <c r="G33597" s="3336"/>
      <c r="P33597" s="3337"/>
    </row>
    <row r="33598" spans="7:16" s="1634" customFormat="1">
      <c r="G33598" s="3336"/>
      <c r="P33598" s="3337"/>
    </row>
    <row r="33599" spans="7:16" s="1634" customFormat="1">
      <c r="G33599" s="3336"/>
      <c r="P33599" s="3337"/>
    </row>
    <row r="33600" spans="7:16" s="1634" customFormat="1">
      <c r="G33600" s="3336"/>
      <c r="P33600" s="3337"/>
    </row>
    <row r="33601" spans="7:16" s="1634" customFormat="1">
      <c r="G33601" s="3336"/>
      <c r="P33601" s="3337"/>
    </row>
    <row r="33602" spans="7:16" s="1634" customFormat="1">
      <c r="G33602" s="3336"/>
      <c r="P33602" s="3337"/>
    </row>
    <row r="33603" spans="7:16" s="1634" customFormat="1">
      <c r="G33603" s="3336"/>
      <c r="P33603" s="3337"/>
    </row>
    <row r="33604" spans="7:16" s="1634" customFormat="1">
      <c r="G33604" s="3336"/>
      <c r="P33604" s="3337"/>
    </row>
    <row r="33605" spans="7:16" s="1634" customFormat="1">
      <c r="G33605" s="3336"/>
      <c r="P33605" s="3337"/>
    </row>
    <row r="33606" spans="7:16" s="1634" customFormat="1">
      <c r="G33606" s="3336"/>
      <c r="P33606" s="3337"/>
    </row>
    <row r="33607" spans="7:16" s="1634" customFormat="1">
      <c r="G33607" s="3336"/>
      <c r="P33607" s="3337"/>
    </row>
    <row r="33608" spans="7:16" s="1634" customFormat="1">
      <c r="G33608" s="3336"/>
      <c r="P33608" s="3337"/>
    </row>
    <row r="33609" spans="7:16" s="1634" customFormat="1">
      <c r="G33609" s="3336"/>
      <c r="P33609" s="3337"/>
    </row>
    <row r="33610" spans="7:16" s="1634" customFormat="1">
      <c r="G33610" s="3336"/>
      <c r="P33610" s="3337"/>
    </row>
    <row r="33611" spans="7:16" s="1634" customFormat="1">
      <c r="G33611" s="3336"/>
      <c r="P33611" s="3337"/>
    </row>
    <row r="33612" spans="7:16" s="1634" customFormat="1">
      <c r="G33612" s="3336"/>
      <c r="P33612" s="3337"/>
    </row>
    <row r="33613" spans="7:16" s="1634" customFormat="1">
      <c r="G33613" s="3336"/>
      <c r="P33613" s="3337"/>
    </row>
    <row r="33614" spans="7:16" s="1634" customFormat="1">
      <c r="G33614" s="3336"/>
      <c r="P33614" s="3337"/>
    </row>
    <row r="33615" spans="7:16" s="1634" customFormat="1">
      <c r="G33615" s="3336"/>
      <c r="P33615" s="3337"/>
    </row>
    <row r="33616" spans="7:16" s="1634" customFormat="1">
      <c r="G33616" s="3336"/>
      <c r="P33616" s="3337"/>
    </row>
    <row r="33617" spans="7:16" s="1634" customFormat="1">
      <c r="G33617" s="3336"/>
      <c r="P33617" s="3337"/>
    </row>
    <row r="33618" spans="7:16" s="1634" customFormat="1">
      <c r="G33618" s="3336"/>
      <c r="P33618" s="3337"/>
    </row>
    <row r="33619" spans="7:16" s="1634" customFormat="1">
      <c r="G33619" s="3336"/>
      <c r="P33619" s="3337"/>
    </row>
    <row r="33620" spans="7:16" s="1634" customFormat="1">
      <c r="G33620" s="3336"/>
      <c r="P33620" s="3337"/>
    </row>
    <row r="33621" spans="7:16" s="1634" customFormat="1">
      <c r="G33621" s="3336"/>
      <c r="P33621" s="3337"/>
    </row>
    <row r="33622" spans="7:16" s="1634" customFormat="1">
      <c r="G33622" s="3336"/>
      <c r="P33622" s="3337"/>
    </row>
    <row r="33623" spans="7:16" s="1634" customFormat="1">
      <c r="G33623" s="3336"/>
      <c r="P33623" s="3337"/>
    </row>
    <row r="33624" spans="7:16" s="1634" customFormat="1">
      <c r="G33624" s="3336"/>
      <c r="P33624" s="3337"/>
    </row>
    <row r="33625" spans="7:16" s="1634" customFormat="1">
      <c r="G33625" s="3336"/>
      <c r="P33625" s="3337"/>
    </row>
    <row r="33626" spans="7:16" s="1634" customFormat="1">
      <c r="G33626" s="3336"/>
      <c r="P33626" s="3337"/>
    </row>
    <row r="33627" spans="7:16" s="1634" customFormat="1">
      <c r="G33627" s="3336"/>
      <c r="P33627" s="3337"/>
    </row>
    <row r="33628" spans="7:16" s="1634" customFormat="1">
      <c r="G33628" s="3336"/>
      <c r="P33628" s="3337"/>
    </row>
    <row r="33629" spans="7:16" s="1634" customFormat="1">
      <c r="G33629" s="3336"/>
      <c r="P33629" s="3337"/>
    </row>
    <row r="33630" spans="7:16" s="1634" customFormat="1">
      <c r="G33630" s="3336"/>
      <c r="P33630" s="3337"/>
    </row>
    <row r="33631" spans="7:16" s="1634" customFormat="1">
      <c r="G33631" s="3336"/>
      <c r="P33631" s="3337"/>
    </row>
    <row r="33632" spans="7:16" s="1634" customFormat="1">
      <c r="G33632" s="3336"/>
      <c r="P33632" s="3337"/>
    </row>
    <row r="33633" spans="7:16" s="1634" customFormat="1">
      <c r="G33633" s="3336"/>
      <c r="P33633" s="3337"/>
    </row>
    <row r="33634" spans="7:16" s="1634" customFormat="1">
      <c r="G33634" s="3336"/>
      <c r="P33634" s="3337"/>
    </row>
    <row r="33635" spans="7:16" s="1634" customFormat="1">
      <c r="G33635" s="3336"/>
      <c r="P33635" s="3337"/>
    </row>
    <row r="33636" spans="7:16" s="1634" customFormat="1">
      <c r="G33636" s="3336"/>
      <c r="P33636" s="3337"/>
    </row>
    <row r="33637" spans="7:16" s="1634" customFormat="1">
      <c r="G33637" s="3336"/>
      <c r="P33637" s="3337"/>
    </row>
    <row r="33638" spans="7:16" s="1634" customFormat="1">
      <c r="G33638" s="3336"/>
      <c r="P33638" s="3337"/>
    </row>
    <row r="33639" spans="7:16" s="1634" customFormat="1">
      <c r="G33639" s="3336"/>
      <c r="P33639" s="3337"/>
    </row>
    <row r="33640" spans="7:16" s="1634" customFormat="1">
      <c r="G33640" s="3336"/>
      <c r="P33640" s="3337"/>
    </row>
    <row r="33641" spans="7:16" s="1634" customFormat="1">
      <c r="G33641" s="3336"/>
      <c r="P33641" s="3337"/>
    </row>
    <row r="33642" spans="7:16" s="1634" customFormat="1">
      <c r="G33642" s="3336"/>
      <c r="P33642" s="3337"/>
    </row>
    <row r="33643" spans="7:16" s="1634" customFormat="1">
      <c r="G33643" s="3336"/>
      <c r="P33643" s="3337"/>
    </row>
    <row r="33644" spans="7:16" s="1634" customFormat="1">
      <c r="G33644" s="3336"/>
      <c r="P33644" s="3337"/>
    </row>
    <row r="33645" spans="7:16" s="1634" customFormat="1">
      <c r="G33645" s="3336"/>
      <c r="P33645" s="3337"/>
    </row>
    <row r="33646" spans="7:16" s="1634" customFormat="1">
      <c r="G33646" s="3336"/>
      <c r="P33646" s="3337"/>
    </row>
    <row r="33647" spans="7:16" s="1634" customFormat="1">
      <c r="G33647" s="3336"/>
      <c r="P33647" s="3337"/>
    </row>
    <row r="33648" spans="7:16" s="1634" customFormat="1">
      <c r="G33648" s="3336"/>
      <c r="P33648" s="3337"/>
    </row>
    <row r="33649" spans="7:16" s="1634" customFormat="1">
      <c r="G33649" s="3336"/>
      <c r="P33649" s="3337"/>
    </row>
    <row r="33650" spans="7:16" s="1634" customFormat="1">
      <c r="G33650" s="3336"/>
      <c r="P33650" s="3337"/>
    </row>
    <row r="33651" spans="7:16" s="1634" customFormat="1">
      <c r="G33651" s="3336"/>
      <c r="P33651" s="3337"/>
    </row>
    <row r="33652" spans="7:16" s="1634" customFormat="1">
      <c r="G33652" s="3336"/>
      <c r="P33652" s="3337"/>
    </row>
    <row r="33653" spans="7:16" s="1634" customFormat="1">
      <c r="G33653" s="3336"/>
      <c r="P33653" s="3337"/>
    </row>
    <row r="33654" spans="7:16" s="1634" customFormat="1">
      <c r="G33654" s="3336"/>
      <c r="P33654" s="3337"/>
    </row>
    <row r="33655" spans="7:16" s="1634" customFormat="1">
      <c r="G33655" s="3336"/>
      <c r="P33655" s="3337"/>
    </row>
    <row r="33656" spans="7:16" s="1634" customFormat="1">
      <c r="G33656" s="3336"/>
      <c r="P33656" s="3337"/>
    </row>
    <row r="33657" spans="7:16" s="1634" customFormat="1">
      <c r="G33657" s="3336"/>
      <c r="P33657" s="3337"/>
    </row>
    <row r="33658" spans="7:16" s="1634" customFormat="1">
      <c r="G33658" s="3336"/>
      <c r="P33658" s="3337"/>
    </row>
    <row r="33659" spans="7:16" s="1634" customFormat="1">
      <c r="G33659" s="3336"/>
      <c r="P33659" s="3337"/>
    </row>
    <row r="33660" spans="7:16" s="1634" customFormat="1">
      <c r="G33660" s="3336"/>
      <c r="P33660" s="3337"/>
    </row>
    <row r="33661" spans="7:16" s="1634" customFormat="1">
      <c r="G33661" s="3336"/>
      <c r="P33661" s="3337"/>
    </row>
    <row r="33662" spans="7:16" s="1634" customFormat="1">
      <c r="G33662" s="3336"/>
      <c r="P33662" s="3337"/>
    </row>
    <row r="33663" spans="7:16" s="1634" customFormat="1">
      <c r="G33663" s="3336"/>
      <c r="P33663" s="3337"/>
    </row>
    <row r="33664" spans="7:16" s="1634" customFormat="1">
      <c r="G33664" s="3336"/>
      <c r="P33664" s="3337"/>
    </row>
    <row r="33665" spans="7:16" s="1634" customFormat="1">
      <c r="G33665" s="3336"/>
      <c r="P33665" s="3337"/>
    </row>
    <row r="33666" spans="7:16" s="1634" customFormat="1">
      <c r="G33666" s="3336"/>
      <c r="P33666" s="3337"/>
    </row>
    <row r="33667" spans="7:16" s="1634" customFormat="1">
      <c r="G33667" s="3336"/>
      <c r="P33667" s="3337"/>
    </row>
    <row r="33668" spans="7:16" s="1634" customFormat="1">
      <c r="G33668" s="3336"/>
      <c r="P33668" s="3337"/>
    </row>
    <row r="33669" spans="7:16" s="1634" customFormat="1">
      <c r="G33669" s="3336"/>
      <c r="P33669" s="3337"/>
    </row>
    <row r="33670" spans="7:16" s="1634" customFormat="1">
      <c r="G33670" s="3336"/>
      <c r="P33670" s="3337"/>
    </row>
    <row r="33671" spans="7:16" s="1634" customFormat="1">
      <c r="G33671" s="3336"/>
      <c r="P33671" s="3337"/>
    </row>
    <row r="33672" spans="7:16" s="1634" customFormat="1">
      <c r="G33672" s="3336"/>
      <c r="P33672" s="3337"/>
    </row>
    <row r="33673" spans="7:16" s="1634" customFormat="1">
      <c r="G33673" s="3336"/>
      <c r="P33673" s="3337"/>
    </row>
    <row r="33674" spans="7:16" s="1634" customFormat="1">
      <c r="G33674" s="3336"/>
      <c r="P33674" s="3337"/>
    </row>
    <row r="33675" spans="7:16" s="1634" customFormat="1">
      <c r="G33675" s="3336"/>
      <c r="P33675" s="3337"/>
    </row>
    <row r="33676" spans="7:16" s="1634" customFormat="1">
      <c r="G33676" s="3336"/>
      <c r="P33676" s="3337"/>
    </row>
    <row r="33677" spans="7:16" s="1634" customFormat="1">
      <c r="G33677" s="3336"/>
      <c r="P33677" s="3337"/>
    </row>
    <row r="33678" spans="7:16" s="1634" customFormat="1">
      <c r="G33678" s="3336"/>
      <c r="P33678" s="3337"/>
    </row>
    <row r="33679" spans="7:16" s="1634" customFormat="1">
      <c r="G33679" s="3336"/>
      <c r="P33679" s="3337"/>
    </row>
    <row r="33680" spans="7:16" s="1634" customFormat="1">
      <c r="G33680" s="3336"/>
      <c r="P33680" s="3337"/>
    </row>
    <row r="33681" spans="7:16" s="1634" customFormat="1">
      <c r="G33681" s="3336"/>
      <c r="P33681" s="3337"/>
    </row>
    <row r="33682" spans="7:16" s="1634" customFormat="1">
      <c r="G33682" s="3336"/>
      <c r="P33682" s="3337"/>
    </row>
    <row r="33683" spans="7:16" s="1634" customFormat="1">
      <c r="G33683" s="3336"/>
      <c r="P33683" s="3337"/>
    </row>
    <row r="33684" spans="7:16" s="1634" customFormat="1">
      <c r="G33684" s="3336"/>
      <c r="P33684" s="3337"/>
    </row>
    <row r="33685" spans="7:16" s="1634" customFormat="1">
      <c r="G33685" s="3336"/>
      <c r="P33685" s="3337"/>
    </row>
    <row r="33686" spans="7:16" s="1634" customFormat="1">
      <c r="G33686" s="3336"/>
      <c r="P33686" s="3337"/>
    </row>
    <row r="33687" spans="7:16" s="1634" customFormat="1">
      <c r="G33687" s="3336"/>
      <c r="P33687" s="3337"/>
    </row>
    <row r="33688" spans="7:16" s="1634" customFormat="1">
      <c r="G33688" s="3336"/>
      <c r="P33688" s="3337"/>
    </row>
    <row r="33689" spans="7:16" s="1634" customFormat="1">
      <c r="G33689" s="3336"/>
      <c r="P33689" s="3337"/>
    </row>
    <row r="33690" spans="7:16" s="1634" customFormat="1">
      <c r="G33690" s="3336"/>
      <c r="P33690" s="3337"/>
    </row>
    <row r="33691" spans="7:16" s="1634" customFormat="1">
      <c r="G33691" s="3336"/>
      <c r="P33691" s="3337"/>
    </row>
    <row r="33692" spans="7:16" s="1634" customFormat="1">
      <c r="G33692" s="3336"/>
      <c r="P33692" s="3337"/>
    </row>
    <row r="33693" spans="7:16" s="1634" customFormat="1">
      <c r="G33693" s="3336"/>
      <c r="P33693" s="3337"/>
    </row>
    <row r="33694" spans="7:16" s="1634" customFormat="1">
      <c r="G33694" s="3336"/>
      <c r="P33694" s="3337"/>
    </row>
    <row r="33695" spans="7:16" s="1634" customFormat="1">
      <c r="G33695" s="3336"/>
      <c r="P33695" s="3337"/>
    </row>
    <row r="33696" spans="7:16" s="1634" customFormat="1">
      <c r="G33696" s="3336"/>
      <c r="P33696" s="3337"/>
    </row>
    <row r="33697" spans="7:16" s="1634" customFormat="1">
      <c r="G33697" s="3336"/>
      <c r="P33697" s="3337"/>
    </row>
    <row r="33698" spans="7:16" s="1634" customFormat="1">
      <c r="G33698" s="3336"/>
      <c r="P33698" s="3337"/>
    </row>
    <row r="33699" spans="7:16" s="1634" customFormat="1">
      <c r="G33699" s="3336"/>
      <c r="P33699" s="3337"/>
    </row>
    <row r="33700" spans="7:16" s="1634" customFormat="1">
      <c r="G33700" s="3336"/>
      <c r="P33700" s="3337"/>
    </row>
    <row r="33701" spans="7:16" s="1634" customFormat="1">
      <c r="G33701" s="3336"/>
      <c r="P33701" s="3337"/>
    </row>
    <row r="33702" spans="7:16" s="1634" customFormat="1">
      <c r="G33702" s="3336"/>
      <c r="P33702" s="3337"/>
    </row>
    <row r="33703" spans="7:16" s="1634" customFormat="1">
      <c r="G33703" s="3336"/>
      <c r="P33703" s="3337"/>
    </row>
    <row r="33704" spans="7:16" s="1634" customFormat="1">
      <c r="G33704" s="3336"/>
      <c r="P33704" s="3337"/>
    </row>
    <row r="33705" spans="7:16" s="1634" customFormat="1">
      <c r="G33705" s="3336"/>
      <c r="P33705" s="3337"/>
    </row>
    <row r="33706" spans="7:16" s="1634" customFormat="1">
      <c r="G33706" s="3336"/>
      <c r="P33706" s="3337"/>
    </row>
    <row r="33707" spans="7:16" s="1634" customFormat="1">
      <c r="G33707" s="3336"/>
      <c r="P33707" s="3337"/>
    </row>
    <row r="33708" spans="7:16" s="1634" customFormat="1">
      <c r="G33708" s="3336"/>
      <c r="P33708" s="3337"/>
    </row>
    <row r="33709" spans="7:16" s="1634" customFormat="1">
      <c r="G33709" s="3336"/>
      <c r="P33709" s="3337"/>
    </row>
    <row r="33710" spans="7:16" s="1634" customFormat="1">
      <c r="G33710" s="3336"/>
      <c r="P33710" s="3337"/>
    </row>
    <row r="33711" spans="7:16" s="1634" customFormat="1">
      <c r="G33711" s="3336"/>
      <c r="P33711" s="3337"/>
    </row>
    <row r="33712" spans="7:16" s="1634" customFormat="1">
      <c r="G33712" s="3336"/>
      <c r="P33712" s="3337"/>
    </row>
    <row r="33713" spans="7:16" s="1634" customFormat="1">
      <c r="G33713" s="3336"/>
      <c r="P33713" s="3337"/>
    </row>
    <row r="33714" spans="7:16" s="1634" customFormat="1">
      <c r="G33714" s="3336"/>
      <c r="P33714" s="3337"/>
    </row>
    <row r="33715" spans="7:16" s="1634" customFormat="1">
      <c r="G33715" s="3336"/>
      <c r="P33715" s="3337"/>
    </row>
    <row r="33716" spans="7:16" s="1634" customFormat="1">
      <c r="G33716" s="3336"/>
      <c r="P33716" s="3337"/>
    </row>
    <row r="33717" spans="7:16" s="1634" customFormat="1">
      <c r="G33717" s="3336"/>
      <c r="P33717" s="3337"/>
    </row>
    <row r="33718" spans="7:16" s="1634" customFormat="1">
      <c r="G33718" s="3336"/>
      <c r="P33718" s="3337"/>
    </row>
    <row r="33719" spans="7:16" s="1634" customFormat="1">
      <c r="G33719" s="3336"/>
      <c r="P33719" s="3337"/>
    </row>
    <row r="33720" spans="7:16" s="1634" customFormat="1">
      <c r="G33720" s="3336"/>
      <c r="P33720" s="3337"/>
    </row>
    <row r="33721" spans="7:16" s="1634" customFormat="1">
      <c r="G33721" s="3336"/>
      <c r="P33721" s="3337"/>
    </row>
    <row r="33722" spans="7:16" s="1634" customFormat="1">
      <c r="G33722" s="3336"/>
      <c r="P33722" s="3337"/>
    </row>
    <row r="33723" spans="7:16" s="1634" customFormat="1">
      <c r="G33723" s="3336"/>
      <c r="P33723" s="3337"/>
    </row>
    <row r="33724" spans="7:16" s="1634" customFormat="1">
      <c r="G33724" s="3336"/>
      <c r="P33724" s="3337"/>
    </row>
    <row r="33725" spans="7:16" s="1634" customFormat="1">
      <c r="G33725" s="3336"/>
      <c r="P33725" s="3337"/>
    </row>
    <row r="33726" spans="7:16" s="1634" customFormat="1">
      <c r="G33726" s="3336"/>
      <c r="P33726" s="3337"/>
    </row>
    <row r="33727" spans="7:16" s="1634" customFormat="1">
      <c r="G33727" s="3336"/>
      <c r="P33727" s="3337"/>
    </row>
    <row r="33728" spans="7:16" s="1634" customFormat="1">
      <c r="G33728" s="3336"/>
      <c r="P33728" s="3337"/>
    </row>
    <row r="33729" spans="7:16" s="1634" customFormat="1">
      <c r="G33729" s="3336"/>
      <c r="P33729" s="3337"/>
    </row>
    <row r="33730" spans="7:16" s="1634" customFormat="1">
      <c r="G33730" s="3336"/>
      <c r="P33730" s="3337"/>
    </row>
    <row r="33731" spans="7:16" s="1634" customFormat="1">
      <c r="G33731" s="3336"/>
      <c r="P33731" s="3337"/>
    </row>
    <row r="33732" spans="7:16" s="1634" customFormat="1">
      <c r="G33732" s="3336"/>
      <c r="P33732" s="3337"/>
    </row>
    <row r="33733" spans="7:16" s="1634" customFormat="1">
      <c r="G33733" s="3336"/>
      <c r="P33733" s="3337"/>
    </row>
    <row r="33734" spans="7:16" s="1634" customFormat="1">
      <c r="G33734" s="3336"/>
      <c r="P33734" s="3337"/>
    </row>
    <row r="33735" spans="7:16" s="1634" customFormat="1">
      <c r="G33735" s="3336"/>
      <c r="P33735" s="3337"/>
    </row>
    <row r="33736" spans="7:16" s="1634" customFormat="1">
      <c r="G33736" s="3336"/>
      <c r="P33736" s="3337"/>
    </row>
    <row r="33737" spans="7:16" s="1634" customFormat="1">
      <c r="G33737" s="3336"/>
      <c r="P33737" s="3337"/>
    </row>
    <row r="33738" spans="7:16" s="1634" customFormat="1">
      <c r="G33738" s="3336"/>
      <c r="P33738" s="3337"/>
    </row>
    <row r="33739" spans="7:16" s="1634" customFormat="1">
      <c r="G33739" s="3336"/>
      <c r="P33739" s="3337"/>
    </row>
    <row r="33740" spans="7:16" s="1634" customFormat="1">
      <c r="G33740" s="3336"/>
      <c r="P33740" s="3337"/>
    </row>
    <row r="33741" spans="7:16" s="1634" customFormat="1">
      <c r="G33741" s="3336"/>
      <c r="P33741" s="3337"/>
    </row>
    <row r="33742" spans="7:16" s="1634" customFormat="1">
      <c r="G33742" s="3336"/>
      <c r="P33742" s="3337"/>
    </row>
    <row r="33743" spans="7:16" s="1634" customFormat="1">
      <c r="G33743" s="3336"/>
      <c r="P33743" s="3337"/>
    </row>
    <row r="33744" spans="7:16" s="1634" customFormat="1">
      <c r="G33744" s="3336"/>
      <c r="P33744" s="3337"/>
    </row>
    <row r="33745" spans="7:16" s="1634" customFormat="1">
      <c r="G33745" s="3336"/>
      <c r="P33745" s="3337"/>
    </row>
    <row r="33746" spans="7:16" s="1634" customFormat="1">
      <c r="G33746" s="3336"/>
      <c r="P33746" s="3337"/>
    </row>
    <row r="33747" spans="7:16" s="1634" customFormat="1">
      <c r="G33747" s="3336"/>
      <c r="P33747" s="3337"/>
    </row>
    <row r="33748" spans="7:16" s="1634" customFormat="1">
      <c r="G33748" s="3336"/>
      <c r="P33748" s="3337"/>
    </row>
    <row r="33749" spans="7:16" s="1634" customFormat="1">
      <c r="G33749" s="3336"/>
      <c r="P33749" s="3337"/>
    </row>
    <row r="33750" spans="7:16" s="1634" customFormat="1">
      <c r="G33750" s="3336"/>
      <c r="P33750" s="3337"/>
    </row>
    <row r="33751" spans="7:16" s="1634" customFormat="1">
      <c r="G33751" s="3336"/>
      <c r="P33751" s="3337"/>
    </row>
    <row r="33752" spans="7:16" s="1634" customFormat="1">
      <c r="G33752" s="3336"/>
      <c r="P33752" s="3337"/>
    </row>
    <row r="33753" spans="7:16" s="1634" customFormat="1">
      <c r="G33753" s="3336"/>
      <c r="P33753" s="3337"/>
    </row>
    <row r="33754" spans="7:16" s="1634" customFormat="1">
      <c r="G33754" s="3336"/>
      <c r="P33754" s="3337"/>
    </row>
    <row r="33755" spans="7:16" s="1634" customFormat="1">
      <c r="G33755" s="3336"/>
      <c r="P33755" s="3337"/>
    </row>
    <row r="33756" spans="7:16" s="1634" customFormat="1">
      <c r="G33756" s="3336"/>
      <c r="P33756" s="3337"/>
    </row>
    <row r="33757" spans="7:16" s="1634" customFormat="1">
      <c r="G33757" s="3336"/>
      <c r="P33757" s="3337"/>
    </row>
    <row r="33758" spans="7:16" s="1634" customFormat="1">
      <c r="G33758" s="3336"/>
      <c r="P33758" s="3337"/>
    </row>
    <row r="33759" spans="7:16" s="1634" customFormat="1">
      <c r="G33759" s="3336"/>
      <c r="P33759" s="3337"/>
    </row>
    <row r="33760" spans="7:16" s="1634" customFormat="1">
      <c r="G33760" s="3336"/>
      <c r="P33760" s="3337"/>
    </row>
    <row r="33761" spans="7:16" s="1634" customFormat="1">
      <c r="G33761" s="3336"/>
      <c r="P33761" s="3337"/>
    </row>
    <row r="33762" spans="7:16" s="1634" customFormat="1">
      <c r="G33762" s="3336"/>
      <c r="P33762" s="3337"/>
    </row>
    <row r="33763" spans="7:16" s="1634" customFormat="1">
      <c r="G33763" s="3336"/>
      <c r="P33763" s="3337"/>
    </row>
    <row r="33764" spans="7:16" s="1634" customFormat="1">
      <c r="G33764" s="3336"/>
      <c r="P33764" s="3337"/>
    </row>
    <row r="33765" spans="7:16" s="1634" customFormat="1">
      <c r="G33765" s="3336"/>
      <c r="P33765" s="3337"/>
    </row>
    <row r="33766" spans="7:16" s="1634" customFormat="1">
      <c r="G33766" s="3336"/>
      <c r="P33766" s="3337"/>
    </row>
    <row r="33767" spans="7:16" s="1634" customFormat="1">
      <c r="G33767" s="3336"/>
      <c r="P33767" s="3337"/>
    </row>
    <row r="33768" spans="7:16" s="1634" customFormat="1">
      <c r="G33768" s="3336"/>
      <c r="P33768" s="3337"/>
    </row>
    <row r="33769" spans="7:16" s="1634" customFormat="1">
      <c r="G33769" s="3336"/>
      <c r="P33769" s="3337"/>
    </row>
    <row r="33770" spans="7:16" s="1634" customFormat="1">
      <c r="G33770" s="3336"/>
      <c r="P33770" s="3337"/>
    </row>
    <row r="33771" spans="7:16" s="1634" customFormat="1">
      <c r="G33771" s="3336"/>
      <c r="P33771" s="3337"/>
    </row>
    <row r="33772" spans="7:16" s="1634" customFormat="1">
      <c r="G33772" s="3336"/>
      <c r="P33772" s="3337"/>
    </row>
    <row r="33773" spans="7:16" s="1634" customFormat="1">
      <c r="G33773" s="3336"/>
      <c r="P33773" s="3337"/>
    </row>
    <row r="33774" spans="7:16" s="1634" customFormat="1">
      <c r="G33774" s="3336"/>
      <c r="P33774" s="3337"/>
    </row>
    <row r="33775" spans="7:16" s="1634" customFormat="1">
      <c r="G33775" s="3336"/>
      <c r="P33775" s="3337"/>
    </row>
    <row r="33776" spans="7:16" s="1634" customFormat="1">
      <c r="G33776" s="3336"/>
      <c r="P33776" s="3337"/>
    </row>
    <row r="33777" spans="7:16" s="1634" customFormat="1">
      <c r="G33777" s="3336"/>
      <c r="P33777" s="3337"/>
    </row>
    <row r="33778" spans="7:16" s="1634" customFormat="1">
      <c r="G33778" s="3336"/>
      <c r="P33778" s="3337"/>
    </row>
    <row r="33779" spans="7:16" s="1634" customFormat="1">
      <c r="G33779" s="3336"/>
      <c r="P33779" s="3337"/>
    </row>
    <row r="33780" spans="7:16" s="1634" customFormat="1">
      <c r="G33780" s="3336"/>
      <c r="P33780" s="3337"/>
    </row>
    <row r="33781" spans="7:16" s="1634" customFormat="1">
      <c r="G33781" s="3336"/>
      <c r="P33781" s="3337"/>
    </row>
    <row r="33782" spans="7:16" s="1634" customFormat="1">
      <c r="G33782" s="3336"/>
      <c r="P33782" s="3337"/>
    </row>
    <row r="33783" spans="7:16" s="1634" customFormat="1">
      <c r="G33783" s="3336"/>
      <c r="P33783" s="3337"/>
    </row>
    <row r="33784" spans="7:16" s="1634" customFormat="1">
      <c r="G33784" s="3336"/>
      <c r="P33784" s="3337"/>
    </row>
    <row r="33785" spans="7:16" s="1634" customFormat="1">
      <c r="G33785" s="3336"/>
      <c r="P33785" s="3337"/>
    </row>
    <row r="33786" spans="7:16" s="1634" customFormat="1">
      <c r="G33786" s="3336"/>
      <c r="P33786" s="3337"/>
    </row>
    <row r="33787" spans="7:16" s="1634" customFormat="1">
      <c r="G33787" s="3336"/>
      <c r="P33787" s="3337"/>
    </row>
    <row r="33788" spans="7:16" s="1634" customFormat="1">
      <c r="G33788" s="3336"/>
      <c r="P33788" s="3337"/>
    </row>
    <row r="33789" spans="7:16" s="1634" customFormat="1">
      <c r="G33789" s="3336"/>
      <c r="P33789" s="3337"/>
    </row>
    <row r="33790" spans="7:16" s="1634" customFormat="1">
      <c r="G33790" s="3336"/>
      <c r="P33790" s="3337"/>
    </row>
    <row r="33791" spans="7:16" s="1634" customFormat="1">
      <c r="G33791" s="3336"/>
      <c r="P33791" s="3337"/>
    </row>
    <row r="33792" spans="7:16" s="1634" customFormat="1">
      <c r="G33792" s="3336"/>
      <c r="P33792" s="3337"/>
    </row>
    <row r="33793" spans="7:16" s="1634" customFormat="1">
      <c r="G33793" s="3336"/>
      <c r="P33793" s="3337"/>
    </row>
    <row r="33794" spans="7:16" s="1634" customFormat="1">
      <c r="G33794" s="3336"/>
      <c r="P33794" s="3337"/>
    </row>
    <row r="33795" spans="7:16" s="1634" customFormat="1">
      <c r="G33795" s="3336"/>
      <c r="P33795" s="3337"/>
    </row>
    <row r="33796" spans="7:16" s="1634" customFormat="1">
      <c r="G33796" s="3336"/>
      <c r="P33796" s="3337"/>
    </row>
    <row r="33797" spans="7:16" s="1634" customFormat="1">
      <c r="G33797" s="3336"/>
      <c r="P33797" s="3337"/>
    </row>
    <row r="33798" spans="7:16" s="1634" customFormat="1">
      <c r="G33798" s="3336"/>
      <c r="P33798" s="3337"/>
    </row>
    <row r="33799" spans="7:16" s="1634" customFormat="1">
      <c r="G33799" s="3336"/>
      <c r="P33799" s="3337"/>
    </row>
    <row r="33800" spans="7:16" s="1634" customFormat="1">
      <c r="G33800" s="3336"/>
      <c r="P33800" s="3337"/>
    </row>
    <row r="33801" spans="7:16" s="1634" customFormat="1">
      <c r="G33801" s="3336"/>
      <c r="P33801" s="3337"/>
    </row>
    <row r="33802" spans="7:16" s="1634" customFormat="1">
      <c r="G33802" s="3336"/>
      <c r="P33802" s="3337"/>
    </row>
    <row r="33803" spans="7:16" s="1634" customFormat="1">
      <c r="G33803" s="3336"/>
      <c r="P33803" s="3337"/>
    </row>
    <row r="33804" spans="7:16" s="1634" customFormat="1">
      <c r="G33804" s="3336"/>
      <c r="P33804" s="3337"/>
    </row>
    <row r="33805" spans="7:16" s="1634" customFormat="1">
      <c r="G33805" s="3336"/>
      <c r="P33805" s="3337"/>
    </row>
    <row r="33806" spans="7:16" s="1634" customFormat="1">
      <c r="G33806" s="3336"/>
      <c r="P33806" s="3337"/>
    </row>
    <row r="33807" spans="7:16" s="1634" customFormat="1">
      <c r="G33807" s="3336"/>
      <c r="P33807" s="3337"/>
    </row>
    <row r="33808" spans="7:16" s="1634" customFormat="1">
      <c r="G33808" s="3336"/>
      <c r="P33808" s="3337"/>
    </row>
    <row r="33809" spans="7:16" s="1634" customFormat="1">
      <c r="G33809" s="3336"/>
      <c r="P33809" s="3337"/>
    </row>
    <row r="33810" spans="7:16" s="1634" customFormat="1">
      <c r="G33810" s="3336"/>
      <c r="P33810" s="3337"/>
    </row>
    <row r="33811" spans="7:16" s="1634" customFormat="1">
      <c r="G33811" s="3336"/>
      <c r="P33811" s="3337"/>
    </row>
    <row r="33812" spans="7:16" s="1634" customFormat="1">
      <c r="G33812" s="3336"/>
      <c r="P33812" s="3337"/>
    </row>
    <row r="33813" spans="7:16" s="1634" customFormat="1">
      <c r="G33813" s="3336"/>
      <c r="P33813" s="3337"/>
    </row>
    <row r="33814" spans="7:16" s="1634" customFormat="1">
      <c r="G33814" s="3336"/>
      <c r="P33814" s="3337"/>
    </row>
    <row r="33815" spans="7:16" s="1634" customFormat="1">
      <c r="G33815" s="3336"/>
      <c r="P33815" s="3337"/>
    </row>
    <row r="33816" spans="7:16" s="1634" customFormat="1">
      <c r="G33816" s="3336"/>
      <c r="P33816" s="3337"/>
    </row>
    <row r="33817" spans="7:16" s="1634" customFormat="1">
      <c r="G33817" s="3336"/>
      <c r="P33817" s="3337"/>
    </row>
    <row r="33818" spans="7:16" s="1634" customFormat="1">
      <c r="G33818" s="3336"/>
      <c r="P33818" s="3337"/>
    </row>
    <row r="33819" spans="7:16" s="1634" customFormat="1">
      <c r="G33819" s="3336"/>
      <c r="P33819" s="3337"/>
    </row>
    <row r="33820" spans="7:16" s="1634" customFormat="1">
      <c r="G33820" s="3336"/>
      <c r="P33820" s="3337"/>
    </row>
    <row r="33821" spans="7:16" s="1634" customFormat="1">
      <c r="G33821" s="3336"/>
      <c r="P33821" s="3337"/>
    </row>
    <row r="33822" spans="7:16" s="1634" customFormat="1">
      <c r="G33822" s="3336"/>
      <c r="P33822" s="3337"/>
    </row>
    <row r="33823" spans="7:16" s="1634" customFormat="1">
      <c r="G33823" s="3336"/>
      <c r="P33823" s="3337"/>
    </row>
    <row r="33824" spans="7:16" s="1634" customFormat="1">
      <c r="G33824" s="3336"/>
      <c r="P33824" s="3337"/>
    </row>
    <row r="33825" spans="7:16" s="1634" customFormat="1">
      <c r="G33825" s="3336"/>
      <c r="P33825" s="3337"/>
    </row>
    <row r="33826" spans="7:16" s="1634" customFormat="1">
      <c r="G33826" s="3336"/>
      <c r="P33826" s="3337"/>
    </row>
    <row r="33827" spans="7:16" s="1634" customFormat="1">
      <c r="G33827" s="3336"/>
      <c r="P33827" s="3337"/>
    </row>
    <row r="33828" spans="7:16" s="1634" customFormat="1">
      <c r="G33828" s="3336"/>
      <c r="P33828" s="3337"/>
    </row>
    <row r="33829" spans="7:16" s="1634" customFormat="1">
      <c r="G33829" s="3336"/>
      <c r="P33829" s="3337"/>
    </row>
    <row r="33830" spans="7:16" s="1634" customFormat="1">
      <c r="G33830" s="3336"/>
      <c r="P33830" s="3337"/>
    </row>
    <row r="33831" spans="7:16" s="1634" customFormat="1">
      <c r="G33831" s="3336"/>
      <c r="P33831" s="3337"/>
    </row>
    <row r="33832" spans="7:16" s="1634" customFormat="1">
      <c r="G33832" s="3336"/>
      <c r="P33832" s="3337"/>
    </row>
    <row r="33833" spans="7:16" s="1634" customFormat="1">
      <c r="G33833" s="3336"/>
      <c r="P33833" s="3337"/>
    </row>
    <row r="33834" spans="7:16" s="1634" customFormat="1">
      <c r="G33834" s="3336"/>
      <c r="P33834" s="3337"/>
    </row>
    <row r="33835" spans="7:16" s="1634" customFormat="1">
      <c r="G33835" s="3336"/>
      <c r="P33835" s="3337"/>
    </row>
    <row r="33836" spans="7:16" s="1634" customFormat="1">
      <c r="G33836" s="3336"/>
      <c r="P33836" s="3337"/>
    </row>
    <row r="33837" spans="7:16" s="1634" customFormat="1">
      <c r="G33837" s="3336"/>
      <c r="P33837" s="3337"/>
    </row>
    <row r="33838" spans="7:16" s="1634" customFormat="1">
      <c r="G33838" s="3336"/>
      <c r="P33838" s="3337"/>
    </row>
    <row r="33839" spans="7:16" s="1634" customFormat="1">
      <c r="G33839" s="3336"/>
      <c r="P33839" s="3337"/>
    </row>
    <row r="33840" spans="7:16" s="1634" customFormat="1">
      <c r="G33840" s="3336"/>
      <c r="P33840" s="3337"/>
    </row>
    <row r="33841" spans="7:16" s="1634" customFormat="1">
      <c r="G33841" s="3336"/>
      <c r="P33841" s="3337"/>
    </row>
    <row r="33842" spans="7:16" s="1634" customFormat="1">
      <c r="G33842" s="3336"/>
      <c r="P33842" s="3337"/>
    </row>
    <row r="33843" spans="7:16" s="1634" customFormat="1">
      <c r="G33843" s="3336"/>
      <c r="P33843" s="3337"/>
    </row>
    <row r="33844" spans="7:16" s="1634" customFormat="1">
      <c r="G33844" s="3336"/>
      <c r="P33844" s="3337"/>
    </row>
    <row r="33845" spans="7:16" s="1634" customFormat="1">
      <c r="G33845" s="3336"/>
      <c r="P33845" s="3337"/>
    </row>
    <row r="33846" spans="7:16" s="1634" customFormat="1">
      <c r="G33846" s="3336"/>
      <c r="P33846" s="3337"/>
    </row>
    <row r="33847" spans="7:16" s="1634" customFormat="1">
      <c r="G33847" s="3336"/>
      <c r="P33847" s="3337"/>
    </row>
    <row r="33848" spans="7:16" s="1634" customFormat="1">
      <c r="G33848" s="3336"/>
      <c r="P33848" s="3337"/>
    </row>
    <row r="33849" spans="7:16" s="1634" customFormat="1">
      <c r="G33849" s="3336"/>
      <c r="P33849" s="3337"/>
    </row>
    <row r="33850" spans="7:16" s="1634" customFormat="1">
      <c r="G33850" s="3336"/>
      <c r="P33850" s="3337"/>
    </row>
    <row r="33851" spans="7:16" s="1634" customFormat="1">
      <c r="G33851" s="3336"/>
      <c r="P33851" s="3337"/>
    </row>
    <row r="33852" spans="7:16" s="1634" customFormat="1">
      <c r="G33852" s="3336"/>
      <c r="P33852" s="3337"/>
    </row>
    <row r="33853" spans="7:16" s="1634" customFormat="1">
      <c r="G33853" s="3336"/>
      <c r="P33853" s="3337"/>
    </row>
    <row r="33854" spans="7:16" s="1634" customFormat="1">
      <c r="G33854" s="3336"/>
      <c r="P33854" s="3337"/>
    </row>
    <row r="33855" spans="7:16" s="1634" customFormat="1">
      <c r="G33855" s="3336"/>
      <c r="P33855" s="3337"/>
    </row>
    <row r="33856" spans="7:16" s="1634" customFormat="1">
      <c r="G33856" s="3336"/>
      <c r="P33856" s="3337"/>
    </row>
    <row r="33857" spans="7:16" s="1634" customFormat="1">
      <c r="G33857" s="3336"/>
      <c r="P33857" s="3337"/>
    </row>
    <row r="33858" spans="7:16" s="1634" customFormat="1">
      <c r="G33858" s="3336"/>
      <c r="P33858" s="3337"/>
    </row>
    <row r="33859" spans="7:16" s="1634" customFormat="1">
      <c r="G33859" s="3336"/>
      <c r="P33859" s="3337"/>
    </row>
    <row r="33860" spans="7:16" s="1634" customFormat="1">
      <c r="G33860" s="3336"/>
      <c r="P33860" s="3337"/>
    </row>
    <row r="33861" spans="7:16" s="1634" customFormat="1">
      <c r="G33861" s="3336"/>
      <c r="P33861" s="3337"/>
    </row>
    <row r="33862" spans="7:16" s="1634" customFormat="1">
      <c r="G33862" s="3336"/>
      <c r="P33862" s="3337"/>
    </row>
    <row r="33863" spans="7:16" s="1634" customFormat="1">
      <c r="G33863" s="3336"/>
      <c r="P33863" s="3337"/>
    </row>
    <row r="33864" spans="7:16" s="1634" customFormat="1">
      <c r="G33864" s="3336"/>
      <c r="P33864" s="3337"/>
    </row>
    <row r="33865" spans="7:16" s="1634" customFormat="1">
      <c r="G33865" s="3336"/>
      <c r="P33865" s="3337"/>
    </row>
    <row r="33866" spans="7:16" s="1634" customFormat="1">
      <c r="G33866" s="3336"/>
      <c r="P33866" s="3337"/>
    </row>
    <row r="33867" spans="7:16" s="1634" customFormat="1">
      <c r="G33867" s="3336"/>
      <c r="P33867" s="3337"/>
    </row>
    <row r="33868" spans="7:16" s="1634" customFormat="1">
      <c r="G33868" s="3336"/>
      <c r="P33868" s="3337"/>
    </row>
    <row r="33869" spans="7:16" s="1634" customFormat="1">
      <c r="G33869" s="3336"/>
      <c r="P33869" s="3337"/>
    </row>
    <row r="33870" spans="7:16" s="1634" customFormat="1">
      <c r="G33870" s="3336"/>
      <c r="P33870" s="3337"/>
    </row>
    <row r="33871" spans="7:16" s="1634" customFormat="1">
      <c r="G33871" s="3336"/>
      <c r="P33871" s="3337"/>
    </row>
    <row r="33872" spans="7:16" s="1634" customFormat="1">
      <c r="G33872" s="3336"/>
      <c r="P33872" s="3337"/>
    </row>
    <row r="33873" spans="7:16" s="1634" customFormat="1">
      <c r="G33873" s="3336"/>
      <c r="P33873" s="3337"/>
    </row>
    <row r="33874" spans="7:16" s="1634" customFormat="1">
      <c r="G33874" s="3336"/>
      <c r="P33874" s="3337"/>
    </row>
    <row r="33875" spans="7:16" s="1634" customFormat="1">
      <c r="G33875" s="3336"/>
      <c r="P33875" s="3337"/>
    </row>
    <row r="33876" spans="7:16" s="1634" customFormat="1">
      <c r="G33876" s="3336"/>
      <c r="P33876" s="3337"/>
    </row>
    <row r="33877" spans="7:16" s="1634" customFormat="1">
      <c r="G33877" s="3336"/>
      <c r="P33877" s="3337"/>
    </row>
    <row r="33878" spans="7:16" s="1634" customFormat="1">
      <c r="G33878" s="3336"/>
      <c r="P33878" s="3337"/>
    </row>
    <row r="33879" spans="7:16" s="1634" customFormat="1">
      <c r="G33879" s="3336"/>
      <c r="P33879" s="3337"/>
    </row>
    <row r="33880" spans="7:16" s="1634" customFormat="1">
      <c r="G33880" s="3336"/>
      <c r="P33880" s="3337"/>
    </row>
    <row r="33881" spans="7:16" s="1634" customFormat="1">
      <c r="G33881" s="3336"/>
      <c r="P33881" s="3337"/>
    </row>
    <row r="33882" spans="7:16" s="1634" customFormat="1">
      <c r="G33882" s="3336"/>
      <c r="P33882" s="3337"/>
    </row>
    <row r="33883" spans="7:16" s="1634" customFormat="1">
      <c r="G33883" s="3336"/>
      <c r="P33883" s="3337"/>
    </row>
    <row r="33884" spans="7:16" s="1634" customFormat="1">
      <c r="G33884" s="3336"/>
      <c r="P33884" s="3337"/>
    </row>
    <row r="33885" spans="7:16" s="1634" customFormat="1">
      <c r="G33885" s="3336"/>
      <c r="P33885" s="3337"/>
    </row>
    <row r="33886" spans="7:16" s="1634" customFormat="1">
      <c r="G33886" s="3336"/>
      <c r="P33886" s="3337"/>
    </row>
    <row r="33887" spans="7:16" s="1634" customFormat="1">
      <c r="G33887" s="3336"/>
      <c r="P33887" s="3337"/>
    </row>
    <row r="33888" spans="7:16" s="1634" customFormat="1">
      <c r="G33888" s="3336"/>
      <c r="P33888" s="3337"/>
    </row>
    <row r="33889" spans="7:16" s="1634" customFormat="1">
      <c r="G33889" s="3336"/>
      <c r="P33889" s="3337"/>
    </row>
    <row r="33890" spans="7:16" s="1634" customFormat="1">
      <c r="G33890" s="3336"/>
      <c r="P33890" s="3337"/>
    </row>
    <row r="33891" spans="7:16" s="1634" customFormat="1">
      <c r="G33891" s="3336"/>
      <c r="P33891" s="3337"/>
    </row>
    <row r="33892" spans="7:16" s="1634" customFormat="1">
      <c r="G33892" s="3336"/>
      <c r="P33892" s="3337"/>
    </row>
    <row r="33893" spans="7:16" s="1634" customFormat="1">
      <c r="G33893" s="3336"/>
      <c r="P33893" s="3337"/>
    </row>
    <row r="33894" spans="7:16" s="1634" customFormat="1">
      <c r="G33894" s="3336"/>
      <c r="P33894" s="3337"/>
    </row>
    <row r="33895" spans="7:16" s="1634" customFormat="1">
      <c r="G33895" s="3336"/>
      <c r="P33895" s="3337"/>
    </row>
    <row r="33896" spans="7:16" s="1634" customFormat="1">
      <c r="G33896" s="3336"/>
      <c r="P33896" s="3337"/>
    </row>
    <row r="33897" spans="7:16" s="1634" customFormat="1">
      <c r="G33897" s="3336"/>
      <c r="P33897" s="3337"/>
    </row>
    <row r="33898" spans="7:16" s="1634" customFormat="1">
      <c r="G33898" s="3336"/>
      <c r="P33898" s="3337"/>
    </row>
    <row r="33899" spans="7:16" s="1634" customFormat="1">
      <c r="G33899" s="3336"/>
      <c r="P33899" s="3337"/>
    </row>
    <row r="33900" spans="7:16" s="1634" customFormat="1">
      <c r="G33900" s="3336"/>
      <c r="P33900" s="3337"/>
    </row>
    <row r="33901" spans="7:16" s="1634" customFormat="1">
      <c r="G33901" s="3336"/>
      <c r="P33901" s="3337"/>
    </row>
    <row r="33902" spans="7:16" s="1634" customFormat="1">
      <c r="G33902" s="3336"/>
      <c r="P33902" s="3337"/>
    </row>
    <row r="33903" spans="7:16" s="1634" customFormat="1">
      <c r="G33903" s="3336"/>
      <c r="P33903" s="3337"/>
    </row>
    <row r="33904" spans="7:16" s="1634" customFormat="1">
      <c r="G33904" s="3336"/>
      <c r="P33904" s="3337"/>
    </row>
    <row r="33905" spans="7:16" s="1634" customFormat="1">
      <c r="G33905" s="3336"/>
      <c r="P33905" s="3337"/>
    </row>
    <row r="33906" spans="7:16" s="1634" customFormat="1">
      <c r="G33906" s="3336"/>
      <c r="P33906" s="3337"/>
    </row>
    <row r="33907" spans="7:16" s="1634" customFormat="1">
      <c r="G33907" s="3336"/>
      <c r="P33907" s="3337"/>
    </row>
    <row r="33908" spans="7:16" s="1634" customFormat="1">
      <c r="G33908" s="3336"/>
      <c r="P33908" s="3337"/>
    </row>
    <row r="33909" spans="7:16" s="1634" customFormat="1">
      <c r="G33909" s="3336"/>
      <c r="P33909" s="3337"/>
    </row>
    <row r="33910" spans="7:16" s="1634" customFormat="1">
      <c r="G33910" s="3336"/>
      <c r="P33910" s="3337"/>
    </row>
    <row r="33911" spans="7:16" s="1634" customFormat="1">
      <c r="G33911" s="3336"/>
      <c r="P33911" s="3337"/>
    </row>
    <row r="33912" spans="7:16" s="1634" customFormat="1">
      <c r="G33912" s="3336"/>
      <c r="P33912" s="3337"/>
    </row>
    <row r="33913" spans="7:16" s="1634" customFormat="1">
      <c r="G33913" s="3336"/>
      <c r="P33913" s="3337"/>
    </row>
    <row r="33914" spans="7:16" s="1634" customFormat="1">
      <c r="G33914" s="3336"/>
      <c r="P33914" s="3337"/>
    </row>
    <row r="33915" spans="7:16" s="1634" customFormat="1">
      <c r="G33915" s="3336"/>
      <c r="P33915" s="3337"/>
    </row>
    <row r="33916" spans="7:16" s="1634" customFormat="1">
      <c r="G33916" s="3336"/>
      <c r="P33916" s="3337"/>
    </row>
    <row r="33917" spans="7:16" s="1634" customFormat="1">
      <c r="G33917" s="3336"/>
      <c r="P33917" s="3337"/>
    </row>
    <row r="33918" spans="7:16" s="1634" customFormat="1">
      <c r="G33918" s="3336"/>
      <c r="P33918" s="3337"/>
    </row>
    <row r="33919" spans="7:16" s="1634" customFormat="1">
      <c r="G33919" s="3336"/>
      <c r="P33919" s="3337"/>
    </row>
    <row r="33920" spans="7:16" s="1634" customFormat="1">
      <c r="G33920" s="3336"/>
      <c r="P33920" s="3337"/>
    </row>
    <row r="33921" spans="7:16" s="1634" customFormat="1">
      <c r="G33921" s="3336"/>
      <c r="P33921" s="3337"/>
    </row>
    <row r="33922" spans="7:16" s="1634" customFormat="1">
      <c r="G33922" s="3336"/>
      <c r="P33922" s="3337"/>
    </row>
    <row r="33923" spans="7:16" s="1634" customFormat="1">
      <c r="G33923" s="3336"/>
      <c r="P33923" s="3337"/>
    </row>
    <row r="33924" spans="7:16" s="1634" customFormat="1">
      <c r="G33924" s="3336"/>
      <c r="P33924" s="3337"/>
    </row>
    <row r="33925" spans="7:16" s="1634" customFormat="1">
      <c r="G33925" s="3336"/>
      <c r="P33925" s="3337"/>
    </row>
    <row r="33926" spans="7:16" s="1634" customFormat="1">
      <c r="G33926" s="3336"/>
      <c r="P33926" s="3337"/>
    </row>
    <row r="33927" spans="7:16" s="1634" customFormat="1">
      <c r="G33927" s="3336"/>
      <c r="P33927" s="3337"/>
    </row>
    <row r="33928" spans="7:16" s="1634" customFormat="1">
      <c r="G33928" s="3336"/>
      <c r="P33928" s="3337"/>
    </row>
    <row r="33929" spans="7:16" s="1634" customFormat="1">
      <c r="G33929" s="3336"/>
      <c r="P33929" s="3337"/>
    </row>
    <row r="33930" spans="7:16" s="1634" customFormat="1">
      <c r="G33930" s="3336"/>
      <c r="P33930" s="3337"/>
    </row>
    <row r="33931" spans="7:16" s="1634" customFormat="1">
      <c r="G33931" s="3336"/>
      <c r="P33931" s="3337"/>
    </row>
    <row r="33932" spans="7:16" s="1634" customFormat="1">
      <c r="G33932" s="3336"/>
      <c r="P33932" s="3337"/>
    </row>
    <row r="33933" spans="7:16" s="1634" customFormat="1">
      <c r="G33933" s="3336"/>
      <c r="P33933" s="3337"/>
    </row>
    <row r="33934" spans="7:16" s="1634" customFormat="1">
      <c r="G33934" s="3336"/>
      <c r="P33934" s="3337"/>
    </row>
    <row r="33935" spans="7:16" s="1634" customFormat="1">
      <c r="G33935" s="3336"/>
      <c r="P33935" s="3337"/>
    </row>
    <row r="33936" spans="7:16" s="1634" customFormat="1">
      <c r="G33936" s="3336"/>
      <c r="P33936" s="3337"/>
    </row>
    <row r="33937" spans="7:16" s="1634" customFormat="1">
      <c r="G33937" s="3336"/>
      <c r="P33937" s="3337"/>
    </row>
    <row r="33938" spans="7:16" s="1634" customFormat="1">
      <c r="G33938" s="3336"/>
      <c r="P33938" s="3337"/>
    </row>
    <row r="33939" spans="7:16" s="1634" customFormat="1">
      <c r="G33939" s="3336"/>
      <c r="P33939" s="3337"/>
    </row>
    <row r="33940" spans="7:16" s="1634" customFormat="1">
      <c r="G33940" s="3336"/>
      <c r="P33940" s="3337"/>
    </row>
    <row r="33941" spans="7:16" s="1634" customFormat="1">
      <c r="G33941" s="3336"/>
      <c r="P33941" s="3337"/>
    </row>
    <row r="33942" spans="7:16" s="1634" customFormat="1">
      <c r="G33942" s="3336"/>
      <c r="P33942" s="3337"/>
    </row>
    <row r="33943" spans="7:16" s="1634" customFormat="1">
      <c r="G33943" s="3336"/>
      <c r="P33943" s="3337"/>
    </row>
    <row r="33944" spans="7:16" s="1634" customFormat="1">
      <c r="G33944" s="3336"/>
      <c r="P33944" s="3337"/>
    </row>
    <row r="33945" spans="7:16" s="1634" customFormat="1">
      <c r="G33945" s="3336"/>
      <c r="P33945" s="3337"/>
    </row>
    <row r="33946" spans="7:16" s="1634" customFormat="1">
      <c r="G33946" s="3336"/>
      <c r="P33946" s="3337"/>
    </row>
    <row r="33947" spans="7:16" s="1634" customFormat="1">
      <c r="G33947" s="3336"/>
      <c r="P33947" s="3337"/>
    </row>
    <row r="33948" spans="7:16" s="1634" customFormat="1">
      <c r="G33948" s="3336"/>
      <c r="P33948" s="3337"/>
    </row>
    <row r="33949" spans="7:16" s="1634" customFormat="1">
      <c r="G33949" s="3336"/>
      <c r="P33949" s="3337"/>
    </row>
    <row r="33950" spans="7:16" s="1634" customFormat="1">
      <c r="G33950" s="3336"/>
      <c r="P33950" s="3337"/>
    </row>
    <row r="33951" spans="7:16" s="1634" customFormat="1">
      <c r="G33951" s="3336"/>
      <c r="P33951" s="3337"/>
    </row>
    <row r="33952" spans="7:16" s="1634" customFormat="1">
      <c r="G33952" s="3336"/>
      <c r="P33952" s="3337"/>
    </row>
    <row r="33953" spans="7:16" s="1634" customFormat="1">
      <c r="G33953" s="3336"/>
      <c r="P33953" s="3337"/>
    </row>
    <row r="33954" spans="7:16" s="1634" customFormat="1">
      <c r="G33954" s="3336"/>
      <c r="P33954" s="3337"/>
    </row>
    <row r="33955" spans="7:16" s="1634" customFormat="1">
      <c r="G33955" s="3336"/>
      <c r="P33955" s="3337"/>
    </row>
    <row r="33956" spans="7:16" s="1634" customFormat="1">
      <c r="G33956" s="3336"/>
      <c r="P33956" s="3337"/>
    </row>
    <row r="33957" spans="7:16" s="1634" customFormat="1">
      <c r="G33957" s="3336"/>
      <c r="P33957" s="3337"/>
    </row>
    <row r="33958" spans="7:16" s="1634" customFormat="1">
      <c r="G33958" s="3336"/>
      <c r="P33958" s="3337"/>
    </row>
    <row r="33959" spans="7:16" s="1634" customFormat="1">
      <c r="G33959" s="3336"/>
      <c r="P33959" s="3337"/>
    </row>
    <row r="33960" spans="7:16" s="1634" customFormat="1">
      <c r="G33960" s="3336"/>
      <c r="P33960" s="3337"/>
    </row>
    <row r="33961" spans="7:16" s="1634" customFormat="1">
      <c r="G33961" s="3336"/>
      <c r="P33961" s="3337"/>
    </row>
    <row r="33962" spans="7:16" s="1634" customFormat="1">
      <c r="G33962" s="3336"/>
      <c r="P33962" s="3337"/>
    </row>
    <row r="33963" spans="7:16" s="1634" customFormat="1">
      <c r="G33963" s="3336"/>
      <c r="P33963" s="3337"/>
    </row>
    <row r="33964" spans="7:16" s="1634" customFormat="1">
      <c r="G33964" s="3336"/>
      <c r="P33964" s="3337"/>
    </row>
    <row r="33965" spans="7:16" s="1634" customFormat="1">
      <c r="G33965" s="3336"/>
      <c r="P33965" s="3337"/>
    </row>
    <row r="33966" spans="7:16" s="1634" customFormat="1">
      <c r="G33966" s="3336"/>
      <c r="P33966" s="3337"/>
    </row>
    <row r="33967" spans="7:16" s="1634" customFormat="1">
      <c r="G33967" s="3336"/>
      <c r="P33967" s="3337"/>
    </row>
    <row r="33968" spans="7:16" s="1634" customFormat="1">
      <c r="G33968" s="3336"/>
      <c r="P33968" s="3337"/>
    </row>
    <row r="33969" spans="7:16" s="1634" customFormat="1">
      <c r="G33969" s="3336"/>
      <c r="P33969" s="3337"/>
    </row>
    <row r="33970" spans="7:16" s="1634" customFormat="1">
      <c r="G33970" s="3336"/>
      <c r="P33970" s="3337"/>
    </row>
    <row r="33971" spans="7:16" s="1634" customFormat="1">
      <c r="G33971" s="3336"/>
      <c r="P33971" s="3337"/>
    </row>
    <row r="33972" spans="7:16" s="1634" customFormat="1">
      <c r="G33972" s="3336"/>
      <c r="P33972" s="3337"/>
    </row>
    <row r="33973" spans="7:16" s="1634" customFormat="1">
      <c r="G33973" s="3336"/>
      <c r="P33973" s="3337"/>
    </row>
    <row r="33974" spans="7:16" s="1634" customFormat="1">
      <c r="G33974" s="3336"/>
      <c r="P33974" s="3337"/>
    </row>
    <row r="33975" spans="7:16" s="1634" customFormat="1">
      <c r="G33975" s="3336"/>
      <c r="P33975" s="3337"/>
    </row>
    <row r="33976" spans="7:16" s="1634" customFormat="1">
      <c r="G33976" s="3336"/>
      <c r="P33976" s="3337"/>
    </row>
    <row r="33977" spans="7:16" s="1634" customFormat="1">
      <c r="G33977" s="3336"/>
      <c r="P33977" s="3337"/>
    </row>
    <row r="33978" spans="7:16" s="1634" customFormat="1">
      <c r="G33978" s="3336"/>
      <c r="P33978" s="3337"/>
    </row>
    <row r="33979" spans="7:16" s="1634" customFormat="1">
      <c r="G33979" s="3336"/>
      <c r="P33979" s="3337"/>
    </row>
    <row r="33980" spans="7:16" s="1634" customFormat="1">
      <c r="G33980" s="3336"/>
      <c r="P33980" s="3337"/>
    </row>
    <row r="33981" spans="7:16" s="1634" customFormat="1">
      <c r="G33981" s="3336"/>
      <c r="P33981" s="3337"/>
    </row>
    <row r="33982" spans="7:16" s="1634" customFormat="1">
      <c r="G33982" s="3336"/>
      <c r="P33982" s="3337"/>
    </row>
    <row r="33983" spans="7:16" s="1634" customFormat="1">
      <c r="G33983" s="3336"/>
      <c r="P33983" s="3337"/>
    </row>
    <row r="33984" spans="7:16" s="1634" customFormat="1">
      <c r="G33984" s="3336"/>
      <c r="P33984" s="3337"/>
    </row>
    <row r="33985" spans="7:16" s="1634" customFormat="1">
      <c r="G33985" s="3336"/>
      <c r="P33985" s="3337"/>
    </row>
    <row r="33986" spans="7:16" s="1634" customFormat="1">
      <c r="G33986" s="3336"/>
      <c r="P33986" s="3337"/>
    </row>
    <row r="33987" spans="7:16" s="1634" customFormat="1">
      <c r="G33987" s="3336"/>
      <c r="P33987" s="3337"/>
    </row>
    <row r="33988" spans="7:16" s="1634" customFormat="1">
      <c r="G33988" s="3336"/>
      <c r="P33988" s="3337"/>
    </row>
    <row r="33989" spans="7:16" s="1634" customFormat="1">
      <c r="G33989" s="3336"/>
      <c r="P33989" s="3337"/>
    </row>
    <row r="33990" spans="7:16" s="1634" customFormat="1">
      <c r="G33990" s="3336"/>
      <c r="P33990" s="3337"/>
    </row>
    <row r="33991" spans="7:16" s="1634" customFormat="1">
      <c r="G33991" s="3336"/>
      <c r="P33991" s="3337"/>
    </row>
    <row r="33992" spans="7:16" s="1634" customFormat="1">
      <c r="G33992" s="3336"/>
      <c r="P33992" s="3337"/>
    </row>
    <row r="33993" spans="7:16" s="1634" customFormat="1">
      <c r="G33993" s="3336"/>
      <c r="P33993" s="3337"/>
    </row>
    <row r="33994" spans="7:16" s="1634" customFormat="1">
      <c r="G33994" s="3336"/>
      <c r="P33994" s="3337"/>
    </row>
    <row r="33995" spans="7:16" s="1634" customFormat="1">
      <c r="G33995" s="3336"/>
      <c r="P33995" s="3337"/>
    </row>
    <row r="33996" spans="7:16" s="1634" customFormat="1">
      <c r="G33996" s="3336"/>
      <c r="P33996" s="3337"/>
    </row>
    <row r="33997" spans="7:16" s="1634" customFormat="1">
      <c r="G33997" s="3336"/>
      <c r="P33997" s="3337"/>
    </row>
    <row r="33998" spans="7:16" s="1634" customFormat="1">
      <c r="G33998" s="3336"/>
      <c r="P33998" s="3337"/>
    </row>
    <row r="33999" spans="7:16" s="1634" customFormat="1">
      <c r="G33999" s="3336"/>
      <c r="P33999" s="3337"/>
    </row>
    <row r="34000" spans="7:16" s="1634" customFormat="1">
      <c r="G34000" s="3336"/>
      <c r="P34000" s="3337"/>
    </row>
    <row r="34001" spans="7:16" s="1634" customFormat="1">
      <c r="G34001" s="3336"/>
      <c r="P34001" s="3337"/>
    </row>
    <row r="34002" spans="7:16" s="1634" customFormat="1">
      <c r="G34002" s="3336"/>
      <c r="P34002" s="3337"/>
    </row>
    <row r="34003" spans="7:16" s="1634" customFormat="1">
      <c r="G34003" s="3336"/>
      <c r="P34003" s="3337"/>
    </row>
    <row r="34004" spans="7:16" s="1634" customFormat="1">
      <c r="G34004" s="3336"/>
      <c r="P34004" s="3337"/>
    </row>
    <row r="34005" spans="7:16" s="1634" customFormat="1">
      <c r="G34005" s="3336"/>
      <c r="P34005" s="3337"/>
    </row>
    <row r="34006" spans="7:16" s="1634" customFormat="1">
      <c r="G34006" s="3336"/>
      <c r="P34006" s="3337"/>
    </row>
    <row r="34007" spans="7:16" s="1634" customFormat="1">
      <c r="G34007" s="3336"/>
      <c r="P34007" s="3337"/>
    </row>
    <row r="34008" spans="7:16" s="1634" customFormat="1">
      <c r="G34008" s="3336"/>
      <c r="P34008" s="3337"/>
    </row>
    <row r="34009" spans="7:16" s="1634" customFormat="1">
      <c r="G34009" s="3336"/>
      <c r="P34009" s="3337"/>
    </row>
    <row r="34010" spans="7:16" s="1634" customFormat="1">
      <c r="G34010" s="3336"/>
      <c r="P34010" s="3337"/>
    </row>
    <row r="34011" spans="7:16" s="1634" customFormat="1">
      <c r="G34011" s="3336"/>
      <c r="P34011" s="3337"/>
    </row>
    <row r="34012" spans="7:16" s="1634" customFormat="1">
      <c r="G34012" s="3336"/>
      <c r="P34012" s="3337"/>
    </row>
    <row r="34013" spans="7:16" s="1634" customFormat="1">
      <c r="G34013" s="3336"/>
      <c r="P34013" s="3337"/>
    </row>
    <row r="34014" spans="7:16" s="1634" customFormat="1">
      <c r="G34014" s="3336"/>
      <c r="P34014" s="3337"/>
    </row>
    <row r="34015" spans="7:16" s="1634" customFormat="1">
      <c r="G34015" s="3336"/>
      <c r="P34015" s="3337"/>
    </row>
    <row r="34016" spans="7:16" s="1634" customFormat="1">
      <c r="G34016" s="3336"/>
      <c r="P34016" s="3337"/>
    </row>
    <row r="34017" spans="7:16" s="1634" customFormat="1">
      <c r="G34017" s="3336"/>
      <c r="P34017" s="3337"/>
    </row>
    <row r="34018" spans="7:16" s="1634" customFormat="1">
      <c r="G34018" s="3336"/>
      <c r="P34018" s="3337"/>
    </row>
    <row r="34019" spans="7:16" s="1634" customFormat="1">
      <c r="G34019" s="3336"/>
      <c r="P34019" s="3337"/>
    </row>
    <row r="34020" spans="7:16" s="1634" customFormat="1">
      <c r="G34020" s="3336"/>
      <c r="P34020" s="3337"/>
    </row>
    <row r="34021" spans="7:16" s="1634" customFormat="1">
      <c r="G34021" s="3336"/>
      <c r="P34021" s="3337"/>
    </row>
    <row r="34022" spans="7:16" s="1634" customFormat="1">
      <c r="G34022" s="3336"/>
      <c r="P34022" s="3337"/>
    </row>
    <row r="34023" spans="7:16" s="1634" customFormat="1">
      <c r="G34023" s="3336"/>
      <c r="P34023" s="3337"/>
    </row>
    <row r="34024" spans="7:16" s="1634" customFormat="1">
      <c r="G34024" s="3336"/>
      <c r="P34024" s="3337"/>
    </row>
    <row r="34025" spans="7:16" s="1634" customFormat="1">
      <c r="G34025" s="3336"/>
      <c r="P34025" s="3337"/>
    </row>
    <row r="34026" spans="7:16" s="1634" customFormat="1">
      <c r="G34026" s="3336"/>
      <c r="P34026" s="3337"/>
    </row>
    <row r="34027" spans="7:16" s="1634" customFormat="1">
      <c r="G34027" s="3336"/>
      <c r="P34027" s="3337"/>
    </row>
    <row r="34028" spans="7:16" s="1634" customFormat="1">
      <c r="G34028" s="3336"/>
      <c r="P34028" s="3337"/>
    </row>
    <row r="34029" spans="7:16" s="1634" customFormat="1">
      <c r="G34029" s="3336"/>
      <c r="P34029" s="3337"/>
    </row>
    <row r="34030" spans="7:16" s="1634" customFormat="1">
      <c r="G34030" s="3336"/>
      <c r="P34030" s="3337"/>
    </row>
    <row r="34031" spans="7:16" s="1634" customFormat="1">
      <c r="G34031" s="3336"/>
      <c r="P34031" s="3337"/>
    </row>
    <row r="34032" spans="7:16" s="1634" customFormat="1">
      <c r="G34032" s="3336"/>
      <c r="P34032" s="3337"/>
    </row>
    <row r="34033" spans="7:16" s="1634" customFormat="1">
      <c r="G34033" s="3336"/>
      <c r="P34033" s="3337"/>
    </row>
    <row r="34034" spans="7:16" s="1634" customFormat="1">
      <c r="G34034" s="3336"/>
      <c r="P34034" s="3337"/>
    </row>
    <row r="34035" spans="7:16" s="1634" customFormat="1">
      <c r="G34035" s="3336"/>
      <c r="P34035" s="3337"/>
    </row>
    <row r="34036" spans="7:16" s="1634" customFormat="1">
      <c r="G34036" s="3336"/>
      <c r="P34036" s="3337"/>
    </row>
    <row r="34037" spans="7:16" s="1634" customFormat="1">
      <c r="G34037" s="3336"/>
      <c r="P34037" s="3337"/>
    </row>
    <row r="34038" spans="7:16" s="1634" customFormat="1">
      <c r="G34038" s="3336"/>
      <c r="P34038" s="3337"/>
    </row>
    <row r="34039" spans="7:16" s="1634" customFormat="1">
      <c r="G34039" s="3336"/>
      <c r="P34039" s="3337"/>
    </row>
    <row r="34040" spans="7:16" s="1634" customFormat="1">
      <c r="G34040" s="3336"/>
      <c r="P34040" s="3337"/>
    </row>
    <row r="34041" spans="7:16" s="1634" customFormat="1">
      <c r="G34041" s="3336"/>
      <c r="P34041" s="3337"/>
    </row>
    <row r="34042" spans="7:16" s="1634" customFormat="1">
      <c r="G34042" s="3336"/>
      <c r="P34042" s="3337"/>
    </row>
    <row r="34043" spans="7:16" s="1634" customFormat="1">
      <c r="G34043" s="3336"/>
      <c r="P34043" s="3337"/>
    </row>
    <row r="34044" spans="7:16" s="1634" customFormat="1">
      <c r="G34044" s="3336"/>
      <c r="P34044" s="3337"/>
    </row>
    <row r="34045" spans="7:16" s="1634" customFormat="1">
      <c r="G34045" s="3336"/>
      <c r="P34045" s="3337"/>
    </row>
    <row r="34046" spans="7:16" s="1634" customFormat="1">
      <c r="G34046" s="3336"/>
      <c r="P34046" s="3337"/>
    </row>
    <row r="34047" spans="7:16" s="1634" customFormat="1">
      <c r="G34047" s="3336"/>
      <c r="P34047" s="3337"/>
    </row>
    <row r="34048" spans="7:16" s="1634" customFormat="1">
      <c r="G34048" s="3336"/>
      <c r="P34048" s="3337"/>
    </row>
    <row r="34049" spans="7:16" s="1634" customFormat="1">
      <c r="G34049" s="3336"/>
      <c r="P34049" s="3337"/>
    </row>
    <row r="34050" spans="7:16" s="1634" customFormat="1">
      <c r="G34050" s="3336"/>
      <c r="P34050" s="3337"/>
    </row>
    <row r="34051" spans="7:16" s="1634" customFormat="1">
      <c r="G34051" s="3336"/>
      <c r="P34051" s="3337"/>
    </row>
    <row r="34052" spans="7:16" s="1634" customFormat="1">
      <c r="G34052" s="3336"/>
      <c r="P34052" s="3337"/>
    </row>
    <row r="34053" spans="7:16" s="1634" customFormat="1">
      <c r="G34053" s="3336"/>
      <c r="P34053" s="3337"/>
    </row>
    <row r="34054" spans="7:16" s="1634" customFormat="1">
      <c r="G34054" s="3336"/>
      <c r="P34054" s="3337"/>
    </row>
    <row r="34055" spans="7:16" s="1634" customFormat="1">
      <c r="G34055" s="3336"/>
      <c r="P34055" s="3337"/>
    </row>
    <row r="34056" spans="7:16" s="1634" customFormat="1">
      <c r="G34056" s="3336"/>
      <c r="P34056" s="3337"/>
    </row>
    <row r="34057" spans="7:16" s="1634" customFormat="1">
      <c r="G34057" s="3336"/>
      <c r="P34057" s="3337"/>
    </row>
    <row r="34058" spans="7:16" s="1634" customFormat="1">
      <c r="G34058" s="3336"/>
      <c r="P34058" s="3337"/>
    </row>
    <row r="34059" spans="7:16" s="1634" customFormat="1">
      <c r="G34059" s="3336"/>
      <c r="P34059" s="3337"/>
    </row>
    <row r="34060" spans="7:16" s="1634" customFormat="1">
      <c r="G34060" s="3336"/>
      <c r="P34060" s="3337"/>
    </row>
    <row r="34061" spans="7:16" s="1634" customFormat="1">
      <c r="G34061" s="3336"/>
      <c r="P34061" s="3337"/>
    </row>
    <row r="34062" spans="7:16" s="1634" customFormat="1">
      <c r="G34062" s="3336"/>
      <c r="P34062" s="3337"/>
    </row>
    <row r="34063" spans="7:16" s="1634" customFormat="1">
      <c r="G34063" s="3336"/>
      <c r="P34063" s="3337"/>
    </row>
    <row r="34064" spans="7:16" s="1634" customFormat="1">
      <c r="G34064" s="3336"/>
      <c r="P34064" s="3337"/>
    </row>
    <row r="34065" spans="7:16" s="1634" customFormat="1">
      <c r="G34065" s="3336"/>
      <c r="P34065" s="3337"/>
    </row>
    <row r="34066" spans="7:16" s="1634" customFormat="1">
      <c r="G34066" s="3336"/>
      <c r="P34066" s="3337"/>
    </row>
    <row r="34067" spans="7:16" s="1634" customFormat="1">
      <c r="G34067" s="3336"/>
      <c r="P34067" s="3337"/>
    </row>
    <row r="34068" spans="7:16" s="1634" customFormat="1">
      <c r="G34068" s="3336"/>
      <c r="P34068" s="3337"/>
    </row>
    <row r="34069" spans="7:16" s="1634" customFormat="1">
      <c r="G34069" s="3336"/>
      <c r="P34069" s="3337"/>
    </row>
    <row r="34070" spans="7:16" s="1634" customFormat="1">
      <c r="G34070" s="3336"/>
      <c r="P34070" s="3337"/>
    </row>
    <row r="34071" spans="7:16" s="1634" customFormat="1">
      <c r="G34071" s="3336"/>
      <c r="P34071" s="3337"/>
    </row>
    <row r="34072" spans="7:16" s="1634" customFormat="1">
      <c r="G34072" s="3336"/>
      <c r="P34072" s="3337"/>
    </row>
    <row r="34073" spans="7:16" s="1634" customFormat="1">
      <c r="G34073" s="3336"/>
      <c r="P34073" s="3337"/>
    </row>
    <row r="34074" spans="7:16" s="1634" customFormat="1">
      <c r="G34074" s="3336"/>
      <c r="P34074" s="3337"/>
    </row>
    <row r="34075" spans="7:16" s="1634" customFormat="1">
      <c r="G34075" s="3336"/>
      <c r="P34075" s="3337"/>
    </row>
    <row r="34076" spans="7:16" s="1634" customFormat="1">
      <c r="G34076" s="3336"/>
      <c r="P34076" s="3337"/>
    </row>
    <row r="34077" spans="7:16" s="1634" customFormat="1">
      <c r="G34077" s="3336"/>
      <c r="P34077" s="3337"/>
    </row>
    <row r="34078" spans="7:16" s="1634" customFormat="1">
      <c r="G34078" s="3336"/>
      <c r="P34078" s="3337"/>
    </row>
    <row r="34079" spans="7:16" s="1634" customFormat="1">
      <c r="G34079" s="3336"/>
      <c r="P34079" s="3337"/>
    </row>
    <row r="34080" spans="7:16" s="1634" customFormat="1">
      <c r="G34080" s="3336"/>
      <c r="P34080" s="3337"/>
    </row>
    <row r="34081" spans="7:16" s="1634" customFormat="1">
      <c r="G34081" s="3336"/>
      <c r="P34081" s="3337"/>
    </row>
    <row r="34082" spans="7:16" s="1634" customFormat="1">
      <c r="G34082" s="3336"/>
      <c r="P34082" s="3337"/>
    </row>
    <row r="34083" spans="7:16" s="1634" customFormat="1">
      <c r="G34083" s="3336"/>
      <c r="P34083" s="3337"/>
    </row>
    <row r="34084" spans="7:16" s="1634" customFormat="1">
      <c r="G34084" s="3336"/>
      <c r="P34084" s="3337"/>
    </row>
    <row r="34085" spans="7:16" s="1634" customFormat="1">
      <c r="G34085" s="3336"/>
      <c r="P34085" s="3337"/>
    </row>
    <row r="34086" spans="7:16" s="1634" customFormat="1">
      <c r="G34086" s="3336"/>
      <c r="P34086" s="3337"/>
    </row>
    <row r="34087" spans="7:16" s="1634" customFormat="1">
      <c r="G34087" s="3336"/>
      <c r="P34087" s="3337"/>
    </row>
    <row r="34088" spans="7:16" s="1634" customFormat="1">
      <c r="G34088" s="3336"/>
      <c r="P34088" s="3337"/>
    </row>
    <row r="34089" spans="7:16" s="1634" customFormat="1">
      <c r="G34089" s="3336"/>
      <c r="P34089" s="3337"/>
    </row>
    <row r="34090" spans="7:16" s="1634" customFormat="1">
      <c r="G34090" s="3336"/>
      <c r="P34090" s="3337"/>
    </row>
    <row r="34091" spans="7:16" s="1634" customFormat="1">
      <c r="G34091" s="3336"/>
      <c r="P34091" s="3337"/>
    </row>
    <row r="34092" spans="7:16" s="1634" customFormat="1">
      <c r="G34092" s="3336"/>
      <c r="P34092" s="3337"/>
    </row>
    <row r="34093" spans="7:16" s="1634" customFormat="1">
      <c r="G34093" s="3336"/>
      <c r="P34093" s="3337"/>
    </row>
    <row r="34094" spans="7:16" s="1634" customFormat="1">
      <c r="G34094" s="3336"/>
      <c r="P34094" s="3337"/>
    </row>
    <row r="34095" spans="7:16" s="1634" customFormat="1">
      <c r="G34095" s="3336"/>
      <c r="P34095" s="3337"/>
    </row>
    <row r="34096" spans="7:16" s="1634" customFormat="1">
      <c r="G34096" s="3336"/>
      <c r="P34096" s="3337"/>
    </row>
    <row r="34097" spans="7:16" s="1634" customFormat="1">
      <c r="G34097" s="3336"/>
      <c r="P34097" s="3337"/>
    </row>
    <row r="34098" spans="7:16" s="1634" customFormat="1">
      <c r="G34098" s="3336"/>
      <c r="P34098" s="3337"/>
    </row>
    <row r="34099" spans="7:16" s="1634" customFormat="1">
      <c r="G34099" s="3336"/>
      <c r="P34099" s="3337"/>
    </row>
    <row r="34100" spans="7:16" s="1634" customFormat="1">
      <c r="G34100" s="3336"/>
      <c r="P34100" s="3337"/>
    </row>
    <row r="34101" spans="7:16" s="1634" customFormat="1">
      <c r="G34101" s="3336"/>
      <c r="P34101" s="3337"/>
    </row>
    <row r="34102" spans="7:16" s="1634" customFormat="1">
      <c r="G34102" s="3336"/>
      <c r="P34102" s="3337"/>
    </row>
    <row r="34103" spans="7:16" s="1634" customFormat="1">
      <c r="G34103" s="3336"/>
      <c r="P34103" s="3337"/>
    </row>
    <row r="34104" spans="7:16" s="1634" customFormat="1">
      <c r="G34104" s="3336"/>
      <c r="P34104" s="3337"/>
    </row>
    <row r="34105" spans="7:16" s="1634" customFormat="1">
      <c r="G34105" s="3336"/>
      <c r="P34105" s="3337"/>
    </row>
    <row r="34106" spans="7:16" s="1634" customFormat="1">
      <c r="G34106" s="3336"/>
      <c r="P34106" s="3337"/>
    </row>
    <row r="34107" spans="7:16" s="1634" customFormat="1">
      <c r="G34107" s="3336"/>
      <c r="P34107" s="3337"/>
    </row>
    <row r="34108" spans="7:16" s="1634" customFormat="1">
      <c r="G34108" s="3336"/>
      <c r="P34108" s="3337"/>
    </row>
    <row r="34109" spans="7:16" s="1634" customFormat="1">
      <c r="G34109" s="3336"/>
      <c r="P34109" s="3337"/>
    </row>
    <row r="34110" spans="7:16" s="1634" customFormat="1">
      <c r="G34110" s="3336"/>
      <c r="P34110" s="3337"/>
    </row>
    <row r="34111" spans="7:16" s="1634" customFormat="1">
      <c r="G34111" s="3336"/>
      <c r="P34111" s="3337"/>
    </row>
    <row r="34112" spans="7:16" s="1634" customFormat="1">
      <c r="G34112" s="3336"/>
      <c r="P34112" s="3337"/>
    </row>
    <row r="34113" spans="7:16" s="1634" customFormat="1">
      <c r="G34113" s="3336"/>
      <c r="P34113" s="3337"/>
    </row>
    <row r="34114" spans="7:16" s="1634" customFormat="1">
      <c r="G34114" s="3336"/>
      <c r="P34114" s="3337"/>
    </row>
    <row r="34115" spans="7:16" s="1634" customFormat="1">
      <c r="G34115" s="3336"/>
      <c r="P34115" s="3337"/>
    </row>
    <row r="34116" spans="7:16" s="1634" customFormat="1">
      <c r="G34116" s="3336"/>
      <c r="P34116" s="3337"/>
    </row>
    <row r="34117" spans="7:16" s="1634" customFormat="1">
      <c r="G34117" s="3336"/>
      <c r="P34117" s="3337"/>
    </row>
    <row r="34118" spans="7:16" s="1634" customFormat="1">
      <c r="G34118" s="3336"/>
      <c r="P34118" s="3337"/>
    </row>
    <row r="34119" spans="7:16" s="1634" customFormat="1">
      <c r="G34119" s="3336"/>
      <c r="P34119" s="3337"/>
    </row>
    <row r="34120" spans="7:16" s="1634" customFormat="1">
      <c r="G34120" s="3336"/>
      <c r="P34120" s="3337"/>
    </row>
    <row r="34121" spans="7:16" s="1634" customFormat="1">
      <c r="G34121" s="3336"/>
      <c r="P34121" s="3337"/>
    </row>
    <row r="34122" spans="7:16" s="1634" customFormat="1">
      <c r="G34122" s="3336"/>
      <c r="P34122" s="3337"/>
    </row>
    <row r="34123" spans="7:16" s="1634" customFormat="1">
      <c r="G34123" s="3336"/>
      <c r="P34123" s="3337"/>
    </row>
    <row r="34124" spans="7:16" s="1634" customFormat="1">
      <c r="G34124" s="3336"/>
      <c r="P34124" s="3337"/>
    </row>
    <row r="34125" spans="7:16" s="1634" customFormat="1">
      <c r="G34125" s="3336"/>
      <c r="P34125" s="3337"/>
    </row>
    <row r="34126" spans="7:16" s="1634" customFormat="1">
      <c r="G34126" s="3336"/>
      <c r="P34126" s="3337"/>
    </row>
    <row r="34127" spans="7:16" s="1634" customFormat="1">
      <c r="G34127" s="3336"/>
      <c r="P34127" s="3337"/>
    </row>
    <row r="34128" spans="7:16" s="1634" customFormat="1">
      <c r="G34128" s="3336"/>
      <c r="P34128" s="3337"/>
    </row>
    <row r="34129" spans="7:16" s="1634" customFormat="1">
      <c r="G34129" s="3336"/>
      <c r="P34129" s="3337"/>
    </row>
    <row r="34130" spans="7:16" s="1634" customFormat="1">
      <c r="G34130" s="3336"/>
      <c r="P34130" s="3337"/>
    </row>
    <row r="34131" spans="7:16" s="1634" customFormat="1">
      <c r="G34131" s="3336"/>
      <c r="P34131" s="3337"/>
    </row>
    <row r="34132" spans="7:16" s="1634" customFormat="1">
      <c r="G34132" s="3336"/>
      <c r="P34132" s="3337"/>
    </row>
    <row r="34133" spans="7:16" s="1634" customFormat="1">
      <c r="G34133" s="3336"/>
      <c r="P34133" s="3337"/>
    </row>
    <row r="34134" spans="7:16" s="1634" customFormat="1">
      <c r="G34134" s="3336"/>
      <c r="P34134" s="3337"/>
    </row>
    <row r="34135" spans="7:16" s="1634" customFormat="1">
      <c r="G34135" s="3336"/>
      <c r="P34135" s="3337"/>
    </row>
    <row r="34136" spans="7:16" s="1634" customFormat="1">
      <c r="G34136" s="3336"/>
      <c r="P34136" s="3337"/>
    </row>
    <row r="34137" spans="7:16" s="1634" customFormat="1">
      <c r="G34137" s="3336"/>
      <c r="P34137" s="3337"/>
    </row>
    <row r="34138" spans="7:16" s="1634" customFormat="1">
      <c r="G34138" s="3336"/>
      <c r="P34138" s="3337"/>
    </row>
    <row r="34139" spans="7:16" s="1634" customFormat="1">
      <c r="G34139" s="3336"/>
      <c r="P34139" s="3337"/>
    </row>
    <row r="34140" spans="7:16" s="1634" customFormat="1">
      <c r="G34140" s="3336"/>
      <c r="P34140" s="3337"/>
    </row>
    <row r="34141" spans="7:16" s="1634" customFormat="1">
      <c r="G34141" s="3336"/>
      <c r="P34141" s="3337"/>
    </row>
    <row r="34142" spans="7:16" s="1634" customFormat="1">
      <c r="G34142" s="3336"/>
      <c r="P34142" s="3337"/>
    </row>
    <row r="34143" spans="7:16" s="1634" customFormat="1">
      <c r="G34143" s="3336"/>
      <c r="P34143" s="3337"/>
    </row>
    <row r="34144" spans="7:16" s="1634" customFormat="1">
      <c r="G34144" s="3336"/>
      <c r="P34144" s="3337"/>
    </row>
    <row r="34145" spans="7:16" s="1634" customFormat="1">
      <c r="G34145" s="3336"/>
      <c r="P34145" s="3337"/>
    </row>
    <row r="34146" spans="7:16" s="1634" customFormat="1">
      <c r="G34146" s="3336"/>
      <c r="P34146" s="3337"/>
    </row>
    <row r="34147" spans="7:16" s="1634" customFormat="1">
      <c r="G34147" s="3336"/>
      <c r="P34147" s="3337"/>
    </row>
    <row r="34148" spans="7:16" s="1634" customFormat="1">
      <c r="G34148" s="3336"/>
      <c r="P34148" s="3337"/>
    </row>
    <row r="34149" spans="7:16" s="1634" customFormat="1">
      <c r="G34149" s="3336"/>
      <c r="P34149" s="3337"/>
    </row>
    <row r="34150" spans="7:16" s="1634" customFormat="1">
      <c r="G34150" s="3336"/>
      <c r="P34150" s="3337"/>
    </row>
    <row r="34151" spans="7:16" s="1634" customFormat="1">
      <c r="G34151" s="3336"/>
      <c r="P34151" s="3337"/>
    </row>
    <row r="34152" spans="7:16" s="1634" customFormat="1">
      <c r="G34152" s="3336"/>
      <c r="P34152" s="3337"/>
    </row>
    <row r="34153" spans="7:16" s="1634" customFormat="1">
      <c r="G34153" s="3336"/>
      <c r="P34153" s="3337"/>
    </row>
    <row r="34154" spans="7:16" s="1634" customFormat="1">
      <c r="G34154" s="3336"/>
      <c r="P34154" s="3337"/>
    </row>
    <row r="34155" spans="7:16" s="1634" customFormat="1">
      <c r="G34155" s="3336"/>
      <c r="P34155" s="3337"/>
    </row>
    <row r="34156" spans="7:16" s="1634" customFormat="1">
      <c r="G34156" s="3336"/>
      <c r="P34156" s="3337"/>
    </row>
    <row r="34157" spans="7:16" s="1634" customFormat="1">
      <c r="G34157" s="3336"/>
      <c r="P34157" s="3337"/>
    </row>
    <row r="34158" spans="7:16" s="1634" customFormat="1">
      <c r="G34158" s="3336"/>
      <c r="P34158" s="3337"/>
    </row>
    <row r="34159" spans="7:16" s="1634" customFormat="1">
      <c r="G34159" s="3336"/>
      <c r="P34159" s="3337"/>
    </row>
    <row r="34160" spans="7:16" s="1634" customFormat="1">
      <c r="G34160" s="3336"/>
      <c r="P34160" s="3337"/>
    </row>
    <row r="34161" spans="7:16" s="1634" customFormat="1">
      <c r="G34161" s="3336"/>
      <c r="P34161" s="3337"/>
    </row>
    <row r="34162" spans="7:16" s="1634" customFormat="1">
      <c r="G34162" s="3336"/>
      <c r="P34162" s="3337"/>
    </row>
    <row r="34163" spans="7:16" s="1634" customFormat="1">
      <c r="G34163" s="3336"/>
      <c r="P34163" s="3337"/>
    </row>
    <row r="34164" spans="7:16" s="1634" customFormat="1">
      <c r="G34164" s="3336"/>
      <c r="P34164" s="3337"/>
    </row>
    <row r="34165" spans="7:16" s="1634" customFormat="1">
      <c r="G34165" s="3336"/>
      <c r="P34165" s="3337"/>
    </row>
    <row r="34166" spans="7:16" s="1634" customFormat="1">
      <c r="G34166" s="3336"/>
      <c r="P34166" s="3337"/>
    </row>
    <row r="34167" spans="7:16" s="1634" customFormat="1">
      <c r="G34167" s="3336"/>
      <c r="P34167" s="3337"/>
    </row>
    <row r="34168" spans="7:16" s="1634" customFormat="1">
      <c r="G34168" s="3336"/>
      <c r="P34168" s="3337"/>
    </row>
    <row r="34169" spans="7:16" s="1634" customFormat="1">
      <c r="G34169" s="3336"/>
      <c r="P34169" s="3337"/>
    </row>
    <row r="34170" spans="7:16" s="1634" customFormat="1">
      <c r="G34170" s="3336"/>
      <c r="P34170" s="3337"/>
    </row>
    <row r="34171" spans="7:16" s="1634" customFormat="1">
      <c r="G34171" s="3336"/>
      <c r="P34171" s="3337"/>
    </row>
    <row r="34172" spans="7:16" s="1634" customFormat="1">
      <c r="G34172" s="3336"/>
      <c r="P34172" s="3337"/>
    </row>
    <row r="34173" spans="7:16" s="1634" customFormat="1">
      <c r="G34173" s="3336"/>
      <c r="P34173" s="3337"/>
    </row>
    <row r="34174" spans="7:16" s="1634" customFormat="1">
      <c r="G34174" s="3336"/>
      <c r="P34174" s="3337"/>
    </row>
    <row r="34175" spans="7:16" s="1634" customFormat="1">
      <c r="G34175" s="3336"/>
      <c r="P34175" s="3337"/>
    </row>
    <row r="34176" spans="7:16" s="1634" customFormat="1">
      <c r="G34176" s="3336"/>
      <c r="P34176" s="3337"/>
    </row>
    <row r="34177" spans="7:16" s="1634" customFormat="1">
      <c r="G34177" s="3336"/>
      <c r="P34177" s="3337"/>
    </row>
    <row r="34178" spans="7:16" s="1634" customFormat="1">
      <c r="G34178" s="3336"/>
      <c r="P34178" s="3337"/>
    </row>
    <row r="34179" spans="7:16" s="1634" customFormat="1">
      <c r="G34179" s="3336"/>
      <c r="P34179" s="3337"/>
    </row>
    <row r="34180" spans="7:16" s="1634" customFormat="1">
      <c r="G34180" s="3336"/>
      <c r="P34180" s="3337"/>
    </row>
    <row r="34181" spans="7:16" s="1634" customFormat="1">
      <c r="G34181" s="3336"/>
      <c r="P34181" s="3337"/>
    </row>
    <row r="34182" spans="7:16" s="1634" customFormat="1">
      <c r="G34182" s="3336"/>
      <c r="P34182" s="3337"/>
    </row>
    <row r="34183" spans="7:16" s="1634" customFormat="1">
      <c r="G34183" s="3336"/>
      <c r="P34183" s="3337"/>
    </row>
    <row r="34184" spans="7:16" s="1634" customFormat="1">
      <c r="G34184" s="3336"/>
      <c r="P34184" s="3337"/>
    </row>
    <row r="34185" spans="7:16" s="1634" customFormat="1">
      <c r="G34185" s="3336"/>
      <c r="P34185" s="3337"/>
    </row>
    <row r="34186" spans="7:16" s="1634" customFormat="1">
      <c r="G34186" s="3336"/>
      <c r="P34186" s="3337"/>
    </row>
    <row r="34187" spans="7:16" s="1634" customFormat="1">
      <c r="G34187" s="3336"/>
      <c r="P34187" s="3337"/>
    </row>
    <row r="34188" spans="7:16" s="1634" customFormat="1">
      <c r="G34188" s="3336"/>
      <c r="P34188" s="3337"/>
    </row>
    <row r="34189" spans="7:16" s="1634" customFormat="1">
      <c r="G34189" s="3336"/>
      <c r="P34189" s="3337"/>
    </row>
    <row r="34190" spans="7:16" s="1634" customFormat="1">
      <c r="G34190" s="3336"/>
      <c r="P34190" s="3337"/>
    </row>
    <row r="34191" spans="7:16" s="1634" customFormat="1">
      <c r="G34191" s="3336"/>
      <c r="P34191" s="3337"/>
    </row>
    <row r="34192" spans="7:16" s="1634" customFormat="1">
      <c r="G34192" s="3336"/>
      <c r="P34192" s="3337"/>
    </row>
    <row r="34193" spans="7:16" s="1634" customFormat="1">
      <c r="G34193" s="3336"/>
      <c r="P34193" s="3337"/>
    </row>
    <row r="34194" spans="7:16" s="1634" customFormat="1">
      <c r="G34194" s="3336"/>
      <c r="P34194" s="3337"/>
    </row>
    <row r="34195" spans="7:16" s="1634" customFormat="1">
      <c r="G34195" s="3336"/>
      <c r="P34195" s="3337"/>
    </row>
    <row r="34196" spans="7:16" s="1634" customFormat="1">
      <c r="G34196" s="3336"/>
      <c r="P34196" s="3337"/>
    </row>
    <row r="34197" spans="7:16" s="1634" customFormat="1">
      <c r="G34197" s="3336"/>
      <c r="P34197" s="3337"/>
    </row>
    <row r="34198" spans="7:16" s="1634" customFormat="1">
      <c r="G34198" s="3336"/>
      <c r="P34198" s="3337"/>
    </row>
    <row r="34199" spans="7:16" s="1634" customFormat="1">
      <c r="G34199" s="3336"/>
      <c r="P34199" s="3337"/>
    </row>
    <row r="34200" spans="7:16" s="1634" customFormat="1">
      <c r="G34200" s="3336"/>
      <c r="P34200" s="3337"/>
    </row>
    <row r="34201" spans="7:16" s="1634" customFormat="1">
      <c r="G34201" s="3336"/>
      <c r="P34201" s="3337"/>
    </row>
    <row r="34202" spans="7:16" s="1634" customFormat="1">
      <c r="G34202" s="3336"/>
      <c r="P34202" s="3337"/>
    </row>
    <row r="34203" spans="7:16" s="1634" customFormat="1">
      <c r="G34203" s="3336"/>
      <c r="P34203" s="3337"/>
    </row>
    <row r="34204" spans="7:16" s="1634" customFormat="1">
      <c r="G34204" s="3336"/>
      <c r="P34204" s="3337"/>
    </row>
    <row r="34205" spans="7:16" s="1634" customFormat="1">
      <c r="G34205" s="3336"/>
      <c r="P34205" s="3337"/>
    </row>
    <row r="34206" spans="7:16" s="1634" customFormat="1">
      <c r="G34206" s="3336"/>
      <c r="P34206" s="3337"/>
    </row>
    <row r="34207" spans="7:16" s="1634" customFormat="1">
      <c r="G34207" s="3336"/>
      <c r="P34207" s="3337"/>
    </row>
    <row r="34208" spans="7:16" s="1634" customFormat="1">
      <c r="G34208" s="3336"/>
      <c r="P34208" s="3337"/>
    </row>
    <row r="34209" spans="7:16" s="1634" customFormat="1">
      <c r="G34209" s="3336"/>
      <c r="P34209" s="3337"/>
    </row>
    <row r="34210" spans="7:16" s="1634" customFormat="1">
      <c r="G34210" s="3336"/>
      <c r="P34210" s="3337"/>
    </row>
    <row r="34211" spans="7:16" s="1634" customFormat="1">
      <c r="G34211" s="3336"/>
      <c r="P34211" s="3337"/>
    </row>
    <row r="34212" spans="7:16" s="1634" customFormat="1">
      <c r="G34212" s="3336"/>
      <c r="P34212" s="3337"/>
    </row>
    <row r="34213" spans="7:16" s="1634" customFormat="1">
      <c r="G34213" s="3336"/>
      <c r="P34213" s="3337"/>
    </row>
    <row r="34214" spans="7:16" s="1634" customFormat="1">
      <c r="G34214" s="3336"/>
      <c r="P34214" s="3337"/>
    </row>
    <row r="34215" spans="7:16" s="1634" customFormat="1">
      <c r="G34215" s="3336"/>
      <c r="P34215" s="3337"/>
    </row>
    <row r="34216" spans="7:16" s="1634" customFormat="1">
      <c r="G34216" s="3336"/>
      <c r="P34216" s="3337"/>
    </row>
    <row r="34217" spans="7:16" s="1634" customFormat="1">
      <c r="G34217" s="3336"/>
      <c r="P34217" s="3337"/>
    </row>
    <row r="34218" spans="7:16" s="1634" customFormat="1">
      <c r="G34218" s="3336"/>
      <c r="P34218" s="3337"/>
    </row>
    <row r="34219" spans="7:16" s="1634" customFormat="1">
      <c r="G34219" s="3336"/>
      <c r="P34219" s="3337"/>
    </row>
    <row r="34220" spans="7:16" s="1634" customFormat="1">
      <c r="G34220" s="3336"/>
      <c r="P34220" s="3337"/>
    </row>
    <row r="34221" spans="7:16" s="1634" customFormat="1">
      <c r="G34221" s="3336"/>
      <c r="P34221" s="3337"/>
    </row>
    <row r="34222" spans="7:16" s="1634" customFormat="1">
      <c r="G34222" s="3336"/>
      <c r="P34222" s="3337"/>
    </row>
    <row r="34223" spans="7:16" s="1634" customFormat="1">
      <c r="G34223" s="3336"/>
      <c r="P34223" s="3337"/>
    </row>
    <row r="34224" spans="7:16" s="1634" customFormat="1">
      <c r="G34224" s="3336"/>
      <c r="P34224" s="3337"/>
    </row>
    <row r="34225" spans="7:16" s="1634" customFormat="1">
      <c r="G34225" s="3336"/>
      <c r="P34225" s="3337"/>
    </row>
    <row r="34226" spans="7:16" s="1634" customFormat="1">
      <c r="G34226" s="3336"/>
      <c r="P34226" s="3337"/>
    </row>
    <row r="34227" spans="7:16" s="1634" customFormat="1">
      <c r="G34227" s="3336"/>
      <c r="P34227" s="3337"/>
    </row>
    <row r="34228" spans="7:16" s="1634" customFormat="1">
      <c r="G34228" s="3336"/>
      <c r="P34228" s="3337"/>
    </row>
    <row r="34229" spans="7:16" s="1634" customFormat="1">
      <c r="G34229" s="3336"/>
      <c r="P34229" s="3337"/>
    </row>
    <row r="34230" spans="7:16" s="1634" customFormat="1">
      <c r="G34230" s="3336"/>
      <c r="P34230" s="3337"/>
    </row>
    <row r="34231" spans="7:16" s="1634" customFormat="1">
      <c r="G34231" s="3336"/>
      <c r="P34231" s="3337"/>
    </row>
    <row r="34232" spans="7:16" s="1634" customFormat="1">
      <c r="G34232" s="3336"/>
      <c r="P34232" s="3337"/>
    </row>
    <row r="34233" spans="7:16" s="1634" customFormat="1">
      <c r="G34233" s="3336"/>
      <c r="P34233" s="3337"/>
    </row>
    <row r="34234" spans="7:16" s="1634" customFormat="1">
      <c r="G34234" s="3336"/>
      <c r="P34234" s="3337"/>
    </row>
    <row r="34235" spans="7:16" s="1634" customFormat="1">
      <c r="G34235" s="3336"/>
      <c r="P34235" s="3337"/>
    </row>
    <row r="34236" spans="7:16" s="1634" customFormat="1">
      <c r="G34236" s="3336"/>
      <c r="P34236" s="3337"/>
    </row>
    <row r="34237" spans="7:16" s="1634" customFormat="1">
      <c r="G34237" s="3336"/>
      <c r="P34237" s="3337"/>
    </row>
    <row r="34238" spans="7:16" s="1634" customFormat="1">
      <c r="G34238" s="3336"/>
      <c r="P34238" s="3337"/>
    </row>
    <row r="34239" spans="7:16" s="1634" customFormat="1">
      <c r="G34239" s="3336"/>
      <c r="P34239" s="3337"/>
    </row>
    <row r="34240" spans="7:16" s="1634" customFormat="1">
      <c r="G34240" s="3336"/>
      <c r="P34240" s="3337"/>
    </row>
    <row r="34241" spans="7:16" s="1634" customFormat="1">
      <c r="G34241" s="3336"/>
      <c r="P34241" s="3337"/>
    </row>
    <row r="34242" spans="7:16" s="1634" customFormat="1">
      <c r="G34242" s="3336"/>
      <c r="P34242" s="3337"/>
    </row>
    <row r="34243" spans="7:16" s="1634" customFormat="1">
      <c r="G34243" s="3336"/>
      <c r="P34243" s="3337"/>
    </row>
    <row r="34244" spans="7:16" s="1634" customFormat="1">
      <c r="G34244" s="3336"/>
      <c r="P34244" s="3337"/>
    </row>
    <row r="34245" spans="7:16" s="1634" customFormat="1">
      <c r="G34245" s="3336"/>
      <c r="P34245" s="3337"/>
    </row>
    <row r="34246" spans="7:16" s="1634" customFormat="1">
      <c r="G34246" s="3336"/>
      <c r="P34246" s="3337"/>
    </row>
    <row r="34247" spans="7:16" s="1634" customFormat="1">
      <c r="G34247" s="3336"/>
      <c r="P34247" s="3337"/>
    </row>
    <row r="34248" spans="7:16" s="1634" customFormat="1">
      <c r="G34248" s="3336"/>
      <c r="P34248" s="3337"/>
    </row>
    <row r="34249" spans="7:16" s="1634" customFormat="1">
      <c r="G34249" s="3336"/>
      <c r="P34249" s="3337"/>
    </row>
    <row r="34250" spans="7:16" s="1634" customFormat="1">
      <c r="G34250" s="3336"/>
      <c r="P34250" s="3337"/>
    </row>
    <row r="34251" spans="7:16" s="1634" customFormat="1">
      <c r="G34251" s="3336"/>
      <c r="P34251" s="3337"/>
    </row>
    <row r="34252" spans="7:16" s="1634" customFormat="1">
      <c r="G34252" s="3336"/>
      <c r="P34252" s="3337"/>
    </row>
    <row r="34253" spans="7:16" s="1634" customFormat="1">
      <c r="G34253" s="3336"/>
      <c r="P34253" s="3337"/>
    </row>
    <row r="34254" spans="7:16" s="1634" customFormat="1">
      <c r="G34254" s="3336"/>
      <c r="P34254" s="3337"/>
    </row>
    <row r="34255" spans="7:16" s="1634" customFormat="1">
      <c r="G34255" s="3336"/>
      <c r="P34255" s="3337"/>
    </row>
    <row r="34256" spans="7:16" s="1634" customFormat="1">
      <c r="G34256" s="3336"/>
      <c r="P34256" s="3337"/>
    </row>
    <row r="34257" spans="7:16" s="1634" customFormat="1">
      <c r="G34257" s="3336"/>
      <c r="P34257" s="3337"/>
    </row>
    <row r="34258" spans="7:16" s="1634" customFormat="1">
      <c r="G34258" s="3336"/>
      <c r="P34258" s="3337"/>
    </row>
    <row r="34259" spans="7:16" s="1634" customFormat="1">
      <c r="G34259" s="3336"/>
      <c r="P34259" s="3337"/>
    </row>
    <row r="34260" spans="7:16" s="1634" customFormat="1">
      <c r="G34260" s="3336"/>
      <c r="P34260" s="3337"/>
    </row>
    <row r="34261" spans="7:16" s="1634" customFormat="1">
      <c r="G34261" s="3336"/>
      <c r="P34261" s="3337"/>
    </row>
    <row r="34262" spans="7:16" s="1634" customFormat="1">
      <c r="G34262" s="3336"/>
      <c r="P34262" s="3337"/>
    </row>
    <row r="34263" spans="7:16" s="1634" customFormat="1">
      <c r="G34263" s="3336"/>
      <c r="P34263" s="3337"/>
    </row>
    <row r="34264" spans="7:16" s="1634" customFormat="1">
      <c r="G34264" s="3336"/>
      <c r="P34264" s="3337"/>
    </row>
    <row r="34265" spans="7:16" s="1634" customFormat="1">
      <c r="G34265" s="3336"/>
      <c r="P34265" s="3337"/>
    </row>
    <row r="34266" spans="7:16" s="1634" customFormat="1">
      <c r="G34266" s="3336"/>
      <c r="P34266" s="3337"/>
    </row>
    <row r="34267" spans="7:16" s="1634" customFormat="1">
      <c r="G34267" s="3336"/>
      <c r="P34267" s="3337"/>
    </row>
    <row r="34268" spans="7:16" s="1634" customFormat="1">
      <c r="G34268" s="3336"/>
      <c r="P34268" s="3337"/>
    </row>
    <row r="34269" spans="7:16" s="1634" customFormat="1">
      <c r="G34269" s="3336"/>
      <c r="P34269" s="3337"/>
    </row>
    <row r="34270" spans="7:16" s="1634" customFormat="1">
      <c r="G34270" s="3336"/>
      <c r="P34270" s="3337"/>
    </row>
    <row r="34271" spans="7:16" s="1634" customFormat="1">
      <c r="G34271" s="3336"/>
      <c r="P34271" s="3337"/>
    </row>
    <row r="34272" spans="7:16" s="1634" customFormat="1">
      <c r="G34272" s="3336"/>
      <c r="P34272" s="3337"/>
    </row>
    <row r="34273" spans="7:16" s="1634" customFormat="1">
      <c r="G34273" s="3336"/>
      <c r="P34273" s="3337"/>
    </row>
    <row r="34274" spans="7:16" s="1634" customFormat="1">
      <c r="G34274" s="3336"/>
      <c r="P34274" s="3337"/>
    </row>
    <row r="34275" spans="7:16" s="1634" customFormat="1">
      <c r="G34275" s="3336"/>
      <c r="P34275" s="3337"/>
    </row>
    <row r="34276" spans="7:16" s="1634" customFormat="1">
      <c r="G34276" s="3336"/>
      <c r="P34276" s="3337"/>
    </row>
    <row r="34277" spans="7:16" s="1634" customFormat="1">
      <c r="G34277" s="3336"/>
      <c r="P34277" s="3337"/>
    </row>
    <row r="34278" spans="7:16" s="1634" customFormat="1">
      <c r="G34278" s="3336"/>
      <c r="P34278" s="3337"/>
    </row>
    <row r="34279" spans="7:16" s="1634" customFormat="1">
      <c r="G34279" s="3336"/>
      <c r="P34279" s="3337"/>
    </row>
    <row r="34280" spans="7:16" s="1634" customFormat="1">
      <c r="G34280" s="3336"/>
      <c r="P34280" s="3337"/>
    </row>
    <row r="34281" spans="7:16" s="1634" customFormat="1">
      <c r="G34281" s="3336"/>
      <c r="P34281" s="3337"/>
    </row>
    <row r="34282" spans="7:16" s="1634" customFormat="1">
      <c r="G34282" s="3336"/>
      <c r="P34282" s="3337"/>
    </row>
    <row r="34283" spans="7:16" s="1634" customFormat="1">
      <c r="G34283" s="3336"/>
      <c r="P34283" s="3337"/>
    </row>
    <row r="34284" spans="7:16" s="1634" customFormat="1">
      <c r="G34284" s="3336"/>
      <c r="P34284" s="3337"/>
    </row>
    <row r="34285" spans="7:16" s="1634" customFormat="1">
      <c r="G34285" s="3336"/>
      <c r="P34285" s="3337"/>
    </row>
    <row r="34286" spans="7:16" s="1634" customFormat="1">
      <c r="G34286" s="3336"/>
      <c r="P34286" s="3337"/>
    </row>
    <row r="34287" spans="7:16" s="1634" customFormat="1">
      <c r="G34287" s="3336"/>
      <c r="P34287" s="3337"/>
    </row>
    <row r="34288" spans="7:16" s="1634" customFormat="1">
      <c r="G34288" s="3336"/>
      <c r="P34288" s="3337"/>
    </row>
    <row r="34289" spans="7:16" s="1634" customFormat="1">
      <c r="G34289" s="3336"/>
      <c r="P34289" s="3337"/>
    </row>
    <row r="34290" spans="7:16" s="1634" customFormat="1">
      <c r="G34290" s="3336"/>
      <c r="P34290" s="3337"/>
    </row>
    <row r="34291" spans="7:16" s="1634" customFormat="1">
      <c r="G34291" s="3336"/>
      <c r="P34291" s="3337"/>
    </row>
    <row r="34292" spans="7:16" s="1634" customFormat="1">
      <c r="G34292" s="3336"/>
      <c r="P34292" s="3337"/>
    </row>
    <row r="34293" spans="7:16" s="1634" customFormat="1">
      <c r="G34293" s="3336"/>
      <c r="P34293" s="3337"/>
    </row>
    <row r="34294" spans="7:16" s="1634" customFormat="1">
      <c r="G34294" s="3336"/>
      <c r="P34294" s="3337"/>
    </row>
    <row r="34295" spans="7:16" s="1634" customFormat="1">
      <c r="G34295" s="3336"/>
      <c r="P34295" s="3337"/>
    </row>
    <row r="34296" spans="7:16" s="1634" customFormat="1">
      <c r="G34296" s="3336"/>
      <c r="P34296" s="3337"/>
    </row>
    <row r="34297" spans="7:16" s="1634" customFormat="1">
      <c r="G34297" s="3336"/>
      <c r="P34297" s="3337"/>
    </row>
    <row r="34298" spans="7:16" s="1634" customFormat="1">
      <c r="G34298" s="3336"/>
      <c r="P34298" s="3337"/>
    </row>
    <row r="34299" spans="7:16" s="1634" customFormat="1">
      <c r="G34299" s="3336"/>
      <c r="P34299" s="3337"/>
    </row>
    <row r="34300" spans="7:16" s="1634" customFormat="1">
      <c r="G34300" s="3336"/>
      <c r="P34300" s="3337"/>
    </row>
    <row r="34301" spans="7:16" s="1634" customFormat="1">
      <c r="G34301" s="3336"/>
      <c r="P34301" s="3337"/>
    </row>
    <row r="34302" spans="7:16" s="1634" customFormat="1">
      <c r="G34302" s="3336"/>
      <c r="P34302" s="3337"/>
    </row>
    <row r="34303" spans="7:16" s="1634" customFormat="1">
      <c r="G34303" s="3336"/>
      <c r="P34303" s="3337"/>
    </row>
    <row r="34304" spans="7:16" s="1634" customFormat="1">
      <c r="G34304" s="3336"/>
      <c r="P34304" s="3337"/>
    </row>
    <row r="34305" spans="7:16" s="1634" customFormat="1">
      <c r="G34305" s="3336"/>
      <c r="P34305" s="3337"/>
    </row>
    <row r="34306" spans="7:16" s="1634" customFormat="1">
      <c r="G34306" s="3336"/>
      <c r="P34306" s="3337"/>
    </row>
    <row r="34307" spans="7:16" s="1634" customFormat="1">
      <c r="G34307" s="3336"/>
      <c r="P34307" s="3337"/>
    </row>
    <row r="34308" spans="7:16" s="1634" customFormat="1">
      <c r="G34308" s="3336"/>
      <c r="P34308" s="3337"/>
    </row>
    <row r="34309" spans="7:16" s="1634" customFormat="1">
      <c r="G34309" s="3336"/>
      <c r="P34309" s="3337"/>
    </row>
    <row r="34310" spans="7:16" s="1634" customFormat="1">
      <c r="G34310" s="3336"/>
      <c r="P34310" s="3337"/>
    </row>
    <row r="34311" spans="7:16" s="1634" customFormat="1">
      <c r="G34311" s="3336"/>
      <c r="P34311" s="3337"/>
    </row>
    <row r="34312" spans="7:16" s="1634" customFormat="1">
      <c r="G34312" s="3336"/>
      <c r="P34312" s="3337"/>
    </row>
    <row r="34313" spans="7:16" s="1634" customFormat="1">
      <c r="G34313" s="3336"/>
      <c r="P34313" s="3337"/>
    </row>
    <row r="34314" spans="7:16" s="1634" customFormat="1">
      <c r="G34314" s="3336"/>
      <c r="P34314" s="3337"/>
    </row>
    <row r="34315" spans="7:16" s="1634" customFormat="1">
      <c r="G34315" s="3336"/>
      <c r="P34315" s="3337"/>
    </row>
    <row r="34316" spans="7:16" s="1634" customFormat="1">
      <c r="G34316" s="3336"/>
      <c r="P34316" s="3337"/>
    </row>
    <row r="34317" spans="7:16" s="1634" customFormat="1">
      <c r="G34317" s="3336"/>
      <c r="P34317" s="3337"/>
    </row>
    <row r="34318" spans="7:16" s="1634" customFormat="1">
      <c r="G34318" s="3336"/>
      <c r="P34318" s="3337"/>
    </row>
    <row r="34319" spans="7:16" s="1634" customFormat="1">
      <c r="G34319" s="3336"/>
      <c r="P34319" s="3337"/>
    </row>
    <row r="34320" spans="7:16" s="1634" customFormat="1">
      <c r="G34320" s="3336"/>
      <c r="P34320" s="3337"/>
    </row>
    <row r="34321" spans="7:16" s="1634" customFormat="1">
      <c r="G34321" s="3336"/>
      <c r="P34321" s="3337"/>
    </row>
    <row r="34322" spans="7:16" s="1634" customFormat="1">
      <c r="G34322" s="3336"/>
      <c r="P34322" s="3337"/>
    </row>
    <row r="34323" spans="7:16" s="1634" customFormat="1">
      <c r="G34323" s="3336"/>
      <c r="P34323" s="3337"/>
    </row>
    <row r="34324" spans="7:16" s="1634" customFormat="1">
      <c r="G34324" s="3336"/>
      <c r="P34324" s="3337"/>
    </row>
    <row r="34325" spans="7:16" s="1634" customFormat="1">
      <c r="G34325" s="3336"/>
      <c r="P34325" s="3337"/>
    </row>
    <row r="34326" spans="7:16" s="1634" customFormat="1">
      <c r="G34326" s="3336"/>
      <c r="P34326" s="3337"/>
    </row>
    <row r="34327" spans="7:16" s="1634" customFormat="1">
      <c r="G34327" s="3336"/>
      <c r="P34327" s="3337"/>
    </row>
    <row r="34328" spans="7:16" s="1634" customFormat="1">
      <c r="G34328" s="3336"/>
      <c r="P34328" s="3337"/>
    </row>
    <row r="34329" spans="7:16" s="1634" customFormat="1">
      <c r="G34329" s="3336"/>
      <c r="P34329" s="3337"/>
    </row>
    <row r="34330" spans="7:16" s="1634" customFormat="1">
      <c r="G34330" s="3336"/>
      <c r="P34330" s="3337"/>
    </row>
    <row r="34331" spans="7:16" s="1634" customFormat="1">
      <c r="G34331" s="3336"/>
      <c r="P34331" s="3337"/>
    </row>
    <row r="34332" spans="7:16" s="1634" customFormat="1">
      <c r="G34332" s="3336"/>
      <c r="P34332" s="3337"/>
    </row>
    <row r="34333" spans="7:16" s="1634" customFormat="1">
      <c r="G34333" s="3336"/>
      <c r="P34333" s="3337"/>
    </row>
    <row r="34334" spans="7:16" s="1634" customFormat="1">
      <c r="G34334" s="3336"/>
      <c r="P34334" s="3337"/>
    </row>
    <row r="34335" spans="7:16" s="1634" customFormat="1">
      <c r="G34335" s="3336"/>
      <c r="P34335" s="3337"/>
    </row>
    <row r="34336" spans="7:16" s="1634" customFormat="1">
      <c r="G34336" s="3336"/>
      <c r="P34336" s="3337"/>
    </row>
    <row r="34337" spans="7:16" s="1634" customFormat="1">
      <c r="G34337" s="3336"/>
      <c r="P34337" s="3337"/>
    </row>
    <row r="34338" spans="7:16" s="1634" customFormat="1">
      <c r="G34338" s="3336"/>
      <c r="P34338" s="3337"/>
    </row>
    <row r="34339" spans="7:16" s="1634" customFormat="1">
      <c r="G34339" s="3336"/>
      <c r="P34339" s="3337"/>
    </row>
    <row r="34340" spans="7:16" s="1634" customFormat="1">
      <c r="G34340" s="3336"/>
      <c r="P34340" s="3337"/>
    </row>
    <row r="34341" spans="7:16" s="1634" customFormat="1">
      <c r="G34341" s="3336"/>
      <c r="P34341" s="3337"/>
    </row>
    <row r="34342" spans="7:16" s="1634" customFormat="1">
      <c r="G34342" s="3336"/>
      <c r="P34342" s="3337"/>
    </row>
    <row r="34343" spans="7:16" s="1634" customFormat="1">
      <c r="G34343" s="3336"/>
      <c r="P34343" s="3337"/>
    </row>
    <row r="34344" spans="7:16" s="1634" customFormat="1">
      <c r="G34344" s="3336"/>
      <c r="P34344" s="3337"/>
    </row>
    <row r="34345" spans="7:16" s="1634" customFormat="1">
      <c r="G34345" s="3336"/>
      <c r="P34345" s="3337"/>
    </row>
    <row r="34346" spans="7:16" s="1634" customFormat="1">
      <c r="G34346" s="3336"/>
      <c r="P34346" s="3337"/>
    </row>
    <row r="34347" spans="7:16" s="1634" customFormat="1">
      <c r="G34347" s="3336"/>
      <c r="P34347" s="3337"/>
    </row>
    <row r="34348" spans="7:16" s="1634" customFormat="1">
      <c r="G34348" s="3336"/>
      <c r="P34348" s="3337"/>
    </row>
    <row r="34349" spans="7:16" s="1634" customFormat="1">
      <c r="G34349" s="3336"/>
      <c r="P34349" s="3337"/>
    </row>
    <row r="34350" spans="7:16" s="1634" customFormat="1">
      <c r="G34350" s="3336"/>
      <c r="P34350" s="3337"/>
    </row>
    <row r="34351" spans="7:16" s="1634" customFormat="1">
      <c r="G34351" s="3336"/>
      <c r="P34351" s="3337"/>
    </row>
    <row r="34352" spans="7:16" s="1634" customFormat="1">
      <c r="G34352" s="3336"/>
      <c r="P34352" s="3337"/>
    </row>
    <row r="34353" spans="7:16" s="1634" customFormat="1">
      <c r="G34353" s="3336"/>
      <c r="P34353" s="3337"/>
    </row>
    <row r="34354" spans="7:16" s="1634" customFormat="1">
      <c r="G34354" s="3336"/>
      <c r="P34354" s="3337"/>
    </row>
    <row r="34355" spans="7:16" s="1634" customFormat="1">
      <c r="G34355" s="3336"/>
      <c r="P34355" s="3337"/>
    </row>
    <row r="34356" spans="7:16" s="1634" customFormat="1">
      <c r="G34356" s="3336"/>
      <c r="P34356" s="3337"/>
    </row>
    <row r="34357" spans="7:16" s="1634" customFormat="1">
      <c r="G34357" s="3336"/>
      <c r="P34357" s="3337"/>
    </row>
    <row r="34358" spans="7:16" s="1634" customFormat="1">
      <c r="G34358" s="3336"/>
      <c r="P34358" s="3337"/>
    </row>
    <row r="34359" spans="7:16" s="1634" customFormat="1">
      <c r="G34359" s="3336"/>
      <c r="P34359" s="3337"/>
    </row>
    <row r="34360" spans="7:16" s="1634" customFormat="1">
      <c r="G34360" s="3336"/>
      <c r="P34360" s="3337"/>
    </row>
    <row r="34361" spans="7:16" s="1634" customFormat="1">
      <c r="G34361" s="3336"/>
      <c r="P34361" s="3337"/>
    </row>
    <row r="34362" spans="7:16" s="1634" customFormat="1">
      <c r="G34362" s="3336"/>
      <c r="P34362" s="3337"/>
    </row>
    <row r="34363" spans="7:16" s="1634" customFormat="1">
      <c r="G34363" s="3336"/>
      <c r="P34363" s="3337"/>
    </row>
    <row r="34364" spans="7:16" s="1634" customFormat="1">
      <c r="G34364" s="3336"/>
      <c r="P34364" s="3337"/>
    </row>
    <row r="34365" spans="7:16" s="1634" customFormat="1">
      <c r="G34365" s="3336"/>
      <c r="P34365" s="3337"/>
    </row>
    <row r="34366" spans="7:16" s="1634" customFormat="1">
      <c r="G34366" s="3336"/>
      <c r="P34366" s="3337"/>
    </row>
    <row r="34367" spans="7:16" s="1634" customFormat="1">
      <c r="G34367" s="3336"/>
      <c r="P34367" s="3337"/>
    </row>
    <row r="34368" spans="7:16" s="1634" customFormat="1">
      <c r="G34368" s="3336"/>
      <c r="P34368" s="3337"/>
    </row>
    <row r="34369" spans="7:16" s="1634" customFormat="1">
      <c r="G34369" s="3336"/>
      <c r="P34369" s="3337"/>
    </row>
    <row r="34370" spans="7:16" s="1634" customFormat="1">
      <c r="G34370" s="3336"/>
      <c r="P34370" s="3337"/>
    </row>
    <row r="34371" spans="7:16" s="1634" customFormat="1">
      <c r="G34371" s="3336"/>
      <c r="P34371" s="3337"/>
    </row>
    <row r="34372" spans="7:16" s="1634" customFormat="1">
      <c r="G34372" s="3336"/>
      <c r="P34372" s="3337"/>
    </row>
    <row r="34373" spans="7:16" s="1634" customFormat="1">
      <c r="G34373" s="3336"/>
      <c r="P34373" s="3337"/>
    </row>
    <row r="34374" spans="7:16" s="1634" customFormat="1">
      <c r="G34374" s="3336"/>
      <c r="P34374" s="3337"/>
    </row>
    <row r="34375" spans="7:16" s="1634" customFormat="1">
      <c r="G34375" s="3336"/>
      <c r="P34375" s="3337"/>
    </row>
    <row r="34376" spans="7:16" s="1634" customFormat="1">
      <c r="G34376" s="3336"/>
      <c r="P34376" s="3337"/>
    </row>
    <row r="34377" spans="7:16" s="1634" customFormat="1">
      <c r="G34377" s="3336"/>
      <c r="P34377" s="3337"/>
    </row>
    <row r="34378" spans="7:16" s="1634" customFormat="1">
      <c r="G34378" s="3336"/>
      <c r="P34378" s="3337"/>
    </row>
    <row r="34379" spans="7:16" s="1634" customFormat="1">
      <c r="G34379" s="3336"/>
      <c r="P34379" s="3337"/>
    </row>
    <row r="34380" spans="7:16" s="1634" customFormat="1">
      <c r="G34380" s="3336"/>
      <c r="P34380" s="3337"/>
    </row>
    <row r="34381" spans="7:16" s="1634" customFormat="1">
      <c r="G34381" s="3336"/>
      <c r="P34381" s="3337"/>
    </row>
    <row r="34382" spans="7:16" s="1634" customFormat="1">
      <c r="G34382" s="3336"/>
      <c r="P34382" s="3337"/>
    </row>
    <row r="34383" spans="7:16" s="1634" customFormat="1">
      <c r="G34383" s="3336"/>
      <c r="P34383" s="3337"/>
    </row>
    <row r="34384" spans="7:16" s="1634" customFormat="1">
      <c r="G34384" s="3336"/>
      <c r="P34384" s="3337"/>
    </row>
    <row r="34385" spans="7:16" s="1634" customFormat="1">
      <c r="G34385" s="3336"/>
      <c r="P34385" s="3337"/>
    </row>
    <row r="34386" spans="7:16" s="1634" customFormat="1">
      <c r="G34386" s="3336"/>
      <c r="P34386" s="3337"/>
    </row>
    <row r="34387" spans="7:16" s="1634" customFormat="1">
      <c r="G34387" s="3336"/>
      <c r="P34387" s="3337"/>
    </row>
    <row r="34388" spans="7:16" s="1634" customFormat="1">
      <c r="G34388" s="3336"/>
      <c r="P34388" s="3337"/>
    </row>
    <row r="34389" spans="7:16" s="1634" customFormat="1">
      <c r="G34389" s="3336"/>
      <c r="P34389" s="3337"/>
    </row>
    <row r="34390" spans="7:16" s="1634" customFormat="1">
      <c r="G34390" s="3336"/>
      <c r="P34390" s="3337"/>
    </row>
    <row r="34391" spans="7:16" s="1634" customFormat="1">
      <c r="G34391" s="3336"/>
      <c r="P34391" s="3337"/>
    </row>
    <row r="34392" spans="7:16" s="1634" customFormat="1">
      <c r="G34392" s="3336"/>
      <c r="P34392" s="3337"/>
    </row>
    <row r="34393" spans="7:16" s="1634" customFormat="1">
      <c r="G34393" s="3336"/>
      <c r="P34393" s="3337"/>
    </row>
    <row r="34394" spans="7:16" s="1634" customFormat="1">
      <c r="G34394" s="3336"/>
      <c r="P34394" s="3337"/>
    </row>
    <row r="34395" spans="7:16" s="1634" customFormat="1">
      <c r="G34395" s="3336"/>
      <c r="P34395" s="3337"/>
    </row>
    <row r="34396" spans="7:16" s="1634" customFormat="1">
      <c r="G34396" s="3336"/>
      <c r="P34396" s="3337"/>
    </row>
    <row r="34397" spans="7:16" s="1634" customFormat="1">
      <c r="G34397" s="3336"/>
      <c r="P34397" s="3337"/>
    </row>
    <row r="34398" spans="7:16" s="1634" customFormat="1">
      <c r="G34398" s="3336"/>
      <c r="P34398" s="3337"/>
    </row>
    <row r="34399" spans="7:16" s="1634" customFormat="1">
      <c r="G34399" s="3336"/>
      <c r="P34399" s="3337"/>
    </row>
    <row r="34400" spans="7:16" s="1634" customFormat="1">
      <c r="G34400" s="3336"/>
      <c r="P34400" s="3337"/>
    </row>
    <row r="34401" spans="7:16" s="1634" customFormat="1">
      <c r="G34401" s="3336"/>
      <c r="P34401" s="3337"/>
    </row>
    <row r="34402" spans="7:16" s="1634" customFormat="1">
      <c r="G34402" s="3336"/>
      <c r="P34402" s="3337"/>
    </row>
    <row r="34403" spans="7:16" s="1634" customFormat="1">
      <c r="G34403" s="3336"/>
      <c r="P34403" s="3337"/>
    </row>
    <row r="34404" spans="7:16" s="1634" customFormat="1">
      <c r="G34404" s="3336"/>
      <c r="P34404" s="3337"/>
    </row>
    <row r="34405" spans="7:16" s="1634" customFormat="1">
      <c r="G34405" s="3336"/>
      <c r="P34405" s="3337"/>
    </row>
    <row r="34406" spans="7:16" s="1634" customFormat="1">
      <c r="G34406" s="3336"/>
      <c r="P34406" s="3337"/>
    </row>
    <row r="34407" spans="7:16" s="1634" customFormat="1">
      <c r="G34407" s="3336"/>
      <c r="P34407" s="3337"/>
    </row>
    <row r="34408" spans="7:16" s="1634" customFormat="1">
      <c r="G34408" s="3336"/>
      <c r="P34408" s="3337"/>
    </row>
    <row r="34409" spans="7:16" s="1634" customFormat="1">
      <c r="G34409" s="3336"/>
      <c r="P34409" s="3337"/>
    </row>
    <row r="34410" spans="7:16" s="1634" customFormat="1">
      <c r="G34410" s="3336"/>
      <c r="P34410" s="3337"/>
    </row>
    <row r="34411" spans="7:16" s="1634" customFormat="1">
      <c r="G34411" s="3336"/>
      <c r="P34411" s="3337"/>
    </row>
    <row r="34412" spans="7:16" s="1634" customFormat="1">
      <c r="G34412" s="3336"/>
      <c r="P34412" s="3337"/>
    </row>
    <row r="34413" spans="7:16" s="1634" customFormat="1">
      <c r="G34413" s="3336"/>
      <c r="P34413" s="3337"/>
    </row>
    <row r="34414" spans="7:16" s="1634" customFormat="1">
      <c r="G34414" s="3336"/>
      <c r="P34414" s="3337"/>
    </row>
    <row r="34415" spans="7:16" s="1634" customFormat="1">
      <c r="G34415" s="3336"/>
      <c r="P34415" s="3337"/>
    </row>
    <row r="34416" spans="7:16" s="1634" customFormat="1">
      <c r="G34416" s="3336"/>
      <c r="P34416" s="3337"/>
    </row>
    <row r="34417" spans="7:16" s="1634" customFormat="1">
      <c r="G34417" s="3336"/>
      <c r="P34417" s="3337"/>
    </row>
    <row r="34418" spans="7:16" s="1634" customFormat="1">
      <c r="G34418" s="3336"/>
      <c r="P34418" s="3337"/>
    </row>
    <row r="34419" spans="7:16" s="1634" customFormat="1">
      <c r="G34419" s="3336"/>
      <c r="P34419" s="3337"/>
    </row>
    <row r="34420" spans="7:16" s="1634" customFormat="1">
      <c r="G34420" s="3336"/>
      <c r="P34420" s="3337"/>
    </row>
    <row r="34421" spans="7:16" s="1634" customFormat="1">
      <c r="G34421" s="3336"/>
      <c r="P34421" s="3337"/>
    </row>
    <row r="34422" spans="7:16" s="1634" customFormat="1">
      <c r="G34422" s="3336"/>
      <c r="P34422" s="3337"/>
    </row>
    <row r="34423" spans="7:16" s="1634" customFormat="1">
      <c r="G34423" s="3336"/>
      <c r="P34423" s="3337"/>
    </row>
    <row r="34424" spans="7:16" s="1634" customFormat="1">
      <c r="G34424" s="3336"/>
      <c r="P34424" s="3337"/>
    </row>
    <row r="34425" spans="7:16" s="1634" customFormat="1">
      <c r="G34425" s="3336"/>
      <c r="P34425" s="3337"/>
    </row>
    <row r="34426" spans="7:16" s="1634" customFormat="1">
      <c r="G34426" s="3336"/>
      <c r="P34426" s="3337"/>
    </row>
    <row r="34427" spans="7:16" s="1634" customFormat="1">
      <c r="G34427" s="3336"/>
      <c r="P34427" s="3337"/>
    </row>
    <row r="34428" spans="7:16" s="1634" customFormat="1">
      <c r="G34428" s="3336"/>
      <c r="P34428" s="3337"/>
    </row>
    <row r="34429" spans="7:16" s="1634" customFormat="1">
      <c r="G34429" s="3336"/>
      <c r="P34429" s="3337"/>
    </row>
    <row r="34430" spans="7:16" s="1634" customFormat="1">
      <c r="G34430" s="3336"/>
      <c r="P34430" s="3337"/>
    </row>
    <row r="34431" spans="7:16" s="1634" customFormat="1">
      <c r="G34431" s="3336"/>
      <c r="P34431" s="3337"/>
    </row>
    <row r="34432" spans="7:16" s="1634" customFormat="1">
      <c r="G34432" s="3336"/>
      <c r="P34432" s="3337"/>
    </row>
    <row r="34433" spans="7:16" s="1634" customFormat="1">
      <c r="G34433" s="3336"/>
      <c r="P34433" s="3337"/>
    </row>
    <row r="34434" spans="7:16" s="1634" customFormat="1">
      <c r="G34434" s="3336"/>
      <c r="P34434" s="3337"/>
    </row>
    <row r="34435" spans="7:16" s="1634" customFormat="1">
      <c r="G34435" s="3336"/>
      <c r="P34435" s="3337"/>
    </row>
    <row r="34436" spans="7:16" s="1634" customFormat="1">
      <c r="G34436" s="3336"/>
      <c r="P34436" s="3337"/>
    </row>
    <row r="34437" spans="7:16" s="1634" customFormat="1">
      <c r="G34437" s="3336"/>
      <c r="P34437" s="3337"/>
    </row>
    <row r="34438" spans="7:16" s="1634" customFormat="1">
      <c r="G34438" s="3336"/>
      <c r="P34438" s="3337"/>
    </row>
    <row r="34439" spans="7:16" s="1634" customFormat="1">
      <c r="G34439" s="3336"/>
      <c r="P34439" s="3337"/>
    </row>
    <row r="34440" spans="7:16" s="1634" customFormat="1">
      <c r="G34440" s="3336"/>
      <c r="P34440" s="3337"/>
    </row>
    <row r="34441" spans="7:16" s="1634" customFormat="1">
      <c r="G34441" s="3336"/>
      <c r="P34441" s="3337"/>
    </row>
    <row r="34442" spans="7:16" s="1634" customFormat="1">
      <c r="G34442" s="3336"/>
      <c r="P34442" s="3337"/>
    </row>
    <row r="34443" spans="7:16" s="1634" customFormat="1">
      <c r="G34443" s="3336"/>
      <c r="P34443" s="3337"/>
    </row>
    <row r="34444" spans="7:16" s="1634" customFormat="1">
      <c r="G34444" s="3336"/>
      <c r="P34444" s="3337"/>
    </row>
    <row r="34445" spans="7:16" s="1634" customFormat="1">
      <c r="G34445" s="3336"/>
      <c r="P34445" s="3337"/>
    </row>
    <row r="34446" spans="7:16" s="1634" customFormat="1">
      <c r="G34446" s="3336"/>
      <c r="P34446" s="3337"/>
    </row>
    <row r="34447" spans="7:16" s="1634" customFormat="1">
      <c r="G34447" s="3336"/>
      <c r="P34447" s="3337"/>
    </row>
    <row r="34448" spans="7:16" s="1634" customFormat="1">
      <c r="G34448" s="3336"/>
      <c r="P34448" s="3337"/>
    </row>
    <row r="34449" spans="7:16" s="1634" customFormat="1">
      <c r="G34449" s="3336"/>
      <c r="P34449" s="3337"/>
    </row>
    <row r="34450" spans="7:16" s="1634" customFormat="1">
      <c r="G34450" s="3336"/>
      <c r="P34450" s="3337"/>
    </row>
    <row r="34451" spans="7:16" s="1634" customFormat="1">
      <c r="G34451" s="3336"/>
      <c r="P34451" s="3337"/>
    </row>
    <row r="34452" spans="7:16" s="1634" customFormat="1">
      <c r="G34452" s="3336"/>
      <c r="P34452" s="3337"/>
    </row>
    <row r="34453" spans="7:16" s="1634" customFormat="1">
      <c r="G34453" s="3336"/>
      <c r="P34453" s="3337"/>
    </row>
    <row r="34454" spans="7:16" s="1634" customFormat="1">
      <c r="G34454" s="3336"/>
      <c r="P34454" s="3337"/>
    </row>
    <row r="34455" spans="7:16" s="1634" customFormat="1">
      <c r="G34455" s="3336"/>
      <c r="P34455" s="3337"/>
    </row>
    <row r="34456" spans="7:16" s="1634" customFormat="1">
      <c r="G34456" s="3336"/>
      <c r="P34456" s="3337"/>
    </row>
    <row r="34457" spans="7:16" s="1634" customFormat="1">
      <c r="G34457" s="3336"/>
      <c r="P34457" s="3337"/>
    </row>
    <row r="34458" spans="7:16" s="1634" customFormat="1">
      <c r="G34458" s="3336"/>
      <c r="P34458" s="3337"/>
    </row>
    <row r="34459" spans="7:16" s="1634" customFormat="1">
      <c r="G34459" s="3336"/>
      <c r="P34459" s="3337"/>
    </row>
    <row r="34460" spans="7:16" s="1634" customFormat="1">
      <c r="G34460" s="3336"/>
      <c r="P34460" s="3337"/>
    </row>
    <row r="34461" spans="7:16" s="1634" customFormat="1">
      <c r="G34461" s="3336"/>
      <c r="P34461" s="3337"/>
    </row>
    <row r="34462" spans="7:16" s="1634" customFormat="1">
      <c r="G34462" s="3336"/>
      <c r="P34462" s="3337"/>
    </row>
    <row r="34463" spans="7:16" s="1634" customFormat="1">
      <c r="G34463" s="3336"/>
      <c r="P34463" s="3337"/>
    </row>
    <row r="34464" spans="7:16" s="1634" customFormat="1">
      <c r="G34464" s="3336"/>
      <c r="P34464" s="3337"/>
    </row>
    <row r="34465" spans="7:16" s="1634" customFormat="1">
      <c r="G34465" s="3336"/>
      <c r="P34465" s="3337"/>
    </row>
    <row r="34466" spans="7:16" s="1634" customFormat="1">
      <c r="G34466" s="3336"/>
      <c r="P34466" s="3337"/>
    </row>
    <row r="34467" spans="7:16" s="1634" customFormat="1">
      <c r="G34467" s="3336"/>
      <c r="P34467" s="3337"/>
    </row>
    <row r="34468" spans="7:16" s="1634" customFormat="1">
      <c r="G34468" s="3336"/>
      <c r="P34468" s="3337"/>
    </row>
    <row r="34469" spans="7:16" s="1634" customFormat="1">
      <c r="G34469" s="3336"/>
      <c r="P34469" s="3337"/>
    </row>
    <row r="34470" spans="7:16" s="1634" customFormat="1">
      <c r="G34470" s="3336"/>
      <c r="P34470" s="3337"/>
    </row>
    <row r="34471" spans="7:16" s="1634" customFormat="1">
      <c r="G34471" s="3336"/>
      <c r="P34471" s="3337"/>
    </row>
    <row r="34472" spans="7:16" s="1634" customFormat="1">
      <c r="G34472" s="3336"/>
      <c r="P34472" s="3337"/>
    </row>
    <row r="34473" spans="7:16" s="1634" customFormat="1">
      <c r="G34473" s="3336"/>
      <c r="P34473" s="3337"/>
    </row>
    <row r="34474" spans="7:16" s="1634" customFormat="1">
      <c r="G34474" s="3336"/>
      <c r="P34474" s="3337"/>
    </row>
    <row r="34475" spans="7:16" s="1634" customFormat="1">
      <c r="G34475" s="3336"/>
      <c r="P34475" s="3337"/>
    </row>
    <row r="34476" spans="7:16" s="1634" customFormat="1">
      <c r="G34476" s="3336"/>
      <c r="P34476" s="3337"/>
    </row>
    <row r="34477" spans="7:16" s="1634" customFormat="1">
      <c r="G34477" s="3336"/>
      <c r="P34477" s="3337"/>
    </row>
    <row r="34478" spans="7:16" s="1634" customFormat="1">
      <c r="G34478" s="3336"/>
      <c r="P34478" s="3337"/>
    </row>
    <row r="34479" spans="7:16" s="1634" customFormat="1">
      <c r="G34479" s="3336"/>
      <c r="P34479" s="3337"/>
    </row>
    <row r="34480" spans="7:16" s="1634" customFormat="1">
      <c r="G34480" s="3336"/>
      <c r="P34480" s="3337"/>
    </row>
    <row r="34481" spans="7:16" s="1634" customFormat="1">
      <c r="G34481" s="3336"/>
      <c r="P34481" s="3337"/>
    </row>
    <row r="34482" spans="7:16" s="1634" customFormat="1">
      <c r="G34482" s="3336"/>
      <c r="P34482" s="3337"/>
    </row>
    <row r="34483" spans="7:16" s="1634" customFormat="1">
      <c r="G34483" s="3336"/>
      <c r="P34483" s="3337"/>
    </row>
    <row r="34484" spans="7:16" s="1634" customFormat="1">
      <c r="G34484" s="3336"/>
      <c r="P34484" s="3337"/>
    </row>
    <row r="34485" spans="7:16" s="1634" customFormat="1">
      <c r="G34485" s="3336"/>
      <c r="P34485" s="3337"/>
    </row>
    <row r="34486" spans="7:16" s="1634" customFormat="1">
      <c r="G34486" s="3336"/>
      <c r="P34486" s="3337"/>
    </row>
    <row r="34487" spans="7:16" s="1634" customFormat="1">
      <c r="G34487" s="3336"/>
      <c r="P34487" s="3337"/>
    </row>
    <row r="34488" spans="7:16" s="1634" customFormat="1">
      <c r="G34488" s="3336"/>
      <c r="P34488" s="3337"/>
    </row>
    <row r="34489" spans="7:16" s="1634" customFormat="1">
      <c r="G34489" s="3336"/>
      <c r="P34489" s="3337"/>
    </row>
    <row r="34490" spans="7:16" s="1634" customFormat="1">
      <c r="G34490" s="3336"/>
      <c r="P34490" s="3337"/>
    </row>
    <row r="34491" spans="7:16" s="1634" customFormat="1">
      <c r="G34491" s="3336"/>
      <c r="P34491" s="3337"/>
    </row>
    <row r="34492" spans="7:16" s="1634" customFormat="1">
      <c r="G34492" s="3336"/>
      <c r="P34492" s="3337"/>
    </row>
    <row r="34493" spans="7:16" s="1634" customFormat="1">
      <c r="G34493" s="3336"/>
      <c r="P34493" s="3337"/>
    </row>
    <row r="34494" spans="7:16" s="1634" customFormat="1">
      <c r="G34494" s="3336"/>
      <c r="P34494" s="3337"/>
    </row>
    <row r="34495" spans="7:16" s="1634" customFormat="1">
      <c r="G34495" s="3336"/>
      <c r="P34495" s="3337"/>
    </row>
    <row r="34496" spans="7:16" s="1634" customFormat="1">
      <c r="G34496" s="3336"/>
      <c r="P34496" s="3337"/>
    </row>
    <row r="34497" spans="7:16" s="1634" customFormat="1">
      <c r="G34497" s="3336"/>
      <c r="P34497" s="3337"/>
    </row>
    <row r="34498" spans="7:16" s="1634" customFormat="1">
      <c r="G34498" s="3336"/>
      <c r="P34498" s="3337"/>
    </row>
    <row r="34499" spans="7:16" s="1634" customFormat="1">
      <c r="G34499" s="3336"/>
      <c r="P34499" s="3337"/>
    </row>
    <row r="34500" spans="7:16" s="1634" customFormat="1">
      <c r="G34500" s="3336"/>
      <c r="P34500" s="3337"/>
    </row>
    <row r="34501" spans="7:16" s="1634" customFormat="1">
      <c r="G34501" s="3336"/>
      <c r="P34501" s="3337"/>
    </row>
    <row r="34502" spans="7:16" s="1634" customFormat="1">
      <c r="G34502" s="3336"/>
      <c r="P34502" s="3337"/>
    </row>
    <row r="34503" spans="7:16" s="1634" customFormat="1">
      <c r="G34503" s="3336"/>
      <c r="P34503" s="3337"/>
    </row>
    <row r="34504" spans="7:16" s="1634" customFormat="1">
      <c r="G34504" s="3336"/>
      <c r="P34504" s="3337"/>
    </row>
    <row r="34505" spans="7:16" s="1634" customFormat="1">
      <c r="G34505" s="3336"/>
      <c r="P34505" s="3337"/>
    </row>
    <row r="34506" spans="7:16" s="1634" customFormat="1">
      <c r="G34506" s="3336"/>
      <c r="P34506" s="3337"/>
    </row>
    <row r="34507" spans="7:16" s="1634" customFormat="1">
      <c r="G34507" s="3336"/>
      <c r="P34507" s="3337"/>
    </row>
    <row r="34508" spans="7:16" s="1634" customFormat="1">
      <c r="G34508" s="3336"/>
      <c r="P34508" s="3337"/>
    </row>
    <row r="34509" spans="7:16" s="1634" customFormat="1">
      <c r="G34509" s="3336"/>
      <c r="P34509" s="3337"/>
    </row>
    <row r="34510" spans="7:16" s="1634" customFormat="1">
      <c r="G34510" s="3336"/>
      <c r="P34510" s="3337"/>
    </row>
    <row r="34511" spans="7:16" s="1634" customFormat="1">
      <c r="G34511" s="3336"/>
      <c r="P34511" s="3337"/>
    </row>
    <row r="34512" spans="7:16" s="1634" customFormat="1">
      <c r="G34512" s="3336"/>
      <c r="P34512" s="3337"/>
    </row>
    <row r="34513" spans="7:16" s="1634" customFormat="1">
      <c r="G34513" s="3336"/>
      <c r="P34513" s="3337"/>
    </row>
    <row r="34514" spans="7:16" s="1634" customFormat="1">
      <c r="G34514" s="3336"/>
      <c r="P34514" s="3337"/>
    </row>
    <row r="34515" spans="7:16" s="1634" customFormat="1">
      <c r="G34515" s="3336"/>
      <c r="P34515" s="3337"/>
    </row>
    <row r="34516" spans="7:16" s="1634" customFormat="1">
      <c r="G34516" s="3336"/>
      <c r="P34516" s="3337"/>
    </row>
    <row r="34517" spans="7:16" s="1634" customFormat="1">
      <c r="G34517" s="3336"/>
      <c r="P34517" s="3337"/>
    </row>
    <row r="34518" spans="7:16" s="1634" customFormat="1">
      <c r="G34518" s="3336"/>
      <c r="P34518" s="3337"/>
    </row>
    <row r="34519" spans="7:16" s="1634" customFormat="1">
      <c r="G34519" s="3336"/>
      <c r="P34519" s="3337"/>
    </row>
    <row r="34520" spans="7:16" s="1634" customFormat="1">
      <c r="G34520" s="3336"/>
      <c r="P34520" s="3337"/>
    </row>
    <row r="34521" spans="7:16" s="1634" customFormat="1">
      <c r="G34521" s="3336"/>
      <c r="P34521" s="3337"/>
    </row>
    <row r="34522" spans="7:16" s="1634" customFormat="1">
      <c r="G34522" s="3336"/>
      <c r="P34522" s="3337"/>
    </row>
    <row r="34523" spans="7:16" s="1634" customFormat="1">
      <c r="G34523" s="3336"/>
      <c r="P34523" s="3337"/>
    </row>
    <row r="34524" spans="7:16" s="1634" customFormat="1">
      <c r="G34524" s="3336"/>
      <c r="P34524" s="3337"/>
    </row>
    <row r="34525" spans="7:16" s="1634" customFormat="1">
      <c r="G34525" s="3336"/>
      <c r="P34525" s="3337"/>
    </row>
    <row r="34526" spans="7:16" s="1634" customFormat="1">
      <c r="G34526" s="3336"/>
      <c r="P34526" s="3337"/>
    </row>
    <row r="34527" spans="7:16" s="1634" customFormat="1">
      <c r="G34527" s="3336"/>
      <c r="P34527" s="3337"/>
    </row>
    <row r="34528" spans="7:16" s="1634" customFormat="1">
      <c r="G34528" s="3336"/>
      <c r="P34528" s="3337"/>
    </row>
    <row r="34529" spans="7:16" s="1634" customFormat="1">
      <c r="G34529" s="3336"/>
      <c r="P34529" s="3337"/>
    </row>
    <row r="34530" spans="7:16" s="1634" customFormat="1">
      <c r="G34530" s="3336"/>
      <c r="P34530" s="3337"/>
    </row>
    <row r="34531" spans="7:16" s="1634" customFormat="1">
      <c r="G34531" s="3336"/>
      <c r="P34531" s="3337"/>
    </row>
    <row r="34532" spans="7:16" s="1634" customFormat="1">
      <c r="G34532" s="3336"/>
      <c r="P34532" s="3337"/>
    </row>
    <row r="34533" spans="7:16" s="1634" customFormat="1">
      <c r="G34533" s="3336"/>
      <c r="P34533" s="3337"/>
    </row>
    <row r="34534" spans="7:16" s="1634" customFormat="1">
      <c r="G34534" s="3336"/>
      <c r="P34534" s="3337"/>
    </row>
    <row r="34535" spans="7:16" s="1634" customFormat="1">
      <c r="G34535" s="3336"/>
      <c r="P34535" s="3337"/>
    </row>
    <row r="34536" spans="7:16" s="1634" customFormat="1">
      <c r="G34536" s="3336"/>
      <c r="P34536" s="3337"/>
    </row>
    <row r="34537" spans="7:16" s="1634" customFormat="1">
      <c r="G34537" s="3336"/>
      <c r="P34537" s="3337"/>
    </row>
    <row r="34538" spans="7:16" s="1634" customFormat="1">
      <c r="G34538" s="3336"/>
      <c r="P34538" s="3337"/>
    </row>
    <row r="34539" spans="7:16" s="1634" customFormat="1">
      <c r="G34539" s="3336"/>
      <c r="P34539" s="3337"/>
    </row>
    <row r="34540" spans="7:16" s="1634" customFormat="1">
      <c r="G34540" s="3336"/>
      <c r="P34540" s="3337"/>
    </row>
    <row r="34541" spans="7:16" s="1634" customFormat="1">
      <c r="G34541" s="3336"/>
      <c r="P34541" s="3337"/>
    </row>
    <row r="34542" spans="7:16" s="1634" customFormat="1">
      <c r="G34542" s="3336"/>
      <c r="P34542" s="3337"/>
    </row>
    <row r="34543" spans="7:16" s="1634" customFormat="1">
      <c r="G34543" s="3336"/>
      <c r="P34543" s="3337"/>
    </row>
    <row r="34544" spans="7:16" s="1634" customFormat="1">
      <c r="G34544" s="3336"/>
      <c r="P34544" s="3337"/>
    </row>
    <row r="34545" spans="7:16" s="1634" customFormat="1">
      <c r="G34545" s="3336"/>
      <c r="P34545" s="3337"/>
    </row>
    <row r="34546" spans="7:16" s="1634" customFormat="1">
      <c r="G34546" s="3336"/>
      <c r="P34546" s="3337"/>
    </row>
    <row r="34547" spans="7:16" s="1634" customFormat="1">
      <c r="G34547" s="3336"/>
      <c r="P34547" s="3337"/>
    </row>
    <row r="34548" spans="7:16" s="1634" customFormat="1">
      <c r="G34548" s="3336"/>
      <c r="P34548" s="3337"/>
    </row>
    <row r="34549" spans="7:16" s="1634" customFormat="1">
      <c r="G34549" s="3336"/>
      <c r="P34549" s="3337"/>
    </row>
    <row r="34550" spans="7:16" s="1634" customFormat="1">
      <c r="G34550" s="3336"/>
      <c r="P34550" s="3337"/>
    </row>
    <row r="34551" spans="7:16" s="1634" customFormat="1">
      <c r="G34551" s="3336"/>
      <c r="P34551" s="3337"/>
    </row>
    <row r="34552" spans="7:16" s="1634" customFormat="1">
      <c r="G34552" s="3336"/>
      <c r="P34552" s="3337"/>
    </row>
    <row r="34553" spans="7:16" s="1634" customFormat="1">
      <c r="G34553" s="3336"/>
      <c r="P34553" s="3337"/>
    </row>
    <row r="34554" spans="7:16" s="1634" customFormat="1">
      <c r="G34554" s="3336"/>
      <c r="P34554" s="3337"/>
    </row>
    <row r="34555" spans="7:16" s="1634" customFormat="1">
      <c r="G34555" s="3336"/>
      <c r="P34555" s="3337"/>
    </row>
    <row r="34556" spans="7:16" s="1634" customFormat="1">
      <c r="G34556" s="3336"/>
      <c r="P34556" s="3337"/>
    </row>
    <row r="34557" spans="7:16" s="1634" customFormat="1">
      <c r="G34557" s="3336"/>
      <c r="P34557" s="3337"/>
    </row>
    <row r="34558" spans="7:16" s="1634" customFormat="1">
      <c r="G34558" s="3336"/>
      <c r="P34558" s="3337"/>
    </row>
    <row r="34559" spans="7:16" s="1634" customFormat="1">
      <c r="G34559" s="3336"/>
      <c r="P34559" s="3337"/>
    </row>
    <row r="34560" spans="7:16" s="1634" customFormat="1">
      <c r="G34560" s="3336"/>
      <c r="P34560" s="3337"/>
    </row>
    <row r="34561" spans="7:16" s="1634" customFormat="1">
      <c r="G34561" s="3336"/>
      <c r="P34561" s="3337"/>
    </row>
    <row r="34562" spans="7:16" s="1634" customFormat="1">
      <c r="G34562" s="3336"/>
      <c r="P34562" s="3337"/>
    </row>
    <row r="34563" spans="7:16" s="1634" customFormat="1">
      <c r="G34563" s="3336"/>
      <c r="P34563" s="3337"/>
    </row>
    <row r="34564" spans="7:16" s="1634" customFormat="1">
      <c r="G34564" s="3336"/>
      <c r="P34564" s="3337"/>
    </row>
    <row r="34565" spans="7:16" s="1634" customFormat="1">
      <c r="G34565" s="3336"/>
      <c r="P34565" s="3337"/>
    </row>
    <row r="34566" spans="7:16" s="1634" customFormat="1">
      <c r="G34566" s="3336"/>
      <c r="P34566" s="3337"/>
    </row>
    <row r="34567" spans="7:16" s="1634" customFormat="1">
      <c r="G34567" s="3336"/>
      <c r="P34567" s="3337"/>
    </row>
    <row r="34568" spans="7:16" s="1634" customFormat="1">
      <c r="G34568" s="3336"/>
      <c r="P34568" s="3337"/>
    </row>
    <row r="34569" spans="7:16" s="1634" customFormat="1">
      <c r="G34569" s="3336"/>
      <c r="P34569" s="3337"/>
    </row>
    <row r="34570" spans="7:16" s="1634" customFormat="1">
      <c r="G34570" s="3336"/>
      <c r="P34570" s="3337"/>
    </row>
    <row r="34571" spans="7:16" s="1634" customFormat="1">
      <c r="G34571" s="3336"/>
      <c r="P34571" s="3337"/>
    </row>
    <row r="34572" spans="7:16" s="1634" customFormat="1">
      <c r="G34572" s="3336"/>
      <c r="P34572" s="3337"/>
    </row>
    <row r="34573" spans="7:16" s="1634" customFormat="1">
      <c r="G34573" s="3336"/>
      <c r="P34573" s="3337"/>
    </row>
    <row r="34574" spans="7:16" s="1634" customFormat="1">
      <c r="G34574" s="3336"/>
      <c r="P34574" s="3337"/>
    </row>
    <row r="34575" spans="7:16" s="1634" customFormat="1">
      <c r="G34575" s="3336"/>
      <c r="P34575" s="3337"/>
    </row>
    <row r="34576" spans="7:16" s="1634" customFormat="1">
      <c r="G34576" s="3336"/>
      <c r="P34576" s="3337"/>
    </row>
    <row r="34577" spans="7:16" s="1634" customFormat="1">
      <c r="G34577" s="3336"/>
      <c r="P34577" s="3337"/>
    </row>
    <row r="34578" spans="7:16" s="1634" customFormat="1">
      <c r="G34578" s="3336"/>
      <c r="P34578" s="3337"/>
    </row>
    <row r="34579" spans="7:16" s="1634" customFormat="1">
      <c r="G34579" s="3336"/>
      <c r="P34579" s="3337"/>
    </row>
    <row r="34580" spans="7:16" s="1634" customFormat="1">
      <c r="G34580" s="3336"/>
      <c r="P34580" s="3337"/>
    </row>
    <row r="34581" spans="7:16" s="1634" customFormat="1">
      <c r="G34581" s="3336"/>
      <c r="P34581" s="3337"/>
    </row>
    <row r="34582" spans="7:16" s="1634" customFormat="1">
      <c r="G34582" s="3336"/>
      <c r="P34582" s="3337"/>
    </row>
    <row r="34583" spans="7:16" s="1634" customFormat="1">
      <c r="G34583" s="3336"/>
      <c r="P34583" s="3337"/>
    </row>
    <row r="34584" spans="7:16" s="1634" customFormat="1">
      <c r="G34584" s="3336"/>
      <c r="P34584" s="3337"/>
    </row>
    <row r="34585" spans="7:16" s="1634" customFormat="1">
      <c r="G34585" s="3336"/>
      <c r="P34585" s="3337"/>
    </row>
    <row r="34586" spans="7:16" s="1634" customFormat="1">
      <c r="G34586" s="3336"/>
      <c r="P34586" s="3337"/>
    </row>
    <row r="34587" spans="7:16" s="1634" customFormat="1">
      <c r="G34587" s="3336"/>
      <c r="P34587" s="3337"/>
    </row>
    <row r="34588" spans="7:16" s="1634" customFormat="1">
      <c r="G34588" s="3336"/>
      <c r="P34588" s="3337"/>
    </row>
    <row r="34589" spans="7:16" s="1634" customFormat="1">
      <c r="G34589" s="3336"/>
      <c r="P34589" s="3337"/>
    </row>
    <row r="34590" spans="7:16" s="1634" customFormat="1">
      <c r="G34590" s="3336"/>
      <c r="P34590" s="3337"/>
    </row>
    <row r="34591" spans="7:16" s="1634" customFormat="1">
      <c r="G34591" s="3336"/>
      <c r="P34591" s="3337"/>
    </row>
    <row r="34592" spans="7:16" s="1634" customFormat="1">
      <c r="G34592" s="3336"/>
      <c r="P34592" s="3337"/>
    </row>
    <row r="34593" spans="7:16" s="1634" customFormat="1">
      <c r="G34593" s="3336"/>
      <c r="P34593" s="3337"/>
    </row>
    <row r="34594" spans="7:16" s="1634" customFormat="1">
      <c r="G34594" s="3336"/>
      <c r="P34594" s="3337"/>
    </row>
    <row r="34595" spans="7:16" s="1634" customFormat="1">
      <c r="G34595" s="3336"/>
      <c r="P34595" s="3337"/>
    </row>
    <row r="34596" spans="7:16" s="1634" customFormat="1">
      <c r="G34596" s="3336"/>
      <c r="P34596" s="3337"/>
    </row>
    <row r="34597" spans="7:16" s="1634" customFormat="1">
      <c r="G34597" s="3336"/>
      <c r="P34597" s="3337"/>
    </row>
    <row r="34598" spans="7:16" s="1634" customFormat="1">
      <c r="G34598" s="3336"/>
      <c r="P34598" s="3337"/>
    </row>
    <row r="34599" spans="7:16" s="1634" customFormat="1">
      <c r="G34599" s="3336"/>
      <c r="P34599" s="3337"/>
    </row>
    <row r="34600" spans="7:16" s="1634" customFormat="1">
      <c r="G34600" s="3336"/>
      <c r="P34600" s="3337"/>
    </row>
    <row r="34601" spans="7:16" s="1634" customFormat="1">
      <c r="G34601" s="3336"/>
      <c r="P34601" s="3337"/>
    </row>
    <row r="34602" spans="7:16" s="1634" customFormat="1">
      <c r="G34602" s="3336"/>
      <c r="P34602" s="3337"/>
    </row>
    <row r="34603" spans="7:16" s="1634" customFormat="1">
      <c r="G34603" s="3336"/>
      <c r="P34603" s="3337"/>
    </row>
    <row r="34604" spans="7:16" s="1634" customFormat="1">
      <c r="G34604" s="3336"/>
      <c r="P34604" s="3337"/>
    </row>
    <row r="34605" spans="7:16" s="1634" customFormat="1">
      <c r="G34605" s="3336"/>
      <c r="P34605" s="3337"/>
    </row>
    <row r="34606" spans="7:16" s="1634" customFormat="1">
      <c r="G34606" s="3336"/>
      <c r="P34606" s="3337"/>
    </row>
    <row r="34607" spans="7:16" s="1634" customFormat="1">
      <c r="G34607" s="3336"/>
      <c r="P34607" s="3337"/>
    </row>
    <row r="34608" spans="7:16" s="1634" customFormat="1">
      <c r="G34608" s="3336"/>
      <c r="P34608" s="3337"/>
    </row>
    <row r="34609" spans="7:16" s="1634" customFormat="1">
      <c r="G34609" s="3336"/>
      <c r="P34609" s="3337"/>
    </row>
    <row r="34610" spans="7:16" s="1634" customFormat="1">
      <c r="G34610" s="3336"/>
      <c r="P34610" s="3337"/>
    </row>
    <row r="34611" spans="7:16" s="1634" customFormat="1">
      <c r="G34611" s="3336"/>
      <c r="P34611" s="3337"/>
    </row>
    <row r="34612" spans="7:16" s="1634" customFormat="1">
      <c r="G34612" s="3336"/>
      <c r="P34612" s="3337"/>
    </row>
    <row r="34613" spans="7:16" s="1634" customFormat="1">
      <c r="G34613" s="3336"/>
      <c r="P34613" s="3337"/>
    </row>
    <row r="34614" spans="7:16" s="1634" customFormat="1">
      <c r="G34614" s="3336"/>
      <c r="P34614" s="3337"/>
    </row>
    <row r="34615" spans="7:16" s="1634" customFormat="1">
      <c r="G34615" s="3336"/>
      <c r="P34615" s="3337"/>
    </row>
    <row r="34616" spans="7:16" s="1634" customFormat="1">
      <c r="G34616" s="3336"/>
      <c r="P34616" s="3337"/>
    </row>
    <row r="34617" spans="7:16" s="1634" customFormat="1">
      <c r="G34617" s="3336"/>
      <c r="P34617" s="3337"/>
    </row>
    <row r="34618" spans="7:16" s="1634" customFormat="1">
      <c r="G34618" s="3336"/>
      <c r="P34618" s="3337"/>
    </row>
    <row r="34619" spans="7:16" s="1634" customFormat="1">
      <c r="G34619" s="3336"/>
      <c r="P34619" s="3337"/>
    </row>
    <row r="34620" spans="7:16" s="1634" customFormat="1">
      <c r="G34620" s="3336"/>
      <c r="P34620" s="3337"/>
    </row>
    <row r="34621" spans="7:16" s="1634" customFormat="1">
      <c r="G34621" s="3336"/>
      <c r="P34621" s="3337"/>
    </row>
    <row r="34622" spans="7:16" s="1634" customFormat="1">
      <c r="G34622" s="3336"/>
      <c r="P34622" s="3337"/>
    </row>
    <row r="34623" spans="7:16" s="1634" customFormat="1">
      <c r="G34623" s="3336"/>
      <c r="P34623" s="3337"/>
    </row>
    <row r="34624" spans="7:16" s="1634" customFormat="1">
      <c r="G34624" s="3336"/>
      <c r="P34624" s="3337"/>
    </row>
    <row r="34625" spans="7:16" s="1634" customFormat="1">
      <c r="G34625" s="3336"/>
      <c r="P34625" s="3337"/>
    </row>
    <row r="34626" spans="7:16" s="1634" customFormat="1">
      <c r="G34626" s="3336"/>
      <c r="P34626" s="3337"/>
    </row>
    <row r="34627" spans="7:16" s="1634" customFormat="1">
      <c r="G34627" s="3336"/>
      <c r="P34627" s="3337"/>
    </row>
    <row r="34628" spans="7:16" s="1634" customFormat="1">
      <c r="G34628" s="3336"/>
      <c r="P34628" s="3337"/>
    </row>
    <row r="34629" spans="7:16" s="1634" customFormat="1">
      <c r="G34629" s="3336"/>
      <c r="P34629" s="3337"/>
    </row>
    <row r="34630" spans="7:16" s="1634" customFormat="1">
      <c r="G34630" s="3336"/>
      <c r="P34630" s="3337"/>
    </row>
    <row r="34631" spans="7:16" s="1634" customFormat="1">
      <c r="G34631" s="3336"/>
      <c r="P34631" s="3337"/>
    </row>
    <row r="34632" spans="7:16" s="1634" customFormat="1">
      <c r="G34632" s="3336"/>
      <c r="P34632" s="3337"/>
    </row>
    <row r="34633" spans="7:16" s="1634" customFormat="1">
      <c r="G34633" s="3336"/>
      <c r="P34633" s="3337"/>
    </row>
    <row r="34634" spans="7:16" s="1634" customFormat="1">
      <c r="G34634" s="3336"/>
      <c r="P34634" s="3337"/>
    </row>
    <row r="34635" spans="7:16" s="1634" customFormat="1">
      <c r="G34635" s="3336"/>
      <c r="P34635" s="3337"/>
    </row>
    <row r="34636" spans="7:16" s="1634" customFormat="1">
      <c r="G34636" s="3336"/>
      <c r="P34636" s="3337"/>
    </row>
    <row r="34637" spans="7:16" s="1634" customFormat="1">
      <c r="G34637" s="3336"/>
      <c r="P34637" s="3337"/>
    </row>
    <row r="34638" spans="7:16" s="1634" customFormat="1">
      <c r="G34638" s="3336"/>
      <c r="P34638" s="3337"/>
    </row>
    <row r="34639" spans="7:16" s="1634" customFormat="1">
      <c r="G34639" s="3336"/>
      <c r="P34639" s="3337"/>
    </row>
    <row r="34640" spans="7:16" s="1634" customFormat="1">
      <c r="G34640" s="3336"/>
      <c r="P34640" s="3337"/>
    </row>
    <row r="34641" spans="7:16" s="1634" customFormat="1">
      <c r="G34641" s="3336"/>
      <c r="P34641" s="3337"/>
    </row>
    <row r="34642" spans="7:16" s="1634" customFormat="1">
      <c r="G34642" s="3336"/>
      <c r="P34642" s="3337"/>
    </row>
    <row r="34643" spans="7:16" s="1634" customFormat="1">
      <c r="G34643" s="3336"/>
      <c r="P34643" s="3337"/>
    </row>
    <row r="34644" spans="7:16" s="1634" customFormat="1">
      <c r="G34644" s="3336"/>
      <c r="P34644" s="3337"/>
    </row>
    <row r="34645" spans="7:16" s="1634" customFormat="1">
      <c r="G34645" s="3336"/>
      <c r="P34645" s="3337"/>
    </row>
    <row r="34646" spans="7:16" s="1634" customFormat="1">
      <c r="G34646" s="3336"/>
      <c r="P34646" s="3337"/>
    </row>
    <row r="34647" spans="7:16" s="1634" customFormat="1">
      <c r="G34647" s="3336"/>
      <c r="P34647" s="3337"/>
    </row>
    <row r="34648" spans="7:16" s="1634" customFormat="1">
      <c r="G34648" s="3336"/>
      <c r="P34648" s="3337"/>
    </row>
    <row r="34649" spans="7:16" s="1634" customFormat="1">
      <c r="G34649" s="3336"/>
      <c r="P34649" s="3337"/>
    </row>
    <row r="34650" spans="7:16" s="1634" customFormat="1">
      <c r="G34650" s="3336"/>
      <c r="P34650" s="3337"/>
    </row>
    <row r="34651" spans="7:16" s="1634" customFormat="1">
      <c r="G34651" s="3336"/>
      <c r="P34651" s="3337"/>
    </row>
    <row r="34652" spans="7:16" s="1634" customFormat="1">
      <c r="G34652" s="3336"/>
      <c r="P34652" s="3337"/>
    </row>
    <row r="34653" spans="7:16" s="1634" customFormat="1">
      <c r="G34653" s="3336"/>
      <c r="P34653" s="3337"/>
    </row>
    <row r="34654" spans="7:16" s="1634" customFormat="1">
      <c r="G34654" s="3336"/>
      <c r="P34654" s="3337"/>
    </row>
    <row r="34655" spans="7:16" s="1634" customFormat="1">
      <c r="G34655" s="3336"/>
      <c r="P34655" s="3337"/>
    </row>
    <row r="34656" spans="7:16" s="1634" customFormat="1">
      <c r="G34656" s="3336"/>
      <c r="P34656" s="3337"/>
    </row>
    <row r="34657" spans="7:16" s="1634" customFormat="1">
      <c r="G34657" s="3336"/>
      <c r="P34657" s="3337"/>
    </row>
    <row r="34658" spans="7:16" s="1634" customFormat="1">
      <c r="G34658" s="3336"/>
      <c r="P34658" s="3337"/>
    </row>
    <row r="34659" spans="7:16" s="1634" customFormat="1">
      <c r="G34659" s="3336"/>
      <c r="P34659" s="3337"/>
    </row>
    <row r="34660" spans="7:16" s="1634" customFormat="1">
      <c r="G34660" s="3336"/>
      <c r="P34660" s="3337"/>
    </row>
    <row r="34661" spans="7:16" s="1634" customFormat="1">
      <c r="G34661" s="3336"/>
      <c r="P34661" s="3337"/>
    </row>
    <row r="34662" spans="7:16" s="1634" customFormat="1">
      <c r="G34662" s="3336"/>
      <c r="P34662" s="3337"/>
    </row>
    <row r="34663" spans="7:16" s="1634" customFormat="1">
      <c r="G34663" s="3336"/>
      <c r="P34663" s="3337"/>
    </row>
    <row r="34664" spans="7:16" s="1634" customFormat="1">
      <c r="G34664" s="3336"/>
      <c r="P34664" s="3337"/>
    </row>
    <row r="34665" spans="7:16" s="1634" customFormat="1">
      <c r="G34665" s="3336"/>
      <c r="P34665" s="3337"/>
    </row>
    <row r="34666" spans="7:16" s="1634" customFormat="1">
      <c r="G34666" s="3336"/>
      <c r="P34666" s="3337"/>
    </row>
    <row r="34667" spans="7:16" s="1634" customFormat="1">
      <c r="G34667" s="3336"/>
      <c r="P34667" s="3337"/>
    </row>
    <row r="34668" spans="7:16" s="1634" customFormat="1">
      <c r="G34668" s="3336"/>
      <c r="P34668" s="3337"/>
    </row>
    <row r="34669" spans="7:16" s="1634" customFormat="1">
      <c r="G34669" s="3336"/>
      <c r="P34669" s="3337"/>
    </row>
    <row r="34670" spans="7:16" s="1634" customFormat="1">
      <c r="G34670" s="3336"/>
      <c r="P34670" s="3337"/>
    </row>
    <row r="34671" spans="7:16" s="1634" customFormat="1">
      <c r="G34671" s="3336"/>
      <c r="P34671" s="3337"/>
    </row>
    <row r="34672" spans="7:16" s="1634" customFormat="1">
      <c r="G34672" s="3336"/>
      <c r="P34672" s="3337"/>
    </row>
    <row r="34673" spans="7:16" s="1634" customFormat="1">
      <c r="G34673" s="3336"/>
      <c r="P34673" s="3337"/>
    </row>
    <row r="34674" spans="7:16" s="1634" customFormat="1">
      <c r="G34674" s="3336"/>
      <c r="P34674" s="3337"/>
    </row>
    <row r="34675" spans="7:16" s="1634" customFormat="1">
      <c r="G34675" s="3336"/>
      <c r="P34675" s="3337"/>
    </row>
    <row r="34676" spans="7:16" s="1634" customFormat="1">
      <c r="G34676" s="3336"/>
      <c r="P34676" s="3337"/>
    </row>
    <row r="34677" spans="7:16" s="1634" customFormat="1">
      <c r="G34677" s="3336"/>
      <c r="P34677" s="3337"/>
    </row>
    <row r="34678" spans="7:16" s="1634" customFormat="1">
      <c r="G34678" s="3336"/>
      <c r="P34678" s="3337"/>
    </row>
    <row r="34679" spans="7:16" s="1634" customFormat="1">
      <c r="G34679" s="3336"/>
      <c r="P34679" s="3337"/>
    </row>
    <row r="34680" spans="7:16" s="1634" customFormat="1">
      <c r="G34680" s="3336"/>
      <c r="P34680" s="3337"/>
    </row>
    <row r="34681" spans="7:16" s="1634" customFormat="1">
      <c r="G34681" s="3336"/>
      <c r="P34681" s="3337"/>
    </row>
    <row r="34682" spans="7:16" s="1634" customFormat="1">
      <c r="G34682" s="3336"/>
      <c r="P34682" s="3337"/>
    </row>
    <row r="34683" spans="7:16" s="1634" customFormat="1">
      <c r="G34683" s="3336"/>
      <c r="P34683" s="3337"/>
    </row>
    <row r="34684" spans="7:16" s="1634" customFormat="1">
      <c r="G34684" s="3336"/>
      <c r="P34684" s="3337"/>
    </row>
    <row r="34685" spans="7:16" s="1634" customFormat="1">
      <c r="G34685" s="3336"/>
      <c r="P34685" s="3337"/>
    </row>
    <row r="34686" spans="7:16" s="1634" customFormat="1">
      <c r="G34686" s="3336"/>
      <c r="P34686" s="3337"/>
    </row>
    <row r="34687" spans="7:16" s="1634" customFormat="1">
      <c r="G34687" s="3336"/>
      <c r="P34687" s="3337"/>
    </row>
    <row r="34688" spans="7:16" s="1634" customFormat="1">
      <c r="G34688" s="3336"/>
      <c r="P34688" s="3337"/>
    </row>
    <row r="34689" spans="7:16" s="1634" customFormat="1">
      <c r="G34689" s="3336"/>
      <c r="P34689" s="3337"/>
    </row>
    <row r="34690" spans="7:16" s="1634" customFormat="1">
      <c r="G34690" s="3336"/>
      <c r="P34690" s="3337"/>
    </row>
    <row r="34691" spans="7:16" s="1634" customFormat="1">
      <c r="G34691" s="3336"/>
      <c r="P34691" s="3337"/>
    </row>
    <row r="34692" spans="7:16" s="1634" customFormat="1">
      <c r="G34692" s="3336"/>
      <c r="P34692" s="3337"/>
    </row>
    <row r="34693" spans="7:16" s="1634" customFormat="1">
      <c r="G34693" s="3336"/>
      <c r="P34693" s="3337"/>
    </row>
    <row r="34694" spans="7:16" s="1634" customFormat="1">
      <c r="G34694" s="3336"/>
      <c r="P34694" s="3337"/>
    </row>
    <row r="34695" spans="7:16" s="1634" customFormat="1">
      <c r="G34695" s="3336"/>
      <c r="P34695" s="3337"/>
    </row>
    <row r="34696" spans="7:16" s="1634" customFormat="1">
      <c r="G34696" s="3336"/>
      <c r="P34696" s="3337"/>
    </row>
    <row r="34697" spans="7:16" s="1634" customFormat="1">
      <c r="G34697" s="3336"/>
      <c r="P34697" s="3337"/>
    </row>
    <row r="34698" spans="7:16" s="1634" customFormat="1">
      <c r="G34698" s="3336"/>
      <c r="P34698" s="3337"/>
    </row>
    <row r="34699" spans="7:16" s="1634" customFormat="1">
      <c r="G34699" s="3336"/>
      <c r="P34699" s="3337"/>
    </row>
    <row r="34700" spans="7:16" s="1634" customFormat="1">
      <c r="G34700" s="3336"/>
      <c r="P34700" s="3337"/>
    </row>
    <row r="34701" spans="7:16" s="1634" customFormat="1">
      <c r="G34701" s="3336"/>
      <c r="P34701" s="3337"/>
    </row>
    <row r="34702" spans="7:16" s="1634" customFormat="1">
      <c r="G34702" s="3336"/>
      <c r="P34702" s="3337"/>
    </row>
    <row r="34703" spans="7:16" s="1634" customFormat="1">
      <c r="G34703" s="3336"/>
      <c r="P34703" s="3337"/>
    </row>
    <row r="34704" spans="7:16" s="1634" customFormat="1">
      <c r="G34704" s="3336"/>
      <c r="P34704" s="3337"/>
    </row>
    <row r="34705" spans="7:16" s="1634" customFormat="1">
      <c r="G34705" s="3336"/>
      <c r="P34705" s="3337"/>
    </row>
    <row r="34706" spans="7:16" s="1634" customFormat="1">
      <c r="G34706" s="3336"/>
      <c r="P34706" s="3337"/>
    </row>
    <row r="34707" spans="7:16" s="1634" customFormat="1">
      <c r="G34707" s="3336"/>
      <c r="P34707" s="3337"/>
    </row>
    <row r="34708" spans="7:16" s="1634" customFormat="1">
      <c r="G34708" s="3336"/>
      <c r="P34708" s="3337"/>
    </row>
    <row r="34709" spans="7:16" s="1634" customFormat="1">
      <c r="G34709" s="3336"/>
      <c r="P34709" s="3337"/>
    </row>
    <row r="34710" spans="7:16" s="1634" customFormat="1">
      <c r="G34710" s="3336"/>
      <c r="P34710" s="3337"/>
    </row>
    <row r="34711" spans="7:16" s="1634" customFormat="1">
      <c r="G34711" s="3336"/>
      <c r="P34711" s="3337"/>
    </row>
    <row r="34712" spans="7:16" s="1634" customFormat="1">
      <c r="G34712" s="3336"/>
      <c r="P34712" s="3337"/>
    </row>
    <row r="34713" spans="7:16" s="1634" customFormat="1">
      <c r="G34713" s="3336"/>
      <c r="P34713" s="3337"/>
    </row>
    <row r="34714" spans="7:16" s="1634" customFormat="1">
      <c r="G34714" s="3336"/>
      <c r="P34714" s="3337"/>
    </row>
    <row r="34715" spans="7:16" s="1634" customFormat="1">
      <c r="G34715" s="3336"/>
      <c r="P34715" s="3337"/>
    </row>
    <row r="34716" spans="7:16" s="1634" customFormat="1">
      <c r="G34716" s="3336"/>
      <c r="P34716" s="3337"/>
    </row>
    <row r="34717" spans="7:16" s="1634" customFormat="1">
      <c r="G34717" s="3336"/>
      <c r="P34717" s="3337"/>
    </row>
    <row r="34718" spans="7:16" s="1634" customFormat="1">
      <c r="G34718" s="3336"/>
      <c r="P34718" s="3337"/>
    </row>
    <row r="34719" spans="7:16" s="1634" customFormat="1">
      <c r="G34719" s="3336"/>
      <c r="P34719" s="3337"/>
    </row>
    <row r="34720" spans="7:16" s="1634" customFormat="1">
      <c r="G34720" s="3336"/>
      <c r="P34720" s="3337"/>
    </row>
    <row r="34721" spans="7:16" s="1634" customFormat="1">
      <c r="G34721" s="3336"/>
      <c r="P34721" s="3337"/>
    </row>
    <row r="34722" spans="7:16" s="1634" customFormat="1">
      <c r="G34722" s="3336"/>
      <c r="P34722" s="3337"/>
    </row>
    <row r="34723" spans="7:16" s="1634" customFormat="1">
      <c r="G34723" s="3336"/>
      <c r="P34723" s="3337"/>
    </row>
    <row r="34724" spans="7:16" s="1634" customFormat="1">
      <c r="G34724" s="3336"/>
      <c r="P34724" s="3337"/>
    </row>
    <row r="34725" spans="7:16" s="1634" customFormat="1">
      <c r="G34725" s="3336"/>
      <c r="P34725" s="3337"/>
    </row>
    <row r="34726" spans="7:16" s="1634" customFormat="1">
      <c r="G34726" s="3336"/>
      <c r="P34726" s="3337"/>
    </row>
    <row r="34727" spans="7:16" s="1634" customFormat="1">
      <c r="G34727" s="3336"/>
      <c r="P34727" s="3337"/>
    </row>
    <row r="34728" spans="7:16" s="1634" customFormat="1">
      <c r="G34728" s="3336"/>
      <c r="P34728" s="3337"/>
    </row>
    <row r="34729" spans="7:16" s="1634" customFormat="1">
      <c r="G34729" s="3336"/>
      <c r="P34729" s="3337"/>
    </row>
    <row r="34730" spans="7:16" s="1634" customFormat="1">
      <c r="G34730" s="3336"/>
      <c r="P34730" s="3337"/>
    </row>
    <row r="34731" spans="7:16" s="1634" customFormat="1">
      <c r="G34731" s="3336"/>
      <c r="P34731" s="3337"/>
    </row>
    <row r="34732" spans="7:16" s="1634" customFormat="1">
      <c r="G34732" s="3336"/>
      <c r="P34732" s="3337"/>
    </row>
    <row r="34733" spans="7:16" s="1634" customFormat="1">
      <c r="G34733" s="3336"/>
      <c r="P34733" s="3337"/>
    </row>
    <row r="34734" spans="7:16" s="1634" customFormat="1">
      <c r="G34734" s="3336"/>
      <c r="P34734" s="3337"/>
    </row>
    <row r="34735" spans="7:16" s="1634" customFormat="1">
      <c r="G34735" s="3336"/>
      <c r="P34735" s="3337"/>
    </row>
    <row r="34736" spans="7:16" s="1634" customFormat="1">
      <c r="G34736" s="3336"/>
      <c r="P34736" s="3337"/>
    </row>
    <row r="34737" spans="7:16" s="1634" customFormat="1">
      <c r="G34737" s="3336"/>
      <c r="P34737" s="3337"/>
    </row>
    <row r="34738" spans="7:16" s="1634" customFormat="1">
      <c r="G34738" s="3336"/>
      <c r="P34738" s="3337"/>
    </row>
    <row r="34739" spans="7:16" s="1634" customFormat="1">
      <c r="G34739" s="3336"/>
      <c r="P34739" s="3337"/>
    </row>
    <row r="34740" spans="7:16" s="1634" customFormat="1">
      <c r="G34740" s="3336"/>
      <c r="P34740" s="3337"/>
    </row>
    <row r="34741" spans="7:16" s="1634" customFormat="1">
      <c r="G34741" s="3336"/>
      <c r="P34741" s="3337"/>
    </row>
    <row r="34742" spans="7:16" s="1634" customFormat="1">
      <c r="G34742" s="3336"/>
      <c r="P34742" s="3337"/>
    </row>
    <row r="34743" spans="7:16" s="1634" customFormat="1">
      <c r="G34743" s="3336"/>
      <c r="P34743" s="3337"/>
    </row>
    <row r="34744" spans="7:16" s="1634" customFormat="1">
      <c r="G34744" s="3336"/>
      <c r="P34744" s="3337"/>
    </row>
    <row r="34745" spans="7:16" s="1634" customFormat="1">
      <c r="G34745" s="3336"/>
      <c r="P34745" s="3337"/>
    </row>
    <row r="34746" spans="7:16" s="1634" customFormat="1">
      <c r="G34746" s="3336"/>
      <c r="P34746" s="3337"/>
    </row>
    <row r="34747" spans="7:16" s="1634" customFormat="1">
      <c r="G34747" s="3336"/>
      <c r="P34747" s="3337"/>
    </row>
    <row r="34748" spans="7:16" s="1634" customFormat="1">
      <c r="G34748" s="3336"/>
      <c r="P34748" s="3337"/>
    </row>
    <row r="34749" spans="7:16" s="1634" customFormat="1">
      <c r="G34749" s="3336"/>
      <c r="P34749" s="3337"/>
    </row>
    <row r="34750" spans="7:16" s="1634" customFormat="1">
      <c r="G34750" s="3336"/>
      <c r="P34750" s="3337"/>
    </row>
    <row r="34751" spans="7:16" s="1634" customFormat="1">
      <c r="G34751" s="3336"/>
      <c r="P34751" s="3337"/>
    </row>
    <row r="34752" spans="7:16" s="1634" customFormat="1">
      <c r="G34752" s="3336"/>
      <c r="P34752" s="3337"/>
    </row>
    <row r="34753" spans="7:16" s="1634" customFormat="1">
      <c r="G34753" s="3336"/>
      <c r="P34753" s="3337"/>
    </row>
    <row r="34754" spans="7:16" s="1634" customFormat="1">
      <c r="G34754" s="3336"/>
      <c r="P34754" s="3337"/>
    </row>
    <row r="34755" spans="7:16" s="1634" customFormat="1">
      <c r="G34755" s="3336"/>
      <c r="P34755" s="3337"/>
    </row>
    <row r="34756" spans="7:16" s="1634" customFormat="1">
      <c r="G34756" s="3336"/>
      <c r="P34756" s="3337"/>
    </row>
    <row r="34757" spans="7:16" s="1634" customFormat="1">
      <c r="G34757" s="3336"/>
      <c r="P34757" s="3337"/>
    </row>
    <row r="34758" spans="7:16" s="1634" customFormat="1">
      <c r="G34758" s="3336"/>
      <c r="P34758" s="3337"/>
    </row>
    <row r="34759" spans="7:16" s="1634" customFormat="1">
      <c r="G34759" s="3336"/>
      <c r="P34759" s="3337"/>
    </row>
    <row r="34760" spans="7:16" s="1634" customFormat="1">
      <c r="G34760" s="3336"/>
      <c r="P34760" s="3337"/>
    </row>
    <row r="34761" spans="7:16" s="1634" customFormat="1">
      <c r="G34761" s="3336"/>
      <c r="P34761" s="3337"/>
    </row>
    <row r="34762" spans="7:16" s="1634" customFormat="1">
      <c r="G34762" s="3336"/>
      <c r="P34762" s="3337"/>
    </row>
    <row r="34763" spans="7:16" s="1634" customFormat="1">
      <c r="G34763" s="3336"/>
      <c r="P34763" s="3337"/>
    </row>
    <row r="34764" spans="7:16" s="1634" customFormat="1">
      <c r="G34764" s="3336"/>
      <c r="P34764" s="3337"/>
    </row>
    <row r="34765" spans="7:16" s="1634" customFormat="1">
      <c r="G34765" s="3336"/>
      <c r="P34765" s="3337"/>
    </row>
    <row r="34766" spans="7:16" s="1634" customFormat="1">
      <c r="G34766" s="3336"/>
      <c r="P34766" s="3337"/>
    </row>
    <row r="34767" spans="7:16" s="1634" customFormat="1">
      <c r="G34767" s="3336"/>
      <c r="P34767" s="3337"/>
    </row>
    <row r="34768" spans="7:16" s="1634" customFormat="1">
      <c r="G34768" s="3336"/>
      <c r="P34768" s="3337"/>
    </row>
    <row r="34769" spans="7:16" s="1634" customFormat="1">
      <c r="G34769" s="3336"/>
      <c r="P34769" s="3337"/>
    </row>
    <row r="34770" spans="7:16" s="1634" customFormat="1">
      <c r="G34770" s="3336"/>
      <c r="P34770" s="3337"/>
    </row>
    <row r="34771" spans="7:16" s="1634" customFormat="1">
      <c r="G34771" s="3336"/>
      <c r="P34771" s="3337"/>
    </row>
    <row r="34772" spans="7:16" s="1634" customFormat="1">
      <c r="G34772" s="3336"/>
      <c r="P34772" s="3337"/>
    </row>
    <row r="34773" spans="7:16" s="1634" customFormat="1">
      <c r="G34773" s="3336"/>
      <c r="P34773" s="3337"/>
    </row>
    <row r="34774" spans="7:16" s="1634" customFormat="1">
      <c r="G34774" s="3336"/>
      <c r="P34774" s="3337"/>
    </row>
    <row r="34775" spans="7:16" s="1634" customFormat="1">
      <c r="G34775" s="3336"/>
      <c r="P34775" s="3337"/>
    </row>
    <row r="34776" spans="7:16" s="1634" customFormat="1">
      <c r="G34776" s="3336"/>
      <c r="P34776" s="3337"/>
    </row>
    <row r="34777" spans="7:16" s="1634" customFormat="1">
      <c r="G34777" s="3336"/>
      <c r="P34777" s="3337"/>
    </row>
    <row r="34778" spans="7:16" s="1634" customFormat="1">
      <c r="G34778" s="3336"/>
      <c r="P34778" s="3337"/>
    </row>
    <row r="34779" spans="7:16" s="1634" customFormat="1">
      <c r="G34779" s="3336"/>
      <c r="P34779" s="3337"/>
    </row>
    <row r="34780" spans="7:16" s="1634" customFormat="1">
      <c r="G34780" s="3336"/>
      <c r="P34780" s="3337"/>
    </row>
    <row r="34781" spans="7:16" s="1634" customFormat="1">
      <c r="G34781" s="3336"/>
      <c r="P34781" s="3337"/>
    </row>
    <row r="34782" spans="7:16" s="1634" customFormat="1">
      <c r="G34782" s="3336"/>
      <c r="P34782" s="3337"/>
    </row>
    <row r="34783" spans="7:16" s="1634" customFormat="1">
      <c r="G34783" s="3336"/>
      <c r="P34783" s="3337"/>
    </row>
    <row r="34784" spans="7:16" s="1634" customFormat="1">
      <c r="G34784" s="3336"/>
      <c r="P34784" s="3337"/>
    </row>
    <row r="34785" spans="7:16" s="1634" customFormat="1">
      <c r="G34785" s="3336"/>
      <c r="P34785" s="3337"/>
    </row>
    <row r="34786" spans="7:16" s="1634" customFormat="1">
      <c r="G34786" s="3336"/>
      <c r="P34786" s="3337"/>
    </row>
    <row r="34787" spans="7:16" s="1634" customFormat="1">
      <c r="G34787" s="3336"/>
      <c r="P34787" s="3337"/>
    </row>
    <row r="34788" spans="7:16" s="1634" customFormat="1">
      <c r="G34788" s="3336"/>
      <c r="P34788" s="3337"/>
    </row>
    <row r="34789" spans="7:16" s="1634" customFormat="1">
      <c r="G34789" s="3336"/>
      <c r="P34789" s="3337"/>
    </row>
    <row r="34790" spans="7:16" s="1634" customFormat="1">
      <c r="G34790" s="3336"/>
      <c r="P34790" s="3337"/>
    </row>
    <row r="34791" spans="7:16" s="1634" customFormat="1">
      <c r="G34791" s="3336"/>
      <c r="P34791" s="3337"/>
    </row>
    <row r="34792" spans="7:16" s="1634" customFormat="1">
      <c r="G34792" s="3336"/>
      <c r="P34792" s="3337"/>
    </row>
    <row r="34793" spans="7:16" s="1634" customFormat="1">
      <c r="G34793" s="3336"/>
      <c r="P34793" s="3337"/>
    </row>
    <row r="34794" spans="7:16" s="1634" customFormat="1">
      <c r="G34794" s="3336"/>
      <c r="P34794" s="3337"/>
    </row>
    <row r="34795" spans="7:16" s="1634" customFormat="1">
      <c r="G34795" s="3336"/>
      <c r="P34795" s="3337"/>
    </row>
    <row r="34796" spans="7:16" s="1634" customFormat="1">
      <c r="G34796" s="3336"/>
      <c r="P34796" s="3337"/>
    </row>
    <row r="34797" spans="7:16" s="1634" customFormat="1">
      <c r="G34797" s="3336"/>
      <c r="P34797" s="3337"/>
    </row>
    <row r="34798" spans="7:16" s="1634" customFormat="1">
      <c r="G34798" s="3336"/>
      <c r="P34798" s="3337"/>
    </row>
    <row r="34799" spans="7:16" s="1634" customFormat="1">
      <c r="G34799" s="3336"/>
      <c r="P34799" s="3337"/>
    </row>
    <row r="34800" spans="7:16" s="1634" customFormat="1">
      <c r="G34800" s="3336"/>
      <c r="P34800" s="3337"/>
    </row>
    <row r="34801" spans="7:16" s="1634" customFormat="1">
      <c r="G34801" s="3336"/>
      <c r="P34801" s="3337"/>
    </row>
    <row r="34802" spans="7:16" s="1634" customFormat="1">
      <c r="G34802" s="3336"/>
      <c r="P34802" s="3337"/>
    </row>
    <row r="34803" spans="7:16" s="1634" customFormat="1">
      <c r="G34803" s="3336"/>
      <c r="P34803" s="3337"/>
    </row>
    <row r="34804" spans="7:16" s="1634" customFormat="1">
      <c r="G34804" s="3336"/>
      <c r="P34804" s="3337"/>
    </row>
    <row r="34805" spans="7:16" s="1634" customFormat="1">
      <c r="G34805" s="3336"/>
      <c r="P34805" s="3337"/>
    </row>
    <row r="34806" spans="7:16" s="1634" customFormat="1">
      <c r="G34806" s="3336"/>
      <c r="P34806" s="3337"/>
    </row>
    <row r="34807" spans="7:16" s="1634" customFormat="1">
      <c r="G34807" s="3336"/>
      <c r="P34807" s="3337"/>
    </row>
    <row r="34808" spans="7:16" s="1634" customFormat="1">
      <c r="G34808" s="3336"/>
      <c r="P34808" s="3337"/>
    </row>
    <row r="34809" spans="7:16" s="1634" customFormat="1">
      <c r="G34809" s="3336"/>
      <c r="P34809" s="3337"/>
    </row>
    <row r="34810" spans="7:16" s="1634" customFormat="1">
      <c r="G34810" s="3336"/>
      <c r="P34810" s="3337"/>
    </row>
    <row r="34811" spans="7:16" s="1634" customFormat="1">
      <c r="G34811" s="3336"/>
      <c r="P34811" s="3337"/>
    </row>
    <row r="34812" spans="7:16" s="1634" customFormat="1">
      <c r="G34812" s="3336"/>
      <c r="P34812" s="3337"/>
    </row>
    <row r="34813" spans="7:16" s="1634" customFormat="1">
      <c r="G34813" s="3336"/>
      <c r="P34813" s="3337"/>
    </row>
    <row r="34814" spans="7:16" s="1634" customFormat="1">
      <c r="G34814" s="3336"/>
      <c r="P34814" s="3337"/>
    </row>
    <row r="34815" spans="7:16" s="1634" customFormat="1">
      <c r="G34815" s="3336"/>
      <c r="P34815" s="3337"/>
    </row>
    <row r="34816" spans="7:16" s="1634" customFormat="1">
      <c r="G34816" s="3336"/>
      <c r="P34816" s="3337"/>
    </row>
    <row r="34817" spans="7:16" s="1634" customFormat="1">
      <c r="G34817" s="3336"/>
      <c r="P34817" s="3337"/>
    </row>
    <row r="34818" spans="7:16" s="1634" customFormat="1">
      <c r="G34818" s="3336"/>
      <c r="P34818" s="3337"/>
    </row>
    <row r="34819" spans="7:16" s="1634" customFormat="1">
      <c r="G34819" s="3336"/>
      <c r="P34819" s="3337"/>
    </row>
    <row r="34820" spans="7:16" s="1634" customFormat="1">
      <c r="G34820" s="3336"/>
      <c r="P34820" s="3337"/>
    </row>
    <row r="34821" spans="7:16" s="1634" customFormat="1">
      <c r="G34821" s="3336"/>
      <c r="P34821" s="3337"/>
    </row>
    <row r="34822" spans="7:16" s="1634" customFormat="1">
      <c r="G34822" s="3336"/>
      <c r="P34822" s="3337"/>
    </row>
    <row r="34823" spans="7:16" s="1634" customFormat="1">
      <c r="G34823" s="3336"/>
      <c r="P34823" s="3337"/>
    </row>
    <row r="34824" spans="7:16" s="1634" customFormat="1">
      <c r="G34824" s="3336"/>
      <c r="P34824" s="3337"/>
    </row>
    <row r="34825" spans="7:16" s="1634" customFormat="1">
      <c r="G34825" s="3336"/>
      <c r="P34825" s="3337"/>
    </row>
    <row r="34826" spans="7:16" s="1634" customFormat="1">
      <c r="G34826" s="3336"/>
      <c r="P34826" s="3337"/>
    </row>
    <row r="34827" spans="7:16" s="1634" customFormat="1">
      <c r="G34827" s="3336"/>
      <c r="P34827" s="3337"/>
    </row>
    <row r="34828" spans="7:16" s="1634" customFormat="1">
      <c r="G34828" s="3336"/>
      <c r="P34828" s="3337"/>
    </row>
    <row r="34829" spans="7:16" s="1634" customFormat="1">
      <c r="G34829" s="3336"/>
      <c r="P34829" s="3337"/>
    </row>
    <row r="34830" spans="7:16" s="1634" customFormat="1">
      <c r="G34830" s="3336"/>
      <c r="P34830" s="3337"/>
    </row>
    <row r="34831" spans="7:16" s="1634" customFormat="1">
      <c r="G34831" s="3336"/>
      <c r="P34831" s="3337"/>
    </row>
    <row r="34832" spans="7:16" s="1634" customFormat="1">
      <c r="G34832" s="3336"/>
      <c r="P34832" s="3337"/>
    </row>
    <row r="34833" spans="7:16" s="1634" customFormat="1">
      <c r="G34833" s="3336"/>
      <c r="P34833" s="3337"/>
    </row>
    <row r="34834" spans="7:16" s="1634" customFormat="1">
      <c r="G34834" s="3336"/>
      <c r="P34834" s="3337"/>
    </row>
    <row r="34835" spans="7:16" s="1634" customFormat="1">
      <c r="G34835" s="3336"/>
      <c r="P34835" s="3337"/>
    </row>
    <row r="34836" spans="7:16" s="1634" customFormat="1">
      <c r="G34836" s="3336"/>
      <c r="P34836" s="3337"/>
    </row>
    <row r="34837" spans="7:16" s="1634" customFormat="1">
      <c r="G34837" s="3336"/>
      <c r="P34837" s="3337"/>
    </row>
    <row r="34838" spans="7:16" s="1634" customFormat="1">
      <c r="G34838" s="3336"/>
      <c r="P34838" s="3337"/>
    </row>
    <row r="34839" spans="7:16" s="1634" customFormat="1">
      <c r="G34839" s="3336"/>
      <c r="P34839" s="3337"/>
    </row>
    <row r="34840" spans="7:16" s="1634" customFormat="1">
      <c r="G34840" s="3336"/>
      <c r="P34840" s="3337"/>
    </row>
    <row r="34841" spans="7:16" s="1634" customFormat="1">
      <c r="G34841" s="3336"/>
      <c r="P34841" s="3337"/>
    </row>
    <row r="34842" spans="7:16" s="1634" customFormat="1">
      <c r="G34842" s="3336"/>
      <c r="P34842" s="3337"/>
    </row>
    <row r="34843" spans="7:16" s="1634" customFormat="1">
      <c r="G34843" s="3336"/>
      <c r="P34843" s="3337"/>
    </row>
    <row r="34844" spans="7:16" s="1634" customFormat="1">
      <c r="G34844" s="3336"/>
      <c r="P34844" s="3337"/>
    </row>
    <row r="34845" spans="7:16" s="1634" customFormat="1">
      <c r="G34845" s="3336"/>
      <c r="P34845" s="3337"/>
    </row>
    <row r="34846" spans="7:16" s="1634" customFormat="1">
      <c r="G34846" s="3336"/>
      <c r="P34846" s="3337"/>
    </row>
    <row r="34847" spans="7:16" s="1634" customFormat="1">
      <c r="G34847" s="3336"/>
      <c r="P34847" s="3337"/>
    </row>
    <row r="34848" spans="7:16" s="1634" customFormat="1">
      <c r="G34848" s="3336"/>
      <c r="P34848" s="3337"/>
    </row>
    <row r="34849" spans="7:16" s="1634" customFormat="1">
      <c r="G34849" s="3336"/>
      <c r="P34849" s="3337"/>
    </row>
    <row r="34850" spans="7:16" s="1634" customFormat="1">
      <c r="G34850" s="3336"/>
      <c r="P34850" s="3337"/>
    </row>
    <row r="34851" spans="7:16" s="1634" customFormat="1">
      <c r="G34851" s="3336"/>
      <c r="P34851" s="3337"/>
    </row>
    <row r="34852" spans="7:16" s="1634" customFormat="1">
      <c r="G34852" s="3336"/>
      <c r="P34852" s="3337"/>
    </row>
    <row r="34853" spans="7:16" s="1634" customFormat="1">
      <c r="G34853" s="3336"/>
      <c r="P34853" s="3337"/>
    </row>
    <row r="34854" spans="7:16" s="1634" customFormat="1">
      <c r="G34854" s="3336"/>
      <c r="P34854" s="3337"/>
    </row>
    <row r="34855" spans="7:16" s="1634" customFormat="1">
      <c r="G34855" s="3336"/>
      <c r="P34855" s="3337"/>
    </row>
    <row r="34856" spans="7:16" s="1634" customFormat="1">
      <c r="G34856" s="3336"/>
      <c r="P34856" s="3337"/>
    </row>
    <row r="34857" spans="7:16" s="1634" customFormat="1">
      <c r="G34857" s="3336"/>
      <c r="P34857" s="3337"/>
    </row>
    <row r="34858" spans="7:16" s="1634" customFormat="1">
      <c r="G34858" s="3336"/>
      <c r="P34858" s="3337"/>
    </row>
    <row r="34859" spans="7:16" s="1634" customFormat="1">
      <c r="G34859" s="3336"/>
      <c r="P34859" s="3337"/>
    </row>
    <row r="34860" spans="7:16" s="1634" customFormat="1">
      <c r="G34860" s="3336"/>
      <c r="P34860" s="3337"/>
    </row>
    <row r="34861" spans="7:16" s="1634" customFormat="1">
      <c r="G34861" s="3336"/>
      <c r="P34861" s="3337"/>
    </row>
    <row r="34862" spans="7:16" s="1634" customFormat="1">
      <c r="G34862" s="3336"/>
      <c r="P34862" s="3337"/>
    </row>
    <row r="34863" spans="7:16" s="1634" customFormat="1">
      <c r="G34863" s="3336"/>
      <c r="P34863" s="3337"/>
    </row>
    <row r="34864" spans="7:16" s="1634" customFormat="1">
      <c r="G34864" s="3336"/>
      <c r="P34864" s="3337"/>
    </row>
    <row r="34865" spans="7:16" s="1634" customFormat="1">
      <c r="G34865" s="3336"/>
      <c r="P34865" s="3337"/>
    </row>
    <row r="34866" spans="7:16" s="1634" customFormat="1">
      <c r="G34866" s="3336"/>
      <c r="P34866" s="3337"/>
    </row>
    <row r="34867" spans="7:16" s="1634" customFormat="1">
      <c r="G34867" s="3336"/>
      <c r="P34867" s="3337"/>
    </row>
    <row r="34868" spans="7:16" s="1634" customFormat="1">
      <c r="G34868" s="3336"/>
      <c r="P34868" s="3337"/>
    </row>
    <row r="34869" spans="7:16" s="1634" customFormat="1">
      <c r="G34869" s="3336"/>
      <c r="P34869" s="3337"/>
    </row>
    <row r="34870" spans="7:16" s="1634" customFormat="1">
      <c r="G34870" s="3336"/>
      <c r="P34870" s="3337"/>
    </row>
    <row r="34871" spans="7:16" s="1634" customFormat="1">
      <c r="G34871" s="3336"/>
      <c r="P34871" s="3337"/>
    </row>
    <row r="34872" spans="7:16" s="1634" customFormat="1">
      <c r="G34872" s="3336"/>
      <c r="P34872" s="3337"/>
    </row>
    <row r="34873" spans="7:16" s="1634" customFormat="1">
      <c r="G34873" s="3336"/>
      <c r="P34873" s="3337"/>
    </row>
    <row r="34874" spans="7:16" s="1634" customFormat="1">
      <c r="G34874" s="3336"/>
      <c r="P34874" s="3337"/>
    </row>
    <row r="34875" spans="7:16" s="1634" customFormat="1">
      <c r="G34875" s="3336"/>
      <c r="P34875" s="3337"/>
    </row>
    <row r="34876" spans="7:16" s="1634" customFormat="1">
      <c r="G34876" s="3336"/>
      <c r="P34876" s="3337"/>
    </row>
    <row r="34877" spans="7:16" s="1634" customFormat="1">
      <c r="G34877" s="3336"/>
      <c r="P34877" s="3337"/>
    </row>
    <row r="34878" spans="7:16" s="1634" customFormat="1">
      <c r="G34878" s="3336"/>
      <c r="P34878" s="3337"/>
    </row>
    <row r="34879" spans="7:16" s="1634" customFormat="1">
      <c r="G34879" s="3336"/>
      <c r="P34879" s="3337"/>
    </row>
    <row r="34880" spans="7:16" s="1634" customFormat="1">
      <c r="G34880" s="3336"/>
      <c r="P34880" s="3337"/>
    </row>
    <row r="34881" spans="7:16" s="1634" customFormat="1">
      <c r="G34881" s="3336"/>
      <c r="P34881" s="3337"/>
    </row>
    <row r="34882" spans="7:16" s="1634" customFormat="1">
      <c r="G34882" s="3336"/>
      <c r="P34882" s="3337"/>
    </row>
    <row r="34883" spans="7:16" s="1634" customFormat="1">
      <c r="G34883" s="3336"/>
      <c r="P34883" s="3337"/>
    </row>
    <row r="34884" spans="7:16" s="1634" customFormat="1">
      <c r="G34884" s="3336"/>
      <c r="P34884" s="3337"/>
    </row>
    <row r="34885" spans="7:16" s="1634" customFormat="1">
      <c r="G34885" s="3336"/>
      <c r="P34885" s="3337"/>
    </row>
    <row r="34886" spans="7:16" s="1634" customFormat="1">
      <c r="G34886" s="3336"/>
      <c r="P34886" s="3337"/>
    </row>
    <row r="34887" spans="7:16" s="1634" customFormat="1">
      <c r="G34887" s="3336"/>
      <c r="P34887" s="3337"/>
    </row>
    <row r="34888" spans="7:16" s="1634" customFormat="1">
      <c r="G34888" s="3336"/>
      <c r="P34888" s="3337"/>
    </row>
    <row r="34889" spans="7:16" s="1634" customFormat="1">
      <c r="G34889" s="3336"/>
      <c r="P34889" s="3337"/>
    </row>
    <row r="34890" spans="7:16" s="1634" customFormat="1">
      <c r="G34890" s="3336"/>
      <c r="P34890" s="3337"/>
    </row>
    <row r="34891" spans="7:16" s="1634" customFormat="1">
      <c r="G34891" s="3336"/>
      <c r="P34891" s="3337"/>
    </row>
    <row r="34892" spans="7:16" s="1634" customFormat="1">
      <c r="G34892" s="3336"/>
      <c r="P34892" s="3337"/>
    </row>
    <row r="34893" spans="7:16" s="1634" customFormat="1">
      <c r="G34893" s="3336"/>
      <c r="P34893" s="3337"/>
    </row>
    <row r="34894" spans="7:16" s="1634" customFormat="1">
      <c r="G34894" s="3336"/>
      <c r="P34894" s="3337"/>
    </row>
    <row r="34895" spans="7:16" s="1634" customFormat="1">
      <c r="G34895" s="3336"/>
      <c r="P34895" s="3337"/>
    </row>
    <row r="34896" spans="7:16" s="1634" customFormat="1">
      <c r="G34896" s="3336"/>
      <c r="P34896" s="3337"/>
    </row>
    <row r="34897" spans="7:16" s="1634" customFormat="1">
      <c r="G34897" s="3336"/>
      <c r="P34897" s="3337"/>
    </row>
    <row r="34898" spans="7:16" s="1634" customFormat="1">
      <c r="G34898" s="3336"/>
      <c r="P34898" s="3337"/>
    </row>
    <row r="34899" spans="7:16" s="1634" customFormat="1">
      <c r="G34899" s="3336"/>
      <c r="P34899" s="3337"/>
    </row>
    <row r="34900" spans="7:16" s="1634" customFormat="1">
      <c r="G34900" s="3336"/>
      <c r="P34900" s="3337"/>
    </row>
    <row r="34901" spans="7:16" s="1634" customFormat="1">
      <c r="G34901" s="3336"/>
      <c r="P34901" s="3337"/>
    </row>
    <row r="34902" spans="7:16" s="1634" customFormat="1">
      <c r="G34902" s="3336"/>
      <c r="P34902" s="3337"/>
    </row>
    <row r="34903" spans="7:16" s="1634" customFormat="1">
      <c r="G34903" s="3336"/>
      <c r="P34903" s="3337"/>
    </row>
    <row r="34904" spans="7:16" s="1634" customFormat="1">
      <c r="G34904" s="3336"/>
      <c r="P34904" s="3337"/>
    </row>
    <row r="34905" spans="7:16" s="1634" customFormat="1">
      <c r="G34905" s="3336"/>
      <c r="P34905" s="3337"/>
    </row>
    <row r="34906" spans="7:16" s="1634" customFormat="1">
      <c r="G34906" s="3336"/>
      <c r="P34906" s="3337"/>
    </row>
    <row r="34907" spans="7:16" s="1634" customFormat="1">
      <c r="G34907" s="3336"/>
      <c r="P34907" s="3337"/>
    </row>
    <row r="34908" spans="7:16" s="1634" customFormat="1">
      <c r="G34908" s="3336"/>
      <c r="P34908" s="3337"/>
    </row>
    <row r="34909" spans="7:16" s="1634" customFormat="1">
      <c r="G34909" s="3336"/>
      <c r="P34909" s="3337"/>
    </row>
    <row r="34910" spans="7:16" s="1634" customFormat="1">
      <c r="G34910" s="3336"/>
      <c r="P34910" s="3337"/>
    </row>
    <row r="34911" spans="7:16" s="1634" customFormat="1">
      <c r="G34911" s="3336"/>
      <c r="P34911" s="3337"/>
    </row>
    <row r="34912" spans="7:16" s="1634" customFormat="1">
      <c r="G34912" s="3336"/>
      <c r="P34912" s="3337"/>
    </row>
    <row r="34913" spans="7:16" s="1634" customFormat="1">
      <c r="G34913" s="3336"/>
      <c r="P34913" s="3337"/>
    </row>
    <row r="34914" spans="7:16" s="1634" customFormat="1">
      <c r="G34914" s="3336"/>
      <c r="P34914" s="3337"/>
    </row>
    <row r="34915" spans="7:16" s="1634" customFormat="1">
      <c r="G34915" s="3336"/>
      <c r="P34915" s="3337"/>
    </row>
    <row r="34916" spans="7:16" s="1634" customFormat="1">
      <c r="G34916" s="3336"/>
      <c r="P34916" s="3337"/>
    </row>
    <row r="34917" spans="7:16" s="1634" customFormat="1">
      <c r="G34917" s="3336"/>
      <c r="P34917" s="3337"/>
    </row>
    <row r="34918" spans="7:16" s="1634" customFormat="1">
      <c r="G34918" s="3336"/>
      <c r="P34918" s="3337"/>
    </row>
    <row r="34919" spans="7:16" s="1634" customFormat="1">
      <c r="G34919" s="3336"/>
      <c r="P34919" s="3337"/>
    </row>
    <row r="34920" spans="7:16" s="1634" customFormat="1">
      <c r="G34920" s="3336"/>
      <c r="P34920" s="3337"/>
    </row>
    <row r="34921" spans="7:16" s="1634" customFormat="1">
      <c r="G34921" s="3336"/>
      <c r="P34921" s="3337"/>
    </row>
    <row r="34922" spans="7:16" s="1634" customFormat="1">
      <c r="G34922" s="3336"/>
      <c r="P34922" s="3337"/>
    </row>
    <row r="34923" spans="7:16" s="1634" customFormat="1">
      <c r="G34923" s="3336"/>
      <c r="P34923" s="3337"/>
    </row>
    <row r="34924" spans="7:16" s="1634" customFormat="1">
      <c r="G34924" s="3336"/>
      <c r="P34924" s="3337"/>
    </row>
    <row r="34925" spans="7:16" s="1634" customFormat="1">
      <c r="G34925" s="3336"/>
      <c r="P34925" s="3337"/>
    </row>
    <row r="34926" spans="7:16" s="1634" customFormat="1">
      <c r="G34926" s="3336"/>
      <c r="P34926" s="3337"/>
    </row>
    <row r="34927" spans="7:16" s="1634" customFormat="1">
      <c r="G34927" s="3336"/>
      <c r="P34927" s="3337"/>
    </row>
    <row r="34928" spans="7:16" s="1634" customFormat="1">
      <c r="G34928" s="3336"/>
      <c r="P34928" s="3337"/>
    </row>
    <row r="34929" spans="7:16" s="1634" customFormat="1">
      <c r="G34929" s="3336"/>
      <c r="P34929" s="3337"/>
    </row>
    <row r="34930" spans="7:16" s="1634" customFormat="1">
      <c r="G34930" s="3336"/>
      <c r="P34930" s="3337"/>
    </row>
    <row r="34931" spans="7:16" s="1634" customFormat="1">
      <c r="G34931" s="3336"/>
      <c r="P34931" s="3337"/>
    </row>
    <row r="34932" spans="7:16" s="1634" customFormat="1">
      <c r="G34932" s="3336"/>
      <c r="P34932" s="3337"/>
    </row>
    <row r="34933" spans="7:16" s="1634" customFormat="1">
      <c r="G34933" s="3336"/>
      <c r="P34933" s="3337"/>
    </row>
    <row r="34934" spans="7:16" s="1634" customFormat="1">
      <c r="G34934" s="3336"/>
      <c r="P34934" s="3337"/>
    </row>
    <row r="34935" spans="7:16" s="1634" customFormat="1">
      <c r="G34935" s="3336"/>
      <c r="P34935" s="3337"/>
    </row>
    <row r="34936" spans="7:16" s="1634" customFormat="1">
      <c r="G34936" s="3336"/>
      <c r="P34936" s="3337"/>
    </row>
    <row r="34937" spans="7:16" s="1634" customFormat="1">
      <c r="G34937" s="3336"/>
      <c r="P34937" s="3337"/>
    </row>
    <row r="34938" spans="7:16" s="1634" customFormat="1">
      <c r="G34938" s="3336"/>
      <c r="P34938" s="3337"/>
    </row>
    <row r="34939" spans="7:16" s="1634" customFormat="1">
      <c r="G34939" s="3336"/>
      <c r="P34939" s="3337"/>
    </row>
    <row r="34940" spans="7:16" s="1634" customFormat="1">
      <c r="G34940" s="3336"/>
      <c r="P34940" s="3337"/>
    </row>
    <row r="34941" spans="7:16" s="1634" customFormat="1">
      <c r="G34941" s="3336"/>
      <c r="P34941" s="3337"/>
    </row>
    <row r="34942" spans="7:16" s="1634" customFormat="1">
      <c r="G34942" s="3336"/>
      <c r="P34942" s="3337"/>
    </row>
    <row r="34943" spans="7:16" s="1634" customFormat="1">
      <c r="G34943" s="3336"/>
      <c r="P34943" s="3337"/>
    </row>
    <row r="34944" spans="7:16" s="1634" customFormat="1">
      <c r="G34944" s="3336"/>
      <c r="P34944" s="3337"/>
    </row>
    <row r="34945" spans="7:16" s="1634" customFormat="1">
      <c r="G34945" s="3336"/>
      <c r="P34945" s="3337"/>
    </row>
    <row r="34946" spans="7:16" s="1634" customFormat="1">
      <c r="G34946" s="3336"/>
      <c r="P34946" s="3337"/>
    </row>
    <row r="34947" spans="7:16" s="1634" customFormat="1">
      <c r="G34947" s="3336"/>
      <c r="P34947" s="3337"/>
    </row>
    <row r="34948" spans="7:16" s="1634" customFormat="1">
      <c r="G34948" s="3336"/>
      <c r="P34948" s="3337"/>
    </row>
    <row r="34949" spans="7:16" s="1634" customFormat="1">
      <c r="G34949" s="3336"/>
      <c r="P34949" s="3337"/>
    </row>
    <row r="34950" spans="7:16" s="1634" customFormat="1">
      <c r="G34950" s="3336"/>
      <c r="P34950" s="3337"/>
    </row>
    <row r="34951" spans="7:16" s="1634" customFormat="1">
      <c r="G34951" s="3336"/>
      <c r="P34951" s="3337"/>
    </row>
    <row r="34952" spans="7:16" s="1634" customFormat="1">
      <c r="G34952" s="3336"/>
      <c r="P34952" s="3337"/>
    </row>
    <row r="34953" spans="7:16" s="1634" customFormat="1">
      <c r="G34953" s="3336"/>
      <c r="P34953" s="3337"/>
    </row>
    <row r="34954" spans="7:16" s="1634" customFormat="1">
      <c r="G34954" s="3336"/>
      <c r="P34954" s="3337"/>
    </row>
    <row r="34955" spans="7:16" s="1634" customFormat="1">
      <c r="G34955" s="3336"/>
      <c r="P34955" s="3337"/>
    </row>
    <row r="34956" spans="7:16" s="1634" customFormat="1">
      <c r="G34956" s="3336"/>
      <c r="P34956" s="3337"/>
    </row>
    <row r="34957" spans="7:16" s="1634" customFormat="1">
      <c r="G34957" s="3336"/>
      <c r="P34957" s="3337"/>
    </row>
    <row r="34958" spans="7:16" s="1634" customFormat="1">
      <c r="G34958" s="3336"/>
      <c r="P34958" s="3337"/>
    </row>
    <row r="34959" spans="7:16" s="1634" customFormat="1">
      <c r="G34959" s="3336"/>
      <c r="P34959" s="3337"/>
    </row>
    <row r="34960" spans="7:16" s="1634" customFormat="1">
      <c r="G34960" s="3336"/>
      <c r="P34960" s="3337"/>
    </row>
    <row r="34961" spans="7:16" s="1634" customFormat="1">
      <c r="G34961" s="3336"/>
      <c r="P34961" s="3337"/>
    </row>
    <row r="34962" spans="7:16" s="1634" customFormat="1">
      <c r="G34962" s="3336"/>
      <c r="P34962" s="3337"/>
    </row>
    <row r="34963" spans="7:16" s="1634" customFormat="1">
      <c r="G34963" s="3336"/>
      <c r="P34963" s="3337"/>
    </row>
    <row r="34964" spans="7:16" s="1634" customFormat="1">
      <c r="G34964" s="3336"/>
      <c r="P34964" s="3337"/>
    </row>
    <row r="34965" spans="7:16" s="1634" customFormat="1">
      <c r="G34965" s="3336"/>
      <c r="P34965" s="3337"/>
    </row>
    <row r="34966" spans="7:16" s="1634" customFormat="1">
      <c r="G34966" s="3336"/>
      <c r="P34966" s="3337"/>
    </row>
    <row r="34967" spans="7:16" s="1634" customFormat="1">
      <c r="G34967" s="3336"/>
      <c r="P34967" s="3337"/>
    </row>
    <row r="34968" spans="7:16" s="1634" customFormat="1">
      <c r="G34968" s="3336"/>
      <c r="P34968" s="3337"/>
    </row>
    <row r="34969" spans="7:16" s="1634" customFormat="1">
      <c r="G34969" s="3336"/>
      <c r="P34969" s="3337"/>
    </row>
    <row r="34970" spans="7:16" s="1634" customFormat="1">
      <c r="G34970" s="3336"/>
      <c r="P34970" s="3337"/>
    </row>
    <row r="34971" spans="7:16" s="1634" customFormat="1">
      <c r="G34971" s="3336"/>
      <c r="P34971" s="3337"/>
    </row>
    <row r="34972" spans="7:16" s="1634" customFormat="1">
      <c r="G34972" s="3336"/>
      <c r="P34972" s="3337"/>
    </row>
    <row r="34973" spans="7:16" s="1634" customFormat="1">
      <c r="G34973" s="3336"/>
      <c r="P34973" s="3337"/>
    </row>
    <row r="34974" spans="7:16" s="1634" customFormat="1">
      <c r="G34974" s="3336"/>
      <c r="P34974" s="3337"/>
    </row>
    <row r="34975" spans="7:16" s="1634" customFormat="1">
      <c r="G34975" s="3336"/>
      <c r="P34975" s="3337"/>
    </row>
    <row r="34976" spans="7:16" s="1634" customFormat="1">
      <c r="G34976" s="3336"/>
      <c r="P34976" s="3337"/>
    </row>
    <row r="34977" spans="7:16" s="1634" customFormat="1">
      <c r="G34977" s="3336"/>
      <c r="P34977" s="3337"/>
    </row>
    <row r="34978" spans="7:16" s="1634" customFormat="1">
      <c r="G34978" s="3336"/>
      <c r="P34978" s="3337"/>
    </row>
    <row r="34979" spans="7:16" s="1634" customFormat="1">
      <c r="G34979" s="3336"/>
      <c r="P34979" s="3337"/>
    </row>
    <row r="34980" spans="7:16" s="1634" customFormat="1">
      <c r="G34980" s="3336"/>
      <c r="P34980" s="3337"/>
    </row>
    <row r="34981" spans="7:16" s="1634" customFormat="1">
      <c r="G34981" s="3336"/>
      <c r="P34981" s="3337"/>
    </row>
    <row r="34982" spans="7:16" s="1634" customFormat="1">
      <c r="G34982" s="3336"/>
      <c r="P34982" s="3337"/>
    </row>
    <row r="34983" spans="7:16" s="1634" customFormat="1">
      <c r="G34983" s="3336"/>
      <c r="P34983" s="3337"/>
    </row>
    <row r="34984" spans="7:16" s="1634" customFormat="1">
      <c r="G34984" s="3336"/>
      <c r="P34984" s="3337"/>
    </row>
    <row r="34985" spans="7:16" s="1634" customFormat="1">
      <c r="G34985" s="3336"/>
      <c r="P34985" s="3337"/>
    </row>
    <row r="34986" spans="7:16" s="1634" customFormat="1">
      <c r="G34986" s="3336"/>
      <c r="P34986" s="3337"/>
    </row>
    <row r="34987" spans="7:16" s="1634" customFormat="1">
      <c r="G34987" s="3336"/>
      <c r="P34987" s="3337"/>
    </row>
    <row r="34988" spans="7:16" s="1634" customFormat="1">
      <c r="G34988" s="3336"/>
      <c r="P34988" s="3337"/>
    </row>
    <row r="34989" spans="7:16" s="1634" customFormat="1">
      <c r="G34989" s="3336"/>
      <c r="P34989" s="3337"/>
    </row>
    <row r="34990" spans="7:16" s="1634" customFormat="1">
      <c r="G34990" s="3336"/>
      <c r="P34990" s="3337"/>
    </row>
    <row r="34991" spans="7:16" s="1634" customFormat="1">
      <c r="G34991" s="3336"/>
      <c r="P34991" s="3337"/>
    </row>
    <row r="34992" spans="7:16" s="1634" customFormat="1">
      <c r="G34992" s="3336"/>
      <c r="P34992" s="3337"/>
    </row>
    <row r="34993" spans="7:16" s="1634" customFormat="1">
      <c r="G34993" s="3336"/>
      <c r="P34993" s="3337"/>
    </row>
    <row r="34994" spans="7:16" s="1634" customFormat="1">
      <c r="G34994" s="3336"/>
      <c r="P34994" s="3337"/>
    </row>
    <row r="34995" spans="7:16" s="1634" customFormat="1">
      <c r="G34995" s="3336"/>
      <c r="P34995" s="3337"/>
    </row>
    <row r="34996" spans="7:16" s="1634" customFormat="1">
      <c r="G34996" s="3336"/>
      <c r="P34996" s="3337"/>
    </row>
    <row r="34997" spans="7:16" s="1634" customFormat="1">
      <c r="G34997" s="3336"/>
      <c r="P34997" s="3337"/>
    </row>
    <row r="34998" spans="7:16" s="1634" customFormat="1">
      <c r="G34998" s="3336"/>
      <c r="P34998" s="3337"/>
    </row>
    <row r="34999" spans="7:16" s="1634" customFormat="1">
      <c r="G34999" s="3336"/>
      <c r="P34999" s="3337"/>
    </row>
    <row r="35000" spans="7:16" s="1634" customFormat="1">
      <c r="G35000" s="3336"/>
      <c r="P35000" s="3337"/>
    </row>
    <row r="35001" spans="7:16" s="1634" customFormat="1">
      <c r="G35001" s="3336"/>
      <c r="P35001" s="3337"/>
    </row>
    <row r="35002" spans="7:16" s="1634" customFormat="1">
      <c r="G35002" s="3336"/>
      <c r="P35002" s="3337"/>
    </row>
    <row r="35003" spans="7:16" s="1634" customFormat="1">
      <c r="G35003" s="3336"/>
      <c r="P35003" s="3337"/>
    </row>
    <row r="35004" spans="7:16" s="1634" customFormat="1">
      <c r="G35004" s="3336"/>
      <c r="P35004" s="3337"/>
    </row>
    <row r="35005" spans="7:16" s="1634" customFormat="1">
      <c r="G35005" s="3336"/>
      <c r="P35005" s="3337"/>
    </row>
    <row r="35006" spans="7:16" s="1634" customFormat="1">
      <c r="G35006" s="3336"/>
      <c r="P35006" s="3337"/>
    </row>
    <row r="35007" spans="7:16" s="1634" customFormat="1">
      <c r="G35007" s="3336"/>
      <c r="P35007" s="3337"/>
    </row>
    <row r="35008" spans="7:16" s="1634" customFormat="1">
      <c r="G35008" s="3336"/>
      <c r="P35008" s="3337"/>
    </row>
    <row r="35009" spans="7:16" s="1634" customFormat="1">
      <c r="G35009" s="3336"/>
      <c r="P35009" s="3337"/>
    </row>
    <row r="35010" spans="7:16" s="1634" customFormat="1">
      <c r="G35010" s="3336"/>
      <c r="P35010" s="3337"/>
    </row>
    <row r="35011" spans="7:16" s="1634" customFormat="1">
      <c r="G35011" s="3336"/>
      <c r="P35011" s="3337"/>
    </row>
    <row r="35012" spans="7:16" s="1634" customFormat="1">
      <c r="G35012" s="3336"/>
      <c r="P35012" s="3337"/>
    </row>
    <row r="35013" spans="7:16" s="1634" customFormat="1">
      <c r="G35013" s="3336"/>
      <c r="P35013" s="3337"/>
    </row>
    <row r="35014" spans="7:16" s="1634" customFormat="1">
      <c r="G35014" s="3336"/>
      <c r="P35014" s="3337"/>
    </row>
    <row r="35015" spans="7:16" s="1634" customFormat="1">
      <c r="G35015" s="3336"/>
      <c r="P35015" s="3337"/>
    </row>
    <row r="35016" spans="7:16" s="1634" customFormat="1">
      <c r="G35016" s="3336"/>
      <c r="P35016" s="3337"/>
    </row>
    <row r="35017" spans="7:16" s="1634" customFormat="1">
      <c r="G35017" s="3336"/>
      <c r="P35017" s="3337"/>
    </row>
    <row r="35018" spans="7:16" s="1634" customFormat="1">
      <c r="G35018" s="3336"/>
      <c r="P35018" s="3337"/>
    </row>
    <row r="35019" spans="7:16" s="1634" customFormat="1">
      <c r="G35019" s="3336"/>
      <c r="P35019" s="3337"/>
    </row>
    <row r="35020" spans="7:16" s="1634" customFormat="1">
      <c r="G35020" s="3336"/>
      <c r="P35020" s="3337"/>
    </row>
    <row r="35021" spans="7:16" s="1634" customFormat="1">
      <c r="G35021" s="3336"/>
      <c r="P35021" s="3337"/>
    </row>
    <row r="35022" spans="7:16" s="1634" customFormat="1">
      <c r="G35022" s="3336"/>
      <c r="P35022" s="3337"/>
    </row>
    <row r="35023" spans="7:16" s="1634" customFormat="1">
      <c r="G35023" s="3336"/>
      <c r="P35023" s="3337"/>
    </row>
    <row r="35024" spans="7:16" s="1634" customFormat="1">
      <c r="G35024" s="3336"/>
      <c r="P35024" s="3337"/>
    </row>
    <row r="35025" spans="7:16" s="1634" customFormat="1">
      <c r="G35025" s="3336"/>
      <c r="P35025" s="3337"/>
    </row>
    <row r="35026" spans="7:16" s="1634" customFormat="1">
      <c r="G35026" s="3336"/>
      <c r="P35026" s="3337"/>
    </row>
    <row r="35027" spans="7:16" s="1634" customFormat="1">
      <c r="G35027" s="3336"/>
      <c r="P35027" s="3337"/>
    </row>
    <row r="35028" spans="7:16" s="1634" customFormat="1">
      <c r="G35028" s="3336"/>
      <c r="P35028" s="3337"/>
    </row>
    <row r="35029" spans="7:16" s="1634" customFormat="1">
      <c r="G35029" s="3336"/>
      <c r="P35029" s="3337"/>
    </row>
    <row r="35030" spans="7:16" s="1634" customFormat="1">
      <c r="G35030" s="3336"/>
      <c r="P35030" s="3337"/>
    </row>
    <row r="35031" spans="7:16" s="1634" customFormat="1">
      <c r="G35031" s="3336"/>
      <c r="P35031" s="3337"/>
    </row>
    <row r="35032" spans="7:16" s="1634" customFormat="1">
      <c r="G35032" s="3336"/>
      <c r="P35032" s="3337"/>
    </row>
    <row r="35033" spans="7:16" s="1634" customFormat="1">
      <c r="G35033" s="3336"/>
      <c r="P35033" s="3337"/>
    </row>
    <row r="35034" spans="7:16" s="1634" customFormat="1">
      <c r="G35034" s="3336"/>
      <c r="P35034" s="3337"/>
    </row>
    <row r="35035" spans="7:16" s="1634" customFormat="1">
      <c r="G35035" s="3336"/>
      <c r="P35035" s="3337"/>
    </row>
    <row r="35036" spans="7:16" s="1634" customFormat="1">
      <c r="G35036" s="3336"/>
      <c r="P35036" s="3337"/>
    </row>
    <row r="35037" spans="7:16" s="1634" customFormat="1">
      <c r="G35037" s="3336"/>
      <c r="P35037" s="3337"/>
    </row>
    <row r="35038" spans="7:16" s="1634" customFormat="1">
      <c r="G35038" s="3336"/>
      <c r="P35038" s="3337"/>
    </row>
    <row r="35039" spans="7:16" s="1634" customFormat="1">
      <c r="G35039" s="3336"/>
      <c r="P35039" s="3337"/>
    </row>
    <row r="35040" spans="7:16" s="1634" customFormat="1">
      <c r="G35040" s="3336"/>
      <c r="P35040" s="3337"/>
    </row>
    <row r="35041" spans="7:16" s="1634" customFormat="1">
      <c r="G35041" s="3336"/>
      <c r="P35041" s="3337"/>
    </row>
    <row r="35042" spans="7:16" s="1634" customFormat="1">
      <c r="G35042" s="3336"/>
      <c r="P35042" s="3337"/>
    </row>
    <row r="35043" spans="7:16" s="1634" customFormat="1">
      <c r="G35043" s="3336"/>
      <c r="P35043" s="3337"/>
    </row>
    <row r="35044" spans="7:16" s="1634" customFormat="1">
      <c r="G35044" s="3336"/>
      <c r="P35044" s="3337"/>
    </row>
    <row r="35045" spans="7:16" s="1634" customFormat="1">
      <c r="G35045" s="3336"/>
      <c r="P35045" s="3337"/>
    </row>
    <row r="35046" spans="7:16" s="1634" customFormat="1">
      <c r="G35046" s="3336"/>
      <c r="P35046" s="3337"/>
    </row>
    <row r="35047" spans="7:16" s="1634" customFormat="1">
      <c r="G35047" s="3336"/>
      <c r="P35047" s="3337"/>
    </row>
    <row r="35048" spans="7:16" s="1634" customFormat="1">
      <c r="G35048" s="3336"/>
      <c r="P35048" s="3337"/>
    </row>
    <row r="35049" spans="7:16" s="1634" customFormat="1">
      <c r="G35049" s="3336"/>
      <c r="P35049" s="3337"/>
    </row>
    <row r="35050" spans="7:16" s="1634" customFormat="1">
      <c r="G35050" s="3336"/>
      <c r="P35050" s="3337"/>
    </row>
    <row r="35051" spans="7:16" s="1634" customFormat="1">
      <c r="G35051" s="3336"/>
      <c r="P35051" s="3337"/>
    </row>
    <row r="35052" spans="7:16" s="1634" customFormat="1">
      <c r="G35052" s="3336"/>
      <c r="P35052" s="3337"/>
    </row>
    <row r="35053" spans="7:16" s="1634" customFormat="1">
      <c r="G35053" s="3336"/>
      <c r="P35053" s="3337"/>
    </row>
    <row r="35054" spans="7:16" s="1634" customFormat="1">
      <c r="G35054" s="3336"/>
      <c r="P35054" s="3337"/>
    </row>
    <row r="35055" spans="7:16" s="1634" customFormat="1">
      <c r="G35055" s="3336"/>
      <c r="P35055" s="3337"/>
    </row>
    <row r="35056" spans="7:16" s="1634" customFormat="1">
      <c r="G35056" s="3336"/>
      <c r="P35056" s="3337"/>
    </row>
    <row r="35057" spans="7:16" s="1634" customFormat="1">
      <c r="G35057" s="3336"/>
      <c r="P35057" s="3337"/>
    </row>
    <row r="35058" spans="7:16" s="1634" customFormat="1">
      <c r="G35058" s="3336"/>
      <c r="P35058" s="3337"/>
    </row>
    <row r="35059" spans="7:16" s="1634" customFormat="1">
      <c r="G35059" s="3336"/>
      <c r="P35059" s="3337"/>
    </row>
    <row r="35060" spans="7:16" s="1634" customFormat="1">
      <c r="G35060" s="3336"/>
      <c r="P35060" s="3337"/>
    </row>
    <row r="35061" spans="7:16" s="1634" customFormat="1">
      <c r="G35061" s="3336"/>
      <c r="P35061" s="3337"/>
    </row>
    <row r="35062" spans="7:16" s="1634" customFormat="1">
      <c r="G35062" s="3336"/>
      <c r="P35062" s="3337"/>
    </row>
    <row r="35063" spans="7:16" s="1634" customFormat="1">
      <c r="G35063" s="3336"/>
      <c r="P35063" s="3337"/>
    </row>
    <row r="35064" spans="7:16" s="1634" customFormat="1">
      <c r="G35064" s="3336"/>
      <c r="P35064" s="3337"/>
    </row>
    <row r="35065" spans="7:16" s="1634" customFormat="1">
      <c r="G35065" s="3336"/>
      <c r="P35065" s="3337"/>
    </row>
    <row r="35066" spans="7:16" s="1634" customFormat="1">
      <c r="G35066" s="3336"/>
      <c r="P35066" s="3337"/>
    </row>
    <row r="35067" spans="7:16" s="1634" customFormat="1">
      <c r="G35067" s="3336"/>
      <c r="P35067" s="3337"/>
    </row>
    <row r="35068" spans="7:16" s="1634" customFormat="1">
      <c r="G35068" s="3336"/>
      <c r="P35068" s="3337"/>
    </row>
    <row r="35069" spans="7:16" s="1634" customFormat="1">
      <c r="G35069" s="3336"/>
      <c r="P35069" s="3337"/>
    </row>
    <row r="35070" spans="7:16" s="1634" customFormat="1">
      <c r="G35070" s="3336"/>
      <c r="P35070" s="3337"/>
    </row>
    <row r="35071" spans="7:16" s="1634" customFormat="1">
      <c r="G35071" s="3336"/>
      <c r="P35071" s="3337"/>
    </row>
    <row r="35072" spans="7:16" s="1634" customFormat="1">
      <c r="G35072" s="3336"/>
      <c r="P35072" s="3337"/>
    </row>
    <row r="35073" spans="7:16" s="1634" customFormat="1">
      <c r="G35073" s="3336"/>
      <c r="P35073" s="3337"/>
    </row>
    <row r="35074" spans="7:16" s="1634" customFormat="1">
      <c r="G35074" s="3336"/>
      <c r="P35074" s="3337"/>
    </row>
    <row r="35075" spans="7:16" s="1634" customFormat="1">
      <c r="G35075" s="3336"/>
      <c r="P35075" s="3337"/>
    </row>
    <row r="35076" spans="7:16" s="1634" customFormat="1">
      <c r="G35076" s="3336"/>
      <c r="P35076" s="3337"/>
    </row>
    <row r="35077" spans="7:16" s="1634" customFormat="1">
      <c r="G35077" s="3336"/>
      <c r="P35077" s="3337"/>
    </row>
    <row r="35078" spans="7:16" s="1634" customFormat="1">
      <c r="G35078" s="3336"/>
      <c r="P35078" s="3337"/>
    </row>
    <row r="35079" spans="7:16" s="1634" customFormat="1">
      <c r="G35079" s="3336"/>
      <c r="P35079" s="3337"/>
    </row>
    <row r="35080" spans="7:16" s="1634" customFormat="1">
      <c r="G35080" s="3336"/>
      <c r="P35080" s="3337"/>
    </row>
    <row r="35081" spans="7:16" s="1634" customFormat="1">
      <c r="G35081" s="3336"/>
      <c r="P35081" s="3337"/>
    </row>
    <row r="35082" spans="7:16" s="1634" customFormat="1">
      <c r="G35082" s="3336"/>
      <c r="P35082" s="3337"/>
    </row>
    <row r="35083" spans="7:16" s="1634" customFormat="1">
      <c r="G35083" s="3336"/>
      <c r="P35083" s="3337"/>
    </row>
    <row r="35084" spans="7:16" s="1634" customFormat="1">
      <c r="G35084" s="3336"/>
      <c r="P35084" s="3337"/>
    </row>
    <row r="35085" spans="7:16" s="1634" customFormat="1">
      <c r="G35085" s="3336"/>
      <c r="P35085" s="3337"/>
    </row>
    <row r="35086" spans="7:16" s="1634" customFormat="1">
      <c r="G35086" s="3336"/>
      <c r="P35086" s="3337"/>
    </row>
    <row r="35087" spans="7:16" s="1634" customFormat="1">
      <c r="G35087" s="3336"/>
      <c r="P35087" s="3337"/>
    </row>
    <row r="35088" spans="7:16" s="1634" customFormat="1">
      <c r="G35088" s="3336"/>
      <c r="P35088" s="3337"/>
    </row>
    <row r="35089" spans="7:16" s="1634" customFormat="1">
      <c r="G35089" s="3336"/>
      <c r="P35089" s="3337"/>
    </row>
    <row r="35090" spans="7:16" s="1634" customFormat="1">
      <c r="G35090" s="3336"/>
      <c r="P35090" s="3337"/>
    </row>
    <row r="35091" spans="7:16" s="1634" customFormat="1">
      <c r="G35091" s="3336"/>
      <c r="P35091" s="3337"/>
    </row>
    <row r="35092" spans="7:16" s="1634" customFormat="1">
      <c r="G35092" s="3336"/>
      <c r="P35092" s="3337"/>
    </row>
    <row r="35093" spans="7:16" s="1634" customFormat="1">
      <c r="G35093" s="3336"/>
      <c r="P35093" s="3337"/>
    </row>
    <row r="35094" spans="7:16" s="1634" customFormat="1">
      <c r="G35094" s="3336"/>
      <c r="P35094" s="3337"/>
    </row>
    <row r="35095" spans="7:16" s="1634" customFormat="1">
      <c r="G35095" s="3336"/>
      <c r="P35095" s="3337"/>
    </row>
    <row r="35096" spans="7:16" s="1634" customFormat="1">
      <c r="G35096" s="3336"/>
      <c r="P35096" s="3337"/>
    </row>
    <row r="35097" spans="7:16" s="1634" customFormat="1">
      <c r="G35097" s="3336"/>
      <c r="P35097" s="3337"/>
    </row>
    <row r="35098" spans="7:16" s="1634" customFormat="1">
      <c r="G35098" s="3336"/>
      <c r="P35098" s="3337"/>
    </row>
    <row r="35099" spans="7:16" s="1634" customFormat="1">
      <c r="G35099" s="3336"/>
      <c r="P35099" s="3337"/>
    </row>
    <row r="35100" spans="7:16" s="1634" customFormat="1">
      <c r="G35100" s="3336"/>
      <c r="P35100" s="3337"/>
    </row>
    <row r="35101" spans="7:16" s="1634" customFormat="1">
      <c r="G35101" s="3336"/>
      <c r="P35101" s="3337"/>
    </row>
    <row r="35102" spans="7:16" s="1634" customFormat="1">
      <c r="G35102" s="3336"/>
      <c r="P35102" s="3337"/>
    </row>
    <row r="35103" spans="7:16" s="1634" customFormat="1">
      <c r="G35103" s="3336"/>
      <c r="P35103" s="3337"/>
    </row>
    <row r="35104" spans="7:16" s="1634" customFormat="1">
      <c r="G35104" s="3336"/>
      <c r="P35104" s="3337"/>
    </row>
    <row r="35105" spans="7:16" s="1634" customFormat="1">
      <c r="G35105" s="3336"/>
      <c r="P35105" s="3337"/>
    </row>
    <row r="35106" spans="7:16" s="1634" customFormat="1">
      <c r="G35106" s="3336"/>
      <c r="P35106" s="3337"/>
    </row>
    <row r="35107" spans="7:16" s="1634" customFormat="1">
      <c r="G35107" s="3336"/>
      <c r="P35107" s="3337"/>
    </row>
    <row r="35108" spans="7:16" s="1634" customFormat="1">
      <c r="G35108" s="3336"/>
      <c r="P35108" s="3337"/>
    </row>
    <row r="35109" spans="7:16" s="1634" customFormat="1">
      <c r="G35109" s="3336"/>
      <c r="P35109" s="3337"/>
    </row>
    <row r="35110" spans="7:16" s="1634" customFormat="1">
      <c r="G35110" s="3336"/>
      <c r="P35110" s="3337"/>
    </row>
    <row r="35111" spans="7:16" s="1634" customFormat="1">
      <c r="G35111" s="3336"/>
      <c r="P35111" s="3337"/>
    </row>
    <row r="35112" spans="7:16" s="1634" customFormat="1">
      <c r="G35112" s="3336"/>
      <c r="P35112" s="3337"/>
    </row>
    <row r="35113" spans="7:16" s="1634" customFormat="1">
      <c r="G35113" s="3336"/>
      <c r="P35113" s="3337"/>
    </row>
    <row r="35114" spans="7:16" s="1634" customFormat="1">
      <c r="G35114" s="3336"/>
      <c r="P35114" s="3337"/>
    </row>
    <row r="35115" spans="7:16" s="1634" customFormat="1">
      <c r="G35115" s="3336"/>
      <c r="P35115" s="3337"/>
    </row>
    <row r="35116" spans="7:16" s="1634" customFormat="1">
      <c r="G35116" s="3336"/>
      <c r="P35116" s="3337"/>
    </row>
    <row r="35117" spans="7:16" s="1634" customFormat="1">
      <c r="G35117" s="3336"/>
      <c r="P35117" s="3337"/>
    </row>
    <row r="35118" spans="7:16" s="1634" customFormat="1">
      <c r="G35118" s="3336"/>
      <c r="P35118" s="3337"/>
    </row>
    <row r="35119" spans="7:16" s="1634" customFormat="1">
      <c r="G35119" s="3336"/>
      <c r="P35119" s="3337"/>
    </row>
    <row r="35120" spans="7:16" s="1634" customFormat="1">
      <c r="G35120" s="3336"/>
      <c r="P35120" s="3337"/>
    </row>
    <row r="35121" spans="7:16" s="1634" customFormat="1">
      <c r="G35121" s="3336"/>
      <c r="P35121" s="3337"/>
    </row>
    <row r="35122" spans="7:16" s="1634" customFormat="1">
      <c r="G35122" s="3336"/>
      <c r="P35122" s="3337"/>
    </row>
    <row r="35123" spans="7:16" s="1634" customFormat="1">
      <c r="G35123" s="3336"/>
      <c r="P35123" s="3337"/>
    </row>
    <row r="35124" spans="7:16" s="1634" customFormat="1">
      <c r="G35124" s="3336"/>
      <c r="P35124" s="3337"/>
    </row>
    <row r="35125" spans="7:16" s="1634" customFormat="1">
      <c r="G35125" s="3336"/>
      <c r="P35125" s="3337"/>
    </row>
    <row r="35126" spans="7:16" s="1634" customFormat="1">
      <c r="G35126" s="3336"/>
      <c r="P35126" s="3337"/>
    </row>
    <row r="35127" spans="7:16" s="1634" customFormat="1">
      <c r="G35127" s="3336"/>
      <c r="P35127" s="3337"/>
    </row>
    <row r="35128" spans="7:16" s="1634" customFormat="1">
      <c r="G35128" s="3336"/>
      <c r="P35128" s="3337"/>
    </row>
    <row r="35129" spans="7:16" s="1634" customFormat="1">
      <c r="G35129" s="3336"/>
      <c r="P35129" s="3337"/>
    </row>
    <row r="35130" spans="7:16" s="1634" customFormat="1">
      <c r="G35130" s="3336"/>
      <c r="P35130" s="3337"/>
    </row>
    <row r="35131" spans="7:16" s="1634" customFormat="1">
      <c r="G35131" s="3336"/>
      <c r="P35131" s="3337"/>
    </row>
    <row r="35132" spans="7:16" s="1634" customFormat="1">
      <c r="G35132" s="3336"/>
      <c r="P35132" s="3337"/>
    </row>
    <row r="35133" spans="7:16" s="1634" customFormat="1">
      <c r="G35133" s="3336"/>
      <c r="P35133" s="3337"/>
    </row>
    <row r="35134" spans="7:16" s="1634" customFormat="1">
      <c r="G35134" s="3336"/>
      <c r="P35134" s="3337"/>
    </row>
    <row r="35135" spans="7:16" s="1634" customFormat="1">
      <c r="G35135" s="3336"/>
      <c r="P35135" s="3337"/>
    </row>
    <row r="35136" spans="7:16" s="1634" customFormat="1">
      <c r="G35136" s="3336"/>
      <c r="P35136" s="3337"/>
    </row>
    <row r="35137" spans="7:16" s="1634" customFormat="1">
      <c r="G35137" s="3336"/>
      <c r="P35137" s="3337"/>
    </row>
    <row r="35138" spans="7:16" s="1634" customFormat="1">
      <c r="G35138" s="3336"/>
      <c r="P35138" s="3337"/>
    </row>
    <row r="35139" spans="7:16" s="1634" customFormat="1">
      <c r="G35139" s="3336"/>
      <c r="P35139" s="3337"/>
    </row>
    <row r="35140" spans="7:16" s="1634" customFormat="1">
      <c r="G35140" s="3336"/>
      <c r="P35140" s="3337"/>
    </row>
    <row r="35141" spans="7:16" s="1634" customFormat="1">
      <c r="G35141" s="3336"/>
      <c r="P35141" s="3337"/>
    </row>
    <row r="35142" spans="7:16" s="1634" customFormat="1">
      <c r="G35142" s="3336"/>
      <c r="P35142" s="3337"/>
    </row>
    <row r="35143" spans="7:16" s="1634" customFormat="1">
      <c r="G35143" s="3336"/>
      <c r="P35143" s="3337"/>
    </row>
    <row r="35144" spans="7:16" s="1634" customFormat="1">
      <c r="G35144" s="3336"/>
      <c r="P35144" s="3337"/>
    </row>
    <row r="35145" spans="7:16" s="1634" customFormat="1">
      <c r="G35145" s="3336"/>
      <c r="P35145" s="3337"/>
    </row>
    <row r="35146" spans="7:16" s="1634" customFormat="1">
      <c r="G35146" s="3336"/>
      <c r="P35146" s="3337"/>
    </row>
    <row r="35147" spans="7:16" s="1634" customFormat="1">
      <c r="G35147" s="3336"/>
      <c r="P35147" s="3337"/>
    </row>
    <row r="35148" spans="7:16" s="1634" customFormat="1">
      <c r="G35148" s="3336"/>
      <c r="P35148" s="3337"/>
    </row>
    <row r="35149" spans="7:16" s="1634" customFormat="1">
      <c r="G35149" s="3336"/>
      <c r="P35149" s="3337"/>
    </row>
    <row r="35150" spans="7:16" s="1634" customFormat="1">
      <c r="G35150" s="3336"/>
      <c r="P35150" s="3337"/>
    </row>
    <row r="35151" spans="7:16" s="1634" customFormat="1">
      <c r="G35151" s="3336"/>
      <c r="P35151" s="3337"/>
    </row>
    <row r="35152" spans="7:16" s="1634" customFormat="1">
      <c r="G35152" s="3336"/>
      <c r="P35152" s="3337"/>
    </row>
    <row r="35153" spans="7:16" s="1634" customFormat="1">
      <c r="G35153" s="3336"/>
      <c r="P35153" s="3337"/>
    </row>
    <row r="35154" spans="7:16" s="1634" customFormat="1">
      <c r="G35154" s="3336"/>
      <c r="P35154" s="3337"/>
    </row>
    <row r="35155" spans="7:16" s="1634" customFormat="1">
      <c r="G35155" s="3336"/>
      <c r="P35155" s="3337"/>
    </row>
    <row r="35156" spans="7:16" s="1634" customFormat="1">
      <c r="G35156" s="3336"/>
      <c r="P35156" s="3337"/>
    </row>
    <row r="35157" spans="7:16" s="1634" customFormat="1">
      <c r="G35157" s="3336"/>
      <c r="P35157" s="3337"/>
    </row>
    <row r="35158" spans="7:16" s="1634" customFormat="1">
      <c r="G35158" s="3336"/>
      <c r="P35158" s="3337"/>
    </row>
    <row r="35159" spans="7:16" s="1634" customFormat="1">
      <c r="G35159" s="3336"/>
      <c r="P35159" s="3337"/>
    </row>
    <row r="35160" spans="7:16" s="1634" customFormat="1">
      <c r="G35160" s="3336"/>
      <c r="P35160" s="3337"/>
    </row>
    <row r="35161" spans="7:16" s="1634" customFormat="1">
      <c r="G35161" s="3336"/>
      <c r="P35161" s="3337"/>
    </row>
    <row r="35162" spans="7:16" s="1634" customFormat="1">
      <c r="G35162" s="3336"/>
      <c r="P35162" s="3337"/>
    </row>
    <row r="35163" spans="7:16" s="1634" customFormat="1">
      <c r="G35163" s="3336"/>
      <c r="P35163" s="3337"/>
    </row>
    <row r="35164" spans="7:16" s="1634" customFormat="1">
      <c r="G35164" s="3336"/>
      <c r="P35164" s="3337"/>
    </row>
    <row r="35165" spans="7:16" s="1634" customFormat="1">
      <c r="G35165" s="3336"/>
      <c r="P35165" s="3337"/>
    </row>
    <row r="35166" spans="7:16" s="1634" customFormat="1">
      <c r="G35166" s="3336"/>
      <c r="P35166" s="3337"/>
    </row>
    <row r="35167" spans="7:16" s="1634" customFormat="1">
      <c r="G35167" s="3336"/>
      <c r="P35167" s="3337"/>
    </row>
    <row r="35168" spans="7:16" s="1634" customFormat="1">
      <c r="G35168" s="3336"/>
      <c r="P35168" s="3337"/>
    </row>
    <row r="35169" spans="7:16" s="1634" customFormat="1">
      <c r="G35169" s="3336"/>
      <c r="P35169" s="3337"/>
    </row>
    <row r="35170" spans="7:16" s="1634" customFormat="1">
      <c r="G35170" s="3336"/>
      <c r="P35170" s="3337"/>
    </row>
    <row r="35171" spans="7:16" s="1634" customFormat="1">
      <c r="G35171" s="3336"/>
      <c r="P35171" s="3337"/>
    </row>
    <row r="35172" spans="7:16" s="1634" customFormat="1">
      <c r="G35172" s="3336"/>
      <c r="P35172" s="3337"/>
    </row>
    <row r="35173" spans="7:16" s="1634" customFormat="1">
      <c r="G35173" s="3336"/>
      <c r="P35173" s="3337"/>
    </row>
    <row r="35174" spans="7:16" s="1634" customFormat="1">
      <c r="G35174" s="3336"/>
      <c r="P35174" s="3337"/>
    </row>
    <row r="35175" spans="7:16" s="1634" customFormat="1">
      <c r="G35175" s="3336"/>
      <c r="P35175" s="3337"/>
    </row>
    <row r="35176" spans="7:16" s="1634" customFormat="1">
      <c r="G35176" s="3336"/>
      <c r="P35176" s="3337"/>
    </row>
    <row r="35177" spans="7:16" s="1634" customFormat="1">
      <c r="G35177" s="3336"/>
      <c r="P35177" s="3337"/>
    </row>
    <row r="35178" spans="7:16" s="1634" customFormat="1">
      <c r="G35178" s="3336"/>
      <c r="P35178" s="3337"/>
    </row>
    <row r="35179" spans="7:16" s="1634" customFormat="1">
      <c r="G35179" s="3336"/>
      <c r="P35179" s="3337"/>
    </row>
    <row r="35180" spans="7:16" s="1634" customFormat="1">
      <c r="G35180" s="3336"/>
      <c r="P35180" s="3337"/>
    </row>
    <row r="35181" spans="7:16" s="1634" customFormat="1">
      <c r="G35181" s="3336"/>
      <c r="P35181" s="3337"/>
    </row>
    <row r="35182" spans="7:16" s="1634" customFormat="1">
      <c r="G35182" s="3336"/>
      <c r="P35182" s="3337"/>
    </row>
    <row r="35183" spans="7:16" s="1634" customFormat="1">
      <c r="G35183" s="3336"/>
      <c r="P35183" s="3337"/>
    </row>
    <row r="35184" spans="7:16" s="1634" customFormat="1">
      <c r="G35184" s="3336"/>
      <c r="P35184" s="3337"/>
    </row>
    <row r="35185" spans="7:16" s="1634" customFormat="1">
      <c r="G35185" s="3336"/>
      <c r="P35185" s="3337"/>
    </row>
    <row r="35186" spans="7:16" s="1634" customFormat="1">
      <c r="G35186" s="3336"/>
      <c r="P35186" s="3337"/>
    </row>
    <row r="35187" spans="7:16" s="1634" customFormat="1">
      <c r="G35187" s="3336"/>
      <c r="P35187" s="3337"/>
    </row>
    <row r="35188" spans="7:16" s="1634" customFormat="1">
      <c r="G35188" s="3336"/>
      <c r="P35188" s="3337"/>
    </row>
    <row r="35189" spans="7:16" s="1634" customFormat="1">
      <c r="G35189" s="3336"/>
      <c r="P35189" s="3337"/>
    </row>
    <row r="35190" spans="7:16" s="1634" customFormat="1">
      <c r="G35190" s="3336"/>
      <c r="P35190" s="3337"/>
    </row>
    <row r="35191" spans="7:16" s="1634" customFormat="1">
      <c r="G35191" s="3336"/>
      <c r="P35191" s="3337"/>
    </row>
    <row r="35192" spans="7:16" s="1634" customFormat="1">
      <c r="G35192" s="3336"/>
      <c r="P35192" s="3337"/>
    </row>
    <row r="35193" spans="7:16" s="1634" customFormat="1">
      <c r="G35193" s="3336"/>
      <c r="P35193" s="3337"/>
    </row>
    <row r="35194" spans="7:16" s="1634" customFormat="1">
      <c r="G35194" s="3336"/>
      <c r="P35194" s="3337"/>
    </row>
    <row r="35195" spans="7:16" s="1634" customFormat="1">
      <c r="G35195" s="3336"/>
      <c r="P35195" s="3337"/>
    </row>
    <row r="35196" spans="7:16" s="1634" customFormat="1">
      <c r="G35196" s="3336"/>
      <c r="P35196" s="3337"/>
    </row>
    <row r="35197" spans="7:16" s="1634" customFormat="1">
      <c r="G35197" s="3336"/>
      <c r="P35197" s="3337"/>
    </row>
    <row r="35198" spans="7:16" s="1634" customFormat="1">
      <c r="G35198" s="3336"/>
      <c r="P35198" s="3337"/>
    </row>
    <row r="35199" spans="7:16" s="1634" customFormat="1">
      <c r="G35199" s="3336"/>
      <c r="P35199" s="3337"/>
    </row>
    <row r="35200" spans="7:16" s="1634" customFormat="1">
      <c r="G35200" s="3336"/>
      <c r="P35200" s="3337"/>
    </row>
    <row r="35201" spans="7:16" s="1634" customFormat="1">
      <c r="G35201" s="3336"/>
      <c r="P35201" s="3337"/>
    </row>
    <row r="35202" spans="7:16" s="1634" customFormat="1">
      <c r="G35202" s="3336"/>
      <c r="P35202" s="3337"/>
    </row>
    <row r="35203" spans="7:16" s="1634" customFormat="1">
      <c r="G35203" s="3336"/>
      <c r="P35203" s="3337"/>
    </row>
    <row r="35204" spans="7:16" s="1634" customFormat="1">
      <c r="G35204" s="3336"/>
      <c r="P35204" s="3337"/>
    </row>
    <row r="35205" spans="7:16" s="1634" customFormat="1">
      <c r="G35205" s="3336"/>
      <c r="P35205" s="3337"/>
    </row>
    <row r="35206" spans="7:16" s="1634" customFormat="1">
      <c r="G35206" s="3336"/>
      <c r="P35206" s="3337"/>
    </row>
    <row r="35207" spans="7:16" s="1634" customFormat="1">
      <c r="G35207" s="3336"/>
      <c r="P35207" s="3337"/>
    </row>
    <row r="35208" spans="7:16" s="1634" customFormat="1">
      <c r="G35208" s="3336"/>
      <c r="P35208" s="3337"/>
    </row>
    <row r="35209" spans="7:16" s="1634" customFormat="1">
      <c r="G35209" s="3336"/>
      <c r="P35209" s="3337"/>
    </row>
    <row r="35210" spans="7:16" s="1634" customFormat="1">
      <c r="G35210" s="3336"/>
      <c r="P35210" s="3337"/>
    </row>
    <row r="35211" spans="7:16" s="1634" customFormat="1">
      <c r="G35211" s="3336"/>
      <c r="P35211" s="3337"/>
    </row>
    <row r="35212" spans="7:16" s="1634" customFormat="1">
      <c r="G35212" s="3336"/>
      <c r="P35212" s="3337"/>
    </row>
    <row r="35213" spans="7:16" s="1634" customFormat="1">
      <c r="G35213" s="3336"/>
      <c r="P35213" s="3337"/>
    </row>
    <row r="35214" spans="7:16" s="1634" customFormat="1">
      <c r="G35214" s="3336"/>
      <c r="P35214" s="3337"/>
    </row>
    <row r="35215" spans="7:16" s="1634" customFormat="1">
      <c r="G35215" s="3336"/>
      <c r="P35215" s="3337"/>
    </row>
    <row r="35216" spans="7:16" s="1634" customFormat="1">
      <c r="G35216" s="3336"/>
      <c r="P35216" s="3337"/>
    </row>
    <row r="35217" spans="7:16" s="1634" customFormat="1">
      <c r="G35217" s="3336"/>
      <c r="P35217" s="3337"/>
    </row>
    <row r="35218" spans="7:16" s="1634" customFormat="1">
      <c r="G35218" s="3336"/>
      <c r="P35218" s="3337"/>
    </row>
    <row r="35219" spans="7:16" s="1634" customFormat="1">
      <c r="G35219" s="3336"/>
      <c r="P35219" s="3337"/>
    </row>
    <row r="35220" spans="7:16" s="1634" customFormat="1">
      <c r="G35220" s="3336"/>
      <c r="P35220" s="3337"/>
    </row>
    <row r="35221" spans="7:16" s="1634" customFormat="1">
      <c r="G35221" s="3336"/>
      <c r="P35221" s="3337"/>
    </row>
    <row r="35222" spans="7:16" s="1634" customFormat="1">
      <c r="G35222" s="3336"/>
      <c r="P35222" s="3337"/>
    </row>
    <row r="35223" spans="7:16" s="1634" customFormat="1">
      <c r="G35223" s="3336"/>
      <c r="P35223" s="3337"/>
    </row>
    <row r="35224" spans="7:16" s="1634" customFormat="1">
      <c r="G35224" s="3336"/>
      <c r="P35224" s="3337"/>
    </row>
    <row r="35225" spans="7:16" s="1634" customFormat="1">
      <c r="G35225" s="3336"/>
      <c r="P35225" s="3337"/>
    </row>
    <row r="35226" spans="7:16" s="1634" customFormat="1">
      <c r="G35226" s="3336"/>
      <c r="P35226" s="3337"/>
    </row>
    <row r="35227" spans="7:16" s="1634" customFormat="1">
      <c r="G35227" s="3336"/>
      <c r="P35227" s="3337"/>
    </row>
    <row r="35228" spans="7:16" s="1634" customFormat="1">
      <c r="G35228" s="3336"/>
      <c r="P35228" s="3337"/>
    </row>
    <row r="35229" spans="7:16" s="1634" customFormat="1">
      <c r="G35229" s="3336"/>
      <c r="P35229" s="3337"/>
    </row>
    <row r="35230" spans="7:16" s="1634" customFormat="1">
      <c r="G35230" s="3336"/>
      <c r="P35230" s="3337"/>
    </row>
    <row r="35231" spans="7:16" s="1634" customFormat="1">
      <c r="G35231" s="3336"/>
      <c r="P35231" s="3337"/>
    </row>
    <row r="35232" spans="7:16" s="1634" customFormat="1">
      <c r="G35232" s="3336"/>
      <c r="P35232" s="3337"/>
    </row>
    <row r="35233" spans="7:16" s="1634" customFormat="1">
      <c r="G35233" s="3336"/>
      <c r="P35233" s="3337"/>
    </row>
    <row r="35234" spans="7:16" s="1634" customFormat="1">
      <c r="G35234" s="3336"/>
      <c r="P35234" s="3337"/>
    </row>
    <row r="35235" spans="7:16" s="1634" customFormat="1">
      <c r="G35235" s="3336"/>
      <c r="P35235" s="3337"/>
    </row>
    <row r="35236" spans="7:16" s="1634" customFormat="1">
      <c r="G35236" s="3336"/>
      <c r="P35236" s="3337"/>
    </row>
    <row r="35237" spans="7:16" s="1634" customFormat="1">
      <c r="G35237" s="3336"/>
      <c r="P35237" s="3337"/>
    </row>
    <row r="35238" spans="7:16" s="1634" customFormat="1">
      <c r="G35238" s="3336"/>
      <c r="P35238" s="3337"/>
    </row>
    <row r="35239" spans="7:16" s="1634" customFormat="1">
      <c r="G35239" s="3336"/>
      <c r="P35239" s="3337"/>
    </row>
    <row r="35240" spans="7:16" s="1634" customFormat="1">
      <c r="G35240" s="3336"/>
      <c r="P35240" s="3337"/>
    </row>
    <row r="35241" spans="7:16" s="1634" customFormat="1">
      <c r="G35241" s="3336"/>
      <c r="P35241" s="3337"/>
    </row>
    <row r="35242" spans="7:16" s="1634" customFormat="1">
      <c r="G35242" s="3336"/>
      <c r="P35242" s="3337"/>
    </row>
    <row r="35243" spans="7:16" s="1634" customFormat="1">
      <c r="G35243" s="3336"/>
      <c r="P35243" s="3337"/>
    </row>
    <row r="35244" spans="7:16" s="1634" customFormat="1">
      <c r="G35244" s="3336"/>
      <c r="P35244" s="3337"/>
    </row>
    <row r="35245" spans="7:16" s="1634" customFormat="1">
      <c r="G35245" s="3336"/>
      <c r="P35245" s="3337"/>
    </row>
    <row r="35246" spans="7:16" s="1634" customFormat="1">
      <c r="G35246" s="3336"/>
      <c r="P35246" s="3337"/>
    </row>
    <row r="35247" spans="7:16" s="1634" customFormat="1">
      <c r="G35247" s="3336"/>
      <c r="P35247" s="3337"/>
    </row>
    <row r="35248" spans="7:16" s="1634" customFormat="1">
      <c r="G35248" s="3336"/>
      <c r="P35248" s="3337"/>
    </row>
    <row r="35249" spans="7:16" s="1634" customFormat="1">
      <c r="G35249" s="3336"/>
      <c r="P35249" s="3337"/>
    </row>
    <row r="35250" spans="7:16" s="1634" customFormat="1">
      <c r="G35250" s="3336"/>
      <c r="P35250" s="3337"/>
    </row>
    <row r="35251" spans="7:16" s="1634" customFormat="1">
      <c r="G35251" s="3336"/>
      <c r="P35251" s="3337"/>
    </row>
    <row r="35252" spans="7:16" s="1634" customFormat="1">
      <c r="G35252" s="3336"/>
      <c r="P35252" s="3337"/>
    </row>
    <row r="35253" spans="7:16" s="1634" customFormat="1">
      <c r="G35253" s="3336"/>
      <c r="P35253" s="3337"/>
    </row>
    <row r="35254" spans="7:16" s="1634" customFormat="1">
      <c r="G35254" s="3336"/>
      <c r="P35254" s="3337"/>
    </row>
    <row r="35255" spans="7:16" s="1634" customFormat="1">
      <c r="G35255" s="3336"/>
      <c r="P35255" s="3337"/>
    </row>
    <row r="35256" spans="7:16" s="1634" customFormat="1">
      <c r="G35256" s="3336"/>
      <c r="P35256" s="3337"/>
    </row>
    <row r="35257" spans="7:16" s="1634" customFormat="1">
      <c r="G35257" s="3336"/>
      <c r="P35257" s="3337"/>
    </row>
    <row r="35258" spans="7:16" s="1634" customFormat="1">
      <c r="G35258" s="3336"/>
      <c r="P35258" s="3337"/>
    </row>
    <row r="35259" spans="7:16" s="1634" customFormat="1">
      <c r="G35259" s="3336"/>
      <c r="P35259" s="3337"/>
    </row>
    <row r="35260" spans="7:16" s="1634" customFormat="1">
      <c r="G35260" s="3336"/>
      <c r="P35260" s="3337"/>
    </row>
    <row r="35261" spans="7:16" s="1634" customFormat="1">
      <c r="G35261" s="3336"/>
      <c r="P35261" s="3337"/>
    </row>
    <row r="35262" spans="7:16" s="1634" customFormat="1">
      <c r="G35262" s="3336"/>
      <c r="P35262" s="3337"/>
    </row>
    <row r="35263" spans="7:16" s="1634" customFormat="1">
      <c r="G35263" s="3336"/>
      <c r="P35263" s="3337"/>
    </row>
    <row r="35264" spans="7:16" s="1634" customFormat="1">
      <c r="G35264" s="3336"/>
      <c r="P35264" s="3337"/>
    </row>
    <row r="35265" spans="7:16" s="1634" customFormat="1">
      <c r="G35265" s="3336"/>
      <c r="P35265" s="3337"/>
    </row>
    <row r="35266" spans="7:16" s="1634" customFormat="1">
      <c r="G35266" s="3336"/>
      <c r="P35266" s="3337"/>
    </row>
    <row r="35267" spans="7:16" s="1634" customFormat="1">
      <c r="G35267" s="3336"/>
      <c r="P35267" s="3337"/>
    </row>
    <row r="35268" spans="7:16" s="1634" customFormat="1">
      <c r="G35268" s="3336"/>
      <c r="P35268" s="3337"/>
    </row>
    <row r="35269" spans="7:16" s="1634" customFormat="1">
      <c r="G35269" s="3336"/>
      <c r="P35269" s="3337"/>
    </row>
    <row r="35270" spans="7:16" s="1634" customFormat="1">
      <c r="G35270" s="3336"/>
      <c r="P35270" s="3337"/>
    </row>
    <row r="35271" spans="7:16" s="1634" customFormat="1">
      <c r="G35271" s="3336"/>
      <c r="P35271" s="3337"/>
    </row>
    <row r="35272" spans="7:16" s="1634" customFormat="1">
      <c r="G35272" s="3336"/>
      <c r="P35272" s="3337"/>
    </row>
    <row r="35273" spans="7:16" s="1634" customFormat="1">
      <c r="G35273" s="3336"/>
      <c r="P35273" s="3337"/>
    </row>
    <row r="35274" spans="7:16" s="1634" customFormat="1">
      <c r="G35274" s="3336"/>
      <c r="P35274" s="3337"/>
    </row>
    <row r="35275" spans="7:16" s="1634" customFormat="1">
      <c r="G35275" s="3336"/>
      <c r="P35275" s="3337"/>
    </row>
    <row r="35276" spans="7:16" s="1634" customFormat="1">
      <c r="G35276" s="3336"/>
      <c r="P35276" s="3337"/>
    </row>
    <row r="35277" spans="7:16" s="1634" customFormat="1">
      <c r="G35277" s="3336"/>
      <c r="P35277" s="3337"/>
    </row>
    <row r="35278" spans="7:16" s="1634" customFormat="1">
      <c r="G35278" s="3336"/>
      <c r="P35278" s="3337"/>
    </row>
    <row r="35279" spans="7:16" s="1634" customFormat="1">
      <c r="G35279" s="3336"/>
      <c r="P35279" s="3337"/>
    </row>
    <row r="35280" spans="7:16" s="1634" customFormat="1">
      <c r="G35280" s="3336"/>
      <c r="P35280" s="3337"/>
    </row>
    <row r="35281" spans="7:16" s="1634" customFormat="1">
      <c r="G35281" s="3336"/>
      <c r="P35281" s="3337"/>
    </row>
    <row r="35282" spans="7:16" s="1634" customFormat="1">
      <c r="G35282" s="3336"/>
      <c r="P35282" s="3337"/>
    </row>
    <row r="35283" spans="7:16" s="1634" customFormat="1">
      <c r="G35283" s="3336"/>
      <c r="P35283" s="3337"/>
    </row>
    <row r="35284" spans="7:16" s="1634" customFormat="1">
      <c r="G35284" s="3336"/>
      <c r="P35284" s="3337"/>
    </row>
    <row r="35285" spans="7:16" s="1634" customFormat="1">
      <c r="G35285" s="3336"/>
      <c r="P35285" s="3337"/>
    </row>
    <row r="35286" spans="7:16" s="1634" customFormat="1">
      <c r="G35286" s="3336"/>
      <c r="P35286" s="3337"/>
    </row>
    <row r="35287" spans="7:16" s="1634" customFormat="1">
      <c r="G35287" s="3336"/>
      <c r="P35287" s="3337"/>
    </row>
    <row r="35288" spans="7:16" s="1634" customFormat="1">
      <c r="G35288" s="3336"/>
      <c r="P35288" s="3337"/>
    </row>
    <row r="35289" spans="7:16" s="1634" customFormat="1">
      <c r="G35289" s="3336"/>
      <c r="P35289" s="3337"/>
    </row>
    <row r="35290" spans="7:16" s="1634" customFormat="1">
      <c r="G35290" s="3336"/>
      <c r="P35290" s="3337"/>
    </row>
    <row r="35291" spans="7:16" s="1634" customFormat="1">
      <c r="G35291" s="3336"/>
      <c r="P35291" s="3337"/>
    </row>
    <row r="35292" spans="7:16" s="1634" customFormat="1">
      <c r="G35292" s="3336"/>
      <c r="P35292" s="3337"/>
    </row>
    <row r="35293" spans="7:16" s="1634" customFormat="1">
      <c r="G35293" s="3336"/>
      <c r="P35293" s="3337"/>
    </row>
    <row r="35294" spans="7:16" s="1634" customFormat="1">
      <c r="G35294" s="3336"/>
      <c r="P35294" s="3337"/>
    </row>
    <row r="35295" spans="7:16" s="1634" customFormat="1">
      <c r="G35295" s="3336"/>
      <c r="P35295" s="3337"/>
    </row>
    <row r="35296" spans="7:16" s="1634" customFormat="1">
      <c r="G35296" s="3336"/>
      <c r="P35296" s="3337"/>
    </row>
    <row r="35297" spans="7:16" s="1634" customFormat="1">
      <c r="G35297" s="3336"/>
      <c r="P35297" s="3337"/>
    </row>
    <row r="35298" spans="7:16" s="1634" customFormat="1">
      <c r="G35298" s="3336"/>
      <c r="P35298" s="3337"/>
    </row>
    <row r="35299" spans="7:16" s="1634" customFormat="1">
      <c r="G35299" s="3336"/>
      <c r="P35299" s="3337"/>
    </row>
    <row r="35300" spans="7:16" s="1634" customFormat="1">
      <c r="G35300" s="3336"/>
      <c r="P35300" s="3337"/>
    </row>
    <row r="35301" spans="7:16" s="1634" customFormat="1">
      <c r="G35301" s="3336"/>
      <c r="P35301" s="3337"/>
    </row>
    <row r="35302" spans="7:16" s="1634" customFormat="1">
      <c r="G35302" s="3336"/>
      <c r="P35302" s="3337"/>
    </row>
    <row r="35303" spans="7:16" s="1634" customFormat="1">
      <c r="G35303" s="3336"/>
      <c r="P35303" s="3337"/>
    </row>
    <row r="35304" spans="7:16" s="1634" customFormat="1">
      <c r="G35304" s="3336"/>
      <c r="P35304" s="3337"/>
    </row>
    <row r="35305" spans="7:16" s="1634" customFormat="1">
      <c r="G35305" s="3336"/>
      <c r="P35305" s="3337"/>
    </row>
    <row r="35306" spans="7:16" s="1634" customFormat="1">
      <c r="G35306" s="3336"/>
      <c r="P35306" s="3337"/>
    </row>
    <row r="35307" spans="7:16" s="1634" customFormat="1">
      <c r="G35307" s="3336"/>
      <c r="P35307" s="3337"/>
    </row>
    <row r="35308" spans="7:16" s="1634" customFormat="1">
      <c r="G35308" s="3336"/>
      <c r="P35308" s="3337"/>
    </row>
    <row r="35309" spans="7:16" s="1634" customFormat="1">
      <c r="G35309" s="3336"/>
      <c r="P35309" s="3337"/>
    </row>
    <row r="35310" spans="7:16" s="1634" customFormat="1">
      <c r="G35310" s="3336"/>
      <c r="P35310" s="3337"/>
    </row>
    <row r="35311" spans="7:16" s="1634" customFormat="1">
      <c r="G35311" s="3336"/>
      <c r="P35311" s="3337"/>
    </row>
    <row r="35312" spans="7:16" s="1634" customFormat="1">
      <c r="G35312" s="3336"/>
      <c r="P35312" s="3337"/>
    </row>
    <row r="35313" spans="7:16" s="1634" customFormat="1">
      <c r="G35313" s="3336"/>
      <c r="P35313" s="3337"/>
    </row>
    <row r="35314" spans="7:16" s="1634" customFormat="1">
      <c r="G35314" s="3336"/>
      <c r="P35314" s="3337"/>
    </row>
    <row r="35315" spans="7:16" s="1634" customFormat="1">
      <c r="G35315" s="3336"/>
      <c r="P35315" s="3337"/>
    </row>
    <row r="35316" spans="7:16" s="1634" customFormat="1">
      <c r="G35316" s="3336"/>
      <c r="P35316" s="3337"/>
    </row>
    <row r="35317" spans="7:16" s="1634" customFormat="1">
      <c r="G35317" s="3336"/>
      <c r="P35317" s="3337"/>
    </row>
    <row r="35318" spans="7:16" s="1634" customFormat="1">
      <c r="G35318" s="3336"/>
      <c r="P35318" s="3337"/>
    </row>
    <row r="35319" spans="7:16" s="1634" customFormat="1">
      <c r="G35319" s="3336"/>
      <c r="P35319" s="3337"/>
    </row>
    <row r="35320" spans="7:16" s="1634" customFormat="1">
      <c r="G35320" s="3336"/>
      <c r="P35320" s="3337"/>
    </row>
    <row r="35321" spans="7:16" s="1634" customFormat="1">
      <c r="G35321" s="3336"/>
      <c r="P35321" s="3337"/>
    </row>
    <row r="35322" spans="7:16" s="1634" customFormat="1">
      <c r="G35322" s="3336"/>
      <c r="P35322" s="3337"/>
    </row>
    <row r="35323" spans="7:16" s="1634" customFormat="1">
      <c r="G35323" s="3336"/>
      <c r="P35323" s="3337"/>
    </row>
    <row r="35324" spans="7:16" s="1634" customFormat="1">
      <c r="G35324" s="3336"/>
      <c r="P35324" s="3337"/>
    </row>
    <row r="35325" spans="7:16" s="1634" customFormat="1">
      <c r="G35325" s="3336"/>
      <c r="P35325" s="3337"/>
    </row>
    <row r="35326" spans="7:16" s="1634" customFormat="1">
      <c r="G35326" s="3336"/>
      <c r="P35326" s="3337"/>
    </row>
    <row r="35327" spans="7:16" s="1634" customFormat="1">
      <c r="G35327" s="3336"/>
      <c r="P35327" s="3337"/>
    </row>
    <row r="35328" spans="7:16" s="1634" customFormat="1">
      <c r="G35328" s="3336"/>
      <c r="P35328" s="3337"/>
    </row>
    <row r="35329" spans="7:16" s="1634" customFormat="1">
      <c r="G35329" s="3336"/>
      <c r="P35329" s="3337"/>
    </row>
    <row r="35330" spans="7:16" s="1634" customFormat="1">
      <c r="G35330" s="3336"/>
      <c r="P35330" s="3337"/>
    </row>
    <row r="35331" spans="7:16" s="1634" customFormat="1">
      <c r="G35331" s="3336"/>
      <c r="P35331" s="3337"/>
    </row>
    <row r="35332" spans="7:16" s="1634" customFormat="1">
      <c r="G35332" s="3336"/>
      <c r="P35332" s="3337"/>
    </row>
    <row r="35333" spans="7:16" s="1634" customFormat="1">
      <c r="G35333" s="3336"/>
      <c r="P35333" s="3337"/>
    </row>
    <row r="35334" spans="7:16" s="1634" customFormat="1">
      <c r="G35334" s="3336"/>
      <c r="P35334" s="3337"/>
    </row>
    <row r="35335" spans="7:16" s="1634" customFormat="1">
      <c r="G35335" s="3336"/>
      <c r="P35335" s="3337"/>
    </row>
    <row r="35336" spans="7:16" s="1634" customFormat="1">
      <c r="G35336" s="3336"/>
      <c r="P35336" s="3337"/>
    </row>
    <row r="35337" spans="7:16" s="1634" customFormat="1">
      <c r="G35337" s="3336"/>
      <c r="P35337" s="3337"/>
    </row>
    <row r="35338" spans="7:16" s="1634" customFormat="1">
      <c r="G35338" s="3336"/>
      <c r="P35338" s="3337"/>
    </row>
    <row r="35339" spans="7:16" s="1634" customFormat="1">
      <c r="G35339" s="3336"/>
      <c r="P35339" s="3337"/>
    </row>
    <row r="35340" spans="7:16" s="1634" customFormat="1">
      <c r="G35340" s="3336"/>
      <c r="P35340" s="3337"/>
    </row>
    <row r="35341" spans="7:16" s="1634" customFormat="1">
      <c r="G35341" s="3336"/>
      <c r="P35341" s="3337"/>
    </row>
    <row r="35342" spans="7:16" s="1634" customFormat="1">
      <c r="G35342" s="3336"/>
      <c r="P35342" s="3337"/>
    </row>
    <row r="35343" spans="7:16" s="1634" customFormat="1">
      <c r="G35343" s="3336"/>
      <c r="P35343" s="3337"/>
    </row>
    <row r="35344" spans="7:16" s="1634" customFormat="1">
      <c r="G35344" s="3336"/>
      <c r="P35344" s="3337"/>
    </row>
    <row r="35345" spans="7:16" s="1634" customFormat="1">
      <c r="G35345" s="3336"/>
      <c r="P35345" s="3337"/>
    </row>
    <row r="35346" spans="7:16" s="1634" customFormat="1">
      <c r="G35346" s="3336"/>
      <c r="P35346" s="3337"/>
    </row>
    <row r="35347" spans="7:16" s="1634" customFormat="1">
      <c r="G35347" s="3336"/>
      <c r="P35347" s="3337"/>
    </row>
    <row r="35348" spans="7:16" s="1634" customFormat="1">
      <c r="G35348" s="3336"/>
      <c r="P35348" s="3337"/>
    </row>
    <row r="35349" spans="7:16" s="1634" customFormat="1">
      <c r="G35349" s="3336"/>
      <c r="P35349" s="3337"/>
    </row>
    <row r="35350" spans="7:16" s="1634" customFormat="1">
      <c r="G35350" s="3336"/>
      <c r="P35350" s="3337"/>
    </row>
    <row r="35351" spans="7:16" s="1634" customFormat="1">
      <c r="G35351" s="3336"/>
      <c r="P35351" s="3337"/>
    </row>
    <row r="35352" spans="7:16" s="1634" customFormat="1">
      <c r="G35352" s="3336"/>
      <c r="P35352" s="3337"/>
    </row>
    <row r="35353" spans="7:16" s="1634" customFormat="1">
      <c r="G35353" s="3336"/>
      <c r="P35353" s="3337"/>
    </row>
    <row r="35354" spans="7:16" s="1634" customFormat="1">
      <c r="G35354" s="3336"/>
      <c r="P35354" s="3337"/>
    </row>
    <row r="35355" spans="7:16" s="1634" customFormat="1">
      <c r="G35355" s="3336"/>
      <c r="P35355" s="3337"/>
    </row>
    <row r="35356" spans="7:16" s="1634" customFormat="1">
      <c r="G35356" s="3336"/>
      <c r="P35356" s="3337"/>
    </row>
    <row r="35357" spans="7:16" s="1634" customFormat="1">
      <c r="G35357" s="3336"/>
      <c r="P35357" s="3337"/>
    </row>
    <row r="35358" spans="7:16" s="1634" customFormat="1">
      <c r="G35358" s="3336"/>
      <c r="P35358" s="3337"/>
    </row>
    <row r="35359" spans="7:16" s="1634" customFormat="1">
      <c r="G35359" s="3336"/>
      <c r="P35359" s="3337"/>
    </row>
    <row r="35360" spans="7:16" s="1634" customFormat="1">
      <c r="G35360" s="3336"/>
      <c r="P35360" s="3337"/>
    </row>
    <row r="35361" spans="7:16" s="1634" customFormat="1">
      <c r="G35361" s="3336"/>
      <c r="P35361" s="3337"/>
    </row>
    <row r="35362" spans="7:16" s="1634" customFormat="1">
      <c r="G35362" s="3336"/>
      <c r="P35362" s="3337"/>
    </row>
    <row r="35363" spans="7:16" s="1634" customFormat="1">
      <c r="G35363" s="3336"/>
      <c r="P35363" s="3337"/>
    </row>
    <row r="35364" spans="7:16" s="1634" customFormat="1">
      <c r="G35364" s="3336"/>
      <c r="P35364" s="3337"/>
    </row>
    <row r="35365" spans="7:16" s="1634" customFormat="1">
      <c r="G35365" s="3336"/>
      <c r="P35365" s="3337"/>
    </row>
    <row r="35366" spans="7:16" s="1634" customFormat="1">
      <c r="G35366" s="3336"/>
      <c r="P35366" s="3337"/>
    </row>
    <row r="35367" spans="7:16" s="1634" customFormat="1">
      <c r="G35367" s="3336"/>
      <c r="P35367" s="3337"/>
    </row>
    <row r="35368" spans="7:16" s="1634" customFormat="1">
      <c r="G35368" s="3336"/>
      <c r="P35368" s="3337"/>
    </row>
    <row r="35369" spans="7:16" s="1634" customFormat="1">
      <c r="G35369" s="3336"/>
      <c r="P35369" s="3337"/>
    </row>
    <row r="35370" spans="7:16" s="1634" customFormat="1">
      <c r="G35370" s="3336"/>
      <c r="P35370" s="3337"/>
    </row>
    <row r="35371" spans="7:16" s="1634" customFormat="1">
      <c r="G35371" s="3336"/>
      <c r="P35371" s="3337"/>
    </row>
    <row r="35372" spans="7:16" s="1634" customFormat="1">
      <c r="G35372" s="3336"/>
      <c r="P35372" s="3337"/>
    </row>
    <row r="35373" spans="7:16" s="1634" customFormat="1">
      <c r="G35373" s="3336"/>
      <c r="P35373" s="3337"/>
    </row>
    <row r="35374" spans="7:16" s="1634" customFormat="1">
      <c r="G35374" s="3336"/>
      <c r="P35374" s="3337"/>
    </row>
    <row r="35375" spans="7:16" s="1634" customFormat="1">
      <c r="G35375" s="3336"/>
      <c r="P35375" s="3337"/>
    </row>
    <row r="35376" spans="7:16" s="1634" customFormat="1">
      <c r="G35376" s="3336"/>
      <c r="P35376" s="3337"/>
    </row>
    <row r="35377" spans="7:16" s="1634" customFormat="1">
      <c r="G35377" s="3336"/>
      <c r="P35377" s="3337"/>
    </row>
    <row r="35378" spans="7:16" s="1634" customFormat="1">
      <c r="G35378" s="3336"/>
      <c r="P35378" s="3337"/>
    </row>
    <row r="35379" spans="7:16" s="1634" customFormat="1">
      <c r="G35379" s="3336"/>
      <c r="P35379" s="3337"/>
    </row>
    <row r="35380" spans="7:16" s="1634" customFormat="1">
      <c r="G35380" s="3336"/>
      <c r="P35380" s="3337"/>
    </row>
    <row r="35381" spans="7:16" s="1634" customFormat="1">
      <c r="G35381" s="3336"/>
      <c r="P35381" s="3337"/>
    </row>
    <row r="35382" spans="7:16" s="1634" customFormat="1">
      <c r="G35382" s="3336"/>
      <c r="P35382" s="3337"/>
    </row>
    <row r="35383" spans="7:16" s="1634" customFormat="1">
      <c r="G35383" s="3336"/>
      <c r="P35383" s="3337"/>
    </row>
    <row r="35384" spans="7:16" s="1634" customFormat="1">
      <c r="G35384" s="3336"/>
      <c r="P35384" s="3337"/>
    </row>
    <row r="35385" spans="7:16" s="1634" customFormat="1">
      <c r="G35385" s="3336"/>
      <c r="P35385" s="3337"/>
    </row>
    <row r="35386" spans="7:16" s="1634" customFormat="1">
      <c r="G35386" s="3336"/>
      <c r="P35386" s="3337"/>
    </row>
    <row r="35387" spans="7:16" s="1634" customFormat="1">
      <c r="G35387" s="3336"/>
      <c r="P35387" s="3337"/>
    </row>
    <row r="35388" spans="7:16" s="1634" customFormat="1">
      <c r="G35388" s="3336"/>
      <c r="P35388" s="3337"/>
    </row>
    <row r="35389" spans="7:16" s="1634" customFormat="1">
      <c r="G35389" s="3336"/>
      <c r="P35389" s="3337"/>
    </row>
    <row r="35390" spans="7:16" s="1634" customFormat="1">
      <c r="G35390" s="3336"/>
      <c r="P35390" s="3337"/>
    </row>
    <row r="35391" spans="7:16" s="1634" customFormat="1">
      <c r="G35391" s="3336"/>
      <c r="P35391" s="3337"/>
    </row>
    <row r="35392" spans="7:16" s="1634" customFormat="1">
      <c r="G35392" s="3336"/>
      <c r="P35392" s="3337"/>
    </row>
    <row r="35393" spans="7:16" s="1634" customFormat="1">
      <c r="G35393" s="3336"/>
      <c r="P35393" s="3337"/>
    </row>
    <row r="35394" spans="7:16" s="1634" customFormat="1">
      <c r="G35394" s="3336"/>
      <c r="P35394" s="3337"/>
    </row>
    <row r="35395" spans="7:16" s="1634" customFormat="1">
      <c r="G35395" s="3336"/>
      <c r="P35395" s="3337"/>
    </row>
    <row r="35396" spans="7:16" s="1634" customFormat="1">
      <c r="G35396" s="3336"/>
      <c r="P35396" s="3337"/>
    </row>
    <row r="35397" spans="7:16" s="1634" customFormat="1">
      <c r="G35397" s="3336"/>
      <c r="P35397" s="3337"/>
    </row>
    <row r="35398" spans="7:16" s="1634" customFormat="1">
      <c r="G35398" s="3336"/>
      <c r="P35398" s="3337"/>
    </row>
    <row r="35399" spans="7:16" s="1634" customFormat="1">
      <c r="G35399" s="3336"/>
      <c r="P35399" s="3337"/>
    </row>
    <row r="35400" spans="7:16" s="1634" customFormat="1">
      <c r="G35400" s="3336"/>
      <c r="P35400" s="3337"/>
    </row>
    <row r="35401" spans="7:16" s="1634" customFormat="1">
      <c r="G35401" s="3336"/>
      <c r="P35401" s="3337"/>
    </row>
    <row r="35402" spans="7:16" s="1634" customFormat="1">
      <c r="G35402" s="3336"/>
      <c r="P35402" s="3337"/>
    </row>
    <row r="35403" spans="7:16" s="1634" customFormat="1">
      <c r="G35403" s="3336"/>
      <c r="P35403" s="3337"/>
    </row>
    <row r="35404" spans="7:16" s="1634" customFormat="1">
      <c r="G35404" s="3336"/>
      <c r="P35404" s="3337"/>
    </row>
    <row r="35405" spans="7:16" s="1634" customFormat="1">
      <c r="G35405" s="3336"/>
      <c r="P35405" s="3337"/>
    </row>
    <row r="35406" spans="7:16" s="1634" customFormat="1">
      <c r="G35406" s="3336"/>
      <c r="P35406" s="3337"/>
    </row>
    <row r="35407" spans="7:16" s="1634" customFormat="1">
      <c r="G35407" s="3336"/>
      <c r="P35407" s="3337"/>
    </row>
    <row r="35408" spans="7:16" s="1634" customFormat="1">
      <c r="G35408" s="3336"/>
      <c r="P35408" s="3337"/>
    </row>
    <row r="35409" spans="7:16" s="1634" customFormat="1">
      <c r="G35409" s="3336"/>
      <c r="P35409" s="3337"/>
    </row>
    <row r="35410" spans="7:16" s="1634" customFormat="1">
      <c r="G35410" s="3336"/>
      <c r="P35410" s="3337"/>
    </row>
    <row r="35411" spans="7:16" s="1634" customFormat="1">
      <c r="G35411" s="3336"/>
      <c r="P35411" s="3337"/>
    </row>
    <row r="35412" spans="7:16" s="1634" customFormat="1">
      <c r="G35412" s="3336"/>
      <c r="P35412" s="3337"/>
    </row>
    <row r="35413" spans="7:16" s="1634" customFormat="1">
      <c r="G35413" s="3336"/>
      <c r="P35413" s="3337"/>
    </row>
    <row r="35414" spans="7:16" s="1634" customFormat="1">
      <c r="G35414" s="3336"/>
      <c r="P35414" s="3337"/>
    </row>
    <row r="35415" spans="7:16" s="1634" customFormat="1">
      <c r="G35415" s="3336"/>
      <c r="P35415" s="3337"/>
    </row>
    <row r="35416" spans="7:16" s="1634" customFormat="1">
      <c r="G35416" s="3336"/>
      <c r="P35416" s="3337"/>
    </row>
    <row r="35417" spans="7:16" s="1634" customFormat="1">
      <c r="G35417" s="3336"/>
      <c r="P35417" s="3337"/>
    </row>
    <row r="35418" spans="7:16" s="1634" customFormat="1">
      <c r="G35418" s="3336"/>
      <c r="P35418" s="3337"/>
    </row>
    <row r="35419" spans="7:16" s="1634" customFormat="1">
      <c r="G35419" s="3336"/>
      <c r="P35419" s="3337"/>
    </row>
    <row r="35420" spans="7:16" s="1634" customFormat="1">
      <c r="G35420" s="3336"/>
      <c r="P35420" s="3337"/>
    </row>
    <row r="35421" spans="7:16" s="1634" customFormat="1">
      <c r="G35421" s="3336"/>
      <c r="P35421" s="3337"/>
    </row>
    <row r="35422" spans="7:16" s="1634" customFormat="1">
      <c r="G35422" s="3336"/>
      <c r="P35422" s="3337"/>
    </row>
    <row r="35423" spans="7:16" s="1634" customFormat="1">
      <c r="G35423" s="3336"/>
      <c r="P35423" s="3337"/>
    </row>
    <row r="35424" spans="7:16" s="1634" customFormat="1">
      <c r="G35424" s="3336"/>
      <c r="P35424" s="3337"/>
    </row>
    <row r="35425" spans="7:16" s="1634" customFormat="1">
      <c r="G35425" s="3336"/>
      <c r="P35425" s="3337"/>
    </row>
    <row r="35426" spans="7:16" s="1634" customFormat="1">
      <c r="G35426" s="3336"/>
      <c r="P35426" s="3337"/>
    </row>
    <row r="35427" spans="7:16" s="1634" customFormat="1">
      <c r="G35427" s="3336"/>
      <c r="P35427" s="3337"/>
    </row>
    <row r="35428" spans="7:16" s="1634" customFormat="1">
      <c r="G35428" s="3336"/>
      <c r="P35428" s="3337"/>
    </row>
    <row r="35429" spans="7:16" s="1634" customFormat="1">
      <c r="G35429" s="3336"/>
      <c r="P35429" s="3337"/>
    </row>
    <row r="35430" spans="7:16" s="1634" customFormat="1">
      <c r="G35430" s="3336"/>
      <c r="P35430" s="3337"/>
    </row>
    <row r="35431" spans="7:16" s="1634" customFormat="1">
      <c r="G35431" s="3336"/>
      <c r="P35431" s="3337"/>
    </row>
    <row r="35432" spans="7:16" s="1634" customFormat="1">
      <c r="G35432" s="3336"/>
      <c r="P35432" s="3337"/>
    </row>
    <row r="35433" spans="7:16" s="1634" customFormat="1">
      <c r="G35433" s="3336"/>
      <c r="P35433" s="3337"/>
    </row>
    <row r="35434" spans="7:16" s="1634" customFormat="1">
      <c r="G35434" s="3336"/>
      <c r="P35434" s="3337"/>
    </row>
    <row r="35435" spans="7:16" s="1634" customFormat="1">
      <c r="G35435" s="3336"/>
      <c r="P35435" s="3337"/>
    </row>
    <row r="35436" spans="7:16" s="1634" customFormat="1">
      <c r="G35436" s="3336"/>
      <c r="P35436" s="3337"/>
    </row>
    <row r="35437" spans="7:16" s="1634" customFormat="1">
      <c r="G35437" s="3336"/>
      <c r="P35437" s="3337"/>
    </row>
    <row r="35438" spans="7:16" s="1634" customFormat="1">
      <c r="G35438" s="3336"/>
      <c r="P35438" s="3337"/>
    </row>
    <row r="35439" spans="7:16" s="1634" customFormat="1">
      <c r="G35439" s="3336"/>
      <c r="P35439" s="3337"/>
    </row>
    <row r="35440" spans="7:16" s="1634" customFormat="1">
      <c r="G35440" s="3336"/>
      <c r="P35440" s="3337"/>
    </row>
    <row r="35441" spans="7:16" s="1634" customFormat="1">
      <c r="G35441" s="3336"/>
      <c r="P35441" s="3337"/>
    </row>
    <row r="35442" spans="7:16" s="1634" customFormat="1">
      <c r="G35442" s="3336"/>
      <c r="P35442" s="3337"/>
    </row>
    <row r="35443" spans="7:16" s="1634" customFormat="1">
      <c r="G35443" s="3336"/>
      <c r="P35443" s="3337"/>
    </row>
    <row r="35444" spans="7:16" s="1634" customFormat="1">
      <c r="G35444" s="3336"/>
      <c r="P35444" s="3337"/>
    </row>
    <row r="35445" spans="7:16" s="1634" customFormat="1">
      <c r="G35445" s="3336"/>
      <c r="P35445" s="3337"/>
    </row>
    <row r="35446" spans="7:16" s="1634" customFormat="1">
      <c r="G35446" s="3336"/>
      <c r="P35446" s="3337"/>
    </row>
    <row r="35447" spans="7:16" s="1634" customFormat="1">
      <c r="G35447" s="3336"/>
      <c r="P35447" s="3337"/>
    </row>
    <row r="35448" spans="7:16" s="1634" customFormat="1">
      <c r="G35448" s="3336"/>
      <c r="P35448" s="3337"/>
    </row>
    <row r="35449" spans="7:16" s="1634" customFormat="1">
      <c r="G35449" s="3336"/>
      <c r="P35449" s="3337"/>
    </row>
    <row r="35450" spans="7:16" s="1634" customFormat="1">
      <c r="G35450" s="3336"/>
      <c r="P35450" s="3337"/>
    </row>
    <row r="35451" spans="7:16" s="1634" customFormat="1">
      <c r="G35451" s="3336"/>
      <c r="P35451" s="3337"/>
    </row>
    <row r="35452" spans="7:16" s="1634" customFormat="1">
      <c r="G35452" s="3336"/>
      <c r="P35452" s="3337"/>
    </row>
    <row r="35453" spans="7:16" s="1634" customFormat="1">
      <c r="G35453" s="3336"/>
      <c r="P35453" s="3337"/>
    </row>
    <row r="35454" spans="7:16" s="1634" customFormat="1">
      <c r="G35454" s="3336"/>
      <c r="P35454" s="3337"/>
    </row>
    <row r="35455" spans="7:16" s="1634" customFormat="1">
      <c r="G35455" s="3336"/>
      <c r="P35455" s="3337"/>
    </row>
    <row r="35456" spans="7:16" s="1634" customFormat="1">
      <c r="G35456" s="3336"/>
      <c r="P35456" s="3337"/>
    </row>
    <row r="35457" spans="7:16" s="1634" customFormat="1">
      <c r="G35457" s="3336"/>
      <c r="P35457" s="3337"/>
    </row>
    <row r="35458" spans="7:16" s="1634" customFormat="1">
      <c r="G35458" s="3336"/>
      <c r="P35458" s="3337"/>
    </row>
    <row r="35459" spans="7:16" s="1634" customFormat="1">
      <c r="G35459" s="3336"/>
      <c r="P35459" s="3337"/>
    </row>
    <row r="35460" spans="7:16" s="1634" customFormat="1">
      <c r="G35460" s="3336"/>
      <c r="P35460" s="3337"/>
    </row>
    <row r="35461" spans="7:16" s="1634" customFormat="1">
      <c r="G35461" s="3336"/>
      <c r="P35461" s="3337"/>
    </row>
    <row r="35462" spans="7:16" s="1634" customFormat="1">
      <c r="G35462" s="3336"/>
      <c r="P35462" s="3337"/>
    </row>
    <row r="35463" spans="7:16" s="1634" customFormat="1">
      <c r="G35463" s="3336"/>
      <c r="P35463" s="3337"/>
    </row>
    <row r="35464" spans="7:16" s="1634" customFormat="1">
      <c r="G35464" s="3336"/>
      <c r="P35464" s="3337"/>
    </row>
    <row r="35465" spans="7:16" s="1634" customFormat="1">
      <c r="G35465" s="3336"/>
      <c r="P35465" s="3337"/>
    </row>
    <row r="35466" spans="7:16" s="1634" customFormat="1">
      <c r="G35466" s="3336"/>
      <c r="P35466" s="3337"/>
    </row>
    <row r="35467" spans="7:16" s="1634" customFormat="1">
      <c r="G35467" s="3336"/>
      <c r="P35467" s="3337"/>
    </row>
    <row r="35468" spans="7:16" s="1634" customFormat="1">
      <c r="G35468" s="3336"/>
      <c r="P35468" s="3337"/>
    </row>
    <row r="35469" spans="7:16" s="1634" customFormat="1">
      <c r="G35469" s="3336"/>
      <c r="P35469" s="3337"/>
    </row>
    <row r="35470" spans="7:16" s="1634" customFormat="1">
      <c r="G35470" s="3336"/>
      <c r="P35470" s="3337"/>
    </row>
    <row r="35471" spans="7:16" s="1634" customFormat="1">
      <c r="G35471" s="3336"/>
      <c r="P35471" s="3337"/>
    </row>
    <row r="35472" spans="7:16" s="1634" customFormat="1">
      <c r="G35472" s="3336"/>
      <c r="P35472" s="3337"/>
    </row>
    <row r="35473" spans="7:16" s="1634" customFormat="1">
      <c r="G35473" s="3336"/>
      <c r="P35473" s="3337"/>
    </row>
    <row r="35474" spans="7:16" s="1634" customFormat="1">
      <c r="G35474" s="3336"/>
      <c r="P35474" s="3337"/>
    </row>
    <row r="35475" spans="7:16" s="1634" customFormat="1">
      <c r="G35475" s="3336"/>
      <c r="P35475" s="3337"/>
    </row>
    <row r="35476" spans="7:16" s="1634" customFormat="1">
      <c r="G35476" s="3336"/>
      <c r="P35476" s="3337"/>
    </row>
    <row r="35477" spans="7:16" s="1634" customFormat="1">
      <c r="G35477" s="3336"/>
      <c r="P35477" s="3337"/>
    </row>
    <row r="35478" spans="7:16" s="1634" customFormat="1">
      <c r="G35478" s="3336"/>
      <c r="P35478" s="3337"/>
    </row>
    <row r="35479" spans="7:16" s="1634" customFormat="1">
      <c r="G35479" s="3336"/>
      <c r="P35479" s="3337"/>
    </row>
    <row r="35480" spans="7:16" s="1634" customFormat="1">
      <c r="G35480" s="3336"/>
      <c r="P35480" s="3337"/>
    </row>
    <row r="35481" spans="7:16" s="1634" customFormat="1">
      <c r="G35481" s="3336"/>
      <c r="P35481" s="3337"/>
    </row>
    <row r="35482" spans="7:16" s="1634" customFormat="1">
      <c r="G35482" s="3336"/>
      <c r="P35482" s="3337"/>
    </row>
    <row r="35483" spans="7:16" s="1634" customFormat="1">
      <c r="G35483" s="3336"/>
      <c r="P35483" s="3337"/>
    </row>
    <row r="35484" spans="7:16" s="1634" customFormat="1">
      <c r="G35484" s="3336"/>
      <c r="P35484" s="3337"/>
    </row>
    <row r="35485" spans="7:16" s="1634" customFormat="1">
      <c r="G35485" s="3336"/>
      <c r="P35485" s="3337"/>
    </row>
    <row r="35486" spans="7:16" s="1634" customFormat="1">
      <c r="G35486" s="3336"/>
      <c r="P35486" s="3337"/>
    </row>
    <row r="35487" spans="7:16" s="1634" customFormat="1">
      <c r="G35487" s="3336"/>
      <c r="P35487" s="3337"/>
    </row>
    <row r="35488" spans="7:16" s="1634" customFormat="1">
      <c r="G35488" s="3336"/>
      <c r="P35488" s="3337"/>
    </row>
    <row r="35489" spans="7:16" s="1634" customFormat="1">
      <c r="G35489" s="3336"/>
      <c r="P35489" s="3337"/>
    </row>
    <row r="35490" spans="7:16" s="1634" customFormat="1">
      <c r="G35490" s="3336"/>
      <c r="P35490" s="3337"/>
    </row>
    <row r="35491" spans="7:16" s="1634" customFormat="1">
      <c r="G35491" s="3336"/>
      <c r="P35491" s="3337"/>
    </row>
    <row r="35492" spans="7:16" s="1634" customFormat="1">
      <c r="G35492" s="3336"/>
      <c r="P35492" s="3337"/>
    </row>
    <row r="35493" spans="7:16" s="1634" customFormat="1">
      <c r="G35493" s="3336"/>
      <c r="P35493" s="3337"/>
    </row>
    <row r="35494" spans="7:16" s="1634" customFormat="1">
      <c r="G35494" s="3336"/>
      <c r="P35494" s="3337"/>
    </row>
    <row r="35495" spans="7:16" s="1634" customFormat="1">
      <c r="G35495" s="3336"/>
      <c r="P35495" s="3337"/>
    </row>
    <row r="35496" spans="7:16" s="1634" customFormat="1">
      <c r="G35496" s="3336"/>
      <c r="P35496" s="3337"/>
    </row>
    <row r="35497" spans="7:16" s="1634" customFormat="1">
      <c r="G35497" s="3336"/>
      <c r="P35497" s="3337"/>
    </row>
    <row r="35498" spans="7:16" s="1634" customFormat="1">
      <c r="G35498" s="3336"/>
      <c r="P35498" s="3337"/>
    </row>
    <row r="35499" spans="7:16" s="1634" customFormat="1">
      <c r="G35499" s="3336"/>
      <c r="P35499" s="3337"/>
    </row>
    <row r="35500" spans="7:16" s="1634" customFormat="1">
      <c r="G35500" s="3336"/>
      <c r="P35500" s="3337"/>
    </row>
    <row r="35501" spans="7:16" s="1634" customFormat="1">
      <c r="G35501" s="3336"/>
      <c r="P35501" s="3337"/>
    </row>
    <row r="35502" spans="7:16" s="1634" customFormat="1">
      <c r="G35502" s="3336"/>
      <c r="P35502" s="3337"/>
    </row>
    <row r="35503" spans="7:16" s="1634" customFormat="1">
      <c r="G35503" s="3336"/>
      <c r="P35503" s="3337"/>
    </row>
    <row r="35504" spans="7:16" s="1634" customFormat="1">
      <c r="G35504" s="3336"/>
      <c r="P35504" s="3337"/>
    </row>
    <row r="35505" spans="7:16" s="1634" customFormat="1">
      <c r="G35505" s="3336"/>
      <c r="P35505" s="3337"/>
    </row>
    <row r="35506" spans="7:16" s="1634" customFormat="1">
      <c r="G35506" s="3336"/>
      <c r="P35506" s="3337"/>
    </row>
    <row r="35507" spans="7:16" s="1634" customFormat="1">
      <c r="G35507" s="3336"/>
      <c r="P35507" s="3337"/>
    </row>
    <row r="35508" spans="7:16" s="1634" customFormat="1">
      <c r="G35508" s="3336"/>
      <c r="P35508" s="3337"/>
    </row>
    <row r="35509" spans="7:16" s="1634" customFormat="1">
      <c r="G35509" s="3336"/>
      <c r="P35509" s="3337"/>
    </row>
    <row r="35510" spans="7:16" s="1634" customFormat="1">
      <c r="G35510" s="3336"/>
      <c r="P35510" s="3337"/>
    </row>
    <row r="35511" spans="7:16" s="1634" customFormat="1">
      <c r="G35511" s="3336"/>
      <c r="P35511" s="3337"/>
    </row>
    <row r="35512" spans="7:16" s="1634" customFormat="1">
      <c r="G35512" s="3336"/>
      <c r="P35512" s="3337"/>
    </row>
    <row r="35513" spans="7:16" s="1634" customFormat="1">
      <c r="G35513" s="3336"/>
      <c r="P35513" s="3337"/>
    </row>
    <row r="35514" spans="7:16" s="1634" customFormat="1">
      <c r="G35514" s="3336"/>
      <c r="P35514" s="3337"/>
    </row>
    <row r="35515" spans="7:16" s="1634" customFormat="1">
      <c r="G35515" s="3336"/>
      <c r="P35515" s="3337"/>
    </row>
    <row r="35516" spans="7:16" s="1634" customFormat="1">
      <c r="G35516" s="3336"/>
      <c r="P35516" s="3337"/>
    </row>
    <row r="35517" spans="7:16" s="1634" customFormat="1">
      <c r="G35517" s="3336"/>
      <c r="P35517" s="3337"/>
    </row>
    <row r="35518" spans="7:16" s="1634" customFormat="1">
      <c r="G35518" s="3336"/>
      <c r="P35518" s="3337"/>
    </row>
    <row r="35519" spans="7:16" s="1634" customFormat="1">
      <c r="G35519" s="3336"/>
      <c r="P35519" s="3337"/>
    </row>
    <row r="35520" spans="7:16" s="1634" customFormat="1">
      <c r="G35520" s="3336"/>
      <c r="P35520" s="3337"/>
    </row>
    <row r="35521" spans="7:16" s="1634" customFormat="1">
      <c r="G35521" s="3336"/>
      <c r="P35521" s="3337"/>
    </row>
    <row r="35522" spans="7:16" s="1634" customFormat="1">
      <c r="G35522" s="3336"/>
      <c r="P35522" s="3337"/>
    </row>
    <row r="35523" spans="7:16" s="1634" customFormat="1">
      <c r="G35523" s="3336"/>
      <c r="P35523" s="3337"/>
    </row>
    <row r="35524" spans="7:16" s="1634" customFormat="1">
      <c r="G35524" s="3336"/>
      <c r="P35524" s="3337"/>
    </row>
    <row r="35525" spans="7:16" s="1634" customFormat="1">
      <c r="G35525" s="3336"/>
      <c r="P35525" s="3337"/>
    </row>
    <row r="35526" spans="7:16" s="1634" customFormat="1">
      <c r="G35526" s="3336"/>
      <c r="P35526" s="3337"/>
    </row>
    <row r="35527" spans="7:16" s="1634" customFormat="1">
      <c r="G35527" s="3336"/>
      <c r="P35527" s="3337"/>
    </row>
    <row r="35528" spans="7:16" s="1634" customFormat="1">
      <c r="G35528" s="3336"/>
      <c r="P35528" s="3337"/>
    </row>
    <row r="35529" spans="7:16" s="1634" customFormat="1">
      <c r="G35529" s="3336"/>
      <c r="P35529" s="3337"/>
    </row>
    <row r="35530" spans="7:16" s="1634" customFormat="1">
      <c r="G35530" s="3336"/>
      <c r="P35530" s="3337"/>
    </row>
    <row r="35531" spans="7:16" s="1634" customFormat="1">
      <c r="G35531" s="3336"/>
      <c r="P35531" s="3337"/>
    </row>
    <row r="35532" spans="7:16" s="1634" customFormat="1">
      <c r="G35532" s="3336"/>
      <c r="P35532" s="3337"/>
    </row>
    <row r="35533" spans="7:16" s="1634" customFormat="1">
      <c r="G35533" s="3336"/>
      <c r="P35533" s="3337"/>
    </row>
    <row r="35534" spans="7:16" s="1634" customFormat="1">
      <c r="G35534" s="3336"/>
      <c r="P35534" s="3337"/>
    </row>
    <row r="35535" spans="7:16" s="1634" customFormat="1">
      <c r="G35535" s="3336"/>
      <c r="P35535" s="3337"/>
    </row>
    <row r="35536" spans="7:16" s="1634" customFormat="1">
      <c r="G35536" s="3336"/>
      <c r="P35536" s="3337"/>
    </row>
    <row r="35537" spans="7:16" s="1634" customFormat="1">
      <c r="G35537" s="3336"/>
      <c r="P35537" s="3337"/>
    </row>
    <row r="35538" spans="7:16" s="1634" customFormat="1">
      <c r="G35538" s="3336"/>
      <c r="P35538" s="3337"/>
    </row>
    <row r="35539" spans="7:16" s="1634" customFormat="1">
      <c r="G35539" s="3336"/>
      <c r="P35539" s="3337"/>
    </row>
    <row r="35540" spans="7:16" s="1634" customFormat="1">
      <c r="G35540" s="3336"/>
      <c r="P35540" s="3337"/>
    </row>
    <row r="35541" spans="7:16" s="1634" customFormat="1">
      <c r="G35541" s="3336"/>
      <c r="P35541" s="3337"/>
    </row>
    <row r="35542" spans="7:16" s="1634" customFormat="1">
      <c r="G35542" s="3336"/>
      <c r="P35542" s="3337"/>
    </row>
    <row r="35543" spans="7:16" s="1634" customFormat="1">
      <c r="G35543" s="3336"/>
      <c r="P35543" s="3337"/>
    </row>
    <row r="35544" spans="7:16" s="1634" customFormat="1">
      <c r="G35544" s="3336"/>
      <c r="P35544" s="3337"/>
    </row>
    <row r="35545" spans="7:16" s="1634" customFormat="1">
      <c r="G35545" s="3336"/>
      <c r="P35545" s="3337"/>
    </row>
    <row r="35546" spans="7:16" s="1634" customFormat="1">
      <c r="G35546" s="3336"/>
      <c r="P35546" s="3337"/>
    </row>
    <row r="35547" spans="7:16" s="1634" customFormat="1">
      <c r="G35547" s="3336"/>
      <c r="P35547" s="3337"/>
    </row>
    <row r="35548" spans="7:16" s="1634" customFormat="1">
      <c r="G35548" s="3336"/>
      <c r="P35548" s="3337"/>
    </row>
    <row r="35549" spans="7:16" s="1634" customFormat="1">
      <c r="G35549" s="3336"/>
      <c r="P35549" s="3337"/>
    </row>
    <row r="35550" spans="7:16" s="1634" customFormat="1">
      <c r="G35550" s="3336"/>
      <c r="P35550" s="3337"/>
    </row>
    <row r="35551" spans="7:16" s="1634" customFormat="1">
      <c r="G35551" s="3336"/>
      <c r="P35551" s="3337"/>
    </row>
    <row r="35552" spans="7:16" s="1634" customFormat="1">
      <c r="G35552" s="3336"/>
      <c r="P35552" s="3337"/>
    </row>
    <row r="35553" spans="7:16" s="1634" customFormat="1">
      <c r="G35553" s="3336"/>
      <c r="P35553" s="3337"/>
    </row>
    <row r="35554" spans="7:16" s="1634" customFormat="1">
      <c r="G35554" s="3336"/>
      <c r="P35554" s="3337"/>
    </row>
    <row r="35555" spans="7:16" s="1634" customFormat="1">
      <c r="G35555" s="3336"/>
      <c r="P35555" s="3337"/>
    </row>
    <row r="35556" spans="7:16" s="1634" customFormat="1">
      <c r="G35556" s="3336"/>
      <c r="P35556" s="3337"/>
    </row>
    <row r="35557" spans="7:16" s="1634" customFormat="1">
      <c r="G35557" s="3336"/>
      <c r="P35557" s="3337"/>
    </row>
    <row r="35558" spans="7:16" s="1634" customFormat="1">
      <c r="G35558" s="3336"/>
      <c r="P35558" s="3337"/>
    </row>
    <row r="35559" spans="7:16" s="1634" customFormat="1">
      <c r="G35559" s="3336"/>
      <c r="P35559" s="3337"/>
    </row>
    <row r="35560" spans="7:16" s="1634" customFormat="1">
      <c r="G35560" s="3336"/>
      <c r="P35560" s="3337"/>
    </row>
    <row r="35561" spans="7:16" s="1634" customFormat="1">
      <c r="G35561" s="3336"/>
      <c r="P35561" s="3337"/>
    </row>
    <row r="35562" spans="7:16" s="1634" customFormat="1">
      <c r="G35562" s="3336"/>
      <c r="P35562" s="3337"/>
    </row>
    <row r="35563" spans="7:16" s="1634" customFormat="1">
      <c r="G35563" s="3336"/>
      <c r="P35563" s="3337"/>
    </row>
    <row r="35564" spans="7:16" s="1634" customFormat="1">
      <c r="G35564" s="3336"/>
      <c r="P35564" s="3337"/>
    </row>
    <row r="35565" spans="7:16" s="1634" customFormat="1">
      <c r="G35565" s="3336"/>
      <c r="P35565" s="3337"/>
    </row>
    <row r="35566" spans="7:16" s="1634" customFormat="1">
      <c r="G35566" s="3336"/>
      <c r="P35566" s="3337"/>
    </row>
    <row r="35567" spans="7:16" s="1634" customFormat="1">
      <c r="G35567" s="3336"/>
      <c r="P35567" s="3337"/>
    </row>
    <row r="35568" spans="7:16" s="1634" customFormat="1">
      <c r="G35568" s="3336"/>
      <c r="P35568" s="3337"/>
    </row>
    <row r="35569" spans="7:16" s="1634" customFormat="1">
      <c r="G35569" s="3336"/>
      <c r="P35569" s="3337"/>
    </row>
    <row r="35570" spans="7:16" s="1634" customFormat="1">
      <c r="G35570" s="3336"/>
      <c r="P35570" s="3337"/>
    </row>
    <row r="35571" spans="7:16" s="1634" customFormat="1">
      <c r="G35571" s="3336"/>
      <c r="P35571" s="3337"/>
    </row>
    <row r="35572" spans="7:16" s="1634" customFormat="1">
      <c r="G35572" s="3336"/>
      <c r="P35572" s="3337"/>
    </row>
    <row r="35573" spans="7:16" s="1634" customFormat="1">
      <c r="G35573" s="3336"/>
      <c r="P35573" s="3337"/>
    </row>
    <row r="35574" spans="7:16" s="1634" customFormat="1">
      <c r="G35574" s="3336"/>
      <c r="P35574" s="3337"/>
    </row>
    <row r="35575" spans="7:16" s="1634" customFormat="1">
      <c r="G35575" s="3336"/>
      <c r="P35575" s="3337"/>
    </row>
    <row r="35576" spans="7:16" s="1634" customFormat="1">
      <c r="G35576" s="3336"/>
      <c r="P35576" s="3337"/>
    </row>
    <row r="35577" spans="7:16" s="1634" customFormat="1">
      <c r="G35577" s="3336"/>
      <c r="P35577" s="3337"/>
    </row>
    <row r="35578" spans="7:16" s="1634" customFormat="1">
      <c r="G35578" s="3336"/>
      <c r="P35578" s="3337"/>
    </row>
    <row r="35579" spans="7:16" s="1634" customFormat="1">
      <c r="G35579" s="3336"/>
      <c r="P35579" s="3337"/>
    </row>
    <row r="35580" spans="7:16" s="1634" customFormat="1">
      <c r="G35580" s="3336"/>
      <c r="P35580" s="3337"/>
    </row>
    <row r="35581" spans="7:16" s="1634" customFormat="1">
      <c r="G35581" s="3336"/>
      <c r="P35581" s="3337"/>
    </row>
    <row r="35582" spans="7:16" s="1634" customFormat="1">
      <c r="G35582" s="3336"/>
      <c r="P35582" s="3337"/>
    </row>
    <row r="35583" spans="7:16" s="1634" customFormat="1">
      <c r="G35583" s="3336"/>
      <c r="P35583" s="3337"/>
    </row>
    <row r="35584" spans="7:16" s="1634" customFormat="1">
      <c r="G35584" s="3336"/>
      <c r="P35584" s="3337"/>
    </row>
    <row r="35585" spans="7:16" s="1634" customFormat="1">
      <c r="G35585" s="3336"/>
      <c r="P35585" s="3337"/>
    </row>
    <row r="35586" spans="7:16" s="1634" customFormat="1">
      <c r="G35586" s="3336"/>
      <c r="P35586" s="3337"/>
    </row>
    <row r="35587" spans="7:16" s="1634" customFormat="1">
      <c r="G35587" s="3336"/>
      <c r="P35587" s="3337"/>
    </row>
    <row r="35588" spans="7:16" s="1634" customFormat="1">
      <c r="G35588" s="3336"/>
      <c r="P35588" s="3337"/>
    </row>
    <row r="35589" spans="7:16" s="1634" customFormat="1">
      <c r="G35589" s="3336"/>
      <c r="P35589" s="3337"/>
    </row>
    <row r="35590" spans="7:16" s="1634" customFormat="1">
      <c r="G35590" s="3336"/>
      <c r="P35590" s="3337"/>
    </row>
    <row r="35591" spans="7:16" s="1634" customFormat="1">
      <c r="G35591" s="3336"/>
      <c r="P35591" s="3337"/>
    </row>
    <row r="35592" spans="7:16" s="1634" customFormat="1">
      <c r="G35592" s="3336"/>
      <c r="P35592" s="3337"/>
    </row>
    <row r="35593" spans="7:16" s="1634" customFormat="1">
      <c r="G35593" s="3336"/>
      <c r="P35593" s="3337"/>
    </row>
    <row r="35594" spans="7:16" s="1634" customFormat="1">
      <c r="G35594" s="3336"/>
      <c r="P35594" s="3337"/>
    </row>
    <row r="35595" spans="7:16" s="1634" customFormat="1">
      <c r="G35595" s="3336"/>
      <c r="P35595" s="3337"/>
    </row>
    <row r="35596" spans="7:16" s="1634" customFormat="1">
      <c r="G35596" s="3336"/>
      <c r="P35596" s="3337"/>
    </row>
    <row r="35597" spans="7:16" s="1634" customFormat="1">
      <c r="G35597" s="3336"/>
      <c r="P35597" s="3337"/>
    </row>
    <row r="35598" spans="7:16" s="1634" customFormat="1">
      <c r="G35598" s="3336"/>
      <c r="P35598" s="3337"/>
    </row>
    <row r="35599" spans="7:16" s="1634" customFormat="1">
      <c r="G35599" s="3336"/>
      <c r="P35599" s="3337"/>
    </row>
    <row r="35600" spans="7:16" s="1634" customFormat="1">
      <c r="G35600" s="3336"/>
      <c r="P35600" s="3337"/>
    </row>
    <row r="35601" spans="7:16" s="1634" customFormat="1">
      <c r="G35601" s="3336"/>
      <c r="P35601" s="3337"/>
    </row>
    <row r="35602" spans="7:16" s="1634" customFormat="1">
      <c r="G35602" s="3336"/>
      <c r="P35602" s="3337"/>
    </row>
    <row r="35603" spans="7:16" s="1634" customFormat="1">
      <c r="G35603" s="3336"/>
      <c r="P35603" s="3337"/>
    </row>
    <row r="35604" spans="7:16" s="1634" customFormat="1">
      <c r="G35604" s="3336"/>
      <c r="P35604" s="3337"/>
    </row>
    <row r="35605" spans="7:16" s="1634" customFormat="1">
      <c r="G35605" s="3336"/>
      <c r="P35605" s="3337"/>
    </row>
    <row r="35606" spans="7:16" s="1634" customFormat="1">
      <c r="G35606" s="3336"/>
      <c r="P35606" s="3337"/>
    </row>
    <row r="35607" spans="7:16" s="1634" customFormat="1">
      <c r="G35607" s="3336"/>
      <c r="P35607" s="3337"/>
    </row>
    <row r="35608" spans="7:16" s="1634" customFormat="1">
      <c r="G35608" s="3336"/>
      <c r="P35608" s="3337"/>
    </row>
    <row r="35609" spans="7:16" s="1634" customFormat="1">
      <c r="G35609" s="3336"/>
      <c r="P35609" s="3337"/>
    </row>
    <row r="35610" spans="7:16" s="1634" customFormat="1">
      <c r="G35610" s="3336"/>
      <c r="P35610" s="3337"/>
    </row>
    <row r="35611" spans="7:16" s="1634" customFormat="1">
      <c r="G35611" s="3336"/>
      <c r="P35611" s="3337"/>
    </row>
    <row r="35612" spans="7:16" s="1634" customFormat="1">
      <c r="G35612" s="3336"/>
      <c r="P35612" s="3337"/>
    </row>
    <row r="35613" spans="7:16" s="1634" customFormat="1">
      <c r="G35613" s="3336"/>
      <c r="P35613" s="3337"/>
    </row>
    <row r="35614" spans="7:16" s="1634" customFormat="1">
      <c r="G35614" s="3336"/>
      <c r="P35614" s="3337"/>
    </row>
    <row r="35615" spans="7:16" s="1634" customFormat="1">
      <c r="G35615" s="3336"/>
      <c r="P35615" s="3337"/>
    </row>
    <row r="35616" spans="7:16" s="1634" customFormat="1">
      <c r="G35616" s="3336"/>
      <c r="P35616" s="3337"/>
    </row>
    <row r="35617" spans="7:16" s="1634" customFormat="1">
      <c r="G35617" s="3336"/>
      <c r="P35617" s="3337"/>
    </row>
    <row r="35618" spans="7:16" s="1634" customFormat="1">
      <c r="G35618" s="3336"/>
      <c r="P35618" s="3337"/>
    </row>
    <row r="35619" spans="7:16" s="1634" customFormat="1">
      <c r="G35619" s="3336"/>
      <c r="P35619" s="3337"/>
    </row>
    <row r="35620" spans="7:16" s="1634" customFormat="1">
      <c r="G35620" s="3336"/>
      <c r="P35620" s="3337"/>
    </row>
    <row r="35621" spans="7:16" s="1634" customFormat="1">
      <c r="G35621" s="3336"/>
      <c r="P35621" s="3337"/>
    </row>
    <row r="35622" spans="7:16" s="1634" customFormat="1">
      <c r="G35622" s="3336"/>
      <c r="P35622" s="3337"/>
    </row>
    <row r="35623" spans="7:16" s="1634" customFormat="1">
      <c r="G35623" s="3336"/>
      <c r="P35623" s="3337"/>
    </row>
    <row r="35624" spans="7:16" s="1634" customFormat="1">
      <c r="G35624" s="3336"/>
      <c r="P35624" s="3337"/>
    </row>
    <row r="35625" spans="7:16" s="1634" customFormat="1">
      <c r="G35625" s="3336"/>
      <c r="P35625" s="3337"/>
    </row>
    <row r="35626" spans="7:16" s="1634" customFormat="1">
      <c r="G35626" s="3336"/>
      <c r="P35626" s="3337"/>
    </row>
    <row r="35627" spans="7:16" s="1634" customFormat="1">
      <c r="G35627" s="3336"/>
      <c r="P35627" s="3337"/>
    </row>
    <row r="35628" spans="7:16" s="1634" customFormat="1">
      <c r="G35628" s="3336"/>
      <c r="P35628" s="3337"/>
    </row>
    <row r="35629" spans="7:16" s="1634" customFormat="1">
      <c r="G35629" s="3336"/>
      <c r="P35629" s="3337"/>
    </row>
    <row r="35630" spans="7:16" s="1634" customFormat="1">
      <c r="G35630" s="3336"/>
      <c r="P35630" s="3337"/>
    </row>
    <row r="35631" spans="7:16" s="1634" customFormat="1">
      <c r="G35631" s="3336"/>
      <c r="P35631" s="3337"/>
    </row>
    <row r="35632" spans="7:16" s="1634" customFormat="1">
      <c r="G35632" s="3336"/>
      <c r="P35632" s="3337"/>
    </row>
    <row r="35633" spans="7:16" s="1634" customFormat="1">
      <c r="G35633" s="3336"/>
      <c r="P35633" s="3337"/>
    </row>
    <row r="35634" spans="7:16" s="1634" customFormat="1">
      <c r="G35634" s="3336"/>
      <c r="P35634" s="3337"/>
    </row>
    <row r="35635" spans="7:16" s="1634" customFormat="1">
      <c r="G35635" s="3336"/>
      <c r="P35635" s="3337"/>
    </row>
    <row r="35636" spans="7:16" s="1634" customFormat="1">
      <c r="G35636" s="3336"/>
      <c r="P35636" s="3337"/>
    </row>
    <row r="35637" spans="7:16" s="1634" customFormat="1">
      <c r="G35637" s="3336"/>
      <c r="P35637" s="3337"/>
    </row>
    <row r="35638" spans="7:16" s="1634" customFormat="1">
      <c r="G35638" s="3336"/>
      <c r="P35638" s="3337"/>
    </row>
    <row r="35639" spans="7:16" s="1634" customFormat="1">
      <c r="G35639" s="3336"/>
      <c r="P35639" s="3337"/>
    </row>
    <row r="35640" spans="7:16" s="1634" customFormat="1">
      <c r="G35640" s="3336"/>
      <c r="P35640" s="3337"/>
    </row>
    <row r="35641" spans="7:16" s="1634" customFormat="1">
      <c r="G35641" s="3336"/>
      <c r="P35641" s="3337"/>
    </row>
    <row r="35642" spans="7:16" s="1634" customFormat="1">
      <c r="G35642" s="3336"/>
      <c r="P35642" s="3337"/>
    </row>
    <row r="35643" spans="7:16" s="1634" customFormat="1">
      <c r="G35643" s="3336"/>
      <c r="P35643" s="3337"/>
    </row>
    <row r="35644" spans="7:16" s="1634" customFormat="1">
      <c r="G35644" s="3336"/>
      <c r="P35644" s="3337"/>
    </row>
    <row r="35645" spans="7:16" s="1634" customFormat="1">
      <c r="G35645" s="3336"/>
      <c r="P35645" s="3337"/>
    </row>
    <row r="35646" spans="7:16" s="1634" customFormat="1">
      <c r="G35646" s="3336"/>
      <c r="P35646" s="3337"/>
    </row>
    <row r="35647" spans="7:16" s="1634" customFormat="1">
      <c r="G35647" s="3336"/>
      <c r="P35647" s="3337"/>
    </row>
    <row r="35648" spans="7:16" s="1634" customFormat="1">
      <c r="G35648" s="3336"/>
      <c r="P35648" s="3337"/>
    </row>
    <row r="35649" spans="7:16" s="1634" customFormat="1">
      <c r="G35649" s="3336"/>
      <c r="P35649" s="3337"/>
    </row>
    <row r="35650" spans="7:16" s="1634" customFormat="1">
      <c r="G35650" s="3336"/>
      <c r="P35650" s="3337"/>
    </row>
    <row r="35651" spans="7:16" s="1634" customFormat="1">
      <c r="G35651" s="3336"/>
      <c r="P35651" s="3337"/>
    </row>
    <row r="35652" spans="7:16" s="1634" customFormat="1">
      <c r="G35652" s="3336"/>
      <c r="P35652" s="3337"/>
    </row>
    <row r="35653" spans="7:16" s="1634" customFormat="1">
      <c r="G35653" s="3336"/>
      <c r="P35653" s="3337"/>
    </row>
    <row r="35654" spans="7:16" s="1634" customFormat="1">
      <c r="G35654" s="3336"/>
      <c r="P35654" s="3337"/>
    </row>
    <row r="35655" spans="7:16" s="1634" customFormat="1">
      <c r="G35655" s="3336"/>
      <c r="P35655" s="3337"/>
    </row>
    <row r="35656" spans="7:16" s="1634" customFormat="1">
      <c r="G35656" s="3336"/>
      <c r="P35656" s="3337"/>
    </row>
    <row r="35657" spans="7:16" s="1634" customFormat="1">
      <c r="G35657" s="3336"/>
      <c r="P35657" s="3337"/>
    </row>
    <row r="35658" spans="7:16" s="1634" customFormat="1">
      <c r="G35658" s="3336"/>
      <c r="P35658" s="3337"/>
    </row>
    <row r="35659" spans="7:16" s="1634" customFormat="1">
      <c r="G35659" s="3336"/>
      <c r="P35659" s="3337"/>
    </row>
    <row r="35660" spans="7:16" s="1634" customFormat="1">
      <c r="G35660" s="3336"/>
      <c r="P35660" s="3337"/>
    </row>
    <row r="35661" spans="7:16" s="1634" customFormat="1">
      <c r="G35661" s="3336"/>
      <c r="P35661" s="3337"/>
    </row>
    <row r="35662" spans="7:16" s="1634" customFormat="1">
      <c r="G35662" s="3336"/>
      <c r="P35662" s="3337"/>
    </row>
    <row r="35663" spans="7:16" s="1634" customFormat="1">
      <c r="G35663" s="3336"/>
      <c r="P35663" s="3337"/>
    </row>
    <row r="35664" spans="7:16" s="1634" customFormat="1">
      <c r="G35664" s="3336"/>
      <c r="P35664" s="3337"/>
    </row>
    <row r="35665" spans="7:16" s="1634" customFormat="1">
      <c r="G35665" s="3336"/>
      <c r="P35665" s="3337"/>
    </row>
    <row r="35666" spans="7:16" s="1634" customFormat="1">
      <c r="G35666" s="3336"/>
      <c r="P35666" s="3337"/>
    </row>
    <row r="35667" spans="7:16" s="1634" customFormat="1">
      <c r="G35667" s="3336"/>
      <c r="P35667" s="3337"/>
    </row>
    <row r="35668" spans="7:16" s="1634" customFormat="1">
      <c r="G35668" s="3336"/>
      <c r="P35668" s="3337"/>
    </row>
    <row r="35669" spans="7:16" s="1634" customFormat="1">
      <c r="G35669" s="3336"/>
      <c r="P35669" s="3337"/>
    </row>
    <row r="35670" spans="7:16" s="1634" customFormat="1">
      <c r="G35670" s="3336"/>
      <c r="P35670" s="3337"/>
    </row>
    <row r="35671" spans="7:16" s="1634" customFormat="1">
      <c r="G35671" s="3336"/>
      <c r="P35671" s="3337"/>
    </row>
    <row r="35672" spans="7:16" s="1634" customFormat="1">
      <c r="G35672" s="3336"/>
      <c r="P35672" s="3337"/>
    </row>
    <row r="35673" spans="7:16" s="1634" customFormat="1">
      <c r="G35673" s="3336"/>
      <c r="P35673" s="3337"/>
    </row>
    <row r="35674" spans="7:16" s="1634" customFormat="1">
      <c r="G35674" s="3336"/>
      <c r="P35674" s="3337"/>
    </row>
    <row r="35675" spans="7:16" s="1634" customFormat="1">
      <c r="G35675" s="3336"/>
      <c r="P35675" s="3337"/>
    </row>
    <row r="35676" spans="7:16" s="1634" customFormat="1">
      <c r="G35676" s="3336"/>
      <c r="P35676" s="3337"/>
    </row>
    <row r="35677" spans="7:16" s="1634" customFormat="1">
      <c r="G35677" s="3336"/>
      <c r="P35677" s="3337"/>
    </row>
    <row r="35678" spans="7:16" s="1634" customFormat="1">
      <c r="G35678" s="3336"/>
      <c r="P35678" s="3337"/>
    </row>
    <row r="35679" spans="7:16" s="1634" customFormat="1">
      <c r="G35679" s="3336"/>
      <c r="P35679" s="3337"/>
    </row>
    <row r="35680" spans="7:16" s="1634" customFormat="1">
      <c r="G35680" s="3336"/>
      <c r="P35680" s="3337"/>
    </row>
    <row r="35681" spans="7:16" s="1634" customFormat="1">
      <c r="G35681" s="3336"/>
      <c r="P35681" s="3337"/>
    </row>
    <row r="35682" spans="7:16" s="1634" customFormat="1">
      <c r="G35682" s="3336"/>
      <c r="P35682" s="3337"/>
    </row>
    <row r="35683" spans="7:16" s="1634" customFormat="1">
      <c r="G35683" s="3336"/>
      <c r="P35683" s="3337"/>
    </row>
    <row r="35684" spans="7:16" s="1634" customFormat="1">
      <c r="G35684" s="3336"/>
      <c r="P35684" s="3337"/>
    </row>
    <row r="35685" spans="7:16" s="1634" customFormat="1">
      <c r="G35685" s="3336"/>
      <c r="P35685" s="3337"/>
    </row>
    <row r="35686" spans="7:16" s="1634" customFormat="1">
      <c r="G35686" s="3336"/>
      <c r="P35686" s="3337"/>
    </row>
    <row r="35687" spans="7:16" s="1634" customFormat="1">
      <c r="G35687" s="3336"/>
      <c r="P35687" s="3337"/>
    </row>
    <row r="35688" spans="7:16" s="1634" customFormat="1">
      <c r="G35688" s="3336"/>
      <c r="P35688" s="3337"/>
    </row>
    <row r="35689" spans="7:16" s="1634" customFormat="1">
      <c r="G35689" s="3336"/>
      <c r="P35689" s="3337"/>
    </row>
    <row r="35690" spans="7:16" s="1634" customFormat="1">
      <c r="G35690" s="3336"/>
      <c r="P35690" s="3337"/>
    </row>
    <row r="35691" spans="7:16" s="1634" customFormat="1">
      <c r="G35691" s="3336"/>
      <c r="P35691" s="3337"/>
    </row>
    <row r="35692" spans="7:16" s="1634" customFormat="1">
      <c r="G35692" s="3336"/>
      <c r="P35692" s="3337"/>
    </row>
    <row r="35693" spans="7:16" s="1634" customFormat="1">
      <c r="G35693" s="3336"/>
      <c r="P35693" s="3337"/>
    </row>
    <row r="35694" spans="7:16" s="1634" customFormat="1">
      <c r="G35694" s="3336"/>
      <c r="P35694" s="3337"/>
    </row>
    <row r="35695" spans="7:16" s="1634" customFormat="1">
      <c r="G35695" s="3336"/>
      <c r="P35695" s="3337"/>
    </row>
    <row r="35696" spans="7:16" s="1634" customFormat="1">
      <c r="G35696" s="3336"/>
      <c r="P35696" s="3337"/>
    </row>
    <row r="35697" spans="7:16" s="1634" customFormat="1">
      <c r="G35697" s="3336"/>
      <c r="P35697" s="3337"/>
    </row>
    <row r="35698" spans="7:16" s="1634" customFormat="1">
      <c r="G35698" s="3336"/>
      <c r="P35698" s="3337"/>
    </row>
    <row r="35699" spans="7:16" s="1634" customFormat="1">
      <c r="G35699" s="3336"/>
      <c r="P35699" s="3337"/>
    </row>
    <row r="35700" spans="7:16" s="1634" customFormat="1">
      <c r="G35700" s="3336"/>
      <c r="P35700" s="3337"/>
    </row>
    <row r="35701" spans="7:16" s="1634" customFormat="1">
      <c r="G35701" s="3336"/>
      <c r="P35701" s="3337"/>
    </row>
    <row r="35702" spans="7:16" s="1634" customFormat="1">
      <c r="G35702" s="3336"/>
      <c r="P35702" s="3337"/>
    </row>
    <row r="35703" spans="7:16" s="1634" customFormat="1">
      <c r="G35703" s="3336"/>
      <c r="P35703" s="3337"/>
    </row>
    <row r="35704" spans="7:16" s="1634" customFormat="1">
      <c r="G35704" s="3336"/>
      <c r="P35704" s="3337"/>
    </row>
    <row r="35705" spans="7:16" s="1634" customFormat="1">
      <c r="G35705" s="3336"/>
      <c r="P35705" s="3337"/>
    </row>
    <row r="35706" spans="7:16" s="1634" customFormat="1">
      <c r="G35706" s="3336"/>
      <c r="P35706" s="3337"/>
    </row>
    <row r="35707" spans="7:16" s="1634" customFormat="1">
      <c r="G35707" s="3336"/>
      <c r="P35707" s="3337"/>
    </row>
    <row r="35708" spans="7:16" s="1634" customFormat="1">
      <c r="G35708" s="3336"/>
      <c r="P35708" s="3337"/>
    </row>
    <row r="35709" spans="7:16" s="1634" customFormat="1">
      <c r="G35709" s="3336"/>
      <c r="P35709" s="3337"/>
    </row>
    <row r="35710" spans="7:16" s="1634" customFormat="1">
      <c r="G35710" s="3336"/>
      <c r="P35710" s="3337"/>
    </row>
    <row r="35711" spans="7:16" s="1634" customFormat="1">
      <c r="G35711" s="3336"/>
      <c r="P35711" s="3337"/>
    </row>
    <row r="35712" spans="7:16" s="1634" customFormat="1">
      <c r="G35712" s="3336"/>
      <c r="P35712" s="3337"/>
    </row>
    <row r="35713" spans="7:16" s="1634" customFormat="1">
      <c r="G35713" s="3336"/>
      <c r="P35713" s="3337"/>
    </row>
    <row r="35714" spans="7:16" s="1634" customFormat="1">
      <c r="G35714" s="3336"/>
      <c r="P35714" s="3337"/>
    </row>
    <row r="35715" spans="7:16" s="1634" customFormat="1">
      <c r="G35715" s="3336"/>
      <c r="P35715" s="3337"/>
    </row>
    <row r="35716" spans="7:16" s="1634" customFormat="1">
      <c r="G35716" s="3336"/>
      <c r="P35716" s="3337"/>
    </row>
    <row r="35717" spans="7:16" s="1634" customFormat="1">
      <c r="G35717" s="3336"/>
      <c r="P35717" s="3337"/>
    </row>
    <row r="35718" spans="7:16" s="1634" customFormat="1">
      <c r="G35718" s="3336"/>
      <c r="P35718" s="3337"/>
    </row>
    <row r="35719" spans="7:16" s="1634" customFormat="1">
      <c r="G35719" s="3336"/>
      <c r="P35719" s="3337"/>
    </row>
    <row r="35720" spans="7:16" s="1634" customFormat="1">
      <c r="G35720" s="3336"/>
      <c r="P35720" s="3337"/>
    </row>
    <row r="35721" spans="7:16" s="1634" customFormat="1">
      <c r="G35721" s="3336"/>
      <c r="P35721" s="3337"/>
    </row>
    <row r="35722" spans="7:16" s="1634" customFormat="1">
      <c r="G35722" s="3336"/>
      <c r="P35722" s="3337"/>
    </row>
    <row r="35723" spans="7:16" s="1634" customFormat="1">
      <c r="G35723" s="3336"/>
      <c r="P35723" s="3337"/>
    </row>
    <row r="35724" spans="7:16" s="1634" customFormat="1">
      <c r="G35724" s="3336"/>
      <c r="P35724" s="3337"/>
    </row>
    <row r="35725" spans="7:16" s="1634" customFormat="1">
      <c r="G35725" s="3336"/>
      <c r="P35725" s="3337"/>
    </row>
    <row r="35726" spans="7:16" s="1634" customFormat="1">
      <c r="G35726" s="3336"/>
      <c r="P35726" s="3337"/>
    </row>
    <row r="35727" spans="7:16" s="1634" customFormat="1">
      <c r="G35727" s="3336"/>
      <c r="P35727" s="3337"/>
    </row>
    <row r="35728" spans="7:16" s="1634" customFormat="1">
      <c r="G35728" s="3336"/>
      <c r="P35728" s="3337"/>
    </row>
    <row r="35729" spans="7:16" s="1634" customFormat="1">
      <c r="G35729" s="3336"/>
      <c r="P35729" s="3337"/>
    </row>
    <row r="35730" spans="7:16" s="1634" customFormat="1">
      <c r="G35730" s="3336"/>
      <c r="P35730" s="3337"/>
    </row>
    <row r="35731" spans="7:16" s="1634" customFormat="1">
      <c r="G35731" s="3336"/>
      <c r="P35731" s="3337"/>
    </row>
    <row r="35732" spans="7:16" s="1634" customFormat="1">
      <c r="G35732" s="3336"/>
      <c r="P35732" s="3337"/>
    </row>
    <row r="35733" spans="7:16" s="1634" customFormat="1">
      <c r="G35733" s="3336"/>
      <c r="P35733" s="3337"/>
    </row>
    <row r="35734" spans="7:16" s="1634" customFormat="1">
      <c r="G35734" s="3336"/>
      <c r="P35734" s="3337"/>
    </row>
    <row r="35735" spans="7:16" s="1634" customFormat="1">
      <c r="G35735" s="3336"/>
      <c r="P35735" s="3337"/>
    </row>
    <row r="35736" spans="7:16" s="1634" customFormat="1">
      <c r="G35736" s="3336"/>
      <c r="P35736" s="3337"/>
    </row>
    <row r="35737" spans="7:16" s="1634" customFormat="1">
      <c r="G35737" s="3336"/>
      <c r="P35737" s="3337"/>
    </row>
    <row r="35738" spans="7:16" s="1634" customFormat="1">
      <c r="G35738" s="3336"/>
      <c r="P35738" s="3337"/>
    </row>
    <row r="35739" spans="7:16" s="1634" customFormat="1">
      <c r="G35739" s="3336"/>
      <c r="P35739" s="3337"/>
    </row>
    <row r="35740" spans="7:16" s="1634" customFormat="1">
      <c r="G35740" s="3336"/>
      <c r="P35740" s="3337"/>
    </row>
    <row r="35741" spans="7:16" s="1634" customFormat="1">
      <c r="G35741" s="3336"/>
      <c r="P35741" s="3337"/>
    </row>
    <row r="35742" spans="7:16" s="1634" customFormat="1">
      <c r="G35742" s="3336"/>
      <c r="P35742" s="3337"/>
    </row>
    <row r="35743" spans="7:16" s="1634" customFormat="1">
      <c r="G35743" s="3336"/>
      <c r="P35743" s="3337"/>
    </row>
    <row r="35744" spans="7:16" s="1634" customFormat="1">
      <c r="G35744" s="3336"/>
      <c r="P35744" s="3337"/>
    </row>
    <row r="35745" spans="7:16" s="1634" customFormat="1">
      <c r="G35745" s="3336"/>
      <c r="P35745" s="3337"/>
    </row>
    <row r="35746" spans="7:16" s="1634" customFormat="1">
      <c r="G35746" s="3336"/>
      <c r="P35746" s="3337"/>
    </row>
    <row r="35747" spans="7:16" s="1634" customFormat="1">
      <c r="G35747" s="3336"/>
      <c r="P35747" s="3337"/>
    </row>
    <row r="35748" spans="7:16" s="1634" customFormat="1">
      <c r="G35748" s="3336"/>
      <c r="P35748" s="3337"/>
    </row>
    <row r="35749" spans="7:16" s="1634" customFormat="1">
      <c r="G35749" s="3336"/>
      <c r="P35749" s="3337"/>
    </row>
    <row r="35750" spans="7:16" s="1634" customFormat="1">
      <c r="G35750" s="3336"/>
      <c r="P35750" s="3337"/>
    </row>
    <row r="35751" spans="7:16" s="1634" customFormat="1">
      <c r="G35751" s="3336"/>
      <c r="P35751" s="3337"/>
    </row>
    <row r="35752" spans="7:16" s="1634" customFormat="1">
      <c r="G35752" s="3336"/>
      <c r="P35752" s="3337"/>
    </row>
    <row r="35753" spans="7:16" s="1634" customFormat="1">
      <c r="G35753" s="3336"/>
      <c r="P35753" s="3337"/>
    </row>
    <row r="35754" spans="7:16" s="1634" customFormat="1">
      <c r="G35754" s="3336"/>
      <c r="P35754" s="3337"/>
    </row>
    <row r="35755" spans="7:16" s="1634" customFormat="1">
      <c r="G35755" s="3336"/>
      <c r="P35755" s="3337"/>
    </row>
    <row r="35756" spans="7:16" s="1634" customFormat="1">
      <c r="G35756" s="3336"/>
      <c r="P35756" s="3337"/>
    </row>
    <row r="35757" spans="7:16" s="1634" customFormat="1">
      <c r="G35757" s="3336"/>
      <c r="P35757" s="3337"/>
    </row>
    <row r="35758" spans="7:16" s="1634" customFormat="1">
      <c r="G35758" s="3336"/>
      <c r="P35758" s="3337"/>
    </row>
    <row r="35759" spans="7:16" s="1634" customFormat="1">
      <c r="G35759" s="3336"/>
      <c r="P35759" s="3337"/>
    </row>
    <row r="35760" spans="7:16" s="1634" customFormat="1">
      <c r="G35760" s="3336"/>
      <c r="P35760" s="3337"/>
    </row>
    <row r="35761" spans="7:16" s="1634" customFormat="1">
      <c r="G35761" s="3336"/>
      <c r="P35761" s="3337"/>
    </row>
    <row r="35762" spans="7:16" s="1634" customFormat="1">
      <c r="G35762" s="3336"/>
      <c r="P35762" s="3337"/>
    </row>
    <row r="35763" spans="7:16" s="1634" customFormat="1">
      <c r="G35763" s="3336"/>
      <c r="P35763" s="3337"/>
    </row>
    <row r="35764" spans="7:16" s="1634" customFormat="1">
      <c r="G35764" s="3336"/>
      <c r="P35764" s="3337"/>
    </row>
    <row r="35765" spans="7:16" s="1634" customFormat="1">
      <c r="G35765" s="3336"/>
      <c r="P35765" s="3337"/>
    </row>
    <row r="35766" spans="7:16" s="1634" customFormat="1">
      <c r="G35766" s="3336"/>
      <c r="P35766" s="3337"/>
    </row>
    <row r="35767" spans="7:16" s="1634" customFormat="1">
      <c r="G35767" s="3336"/>
      <c r="P35767" s="3337"/>
    </row>
    <row r="35768" spans="7:16" s="1634" customFormat="1">
      <c r="G35768" s="3336"/>
      <c r="P35768" s="3337"/>
    </row>
    <row r="35769" spans="7:16" s="1634" customFormat="1">
      <c r="G35769" s="3336"/>
      <c r="P35769" s="3337"/>
    </row>
    <row r="35770" spans="7:16" s="1634" customFormat="1">
      <c r="G35770" s="3336"/>
      <c r="P35770" s="3337"/>
    </row>
    <row r="35771" spans="7:16" s="1634" customFormat="1">
      <c r="G35771" s="3336"/>
      <c r="P35771" s="3337"/>
    </row>
    <row r="35772" spans="7:16" s="1634" customFormat="1">
      <c r="G35772" s="3336"/>
      <c r="P35772" s="3337"/>
    </row>
    <row r="35773" spans="7:16" s="1634" customFormat="1">
      <c r="G35773" s="3336"/>
      <c r="P35773" s="3337"/>
    </row>
    <row r="35774" spans="7:16" s="1634" customFormat="1">
      <c r="G35774" s="3336"/>
      <c r="P35774" s="3337"/>
    </row>
    <row r="35775" spans="7:16" s="1634" customFormat="1">
      <c r="G35775" s="3336"/>
      <c r="P35775" s="3337"/>
    </row>
    <row r="35776" spans="7:16" s="1634" customFormat="1">
      <c r="G35776" s="3336"/>
      <c r="P35776" s="3337"/>
    </row>
    <row r="35777" spans="7:16" s="1634" customFormat="1">
      <c r="G35777" s="3336"/>
      <c r="P35777" s="3337"/>
    </row>
    <row r="35778" spans="7:16" s="1634" customFormat="1">
      <c r="G35778" s="3336"/>
      <c r="P35778" s="3337"/>
    </row>
    <row r="35779" spans="7:16" s="1634" customFormat="1">
      <c r="G35779" s="3336"/>
      <c r="P35779" s="3337"/>
    </row>
    <row r="35780" spans="7:16" s="1634" customFormat="1">
      <c r="G35780" s="3336"/>
      <c r="P35780" s="3337"/>
    </row>
    <row r="35781" spans="7:16" s="1634" customFormat="1">
      <c r="G35781" s="3336"/>
      <c r="P35781" s="3337"/>
    </row>
    <row r="35782" spans="7:16" s="1634" customFormat="1">
      <c r="G35782" s="3336"/>
      <c r="P35782" s="3337"/>
    </row>
    <row r="35783" spans="7:16" s="1634" customFormat="1">
      <c r="G35783" s="3336"/>
      <c r="P35783" s="3337"/>
    </row>
    <row r="35784" spans="7:16" s="1634" customFormat="1">
      <c r="G35784" s="3336"/>
      <c r="P35784" s="3337"/>
    </row>
    <row r="35785" spans="7:16" s="1634" customFormat="1">
      <c r="G35785" s="3336"/>
      <c r="P35785" s="3337"/>
    </row>
    <row r="35786" spans="7:16" s="1634" customFormat="1">
      <c r="G35786" s="3336"/>
      <c r="P35786" s="3337"/>
    </row>
    <row r="35787" spans="7:16" s="1634" customFormat="1">
      <c r="G35787" s="3336"/>
      <c r="P35787" s="3337"/>
    </row>
    <row r="35788" spans="7:16" s="1634" customFormat="1">
      <c r="G35788" s="3336"/>
      <c r="P35788" s="3337"/>
    </row>
    <row r="35789" spans="7:16" s="1634" customFormat="1">
      <c r="G35789" s="3336"/>
      <c r="P35789" s="3337"/>
    </row>
    <row r="35790" spans="7:16" s="1634" customFormat="1">
      <c r="G35790" s="3336"/>
      <c r="P35790" s="3337"/>
    </row>
    <row r="35791" spans="7:16" s="1634" customFormat="1">
      <c r="G35791" s="3336"/>
      <c r="P35791" s="3337"/>
    </row>
    <row r="35792" spans="7:16" s="1634" customFormat="1">
      <c r="G35792" s="3336"/>
      <c r="P35792" s="3337"/>
    </row>
    <row r="35793" spans="7:16" s="1634" customFormat="1">
      <c r="G35793" s="3336"/>
      <c r="P35793" s="3337"/>
    </row>
    <row r="35794" spans="7:16" s="1634" customFormat="1">
      <c r="G35794" s="3336"/>
      <c r="P35794" s="3337"/>
    </row>
    <row r="35795" spans="7:16" s="1634" customFormat="1">
      <c r="G35795" s="3336"/>
      <c r="P35795" s="3337"/>
    </row>
    <row r="35796" spans="7:16" s="1634" customFormat="1">
      <c r="G35796" s="3336"/>
      <c r="P35796" s="3337"/>
    </row>
    <row r="35797" spans="7:16" s="1634" customFormat="1">
      <c r="G35797" s="3336"/>
      <c r="P35797" s="3337"/>
    </row>
    <row r="35798" spans="7:16" s="1634" customFormat="1">
      <c r="G35798" s="3336"/>
      <c r="P35798" s="3337"/>
    </row>
    <row r="35799" spans="7:16" s="1634" customFormat="1">
      <c r="G35799" s="3336"/>
      <c r="P35799" s="3337"/>
    </row>
    <row r="35800" spans="7:16" s="1634" customFormat="1">
      <c r="G35800" s="3336"/>
      <c r="P35800" s="3337"/>
    </row>
    <row r="35801" spans="7:16" s="1634" customFormat="1">
      <c r="G35801" s="3336"/>
      <c r="P35801" s="3337"/>
    </row>
    <row r="35802" spans="7:16" s="1634" customFormat="1">
      <c r="G35802" s="3336"/>
      <c r="P35802" s="3337"/>
    </row>
    <row r="35803" spans="7:16" s="1634" customFormat="1">
      <c r="G35803" s="3336"/>
      <c r="P35803" s="3337"/>
    </row>
    <row r="35804" spans="7:16" s="1634" customFormat="1">
      <c r="G35804" s="3336"/>
      <c r="P35804" s="3337"/>
    </row>
    <row r="35805" spans="7:16" s="1634" customFormat="1">
      <c r="G35805" s="3336"/>
      <c r="P35805" s="3337"/>
    </row>
    <row r="35806" spans="7:16" s="1634" customFormat="1">
      <c r="G35806" s="3336"/>
      <c r="P35806" s="3337"/>
    </row>
    <row r="35807" spans="7:16" s="1634" customFormat="1">
      <c r="G35807" s="3336"/>
      <c r="P35807" s="3337"/>
    </row>
    <row r="35808" spans="7:16" s="1634" customFormat="1">
      <c r="G35808" s="3336"/>
      <c r="P35808" s="3337"/>
    </row>
    <row r="35809" spans="7:16" s="1634" customFormat="1">
      <c r="G35809" s="3336"/>
      <c r="P35809" s="3337"/>
    </row>
    <row r="35810" spans="7:16" s="1634" customFormat="1">
      <c r="G35810" s="3336"/>
      <c r="P35810" s="3337"/>
    </row>
    <row r="35811" spans="7:16" s="1634" customFormat="1">
      <c r="G35811" s="3336"/>
      <c r="P35811" s="3337"/>
    </row>
    <row r="35812" spans="7:16" s="1634" customFormat="1">
      <c r="G35812" s="3336"/>
      <c r="P35812" s="3337"/>
    </row>
    <row r="35813" spans="7:16" s="1634" customFormat="1">
      <c r="G35813" s="3336"/>
      <c r="P35813" s="3337"/>
    </row>
    <row r="35814" spans="7:16" s="1634" customFormat="1">
      <c r="G35814" s="3336"/>
      <c r="P35814" s="3337"/>
    </row>
    <row r="35815" spans="7:16" s="1634" customFormat="1">
      <c r="G35815" s="3336"/>
      <c r="P35815" s="3337"/>
    </row>
    <row r="35816" spans="7:16" s="1634" customFormat="1">
      <c r="G35816" s="3336"/>
      <c r="P35816" s="3337"/>
    </row>
    <row r="35817" spans="7:16" s="1634" customFormat="1">
      <c r="G35817" s="3336"/>
      <c r="P35817" s="3337"/>
    </row>
    <row r="35818" spans="7:16" s="1634" customFormat="1">
      <c r="G35818" s="3336"/>
      <c r="P35818" s="3337"/>
    </row>
    <row r="35819" spans="7:16" s="1634" customFormat="1">
      <c r="G35819" s="3336"/>
      <c r="P35819" s="3337"/>
    </row>
    <row r="35820" spans="7:16" s="1634" customFormat="1">
      <c r="G35820" s="3336"/>
      <c r="P35820" s="3337"/>
    </row>
    <row r="35821" spans="7:16" s="1634" customFormat="1">
      <c r="G35821" s="3336"/>
      <c r="P35821" s="3337"/>
    </row>
    <row r="35822" spans="7:16" s="1634" customFormat="1">
      <c r="G35822" s="3336"/>
      <c r="P35822" s="3337"/>
    </row>
    <row r="35823" spans="7:16" s="1634" customFormat="1">
      <c r="G35823" s="3336"/>
      <c r="P35823" s="3337"/>
    </row>
    <row r="35824" spans="7:16" s="1634" customFormat="1">
      <c r="G35824" s="3336"/>
      <c r="P35824" s="3337"/>
    </row>
    <row r="35825" spans="7:16" s="1634" customFormat="1">
      <c r="G35825" s="3336"/>
      <c r="P35825" s="3337"/>
    </row>
    <row r="35826" spans="7:16" s="1634" customFormat="1">
      <c r="G35826" s="3336"/>
      <c r="P35826" s="3337"/>
    </row>
    <row r="35827" spans="7:16" s="1634" customFormat="1">
      <c r="G35827" s="3336"/>
      <c r="P35827" s="3337"/>
    </row>
    <row r="35828" spans="7:16" s="1634" customFormat="1">
      <c r="G35828" s="3336"/>
      <c r="P35828" s="3337"/>
    </row>
    <row r="35829" spans="7:16" s="1634" customFormat="1">
      <c r="G35829" s="3336"/>
      <c r="P35829" s="3337"/>
    </row>
    <row r="35830" spans="7:16" s="1634" customFormat="1">
      <c r="G35830" s="3336"/>
      <c r="P35830" s="3337"/>
    </row>
    <row r="35831" spans="7:16" s="1634" customFormat="1">
      <c r="G35831" s="3336"/>
      <c r="P35831" s="3337"/>
    </row>
    <row r="35832" spans="7:16" s="1634" customFormat="1">
      <c r="G35832" s="3336"/>
      <c r="P35832" s="3337"/>
    </row>
    <row r="35833" spans="7:16" s="1634" customFormat="1">
      <c r="G35833" s="3336"/>
      <c r="P35833" s="3337"/>
    </row>
    <row r="35834" spans="7:16" s="1634" customFormat="1">
      <c r="G35834" s="3336"/>
      <c r="P35834" s="3337"/>
    </row>
    <row r="35835" spans="7:16" s="1634" customFormat="1">
      <c r="G35835" s="3336"/>
      <c r="P35835" s="3337"/>
    </row>
    <row r="35836" spans="7:16" s="1634" customFormat="1">
      <c r="G35836" s="3336"/>
      <c r="P35836" s="3337"/>
    </row>
    <row r="35837" spans="7:16" s="1634" customFormat="1">
      <c r="G35837" s="3336"/>
      <c r="P35837" s="3337"/>
    </row>
    <row r="35838" spans="7:16" s="1634" customFormat="1">
      <c r="G35838" s="3336"/>
      <c r="P35838" s="3337"/>
    </row>
    <row r="35839" spans="7:16" s="1634" customFormat="1">
      <c r="G35839" s="3336"/>
      <c r="P35839" s="3337"/>
    </row>
    <row r="35840" spans="7:16" s="1634" customFormat="1">
      <c r="G35840" s="3336"/>
      <c r="P35840" s="3337"/>
    </row>
    <row r="35841" spans="7:16" s="1634" customFormat="1">
      <c r="G35841" s="3336"/>
      <c r="P35841" s="3337"/>
    </row>
    <row r="35842" spans="7:16" s="1634" customFormat="1">
      <c r="G35842" s="3336"/>
      <c r="P35842" s="3337"/>
    </row>
    <row r="35843" spans="7:16" s="1634" customFormat="1">
      <c r="G35843" s="3336"/>
      <c r="P35843" s="3337"/>
    </row>
    <row r="35844" spans="7:16" s="1634" customFormat="1">
      <c r="G35844" s="3336"/>
      <c r="P35844" s="3337"/>
    </row>
    <row r="35845" spans="7:16" s="1634" customFormat="1">
      <c r="G35845" s="3336"/>
      <c r="P35845" s="3337"/>
    </row>
    <row r="35846" spans="7:16" s="1634" customFormat="1">
      <c r="G35846" s="3336"/>
      <c r="P35846" s="3337"/>
    </row>
    <row r="35847" spans="7:16" s="1634" customFormat="1">
      <c r="G35847" s="3336"/>
      <c r="P35847" s="3337"/>
    </row>
    <row r="35848" spans="7:16" s="1634" customFormat="1">
      <c r="G35848" s="3336"/>
      <c r="P35848" s="3337"/>
    </row>
    <row r="35849" spans="7:16" s="1634" customFormat="1">
      <c r="G35849" s="3336"/>
      <c r="P35849" s="3337"/>
    </row>
    <row r="35850" spans="7:16" s="1634" customFormat="1">
      <c r="G35850" s="3336"/>
      <c r="P35850" s="3337"/>
    </row>
    <row r="35851" spans="7:16" s="1634" customFormat="1">
      <c r="G35851" s="3336"/>
      <c r="P35851" s="3337"/>
    </row>
    <row r="35852" spans="7:16" s="1634" customFormat="1">
      <c r="G35852" s="3336"/>
      <c r="P35852" s="3337"/>
    </row>
    <row r="35853" spans="7:16" s="1634" customFormat="1">
      <c r="G35853" s="3336"/>
      <c r="P35853" s="3337"/>
    </row>
    <row r="35854" spans="7:16" s="1634" customFormat="1">
      <c r="G35854" s="3336"/>
      <c r="P35854" s="3337"/>
    </row>
    <row r="35855" spans="7:16" s="1634" customFormat="1">
      <c r="G35855" s="3336"/>
      <c r="P35855" s="3337"/>
    </row>
    <row r="35856" spans="7:16" s="1634" customFormat="1">
      <c r="G35856" s="3336"/>
      <c r="P35856" s="3337"/>
    </row>
    <row r="35857" spans="7:16" s="1634" customFormat="1">
      <c r="G35857" s="3336"/>
      <c r="P35857" s="3337"/>
    </row>
    <row r="35858" spans="7:16" s="1634" customFormat="1">
      <c r="G35858" s="3336"/>
      <c r="P35858" s="3337"/>
    </row>
    <row r="35859" spans="7:16" s="1634" customFormat="1">
      <c r="G35859" s="3336"/>
      <c r="P35859" s="3337"/>
    </row>
    <row r="35860" spans="7:16" s="1634" customFormat="1">
      <c r="G35860" s="3336"/>
      <c r="P35860" s="3337"/>
    </row>
    <row r="35861" spans="7:16" s="1634" customFormat="1">
      <c r="G35861" s="3336"/>
      <c r="P35861" s="3337"/>
    </row>
    <row r="35862" spans="7:16" s="1634" customFormat="1">
      <c r="G35862" s="3336"/>
      <c r="P35862" s="3337"/>
    </row>
    <row r="35863" spans="7:16" s="1634" customFormat="1">
      <c r="G35863" s="3336"/>
      <c r="P35863" s="3337"/>
    </row>
    <row r="35864" spans="7:16" s="1634" customFormat="1">
      <c r="G35864" s="3336"/>
      <c r="P35864" s="3337"/>
    </row>
    <row r="35865" spans="7:16" s="1634" customFormat="1">
      <c r="G35865" s="3336"/>
      <c r="P35865" s="3337"/>
    </row>
    <row r="35866" spans="7:16" s="1634" customFormat="1">
      <c r="G35866" s="3336"/>
      <c r="P35866" s="3337"/>
    </row>
    <row r="35867" spans="7:16" s="1634" customFormat="1">
      <c r="G35867" s="3336"/>
      <c r="P35867" s="3337"/>
    </row>
    <row r="35868" spans="7:16" s="1634" customFormat="1">
      <c r="G35868" s="3336"/>
      <c r="P35868" s="3337"/>
    </row>
    <row r="35869" spans="7:16" s="1634" customFormat="1">
      <c r="G35869" s="3336"/>
      <c r="P35869" s="3337"/>
    </row>
    <row r="35870" spans="7:16" s="1634" customFormat="1">
      <c r="G35870" s="3336"/>
      <c r="P35870" s="3337"/>
    </row>
    <row r="35871" spans="7:16" s="1634" customFormat="1">
      <c r="G35871" s="3336"/>
      <c r="P35871" s="3337"/>
    </row>
    <row r="35872" spans="7:16" s="1634" customFormat="1">
      <c r="G35872" s="3336"/>
      <c r="P35872" s="3337"/>
    </row>
    <row r="35873" spans="7:16" s="1634" customFormat="1">
      <c r="G35873" s="3336"/>
      <c r="P35873" s="3337"/>
    </row>
    <row r="35874" spans="7:16" s="1634" customFormat="1">
      <c r="G35874" s="3336"/>
      <c r="P35874" s="3337"/>
    </row>
    <row r="35875" spans="7:16" s="1634" customFormat="1">
      <c r="G35875" s="3336"/>
      <c r="P35875" s="3337"/>
    </row>
    <row r="35876" spans="7:16" s="1634" customFormat="1">
      <c r="G35876" s="3336"/>
      <c r="P35876" s="3337"/>
    </row>
    <row r="35877" spans="7:16" s="1634" customFormat="1">
      <c r="G35877" s="3336"/>
      <c r="P35877" s="3337"/>
    </row>
    <row r="35878" spans="7:16" s="1634" customFormat="1">
      <c r="G35878" s="3336"/>
      <c r="P35878" s="3337"/>
    </row>
    <row r="35879" spans="7:16" s="1634" customFormat="1">
      <c r="G35879" s="3336"/>
      <c r="P35879" s="3337"/>
    </row>
    <row r="35880" spans="7:16" s="1634" customFormat="1">
      <c r="G35880" s="3336"/>
      <c r="P35880" s="3337"/>
    </row>
    <row r="35881" spans="7:16" s="1634" customFormat="1">
      <c r="G35881" s="3336"/>
      <c r="P35881" s="3337"/>
    </row>
    <row r="35882" spans="7:16" s="1634" customFormat="1">
      <c r="G35882" s="3336"/>
      <c r="P35882" s="3337"/>
    </row>
    <row r="35883" spans="7:16" s="1634" customFormat="1">
      <c r="G35883" s="3336"/>
      <c r="P35883" s="3337"/>
    </row>
    <row r="35884" spans="7:16" s="1634" customFormat="1">
      <c r="G35884" s="3336"/>
      <c r="P35884" s="3337"/>
    </row>
    <row r="35885" spans="7:16" s="1634" customFormat="1">
      <c r="G35885" s="3336"/>
      <c r="P35885" s="3337"/>
    </row>
    <row r="35886" spans="7:16" s="1634" customFormat="1">
      <c r="G35886" s="3336"/>
      <c r="P35886" s="3337"/>
    </row>
    <row r="35887" spans="7:16" s="1634" customFormat="1">
      <c r="G35887" s="3336"/>
      <c r="P35887" s="3337"/>
    </row>
    <row r="35888" spans="7:16" s="1634" customFormat="1">
      <c r="G35888" s="3336"/>
      <c r="P35888" s="3337"/>
    </row>
    <row r="35889" spans="7:16" s="1634" customFormat="1">
      <c r="G35889" s="3336"/>
      <c r="P35889" s="3337"/>
    </row>
    <row r="35890" spans="7:16" s="1634" customFormat="1">
      <c r="G35890" s="3336"/>
      <c r="P35890" s="3337"/>
    </row>
    <row r="35891" spans="7:16" s="1634" customFormat="1">
      <c r="G35891" s="3336"/>
      <c r="P35891" s="3337"/>
    </row>
    <row r="35892" spans="7:16" s="1634" customFormat="1">
      <c r="G35892" s="3336"/>
      <c r="P35892" s="3337"/>
    </row>
    <row r="35893" spans="7:16" s="1634" customFormat="1">
      <c r="G35893" s="3336"/>
      <c r="P35893" s="3337"/>
    </row>
    <row r="35894" spans="7:16" s="1634" customFormat="1">
      <c r="G35894" s="3336"/>
      <c r="P35894" s="3337"/>
    </row>
    <row r="35895" spans="7:16" s="1634" customFormat="1">
      <c r="G35895" s="3336"/>
      <c r="P35895" s="3337"/>
    </row>
    <row r="35896" spans="7:16" s="1634" customFormat="1">
      <c r="G35896" s="3336"/>
      <c r="P35896" s="3337"/>
    </row>
    <row r="35897" spans="7:16" s="1634" customFormat="1">
      <c r="G35897" s="3336"/>
      <c r="P35897" s="3337"/>
    </row>
    <row r="35898" spans="7:16" s="1634" customFormat="1">
      <c r="G35898" s="3336"/>
      <c r="P35898" s="3337"/>
    </row>
    <row r="35899" spans="7:16" s="1634" customFormat="1">
      <c r="G35899" s="3336"/>
      <c r="P35899" s="3337"/>
    </row>
    <row r="35900" spans="7:16" s="1634" customFormat="1">
      <c r="G35900" s="3336"/>
      <c r="P35900" s="3337"/>
    </row>
    <row r="35901" spans="7:16" s="1634" customFormat="1">
      <c r="G35901" s="3336"/>
      <c r="P35901" s="3337"/>
    </row>
    <row r="35902" spans="7:16" s="1634" customFormat="1">
      <c r="G35902" s="3336"/>
      <c r="P35902" s="3337"/>
    </row>
    <row r="35903" spans="7:16" s="1634" customFormat="1">
      <c r="G35903" s="3336"/>
      <c r="P35903" s="3337"/>
    </row>
    <row r="35904" spans="7:16" s="1634" customFormat="1">
      <c r="G35904" s="3336"/>
      <c r="P35904" s="3337"/>
    </row>
    <row r="35905" spans="7:16" s="1634" customFormat="1">
      <c r="G35905" s="3336"/>
      <c r="P35905" s="3337"/>
    </row>
    <row r="35906" spans="7:16" s="1634" customFormat="1">
      <c r="G35906" s="3336"/>
      <c r="P35906" s="3337"/>
    </row>
    <row r="35907" spans="7:16" s="1634" customFormat="1">
      <c r="G35907" s="3336"/>
      <c r="P35907" s="3337"/>
    </row>
    <row r="35908" spans="7:16" s="1634" customFormat="1">
      <c r="G35908" s="3336"/>
      <c r="P35908" s="3337"/>
    </row>
    <row r="35909" spans="7:16" s="1634" customFormat="1">
      <c r="G35909" s="3336"/>
      <c r="P35909" s="3337"/>
    </row>
    <row r="35910" spans="7:16" s="1634" customFormat="1">
      <c r="G35910" s="3336"/>
      <c r="P35910" s="3337"/>
    </row>
    <row r="35911" spans="7:16" s="1634" customFormat="1">
      <c r="G35911" s="3336"/>
      <c r="P35911" s="3337"/>
    </row>
    <row r="35912" spans="7:16" s="1634" customFormat="1">
      <c r="G35912" s="3336"/>
      <c r="P35912" s="3337"/>
    </row>
    <row r="35913" spans="7:16" s="1634" customFormat="1">
      <c r="G35913" s="3336"/>
      <c r="P35913" s="3337"/>
    </row>
    <row r="35914" spans="7:16" s="1634" customFormat="1">
      <c r="G35914" s="3336"/>
      <c r="P35914" s="3337"/>
    </row>
    <row r="35915" spans="7:16" s="1634" customFormat="1">
      <c r="G35915" s="3336"/>
      <c r="P35915" s="3337"/>
    </row>
    <row r="35916" spans="7:16" s="1634" customFormat="1">
      <c r="G35916" s="3336"/>
      <c r="P35916" s="3337"/>
    </row>
    <row r="35917" spans="7:16" s="1634" customFormat="1">
      <c r="G35917" s="3336"/>
      <c r="P35917" s="3337"/>
    </row>
    <row r="35918" spans="7:16" s="1634" customFormat="1">
      <c r="G35918" s="3336"/>
      <c r="P35918" s="3337"/>
    </row>
    <row r="35919" spans="7:16" s="1634" customFormat="1">
      <c r="G35919" s="3336"/>
      <c r="P35919" s="3337"/>
    </row>
    <row r="35920" spans="7:16" s="1634" customFormat="1">
      <c r="G35920" s="3336"/>
      <c r="P35920" s="3337"/>
    </row>
    <row r="35921" spans="7:16" s="1634" customFormat="1">
      <c r="G35921" s="3336"/>
      <c r="P35921" s="3337"/>
    </row>
    <row r="35922" spans="7:16" s="1634" customFormat="1">
      <c r="G35922" s="3336"/>
      <c r="P35922" s="3337"/>
    </row>
    <row r="35923" spans="7:16" s="1634" customFormat="1">
      <c r="G35923" s="3336"/>
      <c r="P35923" s="3337"/>
    </row>
    <row r="35924" spans="7:16" s="1634" customFormat="1">
      <c r="G35924" s="3336"/>
      <c r="P35924" s="3337"/>
    </row>
    <row r="35925" spans="7:16" s="1634" customFormat="1">
      <c r="G35925" s="3336"/>
      <c r="P35925" s="3337"/>
    </row>
    <row r="35926" spans="7:16" s="1634" customFormat="1">
      <c r="G35926" s="3336"/>
      <c r="P35926" s="3337"/>
    </row>
    <row r="35927" spans="7:16" s="1634" customFormat="1">
      <c r="G35927" s="3336"/>
      <c r="P35927" s="3337"/>
    </row>
    <row r="35928" spans="7:16" s="1634" customFormat="1">
      <c r="G35928" s="3336"/>
      <c r="P35928" s="3337"/>
    </row>
    <row r="35929" spans="7:16" s="1634" customFormat="1">
      <c r="G35929" s="3336"/>
      <c r="P35929" s="3337"/>
    </row>
    <row r="35930" spans="7:16" s="1634" customFormat="1">
      <c r="G35930" s="3336"/>
      <c r="P35930" s="3337"/>
    </row>
    <row r="35931" spans="7:16" s="1634" customFormat="1">
      <c r="G35931" s="3336"/>
      <c r="P35931" s="3337"/>
    </row>
    <row r="35932" spans="7:16" s="1634" customFormat="1">
      <c r="G35932" s="3336"/>
      <c r="P35932" s="3337"/>
    </row>
    <row r="35933" spans="7:16" s="1634" customFormat="1">
      <c r="G35933" s="3336"/>
      <c r="P35933" s="3337"/>
    </row>
    <row r="35934" spans="7:16" s="1634" customFormat="1">
      <c r="G35934" s="3336"/>
      <c r="P35934" s="3337"/>
    </row>
    <row r="35935" spans="7:16" s="1634" customFormat="1">
      <c r="G35935" s="3336"/>
      <c r="P35935" s="3337"/>
    </row>
    <row r="35936" spans="7:16" s="1634" customFormat="1">
      <c r="G35936" s="3336"/>
      <c r="P35936" s="3337"/>
    </row>
    <row r="35937" spans="7:16" s="1634" customFormat="1">
      <c r="G35937" s="3336"/>
      <c r="P35937" s="3337"/>
    </row>
    <row r="35938" spans="7:16" s="1634" customFormat="1">
      <c r="G35938" s="3336"/>
      <c r="P35938" s="3337"/>
    </row>
    <row r="35939" spans="7:16" s="1634" customFormat="1">
      <c r="G35939" s="3336"/>
      <c r="P35939" s="3337"/>
    </row>
    <row r="35940" spans="7:16" s="1634" customFormat="1">
      <c r="G35940" s="3336"/>
      <c r="P35940" s="3337"/>
    </row>
    <row r="35941" spans="7:16" s="1634" customFormat="1">
      <c r="G35941" s="3336"/>
      <c r="P35941" s="3337"/>
    </row>
    <row r="35942" spans="7:16" s="1634" customFormat="1">
      <c r="G35942" s="3336"/>
      <c r="P35942" s="3337"/>
    </row>
    <row r="35943" spans="7:16" s="1634" customFormat="1">
      <c r="G35943" s="3336"/>
      <c r="P35943" s="3337"/>
    </row>
    <row r="35944" spans="7:16" s="1634" customFormat="1">
      <c r="G35944" s="3336"/>
      <c r="P35944" s="3337"/>
    </row>
    <row r="35945" spans="7:16" s="1634" customFormat="1">
      <c r="G35945" s="3336"/>
      <c r="P35945" s="3337"/>
    </row>
    <row r="35946" spans="7:16" s="1634" customFormat="1">
      <c r="G35946" s="3336"/>
      <c r="P35946" s="3337"/>
    </row>
    <row r="35947" spans="7:16" s="1634" customFormat="1">
      <c r="G35947" s="3336"/>
      <c r="P35947" s="3337"/>
    </row>
    <row r="35948" spans="7:16" s="1634" customFormat="1">
      <c r="G35948" s="3336"/>
      <c r="P35948" s="3337"/>
    </row>
    <row r="35949" spans="7:16" s="1634" customFormat="1">
      <c r="G35949" s="3336"/>
      <c r="P35949" s="3337"/>
    </row>
    <row r="35950" spans="7:16" s="1634" customFormat="1">
      <c r="G35950" s="3336"/>
      <c r="P35950" s="3337"/>
    </row>
    <row r="35951" spans="7:16" s="1634" customFormat="1">
      <c r="G35951" s="3336"/>
      <c r="P35951" s="3337"/>
    </row>
    <row r="35952" spans="7:16" s="1634" customFormat="1">
      <c r="G35952" s="3336"/>
      <c r="P35952" s="3337"/>
    </row>
    <row r="35953" spans="7:16" s="1634" customFormat="1">
      <c r="G35953" s="3336"/>
      <c r="P35953" s="3337"/>
    </row>
    <row r="35954" spans="7:16" s="1634" customFormat="1">
      <c r="G35954" s="3336"/>
      <c r="P35954" s="3337"/>
    </row>
    <row r="35955" spans="7:16" s="1634" customFormat="1">
      <c r="G35955" s="3336"/>
      <c r="P35955" s="3337"/>
    </row>
    <row r="35956" spans="7:16" s="1634" customFormat="1">
      <c r="G35956" s="3336"/>
      <c r="P35956" s="3337"/>
    </row>
    <row r="35957" spans="7:16" s="1634" customFormat="1">
      <c r="G35957" s="3336"/>
      <c r="P35957" s="3337"/>
    </row>
    <row r="35958" spans="7:16" s="1634" customFormat="1">
      <c r="G35958" s="3336"/>
      <c r="P35958" s="3337"/>
    </row>
    <row r="35959" spans="7:16" s="1634" customFormat="1">
      <c r="G35959" s="3336"/>
      <c r="P35959" s="3337"/>
    </row>
    <row r="35960" spans="7:16" s="1634" customFormat="1">
      <c r="G35960" s="3336"/>
      <c r="P35960" s="3337"/>
    </row>
    <row r="35961" spans="7:16" s="1634" customFormat="1">
      <c r="G35961" s="3336"/>
      <c r="P35961" s="3337"/>
    </row>
    <row r="35962" spans="7:16" s="1634" customFormat="1">
      <c r="G35962" s="3336"/>
      <c r="P35962" s="3337"/>
    </row>
    <row r="35963" spans="7:16" s="1634" customFormat="1">
      <c r="G35963" s="3336"/>
      <c r="P35963" s="3337"/>
    </row>
    <row r="35964" spans="7:16" s="1634" customFormat="1">
      <c r="G35964" s="3336"/>
      <c r="P35964" s="3337"/>
    </row>
    <row r="35965" spans="7:16" s="1634" customFormat="1">
      <c r="G35965" s="3336"/>
      <c r="P35965" s="3337"/>
    </row>
    <row r="35966" spans="7:16" s="1634" customFormat="1">
      <c r="G35966" s="3336"/>
      <c r="P35966" s="3337"/>
    </row>
    <row r="35967" spans="7:16" s="1634" customFormat="1">
      <c r="G35967" s="3336"/>
      <c r="P35967" s="3337"/>
    </row>
    <row r="35968" spans="7:16" s="1634" customFormat="1">
      <c r="G35968" s="3336"/>
      <c r="P35968" s="3337"/>
    </row>
    <row r="35969" spans="7:16" s="1634" customFormat="1">
      <c r="G35969" s="3336"/>
      <c r="P35969" s="3337"/>
    </row>
    <row r="35970" spans="7:16" s="1634" customFormat="1">
      <c r="G35970" s="3336"/>
      <c r="P35970" s="3337"/>
    </row>
    <row r="35971" spans="7:16" s="1634" customFormat="1">
      <c r="G35971" s="3336"/>
      <c r="P35971" s="3337"/>
    </row>
    <row r="35972" spans="7:16" s="1634" customFormat="1">
      <c r="G35972" s="3336"/>
      <c r="P35972" s="3337"/>
    </row>
    <row r="35973" spans="7:16" s="1634" customFormat="1">
      <c r="G35973" s="3336"/>
      <c r="P35973" s="3337"/>
    </row>
    <row r="35974" spans="7:16" s="1634" customFormat="1">
      <c r="G35974" s="3336"/>
      <c r="P35974" s="3337"/>
    </row>
    <row r="35975" spans="7:16" s="1634" customFormat="1">
      <c r="G35975" s="3336"/>
      <c r="P35975" s="3337"/>
    </row>
    <row r="35976" spans="7:16" s="1634" customFormat="1">
      <c r="G35976" s="3336"/>
      <c r="P35976" s="3337"/>
    </row>
    <row r="35977" spans="7:16" s="1634" customFormat="1">
      <c r="G35977" s="3336"/>
      <c r="P35977" s="3337"/>
    </row>
    <row r="35978" spans="7:16" s="1634" customFormat="1">
      <c r="G35978" s="3336"/>
      <c r="P35978" s="3337"/>
    </row>
    <row r="35979" spans="7:16" s="1634" customFormat="1">
      <c r="G35979" s="3336"/>
      <c r="P35979" s="3337"/>
    </row>
    <row r="35980" spans="7:16" s="1634" customFormat="1">
      <c r="G35980" s="3336"/>
      <c r="P35980" s="3337"/>
    </row>
    <row r="35981" spans="7:16" s="1634" customFormat="1">
      <c r="G35981" s="3336"/>
      <c r="P35981" s="3337"/>
    </row>
    <row r="35982" spans="7:16" s="1634" customFormat="1">
      <c r="G35982" s="3336"/>
      <c r="P35982" s="3337"/>
    </row>
    <row r="35983" spans="7:16" s="1634" customFormat="1">
      <c r="G35983" s="3336"/>
      <c r="P35983" s="3337"/>
    </row>
    <row r="35984" spans="7:16" s="1634" customFormat="1">
      <c r="G35984" s="3336"/>
      <c r="P35984" s="3337"/>
    </row>
    <row r="35985" spans="7:16" s="1634" customFormat="1">
      <c r="G35985" s="3336"/>
      <c r="P35985" s="3337"/>
    </row>
    <row r="35986" spans="7:16" s="1634" customFormat="1">
      <c r="G35986" s="3336"/>
      <c r="P35986" s="3337"/>
    </row>
    <row r="35987" spans="7:16" s="1634" customFormat="1">
      <c r="G35987" s="3336"/>
      <c r="P35987" s="3337"/>
    </row>
    <row r="35988" spans="7:16" s="1634" customFormat="1">
      <c r="G35988" s="3336"/>
      <c r="P35988" s="3337"/>
    </row>
    <row r="35989" spans="7:16" s="1634" customFormat="1">
      <c r="G35989" s="3336"/>
      <c r="P35989" s="3337"/>
    </row>
    <row r="35990" spans="7:16" s="1634" customFormat="1">
      <c r="G35990" s="3336"/>
      <c r="P35990" s="3337"/>
    </row>
    <row r="35991" spans="7:16" s="1634" customFormat="1">
      <c r="G35991" s="3336"/>
      <c r="P35991" s="3337"/>
    </row>
    <row r="35992" spans="7:16" s="1634" customFormat="1">
      <c r="G35992" s="3336"/>
      <c r="P35992" s="3337"/>
    </row>
    <row r="35993" spans="7:16" s="1634" customFormat="1">
      <c r="G35993" s="3336"/>
      <c r="P35993" s="3337"/>
    </row>
    <row r="35994" spans="7:16" s="1634" customFormat="1">
      <c r="G35994" s="3336"/>
      <c r="P35994" s="3337"/>
    </row>
    <row r="35995" spans="7:16" s="1634" customFormat="1">
      <c r="G35995" s="3336"/>
      <c r="P35995" s="3337"/>
    </row>
    <row r="35996" spans="7:16" s="1634" customFormat="1">
      <c r="G35996" s="3336"/>
      <c r="P35996" s="3337"/>
    </row>
    <row r="35997" spans="7:16" s="1634" customFormat="1">
      <c r="G35997" s="3336"/>
      <c r="P35997" s="3337"/>
    </row>
    <row r="35998" spans="7:16" s="1634" customFormat="1">
      <c r="G35998" s="3336"/>
      <c r="P35998" s="3337"/>
    </row>
    <row r="35999" spans="7:16" s="1634" customFormat="1">
      <c r="G35999" s="3336"/>
      <c r="P35999" s="3337"/>
    </row>
    <row r="36000" spans="7:16" s="1634" customFormat="1">
      <c r="G36000" s="3336"/>
      <c r="P36000" s="3337"/>
    </row>
    <row r="36001" spans="7:16" s="1634" customFormat="1">
      <c r="G36001" s="3336"/>
      <c r="P36001" s="3337"/>
    </row>
    <row r="36002" spans="7:16" s="1634" customFormat="1">
      <c r="G36002" s="3336"/>
      <c r="P36002" s="3337"/>
    </row>
    <row r="36003" spans="7:16" s="1634" customFormat="1">
      <c r="G36003" s="3336"/>
      <c r="P36003" s="3337"/>
    </row>
    <row r="36004" spans="7:16" s="1634" customFormat="1">
      <c r="G36004" s="3336"/>
      <c r="P36004" s="3337"/>
    </row>
    <row r="36005" spans="7:16" s="1634" customFormat="1">
      <c r="G36005" s="3336"/>
      <c r="P36005" s="3337"/>
    </row>
    <row r="36006" spans="7:16" s="1634" customFormat="1">
      <c r="G36006" s="3336"/>
      <c r="P36006" s="3337"/>
    </row>
    <row r="36007" spans="7:16" s="1634" customFormat="1">
      <c r="G36007" s="3336"/>
      <c r="P36007" s="3337"/>
    </row>
    <row r="36008" spans="7:16" s="1634" customFormat="1">
      <c r="G36008" s="3336"/>
      <c r="P36008" s="3337"/>
    </row>
    <row r="36009" spans="7:16" s="1634" customFormat="1">
      <c r="G36009" s="3336"/>
      <c r="P36009" s="3337"/>
    </row>
    <row r="36010" spans="7:16" s="1634" customFormat="1">
      <c r="G36010" s="3336"/>
      <c r="P36010" s="3337"/>
    </row>
    <row r="36011" spans="7:16" s="1634" customFormat="1">
      <c r="G36011" s="3336"/>
      <c r="P36011" s="3337"/>
    </row>
    <row r="36012" spans="7:16" s="1634" customFormat="1">
      <c r="G36012" s="3336"/>
      <c r="P36012" s="3337"/>
    </row>
    <row r="36013" spans="7:16" s="1634" customFormat="1">
      <c r="G36013" s="3336"/>
      <c r="P36013" s="3337"/>
    </row>
    <row r="36014" spans="7:16" s="1634" customFormat="1">
      <c r="G36014" s="3336"/>
      <c r="P36014" s="3337"/>
    </row>
    <row r="36015" spans="7:16" s="1634" customFormat="1">
      <c r="G36015" s="3336"/>
      <c r="P36015" s="3337"/>
    </row>
    <row r="36016" spans="7:16" s="1634" customFormat="1">
      <c r="G36016" s="3336"/>
      <c r="P36016" s="3337"/>
    </row>
    <row r="36017" spans="7:16" s="1634" customFormat="1">
      <c r="G36017" s="3336"/>
      <c r="P36017" s="3337"/>
    </row>
    <row r="36018" spans="7:16" s="1634" customFormat="1">
      <c r="G36018" s="3336"/>
      <c r="P36018" s="3337"/>
    </row>
    <row r="36019" spans="7:16" s="1634" customFormat="1">
      <c r="G36019" s="3336"/>
      <c r="P36019" s="3337"/>
    </row>
    <row r="36020" spans="7:16" s="1634" customFormat="1">
      <c r="G36020" s="3336"/>
      <c r="P36020" s="3337"/>
    </row>
    <row r="36021" spans="7:16" s="1634" customFormat="1">
      <c r="G36021" s="3336"/>
      <c r="P36021" s="3337"/>
    </row>
    <row r="36022" spans="7:16" s="1634" customFormat="1">
      <c r="G36022" s="3336"/>
      <c r="P36022" s="3337"/>
    </row>
    <row r="36023" spans="7:16" s="1634" customFormat="1">
      <c r="G36023" s="3336"/>
      <c r="P36023" s="3337"/>
    </row>
    <row r="36024" spans="7:16" s="1634" customFormat="1">
      <c r="G36024" s="3336"/>
      <c r="P36024" s="3337"/>
    </row>
    <row r="36025" spans="7:16" s="1634" customFormat="1">
      <c r="G36025" s="3336"/>
      <c r="P36025" s="3337"/>
    </row>
    <row r="36026" spans="7:16" s="1634" customFormat="1">
      <c r="G36026" s="3336"/>
      <c r="P36026" s="3337"/>
    </row>
    <row r="36027" spans="7:16" s="1634" customFormat="1">
      <c r="G36027" s="3336"/>
      <c r="P36027" s="3337"/>
    </row>
    <row r="36028" spans="7:16" s="1634" customFormat="1">
      <c r="G36028" s="3336"/>
      <c r="P36028" s="3337"/>
    </row>
    <row r="36029" spans="7:16" s="1634" customFormat="1">
      <c r="G36029" s="3336"/>
      <c r="P36029" s="3337"/>
    </row>
    <row r="36030" spans="7:16" s="1634" customFormat="1">
      <c r="G36030" s="3336"/>
      <c r="P36030" s="3337"/>
    </row>
    <row r="36031" spans="7:16" s="1634" customFormat="1">
      <c r="G36031" s="3336"/>
      <c r="P36031" s="3337"/>
    </row>
    <row r="36032" spans="7:16" s="1634" customFormat="1">
      <c r="G36032" s="3336"/>
      <c r="P36032" s="3337"/>
    </row>
    <row r="36033" spans="7:16" s="1634" customFormat="1">
      <c r="G36033" s="3336"/>
      <c r="P36033" s="3337"/>
    </row>
    <row r="36034" spans="7:16" s="1634" customFormat="1">
      <c r="G36034" s="3336"/>
      <c r="P36034" s="3337"/>
    </row>
    <row r="36035" spans="7:16" s="1634" customFormat="1">
      <c r="G36035" s="3336"/>
      <c r="P36035" s="3337"/>
    </row>
    <row r="36036" spans="7:16" s="1634" customFormat="1">
      <c r="G36036" s="3336"/>
      <c r="P36036" s="3337"/>
    </row>
    <row r="36037" spans="7:16" s="1634" customFormat="1">
      <c r="G36037" s="3336"/>
      <c r="P36037" s="3337"/>
    </row>
    <row r="36038" spans="7:16" s="1634" customFormat="1">
      <c r="G36038" s="3336"/>
      <c r="P36038" s="3337"/>
    </row>
    <row r="36039" spans="7:16" s="1634" customFormat="1">
      <c r="G36039" s="3336"/>
      <c r="P36039" s="3337"/>
    </row>
    <row r="36040" spans="7:16" s="1634" customFormat="1">
      <c r="G36040" s="3336"/>
      <c r="P36040" s="3337"/>
    </row>
    <row r="36041" spans="7:16" s="1634" customFormat="1">
      <c r="G36041" s="3336"/>
      <c r="P36041" s="3337"/>
    </row>
    <row r="36042" spans="7:16" s="1634" customFormat="1">
      <c r="G36042" s="3336"/>
      <c r="P36042" s="3337"/>
    </row>
    <row r="36043" spans="7:16" s="1634" customFormat="1">
      <c r="G36043" s="3336"/>
      <c r="P36043" s="3337"/>
    </row>
    <row r="36044" spans="7:16" s="1634" customFormat="1">
      <c r="G36044" s="3336"/>
      <c r="P36044" s="3337"/>
    </row>
    <row r="36045" spans="7:16" s="1634" customFormat="1">
      <c r="G36045" s="3336"/>
      <c r="P36045" s="3337"/>
    </row>
    <row r="36046" spans="7:16" s="1634" customFormat="1">
      <c r="G36046" s="3336"/>
      <c r="P36046" s="3337"/>
    </row>
    <row r="36047" spans="7:16" s="1634" customFormat="1">
      <c r="G36047" s="3336"/>
      <c r="P36047" s="3337"/>
    </row>
    <row r="36048" spans="7:16" s="1634" customFormat="1">
      <c r="G36048" s="3336"/>
      <c r="P36048" s="3337"/>
    </row>
    <row r="36049" spans="7:16" s="1634" customFormat="1">
      <c r="G36049" s="3336"/>
      <c r="P36049" s="3337"/>
    </row>
    <row r="36050" spans="7:16" s="1634" customFormat="1">
      <c r="G36050" s="3336"/>
      <c r="P36050" s="3337"/>
    </row>
    <row r="36051" spans="7:16" s="1634" customFormat="1">
      <c r="G36051" s="3336"/>
      <c r="P36051" s="3337"/>
    </row>
    <row r="36052" spans="7:16" s="1634" customFormat="1">
      <c r="G36052" s="3336"/>
      <c r="P36052" s="3337"/>
    </row>
    <row r="36053" spans="7:16" s="1634" customFormat="1">
      <c r="G36053" s="3336"/>
      <c r="P36053" s="3337"/>
    </row>
    <row r="36054" spans="7:16" s="1634" customFormat="1">
      <c r="G36054" s="3336"/>
      <c r="P36054" s="3337"/>
    </row>
    <row r="36055" spans="7:16" s="1634" customFormat="1">
      <c r="G36055" s="3336"/>
      <c r="P36055" s="3337"/>
    </row>
    <row r="36056" spans="7:16" s="1634" customFormat="1">
      <c r="G36056" s="3336"/>
      <c r="P36056" s="3337"/>
    </row>
    <row r="36057" spans="7:16" s="1634" customFormat="1">
      <c r="G36057" s="3336"/>
      <c r="P36057" s="3337"/>
    </row>
    <row r="36058" spans="7:16" s="1634" customFormat="1">
      <c r="G36058" s="3336"/>
      <c r="P36058" s="3337"/>
    </row>
    <row r="36059" spans="7:16" s="1634" customFormat="1">
      <c r="G36059" s="3336"/>
      <c r="P36059" s="3337"/>
    </row>
    <row r="36060" spans="7:16" s="1634" customFormat="1">
      <c r="G36060" s="3336"/>
      <c r="P36060" s="3337"/>
    </row>
    <row r="36061" spans="7:16" s="1634" customFormat="1">
      <c r="G36061" s="3336"/>
      <c r="P36061" s="3337"/>
    </row>
    <row r="36062" spans="7:16" s="1634" customFormat="1">
      <c r="G36062" s="3336"/>
      <c r="P36062" s="3337"/>
    </row>
    <row r="36063" spans="7:16" s="1634" customFormat="1">
      <c r="G36063" s="3336"/>
      <c r="P36063" s="3337"/>
    </row>
    <row r="36064" spans="7:16" s="1634" customFormat="1">
      <c r="G36064" s="3336"/>
      <c r="P36064" s="3337"/>
    </row>
    <row r="36065" spans="7:16" s="1634" customFormat="1">
      <c r="G36065" s="3336"/>
      <c r="P36065" s="3337"/>
    </row>
    <row r="36066" spans="7:16" s="1634" customFormat="1">
      <c r="G36066" s="3336"/>
      <c r="P36066" s="3337"/>
    </row>
    <row r="36067" spans="7:16" s="1634" customFormat="1">
      <c r="G36067" s="3336"/>
      <c r="P36067" s="3337"/>
    </row>
    <row r="36068" spans="7:16" s="1634" customFormat="1">
      <c r="G36068" s="3336"/>
      <c r="P36068" s="3337"/>
    </row>
    <row r="36069" spans="7:16" s="1634" customFormat="1">
      <c r="G36069" s="3336"/>
      <c r="P36069" s="3337"/>
    </row>
    <row r="36070" spans="7:16" s="1634" customFormat="1">
      <c r="G36070" s="3336"/>
      <c r="P36070" s="3337"/>
    </row>
    <row r="36071" spans="7:16" s="1634" customFormat="1">
      <c r="G36071" s="3336"/>
      <c r="P36071" s="3337"/>
    </row>
    <row r="36072" spans="7:16" s="1634" customFormat="1">
      <c r="G36072" s="3336"/>
      <c r="P36072" s="3337"/>
    </row>
    <row r="36073" spans="7:16" s="1634" customFormat="1">
      <c r="G36073" s="3336"/>
      <c r="P36073" s="3337"/>
    </row>
    <row r="36074" spans="7:16" s="1634" customFormat="1">
      <c r="G36074" s="3336"/>
      <c r="P36074" s="3337"/>
    </row>
    <row r="36075" spans="7:16" s="1634" customFormat="1">
      <c r="G36075" s="3336"/>
      <c r="P36075" s="3337"/>
    </row>
    <row r="36076" spans="7:16" s="1634" customFormat="1">
      <c r="G36076" s="3336"/>
      <c r="P36076" s="3337"/>
    </row>
    <row r="36077" spans="7:16" s="1634" customFormat="1">
      <c r="G36077" s="3336"/>
      <c r="P36077" s="3337"/>
    </row>
    <row r="36078" spans="7:16" s="1634" customFormat="1">
      <c r="G36078" s="3336"/>
      <c r="P36078" s="3337"/>
    </row>
    <row r="36079" spans="7:16" s="1634" customFormat="1">
      <c r="G36079" s="3336"/>
      <c r="P36079" s="3337"/>
    </row>
    <row r="36080" spans="7:16" s="1634" customFormat="1">
      <c r="G36080" s="3336"/>
      <c r="P36080" s="3337"/>
    </row>
    <row r="36081" spans="7:16" s="1634" customFormat="1">
      <c r="G36081" s="3336"/>
      <c r="P36081" s="3337"/>
    </row>
    <row r="36082" spans="7:16" s="1634" customFormat="1">
      <c r="G36082" s="3336"/>
      <c r="P36082" s="3337"/>
    </row>
    <row r="36083" spans="7:16" s="1634" customFormat="1">
      <c r="G36083" s="3336"/>
      <c r="P36083" s="3337"/>
    </row>
    <row r="36084" spans="7:16" s="1634" customFormat="1">
      <c r="G36084" s="3336"/>
      <c r="P36084" s="3337"/>
    </row>
    <row r="36085" spans="7:16" s="1634" customFormat="1">
      <c r="G36085" s="3336"/>
      <c r="P36085" s="3337"/>
    </row>
    <row r="36086" spans="7:16" s="1634" customFormat="1">
      <c r="G36086" s="3336"/>
      <c r="P36086" s="3337"/>
    </row>
    <row r="36087" spans="7:16" s="1634" customFormat="1">
      <c r="G36087" s="3336"/>
      <c r="P36087" s="3337"/>
    </row>
    <row r="36088" spans="7:16" s="1634" customFormat="1">
      <c r="G36088" s="3336"/>
      <c r="P36088" s="3337"/>
    </row>
    <row r="36089" spans="7:16" s="1634" customFormat="1">
      <c r="G36089" s="3336"/>
      <c r="P36089" s="3337"/>
    </row>
    <row r="36090" spans="7:16" s="1634" customFormat="1">
      <c r="G36090" s="3336"/>
      <c r="P36090" s="3337"/>
    </row>
    <row r="36091" spans="7:16" s="1634" customFormat="1">
      <c r="G36091" s="3336"/>
      <c r="P36091" s="3337"/>
    </row>
    <row r="36092" spans="7:16" s="1634" customFormat="1">
      <c r="G36092" s="3336"/>
      <c r="P36092" s="3337"/>
    </row>
    <row r="36093" spans="7:16" s="1634" customFormat="1">
      <c r="G36093" s="3336"/>
      <c r="P36093" s="3337"/>
    </row>
    <row r="36094" spans="7:16" s="1634" customFormat="1">
      <c r="G36094" s="3336"/>
      <c r="P36094" s="3337"/>
    </row>
    <row r="36095" spans="7:16" s="1634" customFormat="1">
      <c r="G36095" s="3336"/>
      <c r="P36095" s="3337"/>
    </row>
    <row r="36096" spans="7:16" s="1634" customFormat="1">
      <c r="G36096" s="3336"/>
      <c r="P36096" s="3337"/>
    </row>
    <row r="36097" spans="7:16" s="1634" customFormat="1">
      <c r="G36097" s="3336"/>
      <c r="P36097" s="3337"/>
    </row>
    <row r="36098" spans="7:16" s="1634" customFormat="1">
      <c r="G36098" s="3336"/>
      <c r="P36098" s="3337"/>
    </row>
    <row r="36099" spans="7:16" s="1634" customFormat="1">
      <c r="G36099" s="3336"/>
      <c r="P36099" s="3337"/>
    </row>
    <row r="36100" spans="7:16" s="1634" customFormat="1">
      <c r="G36100" s="3336"/>
      <c r="P36100" s="3337"/>
    </row>
    <row r="36101" spans="7:16" s="1634" customFormat="1">
      <c r="G36101" s="3336"/>
      <c r="P36101" s="3337"/>
    </row>
    <row r="36102" spans="7:16" s="1634" customFormat="1">
      <c r="G36102" s="3336"/>
      <c r="P36102" s="3337"/>
    </row>
    <row r="36103" spans="7:16" s="1634" customFormat="1">
      <c r="G36103" s="3336"/>
      <c r="P36103" s="3337"/>
    </row>
    <row r="36104" spans="7:16" s="1634" customFormat="1">
      <c r="G36104" s="3336"/>
      <c r="P36104" s="3337"/>
    </row>
    <row r="36105" spans="7:16" s="1634" customFormat="1">
      <c r="G36105" s="3336"/>
      <c r="P36105" s="3337"/>
    </row>
    <row r="36106" spans="7:16" s="1634" customFormat="1">
      <c r="G36106" s="3336"/>
      <c r="P36106" s="3337"/>
    </row>
    <row r="36107" spans="7:16" s="1634" customFormat="1">
      <c r="G36107" s="3336"/>
      <c r="P36107" s="3337"/>
    </row>
    <row r="36108" spans="7:16" s="1634" customFormat="1">
      <c r="G36108" s="3336"/>
      <c r="P36108" s="3337"/>
    </row>
    <row r="36109" spans="7:16" s="1634" customFormat="1">
      <c r="G36109" s="3336"/>
      <c r="P36109" s="3337"/>
    </row>
    <row r="36110" spans="7:16" s="1634" customFormat="1">
      <c r="G36110" s="3336"/>
      <c r="P36110" s="3337"/>
    </row>
    <row r="36111" spans="7:16" s="1634" customFormat="1">
      <c r="G36111" s="3336"/>
      <c r="P36111" s="3337"/>
    </row>
    <row r="36112" spans="7:16" s="1634" customFormat="1">
      <c r="G36112" s="3336"/>
      <c r="P36112" s="3337"/>
    </row>
    <row r="36113" spans="7:16" s="1634" customFormat="1">
      <c r="G36113" s="3336"/>
      <c r="P36113" s="3337"/>
    </row>
    <row r="36114" spans="7:16" s="1634" customFormat="1">
      <c r="G36114" s="3336"/>
      <c r="P36114" s="3337"/>
    </row>
    <row r="36115" spans="7:16" s="1634" customFormat="1">
      <c r="G36115" s="3336"/>
      <c r="P36115" s="3337"/>
    </row>
    <row r="36116" spans="7:16" s="1634" customFormat="1">
      <c r="G36116" s="3336"/>
      <c r="P36116" s="3337"/>
    </row>
    <row r="36117" spans="7:16" s="1634" customFormat="1">
      <c r="G36117" s="3336"/>
      <c r="P36117" s="3337"/>
    </row>
    <row r="36118" spans="7:16" s="1634" customFormat="1">
      <c r="G36118" s="3336"/>
      <c r="P36118" s="3337"/>
    </row>
    <row r="36119" spans="7:16" s="1634" customFormat="1">
      <c r="G36119" s="3336"/>
      <c r="P36119" s="3337"/>
    </row>
    <row r="36120" spans="7:16" s="1634" customFormat="1">
      <c r="G36120" s="3336"/>
      <c r="P36120" s="3337"/>
    </row>
    <row r="36121" spans="7:16" s="1634" customFormat="1">
      <c r="G36121" s="3336"/>
      <c r="P36121" s="3337"/>
    </row>
    <row r="36122" spans="7:16" s="1634" customFormat="1">
      <c r="G36122" s="3336"/>
      <c r="P36122" s="3337"/>
    </row>
    <row r="36123" spans="7:16" s="1634" customFormat="1">
      <c r="G36123" s="3336"/>
      <c r="P36123" s="3337"/>
    </row>
    <row r="36124" spans="7:16" s="1634" customFormat="1">
      <c r="G36124" s="3336"/>
      <c r="P36124" s="3337"/>
    </row>
    <row r="36125" spans="7:16" s="1634" customFormat="1">
      <c r="G36125" s="3336"/>
      <c r="P36125" s="3337"/>
    </row>
    <row r="36126" spans="7:16" s="1634" customFormat="1">
      <c r="G36126" s="3336"/>
      <c r="P36126" s="3337"/>
    </row>
    <row r="36127" spans="7:16" s="1634" customFormat="1">
      <c r="G36127" s="3336"/>
      <c r="P36127" s="3337"/>
    </row>
    <row r="36128" spans="7:16" s="1634" customFormat="1">
      <c r="G36128" s="3336"/>
      <c r="P36128" s="3337"/>
    </row>
    <row r="36129" spans="7:16" s="1634" customFormat="1">
      <c r="G36129" s="3336"/>
      <c r="P36129" s="3337"/>
    </row>
    <row r="36130" spans="7:16" s="1634" customFormat="1">
      <c r="G36130" s="3336"/>
      <c r="P36130" s="3337"/>
    </row>
    <row r="36131" spans="7:16" s="1634" customFormat="1">
      <c r="G36131" s="3336"/>
      <c r="P36131" s="3337"/>
    </row>
    <row r="36132" spans="7:16" s="1634" customFormat="1">
      <c r="G36132" s="3336"/>
      <c r="P36132" s="3337"/>
    </row>
    <row r="36133" spans="7:16" s="1634" customFormat="1">
      <c r="G36133" s="3336"/>
      <c r="P36133" s="3337"/>
    </row>
    <row r="36134" spans="7:16" s="1634" customFormat="1">
      <c r="G36134" s="3336"/>
      <c r="P36134" s="3337"/>
    </row>
    <row r="36135" spans="7:16" s="1634" customFormat="1">
      <c r="G36135" s="3336"/>
      <c r="P36135" s="3337"/>
    </row>
    <row r="36136" spans="7:16" s="1634" customFormat="1">
      <c r="G36136" s="3336"/>
      <c r="P36136" s="3337"/>
    </row>
    <row r="36137" spans="7:16" s="1634" customFormat="1">
      <c r="G36137" s="3336"/>
      <c r="P36137" s="3337"/>
    </row>
    <row r="36138" spans="7:16" s="1634" customFormat="1">
      <c r="G36138" s="3336"/>
      <c r="P36138" s="3337"/>
    </row>
    <row r="36139" spans="7:16" s="1634" customFormat="1">
      <c r="G36139" s="3336"/>
      <c r="P36139" s="3337"/>
    </row>
    <row r="36140" spans="7:16" s="1634" customFormat="1">
      <c r="G36140" s="3336"/>
      <c r="P36140" s="3337"/>
    </row>
    <row r="36141" spans="7:16" s="1634" customFormat="1">
      <c r="G36141" s="3336"/>
      <c r="P36141" s="3337"/>
    </row>
    <row r="36142" spans="7:16" s="1634" customFormat="1">
      <c r="G36142" s="3336"/>
      <c r="P36142" s="3337"/>
    </row>
    <row r="36143" spans="7:16" s="1634" customFormat="1">
      <c r="G36143" s="3336"/>
      <c r="P36143" s="3337"/>
    </row>
    <row r="36144" spans="7:16" s="1634" customFormat="1">
      <c r="G36144" s="3336"/>
      <c r="P36144" s="3337"/>
    </row>
    <row r="36145" spans="7:16" s="1634" customFormat="1">
      <c r="G36145" s="3336"/>
      <c r="P36145" s="3337"/>
    </row>
    <row r="36146" spans="7:16" s="1634" customFormat="1">
      <c r="G36146" s="3336"/>
      <c r="P36146" s="3337"/>
    </row>
    <row r="36147" spans="7:16" s="1634" customFormat="1">
      <c r="G36147" s="3336"/>
      <c r="P36147" s="3337"/>
    </row>
    <row r="36148" spans="7:16" s="1634" customFormat="1">
      <c r="G36148" s="3336"/>
      <c r="P36148" s="3337"/>
    </row>
    <row r="36149" spans="7:16" s="1634" customFormat="1">
      <c r="G36149" s="3336"/>
      <c r="P36149" s="3337"/>
    </row>
    <row r="36150" spans="7:16" s="1634" customFormat="1">
      <c r="G36150" s="3336"/>
      <c r="P36150" s="3337"/>
    </row>
    <row r="36151" spans="7:16" s="1634" customFormat="1">
      <c r="G36151" s="3336"/>
      <c r="P36151" s="3337"/>
    </row>
    <row r="36152" spans="7:16" s="1634" customFormat="1">
      <c r="G36152" s="3336"/>
      <c r="P36152" s="3337"/>
    </row>
    <row r="36153" spans="7:16" s="1634" customFormat="1">
      <c r="G36153" s="3336"/>
      <c r="P36153" s="3337"/>
    </row>
    <row r="36154" spans="7:16" s="1634" customFormat="1">
      <c r="G36154" s="3336"/>
      <c r="P36154" s="3337"/>
    </row>
    <row r="36155" spans="7:16" s="1634" customFormat="1">
      <c r="G36155" s="3336"/>
      <c r="P36155" s="3337"/>
    </row>
    <row r="36156" spans="7:16" s="1634" customFormat="1">
      <c r="G36156" s="3336"/>
      <c r="P36156" s="3337"/>
    </row>
    <row r="36157" spans="7:16" s="1634" customFormat="1">
      <c r="G36157" s="3336"/>
      <c r="P36157" s="3337"/>
    </row>
    <row r="36158" spans="7:16" s="1634" customFormat="1">
      <c r="G36158" s="3336"/>
      <c r="P36158" s="3337"/>
    </row>
    <row r="36159" spans="7:16" s="1634" customFormat="1">
      <c r="G36159" s="3336"/>
      <c r="P36159" s="3337"/>
    </row>
    <row r="36160" spans="7:16" s="1634" customFormat="1">
      <c r="G36160" s="3336"/>
      <c r="P36160" s="3337"/>
    </row>
    <row r="36161" spans="7:16" s="1634" customFormat="1">
      <c r="G36161" s="3336"/>
      <c r="P36161" s="3337"/>
    </row>
    <row r="36162" spans="7:16" s="1634" customFormat="1">
      <c r="G36162" s="3336"/>
      <c r="P36162" s="3337"/>
    </row>
    <row r="36163" spans="7:16" s="1634" customFormat="1">
      <c r="G36163" s="3336"/>
      <c r="P36163" s="3337"/>
    </row>
    <row r="36164" spans="7:16" s="1634" customFormat="1">
      <c r="G36164" s="3336"/>
      <c r="P36164" s="3337"/>
    </row>
    <row r="36165" spans="7:16" s="1634" customFormat="1">
      <c r="G36165" s="3336"/>
      <c r="P36165" s="3337"/>
    </row>
    <row r="36166" spans="7:16" s="1634" customFormat="1">
      <c r="G36166" s="3336"/>
      <c r="P36166" s="3337"/>
    </row>
    <row r="36167" spans="7:16" s="1634" customFormat="1">
      <c r="G36167" s="3336"/>
      <c r="P36167" s="3337"/>
    </row>
    <row r="36168" spans="7:16" s="1634" customFormat="1">
      <c r="G36168" s="3336"/>
      <c r="P36168" s="3337"/>
    </row>
    <row r="36169" spans="7:16" s="1634" customFormat="1">
      <c r="G36169" s="3336"/>
      <c r="P36169" s="3337"/>
    </row>
    <row r="36170" spans="7:16" s="1634" customFormat="1">
      <c r="G36170" s="3336"/>
      <c r="P36170" s="3337"/>
    </row>
    <row r="36171" spans="7:16" s="1634" customFormat="1">
      <c r="G36171" s="3336"/>
      <c r="P36171" s="3337"/>
    </row>
    <row r="36172" spans="7:16" s="1634" customFormat="1">
      <c r="G36172" s="3336"/>
      <c r="P36172" s="3337"/>
    </row>
    <row r="36173" spans="7:16" s="1634" customFormat="1">
      <c r="G36173" s="3336"/>
      <c r="P36173" s="3337"/>
    </row>
    <row r="36174" spans="7:16" s="1634" customFormat="1">
      <c r="G36174" s="3336"/>
      <c r="P36174" s="3337"/>
    </row>
    <row r="36175" spans="7:16" s="1634" customFormat="1">
      <c r="G36175" s="3336"/>
      <c r="P36175" s="3337"/>
    </row>
    <row r="36176" spans="7:16" s="1634" customFormat="1">
      <c r="G36176" s="3336"/>
      <c r="P36176" s="3337"/>
    </row>
    <row r="36177" spans="7:16" s="1634" customFormat="1">
      <c r="G36177" s="3336"/>
      <c r="P36177" s="3337"/>
    </row>
    <row r="36178" spans="7:16" s="1634" customFormat="1">
      <c r="G36178" s="3336"/>
      <c r="P36178" s="3337"/>
    </row>
    <row r="36179" spans="7:16" s="1634" customFormat="1">
      <c r="G36179" s="3336"/>
      <c r="P36179" s="3337"/>
    </row>
    <row r="36180" spans="7:16" s="1634" customFormat="1">
      <c r="G36180" s="3336"/>
      <c r="P36180" s="3337"/>
    </row>
    <row r="36181" spans="7:16" s="1634" customFormat="1">
      <c r="G36181" s="3336"/>
      <c r="P36181" s="3337"/>
    </row>
    <row r="36182" spans="7:16" s="1634" customFormat="1">
      <c r="G36182" s="3336"/>
      <c r="P36182" s="3337"/>
    </row>
    <row r="36183" spans="7:16" s="1634" customFormat="1">
      <c r="G36183" s="3336"/>
      <c r="P36183" s="3337"/>
    </row>
    <row r="36184" spans="7:16" s="1634" customFormat="1">
      <c r="G36184" s="3336"/>
      <c r="P36184" s="3337"/>
    </row>
    <row r="36185" spans="7:16" s="1634" customFormat="1">
      <c r="G36185" s="3336"/>
      <c r="P36185" s="3337"/>
    </row>
    <row r="36186" spans="7:16" s="1634" customFormat="1">
      <c r="G36186" s="3336"/>
      <c r="P36186" s="3337"/>
    </row>
    <row r="36187" spans="7:16" s="1634" customFormat="1">
      <c r="G36187" s="3336"/>
      <c r="P36187" s="3337"/>
    </row>
    <row r="36188" spans="7:16" s="1634" customFormat="1">
      <c r="G36188" s="3336"/>
      <c r="P36188" s="3337"/>
    </row>
    <row r="36189" spans="7:16" s="1634" customFormat="1">
      <c r="G36189" s="3336"/>
      <c r="P36189" s="3337"/>
    </row>
    <row r="36190" spans="7:16" s="1634" customFormat="1">
      <c r="G36190" s="3336"/>
      <c r="P36190" s="3337"/>
    </row>
    <row r="36191" spans="7:16" s="1634" customFormat="1">
      <c r="G36191" s="3336"/>
      <c r="P36191" s="3337"/>
    </row>
    <row r="36192" spans="7:16" s="1634" customFormat="1">
      <c r="G36192" s="3336"/>
      <c r="P36192" s="3337"/>
    </row>
    <row r="36193" spans="7:16" s="1634" customFormat="1">
      <c r="G36193" s="3336"/>
      <c r="P36193" s="3337"/>
    </row>
    <row r="36194" spans="7:16" s="1634" customFormat="1">
      <c r="G36194" s="3336"/>
      <c r="P36194" s="3337"/>
    </row>
    <row r="36195" spans="7:16" s="1634" customFormat="1">
      <c r="G36195" s="3336"/>
      <c r="P36195" s="3337"/>
    </row>
    <row r="36196" spans="7:16" s="1634" customFormat="1">
      <c r="G36196" s="3336"/>
      <c r="P36196" s="3337"/>
    </row>
    <row r="36197" spans="7:16" s="1634" customFormat="1">
      <c r="G36197" s="3336"/>
      <c r="P36197" s="3337"/>
    </row>
    <row r="36198" spans="7:16" s="1634" customFormat="1">
      <c r="G36198" s="3336"/>
      <c r="P36198" s="3337"/>
    </row>
    <row r="36199" spans="7:16" s="1634" customFormat="1">
      <c r="G36199" s="3336"/>
      <c r="P36199" s="3337"/>
    </row>
    <row r="36200" spans="7:16" s="1634" customFormat="1">
      <c r="G36200" s="3336"/>
      <c r="P36200" s="3337"/>
    </row>
    <row r="36201" spans="7:16" s="1634" customFormat="1">
      <c r="G36201" s="3336"/>
      <c r="P36201" s="3337"/>
    </row>
    <row r="36202" spans="7:16" s="1634" customFormat="1">
      <c r="G36202" s="3336"/>
      <c r="P36202" s="3337"/>
    </row>
    <row r="36203" spans="7:16" s="1634" customFormat="1">
      <c r="G36203" s="3336"/>
      <c r="P36203" s="3337"/>
    </row>
    <row r="36204" spans="7:16" s="1634" customFormat="1">
      <c r="G36204" s="3336"/>
      <c r="P36204" s="3337"/>
    </row>
    <row r="36205" spans="7:16" s="1634" customFormat="1">
      <c r="G36205" s="3336"/>
      <c r="P36205" s="3337"/>
    </row>
    <row r="36206" spans="7:16" s="1634" customFormat="1">
      <c r="G36206" s="3336"/>
      <c r="P36206" s="3337"/>
    </row>
    <row r="36207" spans="7:16" s="1634" customFormat="1">
      <c r="G36207" s="3336"/>
      <c r="P36207" s="3337"/>
    </row>
    <row r="36208" spans="7:16" s="1634" customFormat="1">
      <c r="G36208" s="3336"/>
      <c r="P36208" s="3337"/>
    </row>
    <row r="36209" spans="7:16" s="1634" customFormat="1">
      <c r="G36209" s="3336"/>
      <c r="P36209" s="3337"/>
    </row>
    <row r="36210" spans="7:16" s="1634" customFormat="1">
      <c r="G36210" s="3336"/>
      <c r="P36210" s="3337"/>
    </row>
    <row r="36211" spans="7:16" s="1634" customFormat="1">
      <c r="G36211" s="3336"/>
      <c r="P36211" s="3337"/>
    </row>
    <row r="36212" spans="7:16" s="1634" customFormat="1">
      <c r="G36212" s="3336"/>
      <c r="P36212" s="3337"/>
    </row>
    <row r="36213" spans="7:16" s="1634" customFormat="1">
      <c r="G36213" s="3336"/>
      <c r="P36213" s="3337"/>
    </row>
    <row r="36214" spans="7:16" s="1634" customFormat="1">
      <c r="G36214" s="3336"/>
      <c r="P36214" s="3337"/>
    </row>
    <row r="36215" spans="7:16" s="1634" customFormat="1">
      <c r="G36215" s="3336"/>
      <c r="P36215" s="3337"/>
    </row>
    <row r="36216" spans="7:16" s="1634" customFormat="1">
      <c r="G36216" s="3336"/>
      <c r="P36216" s="3337"/>
    </row>
    <row r="36217" spans="7:16" s="1634" customFormat="1">
      <c r="G36217" s="3336"/>
      <c r="P36217" s="3337"/>
    </row>
    <row r="36218" spans="7:16" s="1634" customFormat="1">
      <c r="G36218" s="3336"/>
      <c r="P36218" s="3337"/>
    </row>
    <row r="36219" spans="7:16" s="1634" customFormat="1">
      <c r="G36219" s="3336"/>
      <c r="P36219" s="3337"/>
    </row>
    <row r="36220" spans="7:16" s="1634" customFormat="1">
      <c r="G36220" s="3336"/>
      <c r="P36220" s="3337"/>
    </row>
    <row r="36221" spans="7:16" s="1634" customFormat="1">
      <c r="G36221" s="3336"/>
      <c r="P36221" s="3337"/>
    </row>
    <row r="36222" spans="7:16" s="1634" customFormat="1">
      <c r="G36222" s="3336"/>
      <c r="P36222" s="3337"/>
    </row>
    <row r="36223" spans="7:16" s="1634" customFormat="1">
      <c r="G36223" s="3336"/>
      <c r="P36223" s="3337"/>
    </row>
    <row r="36224" spans="7:16" s="1634" customFormat="1">
      <c r="G36224" s="3336"/>
      <c r="P36224" s="3337"/>
    </row>
    <row r="36225" spans="7:16" s="1634" customFormat="1">
      <c r="G36225" s="3336"/>
      <c r="P36225" s="3337"/>
    </row>
    <row r="36226" spans="7:16" s="1634" customFormat="1">
      <c r="G36226" s="3336"/>
      <c r="P36226" s="3337"/>
    </row>
    <row r="36227" spans="7:16" s="1634" customFormat="1">
      <c r="G36227" s="3336"/>
      <c r="P36227" s="3337"/>
    </row>
    <row r="36228" spans="7:16" s="1634" customFormat="1">
      <c r="G36228" s="3336"/>
      <c r="P36228" s="3337"/>
    </row>
    <row r="36229" spans="7:16" s="1634" customFormat="1">
      <c r="G36229" s="3336"/>
      <c r="P36229" s="3337"/>
    </row>
    <row r="36230" spans="7:16" s="1634" customFormat="1">
      <c r="G36230" s="3336"/>
      <c r="P36230" s="3337"/>
    </row>
    <row r="36231" spans="7:16" s="1634" customFormat="1">
      <c r="G36231" s="3336"/>
      <c r="P36231" s="3337"/>
    </row>
    <row r="36232" spans="7:16" s="1634" customFormat="1">
      <c r="G36232" s="3336"/>
      <c r="P36232" s="3337"/>
    </row>
    <row r="36233" spans="7:16" s="1634" customFormat="1">
      <c r="G36233" s="3336"/>
      <c r="P36233" s="3337"/>
    </row>
    <row r="36234" spans="7:16" s="1634" customFormat="1">
      <c r="G36234" s="3336"/>
      <c r="P36234" s="3337"/>
    </row>
    <row r="36235" spans="7:16" s="1634" customFormat="1">
      <c r="G36235" s="3336"/>
      <c r="P36235" s="3337"/>
    </row>
    <row r="36236" spans="7:16" s="1634" customFormat="1">
      <c r="G36236" s="3336"/>
      <c r="P36236" s="3337"/>
    </row>
    <row r="36237" spans="7:16" s="1634" customFormat="1">
      <c r="G36237" s="3336"/>
      <c r="P36237" s="3337"/>
    </row>
    <row r="36238" spans="7:16" s="1634" customFormat="1">
      <c r="G36238" s="3336"/>
      <c r="P36238" s="3337"/>
    </row>
    <row r="36239" spans="7:16" s="1634" customFormat="1">
      <c r="G36239" s="3336"/>
      <c r="P36239" s="3337"/>
    </row>
    <row r="36240" spans="7:16" s="1634" customFormat="1">
      <c r="G36240" s="3336"/>
      <c r="P36240" s="3337"/>
    </row>
    <row r="36241" spans="7:16" s="1634" customFormat="1">
      <c r="G36241" s="3336"/>
      <c r="P36241" s="3337"/>
    </row>
    <row r="36242" spans="7:16" s="1634" customFormat="1">
      <c r="G36242" s="3336"/>
      <c r="P36242" s="3337"/>
    </row>
    <row r="36243" spans="7:16" s="1634" customFormat="1">
      <c r="G36243" s="3336"/>
      <c r="P36243" s="3337"/>
    </row>
    <row r="36244" spans="7:16" s="1634" customFormat="1">
      <c r="G36244" s="3336"/>
      <c r="P36244" s="3337"/>
    </row>
    <row r="36245" spans="7:16" s="1634" customFormat="1">
      <c r="G36245" s="3336"/>
      <c r="P36245" s="3337"/>
    </row>
    <row r="36246" spans="7:16" s="1634" customFormat="1">
      <c r="G36246" s="3336"/>
      <c r="P36246" s="3337"/>
    </row>
    <row r="36247" spans="7:16" s="1634" customFormat="1">
      <c r="G36247" s="3336"/>
      <c r="P36247" s="3337"/>
    </row>
    <row r="36248" spans="7:16" s="1634" customFormat="1">
      <c r="G36248" s="3336"/>
      <c r="P36248" s="3337"/>
    </row>
    <row r="36249" spans="7:16" s="1634" customFormat="1">
      <c r="G36249" s="3336"/>
      <c r="P36249" s="3337"/>
    </row>
    <row r="36250" spans="7:16" s="1634" customFormat="1">
      <c r="G36250" s="3336"/>
      <c r="P36250" s="3337"/>
    </row>
    <row r="36251" spans="7:16" s="1634" customFormat="1">
      <c r="G36251" s="3336"/>
      <c r="P36251" s="3337"/>
    </row>
    <row r="36252" spans="7:16" s="1634" customFormat="1">
      <c r="G36252" s="3336"/>
      <c r="P36252" s="3337"/>
    </row>
    <row r="36253" spans="7:16" s="1634" customFormat="1">
      <c r="G36253" s="3336"/>
      <c r="P36253" s="3337"/>
    </row>
    <row r="36254" spans="7:16" s="1634" customFormat="1">
      <c r="G36254" s="3336"/>
      <c r="P36254" s="3337"/>
    </row>
    <row r="36255" spans="7:16" s="1634" customFormat="1">
      <c r="G36255" s="3336"/>
      <c r="P36255" s="3337"/>
    </row>
    <row r="36256" spans="7:16" s="1634" customFormat="1">
      <c r="G36256" s="3336"/>
      <c r="P36256" s="3337"/>
    </row>
    <row r="36257" spans="7:16" s="1634" customFormat="1">
      <c r="G36257" s="3336"/>
      <c r="P36257" s="3337"/>
    </row>
    <row r="36258" spans="7:16" s="1634" customFormat="1">
      <c r="G36258" s="3336"/>
      <c r="P36258" s="3337"/>
    </row>
    <row r="36259" spans="7:16" s="1634" customFormat="1">
      <c r="G36259" s="3336"/>
      <c r="P36259" s="3337"/>
    </row>
    <row r="36260" spans="7:16" s="1634" customFormat="1">
      <c r="G36260" s="3336"/>
      <c r="P36260" s="3337"/>
    </row>
    <row r="36261" spans="7:16" s="1634" customFormat="1">
      <c r="G36261" s="3336"/>
      <c r="P36261" s="3337"/>
    </row>
    <row r="36262" spans="7:16" s="1634" customFormat="1">
      <c r="G36262" s="3336"/>
      <c r="P36262" s="3337"/>
    </row>
    <row r="36263" spans="7:16" s="1634" customFormat="1">
      <c r="G36263" s="3336"/>
      <c r="P36263" s="3337"/>
    </row>
    <row r="36264" spans="7:16" s="1634" customFormat="1">
      <c r="G36264" s="3336"/>
      <c r="P36264" s="3337"/>
    </row>
    <row r="36265" spans="7:16" s="1634" customFormat="1">
      <c r="G36265" s="3336"/>
      <c r="P36265" s="3337"/>
    </row>
    <row r="36266" spans="7:16" s="1634" customFormat="1">
      <c r="G36266" s="3336"/>
      <c r="P36266" s="3337"/>
    </row>
    <row r="36267" spans="7:16" s="1634" customFormat="1">
      <c r="G36267" s="3336"/>
      <c r="P36267" s="3337"/>
    </row>
    <row r="36268" spans="7:16" s="1634" customFormat="1">
      <c r="G36268" s="3336"/>
      <c r="P36268" s="3337"/>
    </row>
    <row r="36269" spans="7:16" s="1634" customFormat="1">
      <c r="G36269" s="3336"/>
      <c r="P36269" s="3337"/>
    </row>
    <row r="36270" spans="7:16" s="1634" customFormat="1">
      <c r="G36270" s="3336"/>
      <c r="P36270" s="3337"/>
    </row>
    <row r="36271" spans="7:16" s="1634" customFormat="1">
      <c r="G36271" s="3336"/>
      <c r="P36271" s="3337"/>
    </row>
    <row r="36272" spans="7:16" s="1634" customFormat="1">
      <c r="G36272" s="3336"/>
      <c r="P36272" s="3337"/>
    </row>
    <row r="36273" spans="7:16" s="1634" customFormat="1">
      <c r="G36273" s="3336"/>
      <c r="P36273" s="3337"/>
    </row>
    <row r="36274" spans="7:16" s="1634" customFormat="1">
      <c r="G36274" s="3336"/>
      <c r="P36274" s="3337"/>
    </row>
    <row r="36275" spans="7:16" s="1634" customFormat="1">
      <c r="G36275" s="3336"/>
      <c r="P36275" s="3337"/>
    </row>
    <row r="36276" spans="7:16" s="1634" customFormat="1">
      <c r="G36276" s="3336"/>
      <c r="P36276" s="3337"/>
    </row>
    <row r="36277" spans="7:16" s="1634" customFormat="1">
      <c r="G36277" s="3336"/>
      <c r="P36277" s="3337"/>
    </row>
    <row r="36278" spans="7:16" s="1634" customFormat="1">
      <c r="G36278" s="3336"/>
      <c r="P36278" s="3337"/>
    </row>
    <row r="36279" spans="7:16" s="1634" customFormat="1">
      <c r="G36279" s="3336"/>
      <c r="P36279" s="3337"/>
    </row>
    <row r="36280" spans="7:16" s="1634" customFormat="1">
      <c r="G36280" s="3336"/>
      <c r="P36280" s="3337"/>
    </row>
    <row r="36281" spans="7:16" s="1634" customFormat="1">
      <c r="G36281" s="3336"/>
      <c r="P36281" s="3337"/>
    </row>
    <row r="36282" spans="7:16" s="1634" customFormat="1">
      <c r="G36282" s="3336"/>
      <c r="P36282" s="3337"/>
    </row>
    <row r="36283" spans="7:16" s="1634" customFormat="1">
      <c r="G36283" s="3336"/>
      <c r="P36283" s="3337"/>
    </row>
    <row r="36284" spans="7:16" s="1634" customFormat="1">
      <c r="G36284" s="3336"/>
      <c r="P36284" s="3337"/>
    </row>
    <row r="36285" spans="7:16" s="1634" customFormat="1">
      <c r="G36285" s="3336"/>
      <c r="P36285" s="3337"/>
    </row>
    <row r="36286" spans="7:16" s="1634" customFormat="1">
      <c r="G36286" s="3336"/>
      <c r="P36286" s="3337"/>
    </row>
    <row r="36287" spans="7:16" s="1634" customFormat="1">
      <c r="G36287" s="3336"/>
      <c r="P36287" s="3337"/>
    </row>
    <row r="36288" spans="7:16" s="1634" customFormat="1">
      <c r="G36288" s="3336"/>
      <c r="P36288" s="3337"/>
    </row>
    <row r="36289" spans="7:16" s="1634" customFormat="1">
      <c r="G36289" s="3336"/>
      <c r="P36289" s="3337"/>
    </row>
    <row r="36290" spans="7:16" s="1634" customFormat="1">
      <c r="G36290" s="3336"/>
      <c r="P36290" s="3337"/>
    </row>
    <row r="36291" spans="7:16" s="1634" customFormat="1">
      <c r="G36291" s="3336"/>
      <c r="P36291" s="3337"/>
    </row>
    <row r="36292" spans="7:16" s="1634" customFormat="1">
      <c r="G36292" s="3336"/>
      <c r="P36292" s="3337"/>
    </row>
    <row r="36293" spans="7:16" s="1634" customFormat="1">
      <c r="G36293" s="3336"/>
      <c r="P36293" s="3337"/>
    </row>
    <row r="36294" spans="7:16" s="1634" customFormat="1">
      <c r="G36294" s="3336"/>
      <c r="P36294" s="3337"/>
    </row>
    <row r="36295" spans="7:16" s="1634" customFormat="1">
      <c r="G36295" s="3336"/>
      <c r="P36295" s="3337"/>
    </row>
    <row r="36296" spans="7:16" s="1634" customFormat="1">
      <c r="G36296" s="3336"/>
      <c r="P36296" s="3337"/>
    </row>
    <row r="36297" spans="7:16" s="1634" customFormat="1">
      <c r="G36297" s="3336"/>
      <c r="P36297" s="3337"/>
    </row>
    <row r="36298" spans="7:16" s="1634" customFormat="1">
      <c r="G36298" s="3336"/>
      <c r="P36298" s="3337"/>
    </row>
    <row r="36299" spans="7:16" s="1634" customFormat="1">
      <c r="G36299" s="3336"/>
      <c r="P36299" s="3337"/>
    </row>
    <row r="36300" spans="7:16" s="1634" customFormat="1">
      <c r="G36300" s="3336"/>
      <c r="P36300" s="3337"/>
    </row>
    <row r="36301" spans="7:16" s="1634" customFormat="1">
      <c r="G36301" s="3336"/>
      <c r="P36301" s="3337"/>
    </row>
    <row r="36302" spans="7:16" s="1634" customFormat="1">
      <c r="G36302" s="3336"/>
      <c r="P36302" s="3337"/>
    </row>
    <row r="36303" spans="7:16" s="1634" customFormat="1">
      <c r="G36303" s="3336"/>
      <c r="P36303" s="3337"/>
    </row>
    <row r="36304" spans="7:16" s="1634" customFormat="1">
      <c r="G36304" s="3336"/>
      <c r="P36304" s="3337"/>
    </row>
    <row r="36305" spans="7:16" s="1634" customFormat="1">
      <c r="G36305" s="3336"/>
      <c r="P36305" s="3337"/>
    </row>
    <row r="36306" spans="7:16" s="1634" customFormat="1">
      <c r="G36306" s="3336"/>
      <c r="P36306" s="3337"/>
    </row>
    <row r="36307" spans="7:16" s="1634" customFormat="1">
      <c r="G36307" s="3336"/>
      <c r="P36307" s="3337"/>
    </row>
    <row r="36308" spans="7:16" s="1634" customFormat="1">
      <c r="G36308" s="3336"/>
      <c r="P36308" s="3337"/>
    </row>
    <row r="36309" spans="7:16" s="1634" customFormat="1">
      <c r="G36309" s="3336"/>
      <c r="P36309" s="3337"/>
    </row>
    <row r="36310" spans="7:16" s="1634" customFormat="1">
      <c r="G36310" s="3336"/>
      <c r="P36310" s="3337"/>
    </row>
    <row r="36311" spans="7:16" s="1634" customFormat="1">
      <c r="G36311" s="3336"/>
      <c r="P36311" s="3337"/>
    </row>
    <row r="36312" spans="7:16" s="1634" customFormat="1">
      <c r="G36312" s="3336"/>
      <c r="P36312" s="3337"/>
    </row>
    <row r="36313" spans="7:16" s="1634" customFormat="1">
      <c r="G36313" s="3336"/>
      <c r="P36313" s="3337"/>
    </row>
    <row r="36314" spans="7:16" s="1634" customFormat="1">
      <c r="G36314" s="3336"/>
      <c r="P36314" s="3337"/>
    </row>
    <row r="36315" spans="7:16" s="1634" customFormat="1">
      <c r="G36315" s="3336"/>
      <c r="P36315" s="3337"/>
    </row>
    <row r="36316" spans="7:16" s="1634" customFormat="1">
      <c r="G36316" s="3336"/>
      <c r="P36316" s="3337"/>
    </row>
    <row r="36317" spans="7:16" s="1634" customFormat="1">
      <c r="G36317" s="3336"/>
      <c r="P36317" s="3337"/>
    </row>
    <row r="36318" spans="7:16" s="1634" customFormat="1">
      <c r="G36318" s="3336"/>
      <c r="P36318" s="3337"/>
    </row>
    <row r="36319" spans="7:16" s="1634" customFormat="1">
      <c r="G36319" s="3336"/>
      <c r="P36319" s="3337"/>
    </row>
    <row r="36320" spans="7:16" s="1634" customFormat="1">
      <c r="G36320" s="3336"/>
      <c r="P36320" s="3337"/>
    </row>
    <row r="36321" spans="7:16" s="1634" customFormat="1">
      <c r="G36321" s="3336"/>
      <c r="P36321" s="3337"/>
    </row>
    <row r="36322" spans="7:16" s="1634" customFormat="1">
      <c r="G36322" s="3336"/>
      <c r="P36322" s="3337"/>
    </row>
    <row r="36323" spans="7:16" s="1634" customFormat="1">
      <c r="G36323" s="3336"/>
      <c r="P36323" s="3337"/>
    </row>
    <row r="36324" spans="7:16" s="1634" customFormat="1">
      <c r="G36324" s="3336"/>
      <c r="P36324" s="3337"/>
    </row>
    <row r="36325" spans="7:16" s="1634" customFormat="1">
      <c r="G36325" s="3336"/>
      <c r="P36325" s="3337"/>
    </row>
    <row r="36326" spans="7:16" s="1634" customFormat="1">
      <c r="G36326" s="3336"/>
      <c r="P36326" s="3337"/>
    </row>
    <row r="36327" spans="7:16" s="1634" customFormat="1">
      <c r="G36327" s="3336"/>
      <c r="P36327" s="3337"/>
    </row>
    <row r="36328" spans="7:16" s="1634" customFormat="1">
      <c r="G36328" s="3336"/>
      <c r="P36328" s="3337"/>
    </row>
    <row r="36329" spans="7:16" s="1634" customFormat="1">
      <c r="G36329" s="3336"/>
      <c r="P36329" s="3337"/>
    </row>
    <row r="36330" spans="7:16" s="1634" customFormat="1">
      <c r="G36330" s="3336"/>
      <c r="P36330" s="3337"/>
    </row>
    <row r="36331" spans="7:16" s="1634" customFormat="1">
      <c r="G36331" s="3336"/>
      <c r="P36331" s="3337"/>
    </row>
    <row r="36332" spans="7:16" s="1634" customFormat="1">
      <c r="G36332" s="3336"/>
      <c r="P36332" s="3337"/>
    </row>
    <row r="36333" spans="7:16" s="1634" customFormat="1">
      <c r="G36333" s="3336"/>
      <c r="P36333" s="3337"/>
    </row>
    <row r="36334" spans="7:16" s="1634" customFormat="1">
      <c r="G36334" s="3336"/>
      <c r="P36334" s="3337"/>
    </row>
    <row r="36335" spans="7:16" s="1634" customFormat="1">
      <c r="G36335" s="3336"/>
      <c r="P36335" s="3337"/>
    </row>
    <row r="36336" spans="7:16" s="1634" customFormat="1">
      <c r="G36336" s="3336"/>
      <c r="P36336" s="3337"/>
    </row>
    <row r="36337" spans="7:16" s="1634" customFormat="1">
      <c r="G36337" s="3336"/>
      <c r="P36337" s="3337"/>
    </row>
    <row r="36338" spans="7:16" s="1634" customFormat="1">
      <c r="G36338" s="3336"/>
      <c r="P36338" s="3337"/>
    </row>
    <row r="36339" spans="7:16" s="1634" customFormat="1">
      <c r="G36339" s="3336"/>
      <c r="P36339" s="3337"/>
    </row>
    <row r="36340" spans="7:16" s="1634" customFormat="1">
      <c r="G36340" s="3336"/>
      <c r="P36340" s="3337"/>
    </row>
    <row r="36341" spans="7:16" s="1634" customFormat="1">
      <c r="G36341" s="3336"/>
      <c r="P36341" s="3337"/>
    </row>
    <row r="36342" spans="7:16" s="1634" customFormat="1">
      <c r="G36342" s="3336"/>
      <c r="P36342" s="3337"/>
    </row>
    <row r="36343" spans="7:16" s="1634" customFormat="1">
      <c r="G36343" s="3336"/>
      <c r="P36343" s="3337"/>
    </row>
    <row r="36344" spans="7:16" s="1634" customFormat="1">
      <c r="G36344" s="3336"/>
      <c r="P36344" s="3337"/>
    </row>
    <row r="36345" spans="7:16" s="1634" customFormat="1">
      <c r="G36345" s="3336"/>
      <c r="P36345" s="3337"/>
    </row>
    <row r="36346" spans="7:16" s="1634" customFormat="1">
      <c r="G36346" s="3336"/>
      <c r="P36346" s="3337"/>
    </row>
    <row r="36347" spans="7:16" s="1634" customFormat="1">
      <c r="G36347" s="3336"/>
      <c r="P36347" s="3337"/>
    </row>
    <row r="36348" spans="7:16" s="1634" customFormat="1">
      <c r="G36348" s="3336"/>
      <c r="P36348" s="3337"/>
    </row>
    <row r="36349" spans="7:16" s="1634" customFormat="1">
      <c r="G36349" s="3336"/>
      <c r="P36349" s="3337"/>
    </row>
    <row r="36350" spans="7:16" s="1634" customFormat="1">
      <c r="G36350" s="3336"/>
      <c r="P36350" s="3337"/>
    </row>
    <row r="36351" spans="7:16" s="1634" customFormat="1">
      <c r="G36351" s="3336"/>
      <c r="P36351" s="3337"/>
    </row>
    <row r="36352" spans="7:16" s="1634" customFormat="1">
      <c r="G36352" s="3336"/>
      <c r="P36352" s="3337"/>
    </row>
    <row r="36353" spans="7:16" s="1634" customFormat="1">
      <c r="G36353" s="3336"/>
      <c r="P36353" s="3337"/>
    </row>
    <row r="36354" spans="7:16" s="1634" customFormat="1">
      <c r="G36354" s="3336"/>
      <c r="P36354" s="3337"/>
    </row>
    <row r="36355" spans="7:16" s="1634" customFormat="1">
      <c r="G36355" s="3336"/>
      <c r="P36355" s="3337"/>
    </row>
    <row r="36356" spans="7:16" s="1634" customFormat="1">
      <c r="G36356" s="3336"/>
      <c r="P36356" s="3337"/>
    </row>
    <row r="36357" spans="7:16" s="1634" customFormat="1">
      <c r="G36357" s="3336"/>
      <c r="P36357" s="3337"/>
    </row>
    <row r="36358" spans="7:16" s="1634" customFormat="1">
      <c r="G36358" s="3336"/>
      <c r="P36358" s="3337"/>
    </row>
    <row r="36359" spans="7:16" s="1634" customFormat="1">
      <c r="G36359" s="3336"/>
      <c r="P36359" s="3337"/>
    </row>
    <row r="36360" spans="7:16" s="1634" customFormat="1">
      <c r="G36360" s="3336"/>
      <c r="P36360" s="3337"/>
    </row>
    <row r="36361" spans="7:16" s="1634" customFormat="1">
      <c r="G36361" s="3336"/>
      <c r="P36361" s="3337"/>
    </row>
    <row r="36362" spans="7:16" s="1634" customFormat="1">
      <c r="G36362" s="3336"/>
      <c r="P36362" s="3337"/>
    </row>
    <row r="36363" spans="7:16" s="1634" customFormat="1">
      <c r="G36363" s="3336"/>
      <c r="P36363" s="3337"/>
    </row>
    <row r="36364" spans="7:16" s="1634" customFormat="1">
      <c r="G36364" s="3336"/>
      <c r="P36364" s="3337"/>
    </row>
    <row r="36365" spans="7:16" s="1634" customFormat="1">
      <c r="G36365" s="3336"/>
      <c r="P36365" s="3337"/>
    </row>
    <row r="36366" spans="7:16" s="1634" customFormat="1">
      <c r="G36366" s="3336"/>
      <c r="P36366" s="3337"/>
    </row>
    <row r="36367" spans="7:16" s="1634" customFormat="1">
      <c r="G36367" s="3336"/>
      <c r="P36367" s="3337"/>
    </row>
    <row r="36368" spans="7:16" s="1634" customFormat="1">
      <c r="G36368" s="3336"/>
      <c r="P36368" s="3337"/>
    </row>
    <row r="36369" spans="7:16" s="1634" customFormat="1">
      <c r="G36369" s="3336"/>
      <c r="P36369" s="3337"/>
    </row>
    <row r="36370" spans="7:16" s="1634" customFormat="1">
      <c r="G36370" s="3336"/>
      <c r="P36370" s="3337"/>
    </row>
    <row r="36371" spans="7:16" s="1634" customFormat="1">
      <c r="G36371" s="3336"/>
      <c r="P36371" s="3337"/>
    </row>
    <row r="36372" spans="7:16" s="1634" customFormat="1">
      <c r="G36372" s="3336"/>
      <c r="P36372" s="3337"/>
    </row>
    <row r="36373" spans="7:16" s="1634" customFormat="1">
      <c r="G36373" s="3336"/>
      <c r="P36373" s="3337"/>
    </row>
    <row r="36374" spans="7:16" s="1634" customFormat="1">
      <c r="G36374" s="3336"/>
      <c r="P36374" s="3337"/>
    </row>
    <row r="36375" spans="7:16" s="1634" customFormat="1">
      <c r="G36375" s="3336"/>
      <c r="P36375" s="3337"/>
    </row>
    <row r="36376" spans="7:16" s="1634" customFormat="1">
      <c r="G36376" s="3336"/>
      <c r="P36376" s="3337"/>
    </row>
    <row r="36377" spans="7:16" s="1634" customFormat="1">
      <c r="G36377" s="3336"/>
      <c r="P36377" s="3337"/>
    </row>
    <row r="36378" spans="7:16" s="1634" customFormat="1">
      <c r="G36378" s="3336"/>
      <c r="P36378" s="3337"/>
    </row>
    <row r="36379" spans="7:16" s="1634" customFormat="1">
      <c r="G36379" s="3336"/>
      <c r="P36379" s="3337"/>
    </row>
    <row r="36380" spans="7:16" s="1634" customFormat="1">
      <c r="G36380" s="3336"/>
      <c r="P36380" s="3337"/>
    </row>
    <row r="36381" spans="7:16" s="1634" customFormat="1">
      <c r="G36381" s="3336"/>
      <c r="P36381" s="3337"/>
    </row>
    <row r="36382" spans="7:16" s="1634" customFormat="1">
      <c r="G36382" s="3336"/>
      <c r="P36382" s="3337"/>
    </row>
    <row r="36383" spans="7:16" s="1634" customFormat="1">
      <c r="G36383" s="3336"/>
      <c r="P36383" s="3337"/>
    </row>
    <row r="36384" spans="7:16" s="1634" customFormat="1">
      <c r="G36384" s="3336"/>
      <c r="P36384" s="3337"/>
    </row>
    <row r="36385" spans="7:16" s="1634" customFormat="1">
      <c r="G36385" s="3336"/>
      <c r="P36385" s="3337"/>
    </row>
    <row r="36386" spans="7:16" s="1634" customFormat="1">
      <c r="G36386" s="3336"/>
      <c r="P36386" s="3337"/>
    </row>
    <row r="36387" spans="7:16" s="1634" customFormat="1">
      <c r="G36387" s="3336"/>
      <c r="P36387" s="3337"/>
    </row>
    <row r="36388" spans="7:16" s="1634" customFormat="1">
      <c r="G36388" s="3336"/>
      <c r="P36388" s="3337"/>
    </row>
    <row r="36389" spans="7:16" s="1634" customFormat="1">
      <c r="G36389" s="3336"/>
      <c r="P36389" s="3337"/>
    </row>
    <row r="36390" spans="7:16" s="1634" customFormat="1">
      <c r="G36390" s="3336"/>
      <c r="P36390" s="3337"/>
    </row>
    <row r="36391" spans="7:16" s="1634" customFormat="1">
      <c r="G36391" s="3336"/>
      <c r="P36391" s="3337"/>
    </row>
    <row r="36392" spans="7:16" s="1634" customFormat="1">
      <c r="G36392" s="3336"/>
      <c r="P36392" s="3337"/>
    </row>
    <row r="36393" spans="7:16" s="1634" customFormat="1">
      <c r="G36393" s="3336"/>
      <c r="P36393" s="3337"/>
    </row>
    <row r="36394" spans="7:16" s="1634" customFormat="1">
      <c r="G36394" s="3336"/>
      <c r="P36394" s="3337"/>
    </row>
    <row r="36395" spans="7:16" s="1634" customFormat="1">
      <c r="G36395" s="3336"/>
      <c r="P36395" s="3337"/>
    </row>
    <row r="36396" spans="7:16" s="1634" customFormat="1">
      <c r="G36396" s="3336"/>
      <c r="P36396" s="3337"/>
    </row>
    <row r="36397" spans="7:16" s="1634" customFormat="1">
      <c r="G36397" s="3336"/>
      <c r="P36397" s="3337"/>
    </row>
    <row r="36398" spans="7:16" s="1634" customFormat="1">
      <c r="G36398" s="3336"/>
      <c r="P36398" s="3337"/>
    </row>
    <row r="36399" spans="7:16" s="1634" customFormat="1">
      <c r="G36399" s="3336"/>
      <c r="P36399" s="3337"/>
    </row>
    <row r="36400" spans="7:16" s="1634" customFormat="1">
      <c r="G36400" s="3336"/>
      <c r="P36400" s="3337"/>
    </row>
    <row r="36401" spans="7:16" s="1634" customFormat="1">
      <c r="G36401" s="3336"/>
      <c r="P36401" s="3337"/>
    </row>
    <row r="36402" spans="7:16" s="1634" customFormat="1">
      <c r="G36402" s="3336"/>
      <c r="P36402" s="3337"/>
    </row>
    <row r="36403" spans="7:16" s="1634" customFormat="1">
      <c r="G36403" s="3336"/>
      <c r="P36403" s="3337"/>
    </row>
    <row r="36404" spans="7:16" s="1634" customFormat="1">
      <c r="G36404" s="3336"/>
      <c r="P36404" s="3337"/>
    </row>
    <row r="36405" spans="7:16" s="1634" customFormat="1">
      <c r="G36405" s="3336"/>
      <c r="P36405" s="3337"/>
    </row>
    <row r="36406" spans="7:16" s="1634" customFormat="1">
      <c r="G36406" s="3336"/>
      <c r="P36406" s="3337"/>
    </row>
    <row r="36407" spans="7:16" s="1634" customFormat="1">
      <c r="G36407" s="3336"/>
      <c r="P36407" s="3337"/>
    </row>
    <row r="36408" spans="7:16" s="1634" customFormat="1">
      <c r="G36408" s="3336"/>
      <c r="P36408" s="3337"/>
    </row>
    <row r="36409" spans="7:16" s="1634" customFormat="1">
      <c r="G36409" s="3336"/>
      <c r="P36409" s="3337"/>
    </row>
    <row r="36410" spans="7:16" s="1634" customFormat="1">
      <c r="G36410" s="3336"/>
      <c r="P36410" s="3337"/>
    </row>
    <row r="36411" spans="7:16" s="1634" customFormat="1">
      <c r="G36411" s="3336"/>
      <c r="P36411" s="3337"/>
    </row>
    <row r="36412" spans="7:16" s="1634" customFormat="1">
      <c r="G36412" s="3336"/>
      <c r="P36412" s="3337"/>
    </row>
    <row r="36413" spans="7:16" s="1634" customFormat="1">
      <c r="G36413" s="3336"/>
      <c r="P36413" s="3337"/>
    </row>
    <row r="36414" spans="7:16" s="1634" customFormat="1">
      <c r="G36414" s="3336"/>
      <c r="P36414" s="3337"/>
    </row>
    <row r="36415" spans="7:16" s="1634" customFormat="1">
      <c r="G36415" s="3336"/>
      <c r="P36415" s="3337"/>
    </row>
    <row r="36416" spans="7:16" s="1634" customFormat="1">
      <c r="G36416" s="3336"/>
      <c r="P36416" s="3337"/>
    </row>
    <row r="36417" spans="7:16" s="1634" customFormat="1">
      <c r="G36417" s="3336"/>
      <c r="P36417" s="3337"/>
    </row>
    <row r="36418" spans="7:16" s="1634" customFormat="1">
      <c r="G36418" s="3336"/>
      <c r="P36418" s="3337"/>
    </row>
    <row r="36419" spans="7:16" s="1634" customFormat="1">
      <c r="G36419" s="3336"/>
      <c r="P36419" s="3337"/>
    </row>
    <row r="36420" spans="7:16" s="1634" customFormat="1">
      <c r="G36420" s="3336"/>
      <c r="P36420" s="3337"/>
    </row>
    <row r="36421" spans="7:16" s="1634" customFormat="1">
      <c r="G36421" s="3336"/>
      <c r="P36421" s="3337"/>
    </row>
    <row r="36422" spans="7:16" s="1634" customFormat="1">
      <c r="G36422" s="3336"/>
      <c r="P36422" s="3337"/>
    </row>
    <row r="36423" spans="7:16" s="1634" customFormat="1">
      <c r="G36423" s="3336"/>
      <c r="P36423" s="3337"/>
    </row>
    <row r="36424" spans="7:16" s="1634" customFormat="1">
      <c r="G36424" s="3336"/>
      <c r="P36424" s="3337"/>
    </row>
    <row r="36425" spans="7:16" s="1634" customFormat="1">
      <c r="G36425" s="3336"/>
      <c r="P36425" s="3337"/>
    </row>
    <row r="36426" spans="7:16" s="1634" customFormat="1">
      <c r="G36426" s="3336"/>
      <c r="P36426" s="3337"/>
    </row>
    <row r="36427" spans="7:16" s="1634" customFormat="1">
      <c r="G36427" s="3336"/>
      <c r="P36427" s="3337"/>
    </row>
    <row r="36428" spans="7:16" s="1634" customFormat="1">
      <c r="G36428" s="3336"/>
      <c r="P36428" s="3337"/>
    </row>
    <row r="36429" spans="7:16" s="1634" customFormat="1">
      <c r="G36429" s="3336"/>
      <c r="P36429" s="3337"/>
    </row>
    <row r="36430" spans="7:16" s="1634" customFormat="1">
      <c r="G36430" s="3336"/>
      <c r="P36430" s="3337"/>
    </row>
    <row r="36431" spans="7:16" s="1634" customFormat="1">
      <c r="G36431" s="3336"/>
      <c r="P36431" s="3337"/>
    </row>
    <row r="36432" spans="7:16" s="1634" customFormat="1">
      <c r="G36432" s="3336"/>
      <c r="P36432" s="3337"/>
    </row>
    <row r="36433" spans="7:16" s="1634" customFormat="1">
      <c r="G36433" s="3336"/>
      <c r="P36433" s="3337"/>
    </row>
    <row r="36434" spans="7:16" s="1634" customFormat="1">
      <c r="G36434" s="3336"/>
      <c r="P36434" s="3337"/>
    </row>
    <row r="36435" spans="7:16" s="1634" customFormat="1">
      <c r="G36435" s="3336"/>
      <c r="P36435" s="3337"/>
    </row>
    <row r="36436" spans="7:16" s="1634" customFormat="1">
      <c r="G36436" s="3336"/>
      <c r="P36436" s="3337"/>
    </row>
    <row r="36437" spans="7:16" s="1634" customFormat="1">
      <c r="G36437" s="3336"/>
      <c r="P36437" s="3337"/>
    </row>
    <row r="36438" spans="7:16" s="1634" customFormat="1">
      <c r="G36438" s="3336"/>
      <c r="P36438" s="3337"/>
    </row>
    <row r="36439" spans="7:16" s="1634" customFormat="1">
      <c r="G36439" s="3336"/>
      <c r="P36439" s="3337"/>
    </row>
    <row r="36440" spans="7:16" s="1634" customFormat="1">
      <c r="G36440" s="3336"/>
      <c r="P36440" s="3337"/>
    </row>
    <row r="36441" spans="7:16" s="1634" customFormat="1">
      <c r="G36441" s="3336"/>
      <c r="P36441" s="3337"/>
    </row>
    <row r="36442" spans="7:16" s="1634" customFormat="1">
      <c r="G36442" s="3336"/>
      <c r="P36442" s="3337"/>
    </row>
    <row r="36443" spans="7:16" s="1634" customFormat="1">
      <c r="G36443" s="3336"/>
      <c r="P36443" s="3337"/>
    </row>
    <row r="36444" spans="7:16" s="1634" customFormat="1">
      <c r="G36444" s="3336"/>
      <c r="P36444" s="3337"/>
    </row>
    <row r="36445" spans="7:16" s="1634" customFormat="1">
      <c r="G36445" s="3336"/>
      <c r="P36445" s="3337"/>
    </row>
    <row r="36446" spans="7:16" s="1634" customFormat="1">
      <c r="G36446" s="3336"/>
      <c r="P36446" s="3337"/>
    </row>
    <row r="36447" spans="7:16" s="1634" customFormat="1">
      <c r="G36447" s="3336"/>
      <c r="P36447" s="3337"/>
    </row>
    <row r="36448" spans="7:16" s="1634" customFormat="1">
      <c r="G36448" s="3336"/>
      <c r="P36448" s="3337"/>
    </row>
    <row r="36449" spans="7:16" s="1634" customFormat="1">
      <c r="G36449" s="3336"/>
      <c r="P36449" s="3337"/>
    </row>
    <row r="36450" spans="7:16" s="1634" customFormat="1">
      <c r="G36450" s="3336"/>
      <c r="P36450" s="3337"/>
    </row>
    <row r="36451" spans="7:16" s="1634" customFormat="1">
      <c r="G36451" s="3336"/>
      <c r="P36451" s="3337"/>
    </row>
    <row r="36452" spans="7:16" s="1634" customFormat="1">
      <c r="G36452" s="3336"/>
      <c r="P36452" s="3337"/>
    </row>
    <row r="36453" spans="7:16" s="1634" customFormat="1">
      <c r="G36453" s="3336"/>
      <c r="P36453" s="3337"/>
    </row>
    <row r="36454" spans="7:16" s="1634" customFormat="1">
      <c r="G36454" s="3336"/>
      <c r="P36454" s="3337"/>
    </row>
    <row r="36455" spans="7:16" s="1634" customFormat="1">
      <c r="G36455" s="3336"/>
      <c r="P36455" s="3337"/>
    </row>
    <row r="36456" spans="7:16" s="1634" customFormat="1">
      <c r="G36456" s="3336"/>
      <c r="P36456" s="3337"/>
    </row>
    <row r="36457" spans="7:16" s="1634" customFormat="1">
      <c r="G36457" s="3336"/>
      <c r="P36457" s="3337"/>
    </row>
    <row r="36458" spans="7:16" s="1634" customFormat="1">
      <c r="G36458" s="3336"/>
      <c r="P36458" s="3337"/>
    </row>
    <row r="36459" spans="7:16" s="1634" customFormat="1">
      <c r="G36459" s="3336"/>
      <c r="P36459" s="3337"/>
    </row>
    <row r="36460" spans="7:16" s="1634" customFormat="1">
      <c r="G36460" s="3336"/>
      <c r="P36460" s="3337"/>
    </row>
    <row r="36461" spans="7:16" s="1634" customFormat="1">
      <c r="G36461" s="3336"/>
      <c r="P36461" s="3337"/>
    </row>
    <row r="36462" spans="7:16" s="1634" customFormat="1">
      <c r="G36462" s="3336"/>
      <c r="P36462" s="3337"/>
    </row>
    <row r="36463" spans="7:16" s="1634" customFormat="1">
      <c r="G36463" s="3336"/>
      <c r="P36463" s="3337"/>
    </row>
    <row r="36464" spans="7:16" s="1634" customFormat="1">
      <c r="G36464" s="3336"/>
      <c r="P36464" s="3337"/>
    </row>
    <row r="36465" spans="7:16" s="1634" customFormat="1">
      <c r="G36465" s="3336"/>
      <c r="P36465" s="3337"/>
    </row>
    <row r="36466" spans="7:16" s="1634" customFormat="1">
      <c r="G36466" s="3336"/>
      <c r="P36466" s="3337"/>
    </row>
    <row r="36467" spans="7:16" s="1634" customFormat="1">
      <c r="G36467" s="3336"/>
      <c r="P36467" s="3337"/>
    </row>
    <row r="36468" spans="7:16" s="1634" customFormat="1">
      <c r="G36468" s="3336"/>
      <c r="P36468" s="3337"/>
    </row>
    <row r="36469" spans="7:16" s="1634" customFormat="1">
      <c r="G36469" s="3336"/>
      <c r="P36469" s="3337"/>
    </row>
    <row r="36470" spans="7:16" s="1634" customFormat="1">
      <c r="G36470" s="3336"/>
      <c r="P36470" s="3337"/>
    </row>
    <row r="36471" spans="7:16" s="1634" customFormat="1">
      <c r="G36471" s="3336"/>
      <c r="P36471" s="3337"/>
    </row>
    <row r="36472" spans="7:16" s="1634" customFormat="1">
      <c r="G36472" s="3336"/>
      <c r="P36472" s="3337"/>
    </row>
    <row r="36473" spans="7:16" s="1634" customFormat="1">
      <c r="G36473" s="3336"/>
      <c r="P36473" s="3337"/>
    </row>
    <row r="36474" spans="7:16" s="1634" customFormat="1">
      <c r="G36474" s="3336"/>
      <c r="P36474" s="3337"/>
    </row>
    <row r="36475" spans="7:16" s="1634" customFormat="1">
      <c r="G36475" s="3336"/>
      <c r="P36475" s="3337"/>
    </row>
    <row r="36476" spans="7:16" s="1634" customFormat="1">
      <c r="G36476" s="3336"/>
      <c r="P36476" s="3337"/>
    </row>
    <row r="36477" spans="7:16" s="1634" customFormat="1">
      <c r="G36477" s="3336"/>
      <c r="P36477" s="3337"/>
    </row>
    <row r="36478" spans="7:16" s="1634" customFormat="1">
      <c r="G36478" s="3336"/>
      <c r="P36478" s="3337"/>
    </row>
    <row r="36479" spans="7:16" s="1634" customFormat="1">
      <c r="G36479" s="3336"/>
      <c r="P36479" s="3337"/>
    </row>
    <row r="36480" spans="7:16" s="1634" customFormat="1">
      <c r="G36480" s="3336"/>
      <c r="P36480" s="3337"/>
    </row>
    <row r="36481" spans="7:16" s="1634" customFormat="1">
      <c r="G36481" s="3336"/>
      <c r="P36481" s="3337"/>
    </row>
    <row r="36482" spans="7:16" s="1634" customFormat="1">
      <c r="G36482" s="3336"/>
      <c r="P36482" s="3337"/>
    </row>
    <row r="36483" spans="7:16" s="1634" customFormat="1">
      <c r="G36483" s="3336"/>
      <c r="P36483" s="3337"/>
    </row>
    <row r="36484" spans="7:16" s="1634" customFormat="1">
      <c r="G36484" s="3336"/>
      <c r="P36484" s="3337"/>
    </row>
    <row r="36485" spans="7:16" s="1634" customFormat="1">
      <c r="G36485" s="3336"/>
      <c r="P36485" s="3337"/>
    </row>
    <row r="36486" spans="7:16" s="1634" customFormat="1">
      <c r="G36486" s="3336"/>
      <c r="P36486" s="3337"/>
    </row>
    <row r="36487" spans="7:16" s="1634" customFormat="1">
      <c r="G36487" s="3336"/>
      <c r="P36487" s="3337"/>
    </row>
    <row r="36488" spans="7:16" s="1634" customFormat="1">
      <c r="G36488" s="3336"/>
      <c r="P36488" s="3337"/>
    </row>
    <row r="36489" spans="7:16" s="1634" customFormat="1">
      <c r="G36489" s="3336"/>
      <c r="P36489" s="3337"/>
    </row>
    <row r="36490" spans="7:16" s="1634" customFormat="1">
      <c r="G36490" s="3336"/>
      <c r="P36490" s="3337"/>
    </row>
    <row r="36491" spans="7:16" s="1634" customFormat="1">
      <c r="G36491" s="3336"/>
      <c r="P36491" s="3337"/>
    </row>
    <row r="36492" spans="7:16" s="1634" customFormat="1">
      <c r="G36492" s="3336"/>
      <c r="P36492" s="3337"/>
    </row>
    <row r="36493" spans="7:16" s="1634" customFormat="1">
      <c r="G36493" s="3336"/>
      <c r="P36493" s="3337"/>
    </row>
    <row r="36494" spans="7:16" s="1634" customFormat="1">
      <c r="G36494" s="3336"/>
      <c r="P36494" s="3337"/>
    </row>
    <row r="36495" spans="7:16" s="1634" customFormat="1">
      <c r="G36495" s="3336"/>
      <c r="P36495" s="3337"/>
    </row>
    <row r="36496" spans="7:16" s="1634" customFormat="1">
      <c r="G36496" s="3336"/>
      <c r="P36496" s="3337"/>
    </row>
    <row r="36497" spans="7:16" s="1634" customFormat="1">
      <c r="G36497" s="3336"/>
      <c r="P36497" s="3337"/>
    </row>
    <row r="36498" spans="7:16" s="1634" customFormat="1">
      <c r="G36498" s="3336"/>
      <c r="P36498" s="3337"/>
    </row>
    <row r="36499" spans="7:16" s="1634" customFormat="1">
      <c r="G36499" s="3336"/>
      <c r="P36499" s="3337"/>
    </row>
    <row r="36500" spans="7:16" s="1634" customFormat="1">
      <c r="G36500" s="3336"/>
      <c r="P36500" s="3337"/>
    </row>
    <row r="36501" spans="7:16" s="1634" customFormat="1">
      <c r="G36501" s="3336"/>
      <c r="P36501" s="3337"/>
    </row>
    <row r="36502" spans="7:16" s="1634" customFormat="1">
      <c r="G36502" s="3336"/>
      <c r="P36502" s="3337"/>
    </row>
    <row r="36503" spans="7:16" s="1634" customFormat="1">
      <c r="G36503" s="3336"/>
      <c r="P36503" s="3337"/>
    </row>
    <row r="36504" spans="7:16" s="1634" customFormat="1">
      <c r="G36504" s="3336"/>
      <c r="P36504" s="3337"/>
    </row>
    <row r="36505" spans="7:16" s="1634" customFormat="1">
      <c r="G36505" s="3336"/>
      <c r="P36505" s="3337"/>
    </row>
    <row r="36506" spans="7:16" s="1634" customFormat="1">
      <c r="G36506" s="3336"/>
      <c r="P36506" s="3337"/>
    </row>
    <row r="36507" spans="7:16" s="1634" customFormat="1">
      <c r="G36507" s="3336"/>
      <c r="P36507" s="3337"/>
    </row>
    <row r="36508" spans="7:16" s="1634" customFormat="1">
      <c r="G36508" s="3336"/>
      <c r="P36508" s="3337"/>
    </row>
    <row r="36509" spans="7:16" s="1634" customFormat="1">
      <c r="G36509" s="3336"/>
      <c r="P36509" s="3337"/>
    </row>
    <row r="36510" spans="7:16" s="1634" customFormat="1">
      <c r="G36510" s="3336"/>
      <c r="P36510" s="3337"/>
    </row>
    <row r="36511" spans="7:16" s="1634" customFormat="1">
      <c r="G36511" s="3336"/>
      <c r="P36511" s="3337"/>
    </row>
    <row r="36512" spans="7:16" s="1634" customFormat="1">
      <c r="G36512" s="3336"/>
      <c r="P36512" s="3337"/>
    </row>
    <row r="36513" spans="7:16" s="1634" customFormat="1">
      <c r="G36513" s="3336"/>
      <c r="P36513" s="3337"/>
    </row>
    <row r="36514" spans="7:16" s="1634" customFormat="1">
      <c r="G36514" s="3336"/>
      <c r="P36514" s="3337"/>
    </row>
    <row r="36515" spans="7:16" s="1634" customFormat="1">
      <c r="G36515" s="3336"/>
      <c r="P36515" s="3337"/>
    </row>
    <row r="36516" spans="7:16" s="1634" customFormat="1">
      <c r="G36516" s="3336"/>
      <c r="P36516" s="3337"/>
    </row>
    <row r="36517" spans="7:16" s="1634" customFormat="1">
      <c r="G36517" s="3336"/>
      <c r="P36517" s="3337"/>
    </row>
    <row r="36518" spans="7:16" s="1634" customFormat="1">
      <c r="G36518" s="3336"/>
      <c r="P36518" s="3337"/>
    </row>
    <row r="36519" spans="7:16" s="1634" customFormat="1">
      <c r="G36519" s="3336"/>
      <c r="P36519" s="3337"/>
    </row>
    <row r="36520" spans="7:16" s="1634" customFormat="1">
      <c r="G36520" s="3336"/>
      <c r="P36520" s="3337"/>
    </row>
    <row r="36521" spans="7:16" s="1634" customFormat="1">
      <c r="G36521" s="3336"/>
      <c r="P36521" s="3337"/>
    </row>
    <row r="36522" spans="7:16" s="1634" customFormat="1">
      <c r="G36522" s="3336"/>
      <c r="P36522" s="3337"/>
    </row>
    <row r="36523" spans="7:16" s="1634" customFormat="1">
      <c r="G36523" s="3336"/>
      <c r="P36523" s="3337"/>
    </row>
    <row r="36524" spans="7:16" s="1634" customFormat="1">
      <c r="G36524" s="3336"/>
      <c r="P36524" s="3337"/>
    </row>
    <row r="36525" spans="7:16" s="1634" customFormat="1">
      <c r="G36525" s="3336"/>
      <c r="P36525" s="3337"/>
    </row>
    <row r="36526" spans="7:16" s="1634" customFormat="1">
      <c r="G36526" s="3336"/>
      <c r="P36526" s="3337"/>
    </row>
    <row r="36527" spans="7:16" s="1634" customFormat="1">
      <c r="G36527" s="3336"/>
      <c r="P36527" s="3337"/>
    </row>
    <row r="36528" spans="7:16" s="1634" customFormat="1">
      <c r="G36528" s="3336"/>
      <c r="P36528" s="3337"/>
    </row>
    <row r="36529" spans="7:16" s="1634" customFormat="1">
      <c r="G36529" s="3336"/>
      <c r="P36529" s="3337"/>
    </row>
    <row r="36530" spans="7:16" s="1634" customFormat="1">
      <c r="G36530" s="3336"/>
      <c r="P36530" s="3337"/>
    </row>
    <row r="36531" spans="7:16" s="1634" customFormat="1">
      <c r="G36531" s="3336"/>
      <c r="P36531" s="3337"/>
    </row>
    <row r="36532" spans="7:16" s="1634" customFormat="1">
      <c r="G36532" s="3336"/>
      <c r="P36532" s="3337"/>
    </row>
    <row r="36533" spans="7:16" s="1634" customFormat="1">
      <c r="G36533" s="3336"/>
      <c r="P36533" s="3337"/>
    </row>
    <row r="36534" spans="7:16" s="1634" customFormat="1">
      <c r="G36534" s="3336"/>
      <c r="P36534" s="3337"/>
    </row>
    <row r="36535" spans="7:16" s="1634" customFormat="1">
      <c r="G36535" s="3336"/>
      <c r="P36535" s="3337"/>
    </row>
    <row r="36536" spans="7:16" s="1634" customFormat="1">
      <c r="G36536" s="3336"/>
      <c r="P36536" s="3337"/>
    </row>
    <row r="36537" spans="7:16" s="1634" customFormat="1">
      <c r="G36537" s="3336"/>
      <c r="P36537" s="3337"/>
    </row>
    <row r="36538" spans="7:16" s="1634" customFormat="1">
      <c r="G36538" s="3336"/>
      <c r="P36538" s="3337"/>
    </row>
    <row r="36539" spans="7:16" s="1634" customFormat="1">
      <c r="G36539" s="3336"/>
      <c r="P36539" s="3337"/>
    </row>
    <row r="36540" spans="7:16" s="1634" customFormat="1">
      <c r="G36540" s="3336"/>
      <c r="P36540" s="3337"/>
    </row>
    <row r="36541" spans="7:16" s="1634" customFormat="1">
      <c r="G36541" s="3336"/>
      <c r="P36541" s="3337"/>
    </row>
    <row r="36542" spans="7:16" s="1634" customFormat="1">
      <c r="G36542" s="3336"/>
      <c r="P36542" s="3337"/>
    </row>
    <row r="36543" spans="7:16" s="1634" customFormat="1">
      <c r="G36543" s="3336"/>
      <c r="P36543" s="3337"/>
    </row>
    <row r="36544" spans="7:16" s="1634" customFormat="1">
      <c r="G36544" s="3336"/>
      <c r="P36544" s="3337"/>
    </row>
    <row r="36545" spans="7:16" s="1634" customFormat="1">
      <c r="G36545" s="3336"/>
      <c r="P36545" s="3337"/>
    </row>
    <row r="36546" spans="7:16" s="1634" customFormat="1">
      <c r="G36546" s="3336"/>
      <c r="P36546" s="3337"/>
    </row>
    <row r="36547" spans="7:16" s="1634" customFormat="1">
      <c r="G36547" s="3336"/>
      <c r="P36547" s="3337"/>
    </row>
    <row r="36548" spans="7:16" s="1634" customFormat="1">
      <c r="G36548" s="3336"/>
      <c r="P36548" s="3337"/>
    </row>
    <row r="36549" spans="7:16" s="1634" customFormat="1">
      <c r="G36549" s="3336"/>
      <c r="P36549" s="3337"/>
    </row>
    <row r="36550" spans="7:16" s="1634" customFormat="1">
      <c r="G36550" s="3336"/>
      <c r="P36550" s="3337"/>
    </row>
    <row r="36551" spans="7:16" s="1634" customFormat="1">
      <c r="G36551" s="3336"/>
      <c r="P36551" s="3337"/>
    </row>
    <row r="36552" spans="7:16" s="1634" customFormat="1">
      <c r="G36552" s="3336"/>
      <c r="P36552" s="3337"/>
    </row>
    <row r="36553" spans="7:16" s="1634" customFormat="1">
      <c r="G36553" s="3336"/>
      <c r="P36553" s="3337"/>
    </row>
    <row r="36554" spans="7:16" s="1634" customFormat="1">
      <c r="G36554" s="3336"/>
      <c r="P36554" s="3337"/>
    </row>
    <row r="36555" spans="7:16" s="1634" customFormat="1">
      <c r="G36555" s="3336"/>
      <c r="P36555" s="3337"/>
    </row>
    <row r="36556" spans="7:16" s="1634" customFormat="1">
      <c r="G36556" s="3336"/>
      <c r="P36556" s="3337"/>
    </row>
    <row r="36557" spans="7:16" s="1634" customFormat="1">
      <c r="G36557" s="3336"/>
      <c r="P36557" s="3337"/>
    </row>
    <row r="36558" spans="7:16" s="1634" customFormat="1">
      <c r="G36558" s="3336"/>
      <c r="P36558" s="3337"/>
    </row>
    <row r="36559" spans="7:16" s="1634" customFormat="1">
      <c r="G36559" s="3336"/>
      <c r="P36559" s="3337"/>
    </row>
    <row r="36560" spans="7:16" s="1634" customFormat="1">
      <c r="G36560" s="3336"/>
      <c r="P36560" s="3337"/>
    </row>
    <row r="36561" spans="7:16" s="1634" customFormat="1">
      <c r="G36561" s="3336"/>
      <c r="P36561" s="3337"/>
    </row>
    <row r="36562" spans="7:16" s="1634" customFormat="1">
      <c r="G36562" s="3336"/>
      <c r="P36562" s="3337"/>
    </row>
    <row r="36563" spans="7:16" s="1634" customFormat="1">
      <c r="G36563" s="3336"/>
      <c r="P36563" s="3337"/>
    </row>
    <row r="36564" spans="7:16" s="1634" customFormat="1">
      <c r="G36564" s="3336"/>
      <c r="P36564" s="3337"/>
    </row>
    <row r="36565" spans="7:16" s="1634" customFormat="1">
      <c r="G36565" s="3336"/>
      <c r="P36565" s="3337"/>
    </row>
    <row r="36566" spans="7:16" s="1634" customFormat="1">
      <c r="G36566" s="3336"/>
      <c r="P36566" s="3337"/>
    </row>
    <row r="36567" spans="7:16" s="1634" customFormat="1">
      <c r="G36567" s="3336"/>
      <c r="P36567" s="3337"/>
    </row>
    <row r="36568" spans="7:16" s="1634" customFormat="1">
      <c r="G36568" s="3336"/>
      <c r="P36568" s="3337"/>
    </row>
    <row r="36569" spans="7:16" s="1634" customFormat="1">
      <c r="G36569" s="3336"/>
      <c r="P36569" s="3337"/>
    </row>
    <row r="36570" spans="7:16" s="1634" customFormat="1">
      <c r="G36570" s="3336"/>
      <c r="P36570" s="3337"/>
    </row>
    <row r="36571" spans="7:16" s="1634" customFormat="1">
      <c r="G36571" s="3336"/>
      <c r="P36571" s="3337"/>
    </row>
    <row r="36572" spans="7:16" s="1634" customFormat="1">
      <c r="G36572" s="3336"/>
      <c r="P36572" s="3337"/>
    </row>
    <row r="36573" spans="7:16" s="1634" customFormat="1">
      <c r="G36573" s="3336"/>
      <c r="P36573" s="3337"/>
    </row>
    <row r="36574" spans="7:16" s="1634" customFormat="1">
      <c r="G36574" s="3336"/>
      <c r="P36574" s="3337"/>
    </row>
    <row r="36575" spans="7:16" s="1634" customFormat="1">
      <c r="G36575" s="3336"/>
      <c r="P36575" s="3337"/>
    </row>
    <row r="36576" spans="7:16" s="1634" customFormat="1">
      <c r="G36576" s="3336"/>
      <c r="P36576" s="3337"/>
    </row>
    <row r="36577" spans="7:16" s="1634" customFormat="1">
      <c r="G36577" s="3336"/>
      <c r="P36577" s="3337"/>
    </row>
    <row r="36578" spans="7:16" s="1634" customFormat="1">
      <c r="G36578" s="3336"/>
      <c r="P36578" s="3337"/>
    </row>
    <row r="36579" spans="7:16" s="1634" customFormat="1">
      <c r="G36579" s="3336"/>
      <c r="P36579" s="3337"/>
    </row>
    <row r="36580" spans="7:16" s="1634" customFormat="1">
      <c r="G36580" s="3336"/>
      <c r="P36580" s="3337"/>
    </row>
    <row r="36581" spans="7:16" s="1634" customFormat="1">
      <c r="G36581" s="3336"/>
      <c r="P36581" s="3337"/>
    </row>
    <row r="36582" spans="7:16" s="1634" customFormat="1">
      <c r="G36582" s="3336"/>
      <c r="P36582" s="3337"/>
    </row>
    <row r="36583" spans="7:16" s="1634" customFormat="1">
      <c r="G36583" s="3336"/>
      <c r="P36583" s="3337"/>
    </row>
    <row r="36584" spans="7:16" s="1634" customFormat="1">
      <c r="G36584" s="3336"/>
      <c r="P36584" s="3337"/>
    </row>
    <row r="36585" spans="7:16" s="1634" customFormat="1">
      <c r="G36585" s="3336"/>
      <c r="P36585" s="3337"/>
    </row>
    <row r="36586" spans="7:16" s="1634" customFormat="1">
      <c r="G36586" s="3336"/>
      <c r="P36586" s="3337"/>
    </row>
    <row r="36587" spans="7:16" s="1634" customFormat="1">
      <c r="G36587" s="3336"/>
      <c r="P36587" s="3337"/>
    </row>
    <row r="36588" spans="7:16" s="1634" customFormat="1">
      <c r="G36588" s="3336"/>
      <c r="P36588" s="3337"/>
    </row>
    <row r="36589" spans="7:16" s="1634" customFormat="1">
      <c r="G36589" s="3336"/>
      <c r="P36589" s="3337"/>
    </row>
    <row r="36590" spans="7:16" s="1634" customFormat="1">
      <c r="G36590" s="3336"/>
      <c r="P36590" s="3337"/>
    </row>
    <row r="36591" spans="7:16" s="1634" customFormat="1">
      <c r="G36591" s="3336"/>
      <c r="P36591" s="3337"/>
    </row>
    <row r="36592" spans="7:16" s="1634" customFormat="1">
      <c r="G36592" s="3336"/>
      <c r="P36592" s="3337"/>
    </row>
    <row r="36593" spans="7:16" s="1634" customFormat="1">
      <c r="G36593" s="3336"/>
      <c r="P36593" s="3337"/>
    </row>
    <row r="36594" spans="7:16" s="1634" customFormat="1">
      <c r="G36594" s="3336"/>
      <c r="P36594" s="3337"/>
    </row>
    <row r="36595" spans="7:16" s="1634" customFormat="1">
      <c r="G36595" s="3336"/>
      <c r="P36595" s="3337"/>
    </row>
    <row r="36596" spans="7:16" s="1634" customFormat="1">
      <c r="G36596" s="3336"/>
      <c r="P36596" s="3337"/>
    </row>
    <row r="36597" spans="7:16" s="1634" customFormat="1">
      <c r="G36597" s="3336"/>
      <c r="P36597" s="3337"/>
    </row>
    <row r="36598" spans="7:16" s="1634" customFormat="1">
      <c r="G36598" s="3336"/>
      <c r="P36598" s="3337"/>
    </row>
    <row r="36599" spans="7:16" s="1634" customFormat="1">
      <c r="G36599" s="3336"/>
      <c r="P36599" s="3337"/>
    </row>
    <row r="36600" spans="7:16" s="1634" customFormat="1">
      <c r="G36600" s="3336"/>
      <c r="P36600" s="3337"/>
    </row>
    <row r="36601" spans="7:16" s="1634" customFormat="1">
      <c r="G36601" s="3336"/>
      <c r="P36601" s="3337"/>
    </row>
    <row r="36602" spans="7:16" s="1634" customFormat="1">
      <c r="G36602" s="3336"/>
      <c r="P36602" s="3337"/>
    </row>
    <row r="36603" spans="7:16" s="1634" customFormat="1">
      <c r="G36603" s="3336"/>
      <c r="P36603" s="3337"/>
    </row>
    <row r="36604" spans="7:16" s="1634" customFormat="1">
      <c r="G36604" s="3336"/>
      <c r="P36604" s="3337"/>
    </row>
    <row r="36605" spans="7:16" s="1634" customFormat="1">
      <c r="G36605" s="3336"/>
      <c r="P36605" s="3337"/>
    </row>
    <row r="36606" spans="7:16" s="1634" customFormat="1">
      <c r="G36606" s="3336"/>
      <c r="P36606" s="3337"/>
    </row>
    <row r="36607" spans="7:16" s="1634" customFormat="1">
      <c r="G36607" s="3336"/>
      <c r="P36607" s="3337"/>
    </row>
    <row r="36608" spans="7:16" s="1634" customFormat="1">
      <c r="G36608" s="3336"/>
      <c r="P36608" s="3337"/>
    </row>
    <row r="36609" spans="7:16" s="1634" customFormat="1">
      <c r="G36609" s="3336"/>
      <c r="P36609" s="3337"/>
    </row>
    <row r="36610" spans="7:16" s="1634" customFormat="1">
      <c r="G36610" s="3336"/>
      <c r="P36610" s="3337"/>
    </row>
    <row r="36611" spans="7:16" s="1634" customFormat="1">
      <c r="G36611" s="3336"/>
      <c r="P36611" s="3337"/>
    </row>
    <row r="36612" spans="7:16" s="1634" customFormat="1">
      <c r="G36612" s="3336"/>
      <c r="P36612" s="3337"/>
    </row>
    <row r="36613" spans="7:16" s="1634" customFormat="1">
      <c r="G36613" s="3336"/>
      <c r="P36613" s="3337"/>
    </row>
    <row r="36614" spans="7:16" s="1634" customFormat="1">
      <c r="G36614" s="3336"/>
      <c r="P36614" s="3337"/>
    </row>
    <row r="36615" spans="7:16" s="1634" customFormat="1">
      <c r="G36615" s="3336"/>
      <c r="P36615" s="3337"/>
    </row>
    <row r="36616" spans="7:16" s="1634" customFormat="1">
      <c r="G36616" s="3336"/>
      <c r="P36616" s="3337"/>
    </row>
    <row r="36617" spans="7:16" s="1634" customFormat="1">
      <c r="G36617" s="3336"/>
      <c r="P36617" s="3337"/>
    </row>
    <row r="36618" spans="7:16" s="1634" customFormat="1">
      <c r="G36618" s="3336"/>
      <c r="P36618" s="3337"/>
    </row>
    <row r="36619" spans="7:16" s="1634" customFormat="1">
      <c r="G36619" s="3336"/>
      <c r="P36619" s="3337"/>
    </row>
    <row r="36620" spans="7:16" s="1634" customFormat="1">
      <c r="G36620" s="3336"/>
      <c r="P36620" s="3337"/>
    </row>
    <row r="36621" spans="7:16" s="1634" customFormat="1">
      <c r="G36621" s="3336"/>
      <c r="P36621" s="3337"/>
    </row>
    <row r="36622" spans="7:16" s="1634" customFormat="1">
      <c r="G36622" s="3336"/>
      <c r="P36622" s="3337"/>
    </row>
    <row r="36623" spans="7:16" s="1634" customFormat="1">
      <c r="G36623" s="3336"/>
      <c r="P36623" s="3337"/>
    </row>
    <row r="36624" spans="7:16" s="1634" customFormat="1">
      <c r="G36624" s="3336"/>
      <c r="P36624" s="3337"/>
    </row>
    <row r="36625" spans="7:16" s="1634" customFormat="1">
      <c r="G36625" s="3336"/>
      <c r="P36625" s="3337"/>
    </row>
    <row r="36626" spans="7:16" s="1634" customFormat="1">
      <c r="G36626" s="3336"/>
      <c r="P36626" s="3337"/>
    </row>
    <row r="36627" spans="7:16" s="1634" customFormat="1">
      <c r="G36627" s="3336"/>
      <c r="P36627" s="3337"/>
    </row>
    <row r="36628" spans="7:16" s="1634" customFormat="1">
      <c r="G36628" s="3336"/>
      <c r="P36628" s="3337"/>
    </row>
    <row r="36629" spans="7:16" s="1634" customFormat="1">
      <c r="G36629" s="3336"/>
      <c r="P36629" s="3337"/>
    </row>
    <row r="36630" spans="7:16" s="1634" customFormat="1">
      <c r="G36630" s="3336"/>
      <c r="P36630" s="3337"/>
    </row>
    <row r="36631" spans="7:16" s="1634" customFormat="1">
      <c r="G36631" s="3336"/>
      <c r="P36631" s="3337"/>
    </row>
    <row r="36632" spans="7:16" s="1634" customFormat="1">
      <c r="G36632" s="3336"/>
      <c r="P36632" s="3337"/>
    </row>
    <row r="36633" spans="7:16" s="1634" customFormat="1">
      <c r="G36633" s="3336"/>
      <c r="P36633" s="3337"/>
    </row>
    <row r="36634" spans="7:16" s="1634" customFormat="1">
      <c r="G36634" s="3336"/>
      <c r="P36634" s="3337"/>
    </row>
    <row r="36635" spans="7:16" s="1634" customFormat="1">
      <c r="G36635" s="3336"/>
      <c r="P36635" s="3337"/>
    </row>
    <row r="36636" spans="7:16" s="1634" customFormat="1">
      <c r="G36636" s="3336"/>
      <c r="P36636" s="3337"/>
    </row>
    <row r="36637" spans="7:16" s="1634" customFormat="1">
      <c r="G36637" s="3336"/>
      <c r="P36637" s="3337"/>
    </row>
    <row r="36638" spans="7:16" s="1634" customFormat="1">
      <c r="G36638" s="3336"/>
      <c r="P36638" s="3337"/>
    </row>
    <row r="36639" spans="7:16" s="1634" customFormat="1">
      <c r="G36639" s="3336"/>
      <c r="P36639" s="3337"/>
    </row>
    <row r="36640" spans="7:16" s="1634" customFormat="1">
      <c r="G36640" s="3336"/>
      <c r="P36640" s="3337"/>
    </row>
    <row r="36641" spans="7:16" s="1634" customFormat="1">
      <c r="G36641" s="3336"/>
      <c r="P36641" s="3337"/>
    </row>
    <row r="36642" spans="7:16" s="1634" customFormat="1">
      <c r="G36642" s="3336"/>
      <c r="P36642" s="3337"/>
    </row>
    <row r="36643" spans="7:16" s="1634" customFormat="1">
      <c r="G36643" s="3336"/>
      <c r="P36643" s="3337"/>
    </row>
    <row r="36644" spans="7:16" s="1634" customFormat="1">
      <c r="G36644" s="3336"/>
      <c r="P36644" s="3337"/>
    </row>
    <row r="36645" spans="7:16" s="1634" customFormat="1">
      <c r="G36645" s="3336"/>
      <c r="P36645" s="3337"/>
    </row>
    <row r="36646" spans="7:16" s="1634" customFormat="1">
      <c r="G36646" s="3336"/>
      <c r="P36646" s="3337"/>
    </row>
    <row r="36647" spans="7:16" s="1634" customFormat="1">
      <c r="G36647" s="3336"/>
      <c r="P36647" s="3337"/>
    </row>
    <row r="36648" spans="7:16" s="1634" customFormat="1">
      <c r="G36648" s="3336"/>
      <c r="P36648" s="3337"/>
    </row>
    <row r="36649" spans="7:16" s="1634" customFormat="1">
      <c r="G36649" s="3336"/>
      <c r="P36649" s="3337"/>
    </row>
    <row r="36650" spans="7:16" s="1634" customFormat="1">
      <c r="G36650" s="3336"/>
      <c r="P36650" s="3337"/>
    </row>
    <row r="36651" spans="7:16" s="1634" customFormat="1">
      <c r="G36651" s="3336"/>
      <c r="P36651" s="3337"/>
    </row>
    <row r="36652" spans="7:16" s="1634" customFormat="1">
      <c r="G36652" s="3336"/>
      <c r="P36652" s="3337"/>
    </row>
    <row r="36653" spans="7:16" s="1634" customFormat="1">
      <c r="G36653" s="3336"/>
      <c r="P36653" s="3337"/>
    </row>
    <row r="36654" spans="7:16" s="1634" customFormat="1">
      <c r="G36654" s="3336"/>
      <c r="P36654" s="3337"/>
    </row>
    <row r="36655" spans="7:16" s="1634" customFormat="1">
      <c r="G36655" s="3336"/>
      <c r="P36655" s="3337"/>
    </row>
    <row r="36656" spans="7:16" s="1634" customFormat="1">
      <c r="G36656" s="3336"/>
      <c r="P36656" s="3337"/>
    </row>
    <row r="36657" spans="7:16" s="1634" customFormat="1">
      <c r="G36657" s="3336"/>
      <c r="P36657" s="3337"/>
    </row>
    <row r="36658" spans="7:16" s="1634" customFormat="1">
      <c r="G36658" s="3336"/>
      <c r="P36658" s="3337"/>
    </row>
    <row r="36659" spans="7:16" s="1634" customFormat="1">
      <c r="G36659" s="3336"/>
      <c r="P36659" s="3337"/>
    </row>
    <row r="36660" spans="7:16" s="1634" customFormat="1">
      <c r="G36660" s="3336"/>
      <c r="P36660" s="3337"/>
    </row>
    <row r="36661" spans="7:16" s="1634" customFormat="1">
      <c r="G36661" s="3336"/>
      <c r="P36661" s="3337"/>
    </row>
    <row r="36662" spans="7:16" s="1634" customFormat="1">
      <c r="G36662" s="3336"/>
      <c r="P36662" s="3337"/>
    </row>
    <row r="36663" spans="7:16" s="1634" customFormat="1">
      <c r="G36663" s="3336"/>
      <c r="P36663" s="3337"/>
    </row>
    <row r="36664" spans="7:16" s="1634" customFormat="1">
      <c r="G36664" s="3336"/>
      <c r="P36664" s="3337"/>
    </row>
    <row r="36665" spans="7:16" s="1634" customFormat="1">
      <c r="G36665" s="3336"/>
      <c r="P36665" s="3337"/>
    </row>
    <row r="36666" spans="7:16" s="1634" customFormat="1">
      <c r="G36666" s="3336"/>
      <c r="P36666" s="3337"/>
    </row>
    <row r="36667" spans="7:16" s="1634" customFormat="1">
      <c r="G36667" s="3336"/>
      <c r="P36667" s="3337"/>
    </row>
    <row r="36668" spans="7:16" s="1634" customFormat="1">
      <c r="G36668" s="3336"/>
      <c r="P36668" s="3337"/>
    </row>
    <row r="36669" spans="7:16" s="1634" customFormat="1">
      <c r="G36669" s="3336"/>
      <c r="P36669" s="3337"/>
    </row>
    <row r="36670" spans="7:16" s="1634" customFormat="1">
      <c r="G36670" s="3336"/>
      <c r="P36670" s="3337"/>
    </row>
    <row r="36671" spans="7:16" s="1634" customFormat="1">
      <c r="G36671" s="3336"/>
      <c r="P36671" s="3337"/>
    </row>
    <row r="36672" spans="7:16" s="1634" customFormat="1">
      <c r="G36672" s="3336"/>
      <c r="P36672" s="3337"/>
    </row>
    <row r="36673" spans="7:16" s="1634" customFormat="1">
      <c r="G36673" s="3336"/>
      <c r="P36673" s="3337"/>
    </row>
    <row r="36674" spans="7:16" s="1634" customFormat="1">
      <c r="G36674" s="3336"/>
      <c r="P36674" s="3337"/>
    </row>
    <row r="36675" spans="7:16" s="1634" customFormat="1">
      <c r="G36675" s="3336"/>
      <c r="P36675" s="3337"/>
    </row>
    <row r="36676" spans="7:16" s="1634" customFormat="1">
      <c r="G36676" s="3336"/>
      <c r="P36676" s="3337"/>
    </row>
    <row r="36677" spans="7:16" s="1634" customFormat="1">
      <c r="G36677" s="3336"/>
      <c r="P36677" s="3337"/>
    </row>
    <row r="36678" spans="7:16" s="1634" customFormat="1">
      <c r="G36678" s="3336"/>
      <c r="P36678" s="3337"/>
    </row>
    <row r="36679" spans="7:16" s="1634" customFormat="1">
      <c r="G36679" s="3336"/>
      <c r="P36679" s="3337"/>
    </row>
    <row r="36680" spans="7:16" s="1634" customFormat="1">
      <c r="G36680" s="3336"/>
      <c r="P36680" s="3337"/>
    </row>
    <row r="36681" spans="7:16" s="1634" customFormat="1">
      <c r="G36681" s="3336"/>
      <c r="P36681" s="3337"/>
    </row>
    <row r="36682" spans="7:16" s="1634" customFormat="1">
      <c r="G36682" s="3336"/>
      <c r="P36682" s="3337"/>
    </row>
    <row r="36683" spans="7:16" s="1634" customFormat="1">
      <c r="G36683" s="3336"/>
      <c r="P36683" s="3337"/>
    </row>
    <row r="36684" spans="7:16" s="1634" customFormat="1">
      <c r="G36684" s="3336"/>
      <c r="P36684" s="3337"/>
    </row>
    <row r="36685" spans="7:16" s="1634" customFormat="1">
      <c r="G36685" s="3336"/>
      <c r="P36685" s="3337"/>
    </row>
    <row r="36686" spans="7:16" s="1634" customFormat="1">
      <c r="G36686" s="3336"/>
      <c r="P36686" s="3337"/>
    </row>
    <row r="36687" spans="7:16" s="1634" customFormat="1">
      <c r="G36687" s="3336"/>
      <c r="P36687" s="3337"/>
    </row>
    <row r="36688" spans="7:16" s="1634" customFormat="1">
      <c r="G36688" s="3336"/>
      <c r="P36688" s="3337"/>
    </row>
    <row r="36689" spans="7:16" s="1634" customFormat="1">
      <c r="G36689" s="3336"/>
      <c r="P36689" s="3337"/>
    </row>
    <row r="36690" spans="7:16" s="1634" customFormat="1">
      <c r="G36690" s="3336"/>
      <c r="P36690" s="3337"/>
    </row>
    <row r="36691" spans="7:16" s="1634" customFormat="1">
      <c r="G36691" s="3336"/>
      <c r="P36691" s="3337"/>
    </row>
    <row r="36692" spans="7:16" s="1634" customFormat="1">
      <c r="G36692" s="3336"/>
      <c r="P36692" s="3337"/>
    </row>
    <row r="36693" spans="7:16" s="1634" customFormat="1">
      <c r="G36693" s="3336"/>
      <c r="P36693" s="3337"/>
    </row>
    <row r="36694" spans="7:16" s="1634" customFormat="1">
      <c r="G36694" s="3336"/>
      <c r="P36694" s="3337"/>
    </row>
    <row r="36695" spans="7:16" s="1634" customFormat="1">
      <c r="G36695" s="3336"/>
      <c r="P36695" s="3337"/>
    </row>
    <row r="36696" spans="7:16" s="1634" customFormat="1">
      <c r="G36696" s="3336"/>
      <c r="P36696" s="3337"/>
    </row>
    <row r="36697" spans="7:16" s="1634" customFormat="1">
      <c r="G36697" s="3336"/>
      <c r="P36697" s="3337"/>
    </row>
    <row r="36698" spans="7:16" s="1634" customFormat="1">
      <c r="G36698" s="3336"/>
      <c r="P36698" s="3337"/>
    </row>
    <row r="36699" spans="7:16" s="1634" customFormat="1">
      <c r="G36699" s="3336"/>
      <c r="P36699" s="3337"/>
    </row>
    <row r="36700" spans="7:16" s="1634" customFormat="1">
      <c r="G36700" s="3336"/>
      <c r="P36700" s="3337"/>
    </row>
    <row r="36701" spans="7:16" s="1634" customFormat="1">
      <c r="G36701" s="3336"/>
      <c r="P36701" s="3337"/>
    </row>
    <row r="36702" spans="7:16" s="1634" customFormat="1">
      <c r="G36702" s="3336"/>
      <c r="P36702" s="3337"/>
    </row>
    <row r="36703" spans="7:16" s="1634" customFormat="1">
      <c r="G36703" s="3336"/>
      <c r="P36703" s="3337"/>
    </row>
    <row r="36704" spans="7:16" s="1634" customFormat="1">
      <c r="G36704" s="3336"/>
      <c r="P36704" s="3337"/>
    </row>
    <row r="36705" spans="7:16" s="1634" customFormat="1">
      <c r="G36705" s="3336"/>
      <c r="P36705" s="3337"/>
    </row>
    <row r="36706" spans="7:16" s="1634" customFormat="1">
      <c r="G36706" s="3336"/>
      <c r="P36706" s="3337"/>
    </row>
    <row r="36707" spans="7:16" s="1634" customFormat="1">
      <c r="G36707" s="3336"/>
      <c r="P36707" s="3337"/>
    </row>
    <row r="36708" spans="7:16" s="1634" customFormat="1">
      <c r="G36708" s="3336"/>
      <c r="P36708" s="3337"/>
    </row>
    <row r="36709" spans="7:16" s="1634" customFormat="1">
      <c r="G36709" s="3336"/>
      <c r="P36709" s="3337"/>
    </row>
    <row r="36710" spans="7:16" s="1634" customFormat="1">
      <c r="G36710" s="3336"/>
      <c r="P36710" s="3337"/>
    </row>
    <row r="36711" spans="7:16" s="1634" customFormat="1">
      <c r="G36711" s="3336"/>
      <c r="P36711" s="3337"/>
    </row>
    <row r="36712" spans="7:16" s="1634" customFormat="1">
      <c r="G36712" s="3336"/>
      <c r="P36712" s="3337"/>
    </row>
    <row r="36713" spans="7:16" s="1634" customFormat="1">
      <c r="G36713" s="3336"/>
      <c r="P36713" s="3337"/>
    </row>
    <row r="36714" spans="7:16" s="1634" customFormat="1">
      <c r="G36714" s="3336"/>
      <c r="P36714" s="3337"/>
    </row>
    <row r="36715" spans="7:16" s="1634" customFormat="1">
      <c r="G36715" s="3336"/>
      <c r="P36715" s="3337"/>
    </row>
    <row r="36716" spans="7:16" s="1634" customFormat="1">
      <c r="G36716" s="3336"/>
      <c r="P36716" s="3337"/>
    </row>
    <row r="36717" spans="7:16" s="1634" customFormat="1">
      <c r="G36717" s="3336"/>
      <c r="P36717" s="3337"/>
    </row>
    <row r="36718" spans="7:16" s="1634" customFormat="1">
      <c r="G36718" s="3336"/>
      <c r="P36718" s="3337"/>
    </row>
    <row r="36719" spans="7:16" s="1634" customFormat="1">
      <c r="G36719" s="3336"/>
      <c r="P36719" s="3337"/>
    </row>
    <row r="36720" spans="7:16" s="1634" customFormat="1">
      <c r="G36720" s="3336"/>
      <c r="P36720" s="3337"/>
    </row>
    <row r="36721" spans="7:16" s="1634" customFormat="1">
      <c r="G36721" s="3336"/>
      <c r="P36721" s="3337"/>
    </row>
    <row r="36722" spans="7:16" s="1634" customFormat="1">
      <c r="G36722" s="3336"/>
      <c r="P36722" s="3337"/>
    </row>
    <row r="36723" spans="7:16" s="1634" customFormat="1">
      <c r="G36723" s="3336"/>
      <c r="P36723" s="3337"/>
    </row>
    <row r="36724" spans="7:16" s="1634" customFormat="1">
      <c r="G36724" s="3336"/>
      <c r="P36724" s="3337"/>
    </row>
    <row r="36725" spans="7:16" s="1634" customFormat="1">
      <c r="G36725" s="3336"/>
      <c r="P36725" s="3337"/>
    </row>
    <row r="36726" spans="7:16" s="1634" customFormat="1">
      <c r="G36726" s="3336"/>
      <c r="P36726" s="3337"/>
    </row>
    <row r="36727" spans="7:16" s="1634" customFormat="1">
      <c r="G36727" s="3336"/>
      <c r="P36727" s="3337"/>
    </row>
    <row r="36728" spans="7:16" s="1634" customFormat="1">
      <c r="G36728" s="3336"/>
      <c r="P36728" s="3337"/>
    </row>
    <row r="36729" spans="7:16" s="1634" customFormat="1">
      <c r="G36729" s="3336"/>
      <c r="P36729" s="3337"/>
    </row>
    <row r="36730" spans="7:16" s="1634" customFormat="1">
      <c r="G36730" s="3336"/>
      <c r="P36730" s="3337"/>
    </row>
    <row r="36731" spans="7:16" s="1634" customFormat="1">
      <c r="G36731" s="3336"/>
      <c r="P36731" s="3337"/>
    </row>
    <row r="36732" spans="7:16" s="1634" customFormat="1">
      <c r="G36732" s="3336"/>
      <c r="P36732" s="3337"/>
    </row>
    <row r="36733" spans="7:16" s="1634" customFormat="1">
      <c r="G36733" s="3336"/>
      <c r="P36733" s="3337"/>
    </row>
    <row r="36734" spans="7:16" s="1634" customFormat="1">
      <c r="G36734" s="3336"/>
      <c r="P36734" s="3337"/>
    </row>
    <row r="36735" spans="7:16" s="1634" customFormat="1">
      <c r="G36735" s="3336"/>
      <c r="P36735" s="3337"/>
    </row>
    <row r="36736" spans="7:16" s="1634" customFormat="1">
      <c r="G36736" s="3336"/>
      <c r="P36736" s="3337"/>
    </row>
    <row r="36737" spans="7:16" s="1634" customFormat="1">
      <c r="G36737" s="3336"/>
      <c r="P36737" s="3337"/>
    </row>
    <row r="36738" spans="7:16" s="1634" customFormat="1">
      <c r="G36738" s="3336"/>
      <c r="P36738" s="3337"/>
    </row>
    <row r="36739" spans="7:16" s="1634" customFormat="1">
      <c r="G36739" s="3336"/>
      <c r="P36739" s="3337"/>
    </row>
    <row r="36740" spans="7:16" s="1634" customFormat="1">
      <c r="G36740" s="3336"/>
      <c r="P36740" s="3337"/>
    </row>
    <row r="36741" spans="7:16" s="1634" customFormat="1">
      <c r="G36741" s="3336"/>
      <c r="P36741" s="3337"/>
    </row>
    <row r="36742" spans="7:16" s="1634" customFormat="1">
      <c r="G36742" s="3336"/>
      <c r="P36742" s="3337"/>
    </row>
    <row r="36743" spans="7:16" s="1634" customFormat="1">
      <c r="G36743" s="3336"/>
      <c r="P36743" s="3337"/>
    </row>
    <row r="36744" spans="7:16" s="1634" customFormat="1">
      <c r="G36744" s="3336"/>
      <c r="P36744" s="3337"/>
    </row>
    <row r="36745" spans="7:16" s="1634" customFormat="1">
      <c r="G36745" s="3336"/>
      <c r="P36745" s="3337"/>
    </row>
    <row r="36746" spans="7:16" s="1634" customFormat="1">
      <c r="G36746" s="3336"/>
      <c r="P36746" s="3337"/>
    </row>
    <row r="36747" spans="7:16" s="1634" customFormat="1">
      <c r="G36747" s="3336"/>
      <c r="P36747" s="3337"/>
    </row>
    <row r="36748" spans="7:16" s="1634" customFormat="1">
      <c r="G36748" s="3336"/>
      <c r="P36748" s="3337"/>
    </row>
    <row r="36749" spans="7:16" s="1634" customFormat="1">
      <c r="G36749" s="3336"/>
      <c r="P36749" s="3337"/>
    </row>
    <row r="36750" spans="7:16" s="1634" customFormat="1">
      <c r="G36750" s="3336"/>
      <c r="P36750" s="3337"/>
    </row>
    <row r="36751" spans="7:16" s="1634" customFormat="1">
      <c r="G36751" s="3336"/>
      <c r="P36751" s="3337"/>
    </row>
    <row r="36752" spans="7:16" s="1634" customFormat="1">
      <c r="G36752" s="3336"/>
      <c r="P36752" s="3337"/>
    </row>
    <row r="36753" spans="7:16" s="1634" customFormat="1">
      <c r="G36753" s="3336"/>
      <c r="P36753" s="3337"/>
    </row>
    <row r="36754" spans="7:16" s="1634" customFormat="1">
      <c r="G36754" s="3336"/>
      <c r="P36754" s="3337"/>
    </row>
    <row r="36755" spans="7:16" s="1634" customFormat="1">
      <c r="G36755" s="3336"/>
      <c r="P36755" s="3337"/>
    </row>
    <row r="36756" spans="7:16" s="1634" customFormat="1">
      <c r="G36756" s="3336"/>
      <c r="P36756" s="3337"/>
    </row>
    <row r="36757" spans="7:16" s="1634" customFormat="1">
      <c r="G36757" s="3336"/>
      <c r="P36757" s="3337"/>
    </row>
    <row r="36758" spans="7:16" s="1634" customFormat="1">
      <c r="G36758" s="3336"/>
      <c r="P36758" s="3337"/>
    </row>
    <row r="36759" spans="7:16" s="1634" customFormat="1">
      <c r="G36759" s="3336"/>
      <c r="P36759" s="3337"/>
    </row>
    <row r="36760" spans="7:16" s="1634" customFormat="1">
      <c r="G36760" s="3336"/>
      <c r="P36760" s="3337"/>
    </row>
    <row r="36761" spans="7:16" s="1634" customFormat="1">
      <c r="G36761" s="3336"/>
      <c r="P36761" s="3337"/>
    </row>
    <row r="36762" spans="7:16" s="1634" customFormat="1">
      <c r="G36762" s="3336"/>
      <c r="P36762" s="3337"/>
    </row>
    <row r="36763" spans="7:16" s="1634" customFormat="1">
      <c r="G36763" s="3336"/>
      <c r="P36763" s="3337"/>
    </row>
    <row r="36764" spans="7:16" s="1634" customFormat="1">
      <c r="G36764" s="3336"/>
      <c r="P36764" s="3337"/>
    </row>
    <row r="36765" spans="7:16" s="1634" customFormat="1">
      <c r="G36765" s="3336"/>
      <c r="P36765" s="3337"/>
    </row>
    <row r="36766" spans="7:16" s="1634" customFormat="1">
      <c r="G36766" s="3336"/>
      <c r="P36766" s="3337"/>
    </row>
    <row r="36767" spans="7:16" s="1634" customFormat="1">
      <c r="G36767" s="3336"/>
      <c r="P36767" s="3337"/>
    </row>
    <row r="36768" spans="7:16" s="1634" customFormat="1">
      <c r="G36768" s="3336"/>
      <c r="P36768" s="3337"/>
    </row>
    <row r="36769" spans="7:16" s="1634" customFormat="1">
      <c r="G36769" s="3336"/>
      <c r="P36769" s="3337"/>
    </row>
    <row r="36770" spans="7:16" s="1634" customFormat="1">
      <c r="G36770" s="3336"/>
      <c r="P36770" s="3337"/>
    </row>
    <row r="36771" spans="7:16" s="1634" customFormat="1">
      <c r="G36771" s="3336"/>
      <c r="P36771" s="3337"/>
    </row>
    <row r="36772" spans="7:16" s="1634" customFormat="1">
      <c r="G36772" s="3336"/>
      <c r="P36772" s="3337"/>
    </row>
    <row r="36773" spans="7:16" s="1634" customFormat="1">
      <c r="G36773" s="3336"/>
      <c r="P36773" s="3337"/>
    </row>
    <row r="36774" spans="7:16" s="1634" customFormat="1">
      <c r="G36774" s="3336"/>
      <c r="P36774" s="3337"/>
    </row>
    <row r="36775" spans="7:16" s="1634" customFormat="1">
      <c r="G36775" s="3336"/>
      <c r="P36775" s="3337"/>
    </row>
    <row r="36776" spans="7:16" s="1634" customFormat="1">
      <c r="G36776" s="3336"/>
      <c r="P36776" s="3337"/>
    </row>
    <row r="36777" spans="7:16" s="1634" customFormat="1">
      <c r="G36777" s="3336"/>
      <c r="P36777" s="3337"/>
    </row>
    <row r="36778" spans="7:16" s="1634" customFormat="1">
      <c r="G36778" s="3336"/>
      <c r="P36778" s="3337"/>
    </row>
    <row r="36779" spans="7:16" s="1634" customFormat="1">
      <c r="G36779" s="3336"/>
      <c r="P36779" s="3337"/>
    </row>
    <row r="36780" spans="7:16" s="1634" customFormat="1">
      <c r="G36780" s="3336"/>
      <c r="P36780" s="3337"/>
    </row>
    <row r="36781" spans="7:16" s="1634" customFormat="1">
      <c r="G36781" s="3336"/>
      <c r="P36781" s="3337"/>
    </row>
    <row r="36782" spans="7:16" s="1634" customFormat="1">
      <c r="G36782" s="3336"/>
      <c r="P36782" s="3337"/>
    </row>
    <row r="36783" spans="7:16" s="1634" customFormat="1">
      <c r="G36783" s="3336"/>
      <c r="P36783" s="3337"/>
    </row>
    <row r="36784" spans="7:16" s="1634" customFormat="1">
      <c r="G36784" s="3336"/>
      <c r="P36784" s="3337"/>
    </row>
    <row r="36785" spans="7:16" s="1634" customFormat="1">
      <c r="G36785" s="3336"/>
      <c r="P36785" s="3337"/>
    </row>
    <row r="36786" spans="7:16" s="1634" customFormat="1">
      <c r="G36786" s="3336"/>
      <c r="P36786" s="3337"/>
    </row>
    <row r="36787" spans="7:16" s="1634" customFormat="1">
      <c r="G36787" s="3336"/>
      <c r="P36787" s="3337"/>
    </row>
    <row r="36788" spans="7:16" s="1634" customFormat="1">
      <c r="G36788" s="3336"/>
      <c r="P36788" s="3337"/>
    </row>
    <row r="36789" spans="7:16" s="1634" customFormat="1">
      <c r="G36789" s="3336"/>
      <c r="P36789" s="3337"/>
    </row>
    <row r="36790" spans="7:16" s="1634" customFormat="1">
      <c r="G36790" s="3336"/>
      <c r="P36790" s="3337"/>
    </row>
    <row r="36791" spans="7:16" s="1634" customFormat="1">
      <c r="G36791" s="3336"/>
      <c r="P36791" s="3337"/>
    </row>
    <row r="36792" spans="7:16" s="1634" customFormat="1">
      <c r="G36792" s="3336"/>
      <c r="P36792" s="3337"/>
    </row>
    <row r="36793" spans="7:16" s="1634" customFormat="1">
      <c r="G36793" s="3336"/>
      <c r="P36793" s="3337"/>
    </row>
    <row r="36794" spans="7:16" s="1634" customFormat="1">
      <c r="G36794" s="3336"/>
      <c r="P36794" s="3337"/>
    </row>
    <row r="36795" spans="7:16" s="1634" customFormat="1">
      <c r="G36795" s="3336"/>
      <c r="P36795" s="3337"/>
    </row>
    <row r="36796" spans="7:16" s="1634" customFormat="1">
      <c r="G36796" s="3336"/>
      <c r="P36796" s="3337"/>
    </row>
    <row r="36797" spans="7:16" s="1634" customFormat="1">
      <c r="G36797" s="3336"/>
      <c r="P36797" s="3337"/>
    </row>
    <row r="36798" spans="7:16" s="1634" customFormat="1">
      <c r="G36798" s="3336"/>
      <c r="P36798" s="3337"/>
    </row>
    <row r="36799" spans="7:16" s="1634" customFormat="1">
      <c r="G36799" s="3336"/>
      <c r="P36799" s="3337"/>
    </row>
    <row r="36800" spans="7:16" s="1634" customFormat="1">
      <c r="G36800" s="3336"/>
      <c r="P36800" s="3337"/>
    </row>
    <row r="36801" spans="7:16" s="1634" customFormat="1">
      <c r="G36801" s="3336"/>
      <c r="P36801" s="3337"/>
    </row>
    <row r="36802" spans="7:16" s="1634" customFormat="1">
      <c r="G36802" s="3336"/>
      <c r="P36802" s="3337"/>
    </row>
    <row r="36803" spans="7:16" s="1634" customFormat="1">
      <c r="G36803" s="3336"/>
      <c r="P36803" s="3337"/>
    </row>
    <row r="36804" spans="7:16" s="1634" customFormat="1">
      <c r="G36804" s="3336"/>
      <c r="P36804" s="3337"/>
    </row>
    <row r="36805" spans="7:16" s="1634" customFormat="1">
      <c r="G36805" s="3336"/>
      <c r="P36805" s="3337"/>
    </row>
    <row r="36806" spans="7:16" s="1634" customFormat="1">
      <c r="G36806" s="3336"/>
      <c r="P36806" s="3337"/>
    </row>
    <row r="36807" spans="7:16" s="1634" customFormat="1">
      <c r="G36807" s="3336"/>
      <c r="P36807" s="3337"/>
    </row>
    <row r="36808" spans="7:16" s="1634" customFormat="1">
      <c r="G36808" s="3336"/>
      <c r="P36808" s="3337"/>
    </row>
    <row r="36809" spans="7:16" s="1634" customFormat="1">
      <c r="G36809" s="3336"/>
      <c r="P36809" s="3337"/>
    </row>
    <row r="36810" spans="7:16" s="1634" customFormat="1">
      <c r="G36810" s="3336"/>
      <c r="P36810" s="3337"/>
    </row>
    <row r="36811" spans="7:16" s="1634" customFormat="1">
      <c r="G36811" s="3336"/>
      <c r="P36811" s="3337"/>
    </row>
    <row r="36812" spans="7:16" s="1634" customFormat="1">
      <c r="G36812" s="3336"/>
      <c r="P36812" s="3337"/>
    </row>
    <row r="36813" spans="7:16" s="1634" customFormat="1">
      <c r="G36813" s="3336"/>
      <c r="P36813" s="3337"/>
    </row>
    <row r="36814" spans="7:16" s="1634" customFormat="1">
      <c r="G36814" s="3336"/>
      <c r="P36814" s="3337"/>
    </row>
    <row r="36815" spans="7:16" s="1634" customFormat="1">
      <c r="G36815" s="3336"/>
      <c r="P36815" s="3337"/>
    </row>
    <row r="36816" spans="7:16" s="1634" customFormat="1">
      <c r="G36816" s="3336"/>
      <c r="P36816" s="3337"/>
    </row>
    <row r="36817" spans="7:16" s="1634" customFormat="1">
      <c r="G36817" s="3336"/>
      <c r="P36817" s="3337"/>
    </row>
    <row r="36818" spans="7:16" s="1634" customFormat="1">
      <c r="G36818" s="3336"/>
      <c r="P36818" s="3337"/>
    </row>
    <row r="36819" spans="7:16" s="1634" customFormat="1">
      <c r="G36819" s="3336"/>
      <c r="P36819" s="3337"/>
    </row>
    <row r="36820" spans="7:16" s="1634" customFormat="1">
      <c r="G36820" s="3336"/>
      <c r="P36820" s="3337"/>
    </row>
    <row r="36821" spans="7:16" s="1634" customFormat="1">
      <c r="G36821" s="3336"/>
      <c r="P36821" s="3337"/>
    </row>
    <row r="36822" spans="7:16" s="1634" customFormat="1">
      <c r="G36822" s="3336"/>
      <c r="P36822" s="3337"/>
    </row>
    <row r="36823" spans="7:16" s="1634" customFormat="1">
      <c r="G36823" s="3336"/>
      <c r="P36823" s="3337"/>
    </row>
    <row r="36824" spans="7:16" s="1634" customFormat="1">
      <c r="G36824" s="3336"/>
      <c r="P36824" s="3337"/>
    </row>
    <row r="36825" spans="7:16" s="1634" customFormat="1">
      <c r="G36825" s="3336"/>
      <c r="P36825" s="3337"/>
    </row>
    <row r="36826" spans="7:16" s="1634" customFormat="1">
      <c r="G36826" s="3336"/>
      <c r="P36826" s="3337"/>
    </row>
    <row r="36827" spans="7:16" s="1634" customFormat="1">
      <c r="G36827" s="3336"/>
      <c r="P36827" s="3337"/>
    </row>
    <row r="36828" spans="7:16" s="1634" customFormat="1">
      <c r="G36828" s="3336"/>
      <c r="P36828" s="3337"/>
    </row>
    <row r="36829" spans="7:16" s="1634" customFormat="1">
      <c r="G36829" s="3336"/>
      <c r="P36829" s="3337"/>
    </row>
    <row r="36830" spans="7:16" s="1634" customFormat="1">
      <c r="G36830" s="3336"/>
      <c r="P36830" s="3337"/>
    </row>
    <row r="36831" spans="7:16" s="1634" customFormat="1">
      <c r="G36831" s="3336"/>
      <c r="P36831" s="3337"/>
    </row>
    <row r="36832" spans="7:16" s="1634" customFormat="1">
      <c r="G36832" s="3336"/>
      <c r="P36832" s="3337"/>
    </row>
    <row r="36833" spans="7:16" s="1634" customFormat="1">
      <c r="G36833" s="3336"/>
      <c r="P36833" s="3337"/>
    </row>
    <row r="36834" spans="7:16" s="1634" customFormat="1">
      <c r="G36834" s="3336"/>
      <c r="P36834" s="3337"/>
    </row>
    <row r="36835" spans="7:16" s="1634" customFormat="1">
      <c r="G36835" s="3336"/>
      <c r="P36835" s="3337"/>
    </row>
    <row r="36836" spans="7:16" s="1634" customFormat="1">
      <c r="G36836" s="3336"/>
      <c r="P36836" s="3337"/>
    </row>
    <row r="36837" spans="7:16" s="1634" customFormat="1">
      <c r="G36837" s="3336"/>
      <c r="P36837" s="3337"/>
    </row>
    <row r="36838" spans="7:16" s="1634" customFormat="1">
      <c r="G36838" s="3336"/>
      <c r="P36838" s="3337"/>
    </row>
    <row r="36839" spans="7:16" s="1634" customFormat="1">
      <c r="G36839" s="3336"/>
      <c r="P36839" s="3337"/>
    </row>
    <row r="36840" spans="7:16" s="1634" customFormat="1">
      <c r="G36840" s="3336"/>
      <c r="P36840" s="3337"/>
    </row>
    <row r="36841" spans="7:16" s="1634" customFormat="1">
      <c r="G36841" s="3336"/>
      <c r="P36841" s="3337"/>
    </row>
    <row r="36842" spans="7:16" s="1634" customFormat="1">
      <c r="G36842" s="3336"/>
      <c r="P36842" s="3337"/>
    </row>
    <row r="36843" spans="7:16" s="1634" customFormat="1">
      <c r="G36843" s="3336"/>
      <c r="P36843" s="3337"/>
    </row>
    <row r="36844" spans="7:16" s="1634" customFormat="1">
      <c r="G36844" s="3336"/>
      <c r="P36844" s="3337"/>
    </row>
    <row r="36845" spans="7:16" s="1634" customFormat="1">
      <c r="G36845" s="3336"/>
      <c r="P36845" s="3337"/>
    </row>
    <row r="36846" spans="7:16" s="1634" customFormat="1">
      <c r="G36846" s="3336"/>
      <c r="P36846" s="3337"/>
    </row>
    <row r="36847" spans="7:16" s="1634" customFormat="1">
      <c r="G36847" s="3336"/>
      <c r="P36847" s="3337"/>
    </row>
    <row r="36848" spans="7:16" s="1634" customFormat="1">
      <c r="G36848" s="3336"/>
      <c r="P36848" s="3337"/>
    </row>
    <row r="36849" spans="7:16" s="1634" customFormat="1">
      <c r="G36849" s="3336"/>
      <c r="P36849" s="3337"/>
    </row>
    <row r="36850" spans="7:16" s="1634" customFormat="1">
      <c r="G36850" s="3336"/>
      <c r="P36850" s="3337"/>
    </row>
    <row r="36851" spans="7:16" s="1634" customFormat="1">
      <c r="G36851" s="3336"/>
      <c r="P36851" s="3337"/>
    </row>
    <row r="36852" spans="7:16" s="1634" customFormat="1">
      <c r="G36852" s="3336"/>
      <c r="P36852" s="3337"/>
    </row>
    <row r="36853" spans="7:16" s="1634" customFormat="1">
      <c r="G36853" s="3336"/>
      <c r="P36853" s="3337"/>
    </row>
    <row r="36854" spans="7:16" s="1634" customFormat="1">
      <c r="G36854" s="3336"/>
      <c r="P36854" s="3337"/>
    </row>
    <row r="36855" spans="7:16" s="1634" customFormat="1">
      <c r="G36855" s="3336"/>
      <c r="P36855" s="3337"/>
    </row>
    <row r="36856" spans="7:16" s="1634" customFormat="1">
      <c r="G36856" s="3336"/>
      <c r="P36856" s="3337"/>
    </row>
    <row r="36857" spans="7:16" s="1634" customFormat="1">
      <c r="G36857" s="3336"/>
      <c r="P36857" s="3337"/>
    </row>
    <row r="36858" spans="7:16" s="1634" customFormat="1">
      <c r="G36858" s="3336"/>
      <c r="P36858" s="3337"/>
    </row>
    <row r="36859" spans="7:16" s="1634" customFormat="1">
      <c r="G36859" s="3336"/>
      <c r="P36859" s="3337"/>
    </row>
    <row r="36860" spans="7:16" s="1634" customFormat="1">
      <c r="G36860" s="3336"/>
      <c r="P36860" s="3337"/>
    </row>
    <row r="36861" spans="7:16" s="1634" customFormat="1">
      <c r="G36861" s="3336"/>
      <c r="P36861" s="3337"/>
    </row>
    <row r="36862" spans="7:16" s="1634" customFormat="1">
      <c r="G36862" s="3336"/>
      <c r="P36862" s="3337"/>
    </row>
    <row r="36863" spans="7:16" s="1634" customFormat="1">
      <c r="G36863" s="3336"/>
      <c r="P36863" s="3337"/>
    </row>
    <row r="36864" spans="7:16" s="1634" customFormat="1">
      <c r="G36864" s="3336"/>
      <c r="P36864" s="3337"/>
    </row>
    <row r="36865" spans="7:16" s="1634" customFormat="1">
      <c r="G36865" s="3336"/>
      <c r="P36865" s="3337"/>
    </row>
    <row r="36866" spans="7:16" s="1634" customFormat="1">
      <c r="G36866" s="3336"/>
      <c r="P36866" s="3337"/>
    </row>
    <row r="36867" spans="7:16" s="1634" customFormat="1">
      <c r="G36867" s="3336"/>
      <c r="P36867" s="3337"/>
    </row>
    <row r="36868" spans="7:16" s="1634" customFormat="1">
      <c r="G36868" s="3336"/>
      <c r="P36868" s="3337"/>
    </row>
    <row r="36869" spans="7:16" s="1634" customFormat="1">
      <c r="G36869" s="3336"/>
      <c r="P36869" s="3337"/>
    </row>
    <row r="36870" spans="7:16" s="1634" customFormat="1">
      <c r="G36870" s="3336"/>
      <c r="P36870" s="3337"/>
    </row>
    <row r="36871" spans="7:16" s="1634" customFormat="1">
      <c r="G36871" s="3336"/>
      <c r="P36871" s="3337"/>
    </row>
    <row r="36872" spans="7:16" s="1634" customFormat="1">
      <c r="G36872" s="3336"/>
      <c r="P36872" s="3337"/>
    </row>
    <row r="36873" spans="7:16" s="1634" customFormat="1">
      <c r="G36873" s="3336"/>
      <c r="P36873" s="3337"/>
    </row>
    <row r="36874" spans="7:16" s="1634" customFormat="1">
      <c r="G36874" s="3336"/>
      <c r="P36874" s="3337"/>
    </row>
    <row r="36875" spans="7:16" s="1634" customFormat="1">
      <c r="G36875" s="3336"/>
      <c r="P36875" s="3337"/>
    </row>
    <row r="36876" spans="7:16" s="1634" customFormat="1">
      <c r="G36876" s="3336"/>
      <c r="P36876" s="3337"/>
    </row>
    <row r="36877" spans="7:16" s="1634" customFormat="1">
      <c r="G36877" s="3336"/>
      <c r="P36877" s="3337"/>
    </row>
    <row r="36878" spans="7:16" s="1634" customFormat="1">
      <c r="G36878" s="3336"/>
      <c r="P36878" s="3337"/>
    </row>
    <row r="36879" spans="7:16" s="1634" customFormat="1">
      <c r="G36879" s="3336"/>
      <c r="P36879" s="3337"/>
    </row>
    <row r="36880" spans="7:16" s="1634" customFormat="1">
      <c r="G36880" s="3336"/>
      <c r="P36880" s="3337"/>
    </row>
    <row r="36881" spans="7:16" s="1634" customFormat="1">
      <c r="G36881" s="3336"/>
      <c r="P36881" s="3337"/>
    </row>
    <row r="36882" spans="7:16" s="1634" customFormat="1">
      <c r="G36882" s="3336"/>
      <c r="P36882" s="3337"/>
    </row>
    <row r="36883" spans="7:16" s="1634" customFormat="1">
      <c r="G36883" s="3336"/>
      <c r="P36883" s="3337"/>
    </row>
    <row r="36884" spans="7:16" s="1634" customFormat="1">
      <c r="G36884" s="3336"/>
      <c r="P36884" s="3337"/>
    </row>
    <row r="36885" spans="7:16" s="1634" customFormat="1">
      <c r="G36885" s="3336"/>
      <c r="P36885" s="3337"/>
    </row>
    <row r="36886" spans="7:16" s="1634" customFormat="1">
      <c r="G36886" s="3336"/>
      <c r="P36886" s="3337"/>
    </row>
    <row r="36887" spans="7:16" s="1634" customFormat="1">
      <c r="G36887" s="3336"/>
      <c r="P36887" s="3337"/>
    </row>
    <row r="36888" spans="7:16" s="1634" customFormat="1">
      <c r="G36888" s="3336"/>
      <c r="P36888" s="3337"/>
    </row>
    <row r="36889" spans="7:16" s="1634" customFormat="1">
      <c r="G36889" s="3336"/>
      <c r="P36889" s="3337"/>
    </row>
    <row r="36890" spans="7:16" s="1634" customFormat="1">
      <c r="G36890" s="3336"/>
      <c r="P36890" s="3337"/>
    </row>
    <row r="36891" spans="7:16" s="1634" customFormat="1">
      <c r="G36891" s="3336"/>
      <c r="P36891" s="3337"/>
    </row>
    <row r="36892" spans="7:16" s="1634" customFormat="1">
      <c r="G36892" s="3336"/>
      <c r="P36892" s="3337"/>
    </row>
    <row r="36893" spans="7:16" s="1634" customFormat="1">
      <c r="G36893" s="3336"/>
      <c r="P36893" s="3337"/>
    </row>
    <row r="36894" spans="7:16" s="1634" customFormat="1">
      <c r="G36894" s="3336"/>
      <c r="P36894" s="3337"/>
    </row>
    <row r="36895" spans="7:16" s="1634" customFormat="1">
      <c r="G36895" s="3336"/>
      <c r="P36895" s="3337"/>
    </row>
    <row r="36896" spans="7:16" s="1634" customFormat="1">
      <c r="G36896" s="3336"/>
      <c r="P36896" s="3337"/>
    </row>
    <row r="36897" spans="7:16" s="1634" customFormat="1">
      <c r="G36897" s="3336"/>
      <c r="P36897" s="3337"/>
    </row>
    <row r="36898" spans="7:16" s="1634" customFormat="1">
      <c r="G36898" s="3336"/>
      <c r="P36898" s="3337"/>
    </row>
    <row r="36899" spans="7:16" s="1634" customFormat="1">
      <c r="G36899" s="3336"/>
      <c r="P36899" s="3337"/>
    </row>
    <row r="36900" spans="7:16" s="1634" customFormat="1">
      <c r="G36900" s="3336"/>
      <c r="P36900" s="3337"/>
    </row>
    <row r="36901" spans="7:16" s="1634" customFormat="1">
      <c r="G36901" s="3336"/>
      <c r="P36901" s="3337"/>
    </row>
    <row r="36902" spans="7:16" s="1634" customFormat="1">
      <c r="G36902" s="3336"/>
      <c r="P36902" s="3337"/>
    </row>
    <row r="36903" spans="7:16" s="1634" customFormat="1">
      <c r="G36903" s="3336"/>
      <c r="P36903" s="3337"/>
    </row>
    <row r="36904" spans="7:16" s="1634" customFormat="1">
      <c r="G36904" s="3336"/>
      <c r="P36904" s="3337"/>
    </row>
    <row r="36905" spans="7:16" s="1634" customFormat="1">
      <c r="G36905" s="3336"/>
      <c r="P36905" s="3337"/>
    </row>
    <row r="36906" spans="7:16" s="1634" customFormat="1">
      <c r="G36906" s="3336"/>
      <c r="P36906" s="3337"/>
    </row>
    <row r="36907" spans="7:16" s="1634" customFormat="1">
      <c r="G36907" s="3336"/>
      <c r="P36907" s="3337"/>
    </row>
    <row r="36908" spans="7:16" s="1634" customFormat="1">
      <c r="G36908" s="3336"/>
      <c r="P36908" s="3337"/>
    </row>
    <row r="36909" spans="7:16" s="1634" customFormat="1">
      <c r="G36909" s="3336"/>
      <c r="P36909" s="3337"/>
    </row>
    <row r="36910" spans="7:16" s="1634" customFormat="1">
      <c r="G36910" s="3336"/>
      <c r="P36910" s="3337"/>
    </row>
    <row r="36911" spans="7:16" s="1634" customFormat="1">
      <c r="G36911" s="3336"/>
      <c r="P36911" s="3337"/>
    </row>
    <row r="36912" spans="7:16" s="1634" customFormat="1">
      <c r="G36912" s="3336"/>
      <c r="P36912" s="3337"/>
    </row>
    <row r="36913" spans="7:16" s="1634" customFormat="1">
      <c r="G36913" s="3336"/>
      <c r="P36913" s="3337"/>
    </row>
    <row r="36914" spans="7:16" s="1634" customFormat="1">
      <c r="G36914" s="3336"/>
      <c r="P36914" s="3337"/>
    </row>
    <row r="36915" spans="7:16" s="1634" customFormat="1">
      <c r="G36915" s="3336"/>
      <c r="P36915" s="3337"/>
    </row>
    <row r="36916" spans="7:16" s="1634" customFormat="1">
      <c r="G36916" s="3336"/>
      <c r="P36916" s="3337"/>
    </row>
    <row r="36917" spans="7:16" s="1634" customFormat="1">
      <c r="G36917" s="3336"/>
      <c r="P36917" s="3337"/>
    </row>
    <row r="36918" spans="7:16" s="1634" customFormat="1">
      <c r="G36918" s="3336"/>
      <c r="P36918" s="3337"/>
    </row>
    <row r="36919" spans="7:16" s="1634" customFormat="1">
      <c r="G36919" s="3336"/>
      <c r="P36919" s="3337"/>
    </row>
    <row r="36920" spans="7:16" s="1634" customFormat="1">
      <c r="G36920" s="3336"/>
      <c r="P36920" s="3337"/>
    </row>
    <row r="36921" spans="7:16" s="1634" customFormat="1">
      <c r="G36921" s="3336"/>
      <c r="P36921" s="3337"/>
    </row>
    <row r="36922" spans="7:16" s="1634" customFormat="1">
      <c r="G36922" s="3336"/>
      <c r="P36922" s="3337"/>
    </row>
    <row r="36923" spans="7:16" s="1634" customFormat="1">
      <c r="G36923" s="3336"/>
      <c r="P36923" s="3337"/>
    </row>
    <row r="36924" spans="7:16" s="1634" customFormat="1">
      <c r="G36924" s="3336"/>
      <c r="P36924" s="3337"/>
    </row>
    <row r="36925" spans="7:16" s="1634" customFormat="1">
      <c r="G36925" s="3336"/>
      <c r="P36925" s="3337"/>
    </row>
    <row r="36926" spans="7:16" s="1634" customFormat="1">
      <c r="G36926" s="3336"/>
      <c r="P36926" s="3337"/>
    </row>
    <row r="36927" spans="7:16" s="1634" customFormat="1">
      <c r="G36927" s="3336"/>
      <c r="P36927" s="3337"/>
    </row>
    <row r="36928" spans="7:16" s="1634" customFormat="1">
      <c r="G36928" s="3336"/>
      <c r="P36928" s="3337"/>
    </row>
    <row r="36929" spans="7:16" s="1634" customFormat="1">
      <c r="G36929" s="3336"/>
      <c r="P36929" s="3337"/>
    </row>
    <row r="36930" spans="7:16" s="1634" customFormat="1">
      <c r="G36930" s="3336"/>
      <c r="P36930" s="3337"/>
    </row>
    <row r="36931" spans="7:16" s="1634" customFormat="1">
      <c r="G36931" s="3336"/>
      <c r="P36931" s="3337"/>
    </row>
    <row r="36932" spans="7:16" s="1634" customFormat="1">
      <c r="G36932" s="3336"/>
      <c r="P36932" s="3337"/>
    </row>
    <row r="36933" spans="7:16" s="1634" customFormat="1">
      <c r="G36933" s="3336"/>
      <c r="P36933" s="3337"/>
    </row>
    <row r="36934" spans="7:16" s="1634" customFormat="1">
      <c r="G36934" s="3336"/>
      <c r="P36934" s="3337"/>
    </row>
    <row r="36935" spans="7:16" s="1634" customFormat="1">
      <c r="G36935" s="3336"/>
      <c r="P36935" s="3337"/>
    </row>
    <row r="36936" spans="7:16" s="1634" customFormat="1">
      <c r="G36936" s="3336"/>
      <c r="P36936" s="3337"/>
    </row>
    <row r="36937" spans="7:16" s="1634" customFormat="1">
      <c r="G36937" s="3336"/>
      <c r="P36937" s="3337"/>
    </row>
    <row r="36938" spans="7:16" s="1634" customFormat="1">
      <c r="G36938" s="3336"/>
      <c r="P36938" s="3337"/>
    </row>
    <row r="36939" spans="7:16" s="1634" customFormat="1">
      <c r="G36939" s="3336"/>
      <c r="P36939" s="3337"/>
    </row>
    <row r="36940" spans="7:16" s="1634" customFormat="1">
      <c r="G36940" s="3336"/>
      <c r="P36940" s="3337"/>
    </row>
    <row r="36941" spans="7:16" s="1634" customFormat="1">
      <c r="G36941" s="3336"/>
      <c r="P36941" s="3337"/>
    </row>
    <row r="36942" spans="7:16" s="1634" customFormat="1">
      <c r="G36942" s="3336"/>
      <c r="P36942" s="3337"/>
    </row>
    <row r="36943" spans="7:16" s="1634" customFormat="1">
      <c r="G36943" s="3336"/>
      <c r="P36943" s="3337"/>
    </row>
    <row r="36944" spans="7:16" s="1634" customFormat="1">
      <c r="G36944" s="3336"/>
      <c r="P36944" s="3337"/>
    </row>
    <row r="36945" spans="7:16" s="1634" customFormat="1">
      <c r="G36945" s="3336"/>
      <c r="P36945" s="3337"/>
    </row>
    <row r="36946" spans="7:16" s="1634" customFormat="1">
      <c r="G36946" s="3336"/>
      <c r="P36946" s="3337"/>
    </row>
    <row r="36947" spans="7:16" s="1634" customFormat="1">
      <c r="G36947" s="3336"/>
      <c r="P36947" s="3337"/>
    </row>
    <row r="36948" spans="7:16" s="1634" customFormat="1">
      <c r="G36948" s="3336"/>
      <c r="P36948" s="3337"/>
    </row>
    <row r="36949" spans="7:16" s="1634" customFormat="1">
      <c r="G36949" s="3336"/>
      <c r="P36949" s="3337"/>
    </row>
    <row r="36950" spans="7:16" s="1634" customFormat="1">
      <c r="G36950" s="3336"/>
      <c r="P36950" s="3337"/>
    </row>
    <row r="36951" spans="7:16" s="1634" customFormat="1">
      <c r="G36951" s="3336"/>
      <c r="P36951" s="3337"/>
    </row>
    <row r="36952" spans="7:16" s="1634" customFormat="1">
      <c r="G36952" s="3336"/>
      <c r="P36952" s="3337"/>
    </row>
    <row r="36953" spans="7:16" s="1634" customFormat="1">
      <c r="G36953" s="3336"/>
      <c r="P36953" s="3337"/>
    </row>
    <row r="36954" spans="7:16" s="1634" customFormat="1">
      <c r="G36954" s="3336"/>
      <c r="P36954" s="3337"/>
    </row>
    <row r="36955" spans="7:16" s="1634" customFormat="1">
      <c r="G36955" s="3336"/>
      <c r="P36955" s="3337"/>
    </row>
    <row r="36956" spans="7:16" s="1634" customFormat="1">
      <c r="G36956" s="3336"/>
      <c r="P36956" s="3337"/>
    </row>
    <row r="36957" spans="7:16" s="1634" customFormat="1">
      <c r="G36957" s="3336"/>
      <c r="P36957" s="3337"/>
    </row>
    <row r="36958" spans="7:16" s="1634" customFormat="1">
      <c r="G36958" s="3336"/>
      <c r="P36958" s="3337"/>
    </row>
    <row r="36959" spans="7:16" s="1634" customFormat="1">
      <c r="G36959" s="3336"/>
      <c r="P36959" s="3337"/>
    </row>
    <row r="36960" spans="7:16" s="1634" customFormat="1">
      <c r="G36960" s="3336"/>
      <c r="P36960" s="3337"/>
    </row>
    <row r="36961" spans="7:16" s="1634" customFormat="1">
      <c r="G36961" s="3336"/>
      <c r="P36961" s="3337"/>
    </row>
    <row r="36962" spans="7:16" s="1634" customFormat="1">
      <c r="G36962" s="3336"/>
      <c r="P36962" s="3337"/>
    </row>
    <row r="36963" spans="7:16" s="1634" customFormat="1">
      <c r="G36963" s="3336"/>
      <c r="P36963" s="3337"/>
    </row>
    <row r="36964" spans="7:16" s="1634" customFormat="1">
      <c r="G36964" s="3336"/>
      <c r="P36964" s="3337"/>
    </row>
    <row r="36965" spans="7:16" s="1634" customFormat="1">
      <c r="G36965" s="3336"/>
      <c r="P36965" s="3337"/>
    </row>
    <row r="36966" spans="7:16" s="1634" customFormat="1">
      <c r="G36966" s="3336"/>
      <c r="P36966" s="3337"/>
    </row>
    <row r="36967" spans="7:16" s="1634" customFormat="1">
      <c r="G36967" s="3336"/>
      <c r="P36967" s="3337"/>
    </row>
    <row r="36968" spans="7:16" s="1634" customFormat="1">
      <c r="G36968" s="3336"/>
      <c r="P36968" s="3337"/>
    </row>
    <row r="36969" spans="7:16" s="1634" customFormat="1">
      <c r="G36969" s="3336"/>
      <c r="P36969" s="3337"/>
    </row>
    <row r="36970" spans="7:16" s="1634" customFormat="1">
      <c r="G36970" s="3336"/>
      <c r="P36970" s="3337"/>
    </row>
    <row r="36971" spans="7:16" s="1634" customFormat="1">
      <c r="G36971" s="3336"/>
      <c r="P36971" s="3337"/>
    </row>
    <row r="36972" spans="7:16" s="1634" customFormat="1">
      <c r="G36972" s="3336"/>
      <c r="P36972" s="3337"/>
    </row>
    <row r="36973" spans="7:16" s="1634" customFormat="1">
      <c r="G36973" s="3336"/>
      <c r="P36973" s="3337"/>
    </row>
    <row r="36974" spans="7:16" s="1634" customFormat="1">
      <c r="G36974" s="3336"/>
      <c r="P36974" s="3337"/>
    </row>
    <row r="36975" spans="7:16" s="1634" customFormat="1">
      <c r="G36975" s="3336"/>
      <c r="P36975" s="3337"/>
    </row>
    <row r="36976" spans="7:16" s="1634" customFormat="1">
      <c r="G36976" s="3336"/>
      <c r="P36976" s="3337"/>
    </row>
    <row r="36977" spans="7:16" s="1634" customFormat="1">
      <c r="G36977" s="3336"/>
      <c r="P36977" s="3337"/>
    </row>
    <row r="36978" spans="7:16" s="1634" customFormat="1">
      <c r="G36978" s="3336"/>
      <c r="P36978" s="3337"/>
    </row>
    <row r="36979" spans="7:16" s="1634" customFormat="1">
      <c r="G36979" s="3336"/>
      <c r="P36979" s="3337"/>
    </row>
    <row r="36980" spans="7:16" s="1634" customFormat="1">
      <c r="G36980" s="3336"/>
      <c r="P36980" s="3337"/>
    </row>
    <row r="36981" spans="7:16" s="1634" customFormat="1">
      <c r="G36981" s="3336"/>
      <c r="P36981" s="3337"/>
    </row>
    <row r="36982" spans="7:16" s="1634" customFormat="1">
      <c r="G36982" s="3336"/>
      <c r="P36982" s="3337"/>
    </row>
    <row r="36983" spans="7:16" s="1634" customFormat="1">
      <c r="G36983" s="3336"/>
      <c r="P36983" s="3337"/>
    </row>
    <row r="36984" spans="7:16" s="1634" customFormat="1">
      <c r="G36984" s="3336"/>
      <c r="P36984" s="3337"/>
    </row>
    <row r="36985" spans="7:16" s="1634" customFormat="1">
      <c r="G36985" s="3336"/>
      <c r="P36985" s="3337"/>
    </row>
    <row r="36986" spans="7:16" s="1634" customFormat="1">
      <c r="G36986" s="3336"/>
      <c r="P36986" s="3337"/>
    </row>
    <row r="36987" spans="7:16" s="1634" customFormat="1">
      <c r="G36987" s="3336"/>
      <c r="P36987" s="3337"/>
    </row>
    <row r="36988" spans="7:16" s="1634" customFormat="1">
      <c r="G36988" s="3336"/>
      <c r="P36988" s="3337"/>
    </row>
    <row r="36989" spans="7:16" s="1634" customFormat="1">
      <c r="G36989" s="3336"/>
      <c r="P36989" s="3337"/>
    </row>
    <row r="36990" spans="7:16" s="1634" customFormat="1">
      <c r="G36990" s="3336"/>
      <c r="P36990" s="3337"/>
    </row>
    <row r="36991" spans="7:16" s="1634" customFormat="1">
      <c r="G36991" s="3336"/>
      <c r="P36991" s="3337"/>
    </row>
    <row r="36992" spans="7:16" s="1634" customFormat="1">
      <c r="G36992" s="3336"/>
      <c r="P36992" s="3337"/>
    </row>
    <row r="36993" spans="7:16" s="1634" customFormat="1">
      <c r="G36993" s="3336"/>
      <c r="P36993" s="3337"/>
    </row>
    <row r="36994" spans="7:16" s="1634" customFormat="1">
      <c r="G36994" s="3336"/>
      <c r="P36994" s="3337"/>
    </row>
    <row r="36995" spans="7:16" s="1634" customFormat="1">
      <c r="G36995" s="3336"/>
      <c r="P36995" s="3337"/>
    </row>
    <row r="36996" spans="7:16" s="1634" customFormat="1">
      <c r="G36996" s="3336"/>
      <c r="P36996" s="3337"/>
    </row>
    <row r="36997" spans="7:16" s="1634" customFormat="1">
      <c r="G36997" s="3336"/>
      <c r="P36997" s="3337"/>
    </row>
    <row r="36998" spans="7:16" s="1634" customFormat="1">
      <c r="G36998" s="3336"/>
      <c r="P36998" s="3337"/>
    </row>
    <row r="36999" spans="7:16" s="1634" customFormat="1">
      <c r="G36999" s="3336"/>
      <c r="P36999" s="3337"/>
    </row>
    <row r="37000" spans="7:16" s="1634" customFormat="1">
      <c r="G37000" s="3336"/>
      <c r="P37000" s="3337"/>
    </row>
    <row r="37001" spans="7:16" s="1634" customFormat="1">
      <c r="G37001" s="3336"/>
      <c r="P37001" s="3337"/>
    </row>
    <row r="37002" spans="7:16" s="1634" customFormat="1">
      <c r="G37002" s="3336"/>
      <c r="P37002" s="3337"/>
    </row>
    <row r="37003" spans="7:16" s="1634" customFormat="1">
      <c r="G37003" s="3336"/>
      <c r="P37003" s="3337"/>
    </row>
    <row r="37004" spans="7:16" s="1634" customFormat="1">
      <c r="G37004" s="3336"/>
      <c r="P37004" s="3337"/>
    </row>
    <row r="37005" spans="7:16" s="1634" customFormat="1">
      <c r="G37005" s="3336"/>
      <c r="P37005" s="3337"/>
    </row>
    <row r="37006" spans="7:16" s="1634" customFormat="1">
      <c r="G37006" s="3336"/>
      <c r="P37006" s="3337"/>
    </row>
    <row r="37007" spans="7:16" s="1634" customFormat="1">
      <c r="G37007" s="3336"/>
      <c r="P37007" s="3337"/>
    </row>
    <row r="37008" spans="7:16" s="1634" customFormat="1">
      <c r="G37008" s="3336"/>
      <c r="P37008" s="3337"/>
    </row>
    <row r="37009" spans="7:16" s="1634" customFormat="1">
      <c r="G37009" s="3336"/>
      <c r="P37009" s="3337"/>
    </row>
    <row r="37010" spans="7:16" s="1634" customFormat="1">
      <c r="G37010" s="3336"/>
      <c r="P37010" s="3337"/>
    </row>
    <row r="37011" spans="7:16" s="1634" customFormat="1">
      <c r="G37011" s="3336"/>
      <c r="P37011" s="3337"/>
    </row>
    <row r="37012" spans="7:16" s="1634" customFormat="1">
      <c r="G37012" s="3336"/>
      <c r="P37012" s="3337"/>
    </row>
    <row r="37013" spans="7:16" s="1634" customFormat="1">
      <c r="G37013" s="3336"/>
      <c r="P37013" s="3337"/>
    </row>
    <row r="37014" spans="7:16" s="1634" customFormat="1">
      <c r="G37014" s="3336"/>
      <c r="P37014" s="3337"/>
    </row>
    <row r="37015" spans="7:16" s="1634" customFormat="1">
      <c r="G37015" s="3336"/>
      <c r="P37015" s="3337"/>
    </row>
    <row r="37016" spans="7:16" s="1634" customFormat="1">
      <c r="G37016" s="3336"/>
      <c r="P37016" s="3337"/>
    </row>
    <row r="37017" spans="7:16" s="1634" customFormat="1">
      <c r="G37017" s="3336"/>
      <c r="P37017" s="3337"/>
    </row>
    <row r="37018" spans="7:16" s="1634" customFormat="1">
      <c r="G37018" s="3336"/>
      <c r="P37018" s="3337"/>
    </row>
    <row r="37019" spans="7:16" s="1634" customFormat="1">
      <c r="G37019" s="3336"/>
      <c r="P37019" s="3337"/>
    </row>
    <row r="37020" spans="7:16" s="1634" customFormat="1">
      <c r="G37020" s="3336"/>
      <c r="P37020" s="3337"/>
    </row>
    <row r="37021" spans="7:16" s="1634" customFormat="1">
      <c r="G37021" s="3336"/>
      <c r="P37021" s="3337"/>
    </row>
    <row r="37022" spans="7:16" s="1634" customFormat="1">
      <c r="G37022" s="3336"/>
      <c r="P37022" s="3337"/>
    </row>
    <row r="37023" spans="7:16" s="1634" customFormat="1">
      <c r="G37023" s="3336"/>
      <c r="P37023" s="3337"/>
    </row>
    <row r="37024" spans="7:16" s="1634" customFormat="1">
      <c r="G37024" s="3336"/>
      <c r="P37024" s="3337"/>
    </row>
    <row r="37025" spans="7:16" s="1634" customFormat="1">
      <c r="G37025" s="3336"/>
      <c r="P37025" s="3337"/>
    </row>
    <row r="37026" spans="7:16" s="1634" customFormat="1">
      <c r="G37026" s="3336"/>
      <c r="P37026" s="3337"/>
    </row>
    <row r="37027" spans="7:16" s="1634" customFormat="1">
      <c r="G37027" s="3336"/>
      <c r="P37027" s="3337"/>
    </row>
    <row r="37028" spans="7:16" s="1634" customFormat="1">
      <c r="G37028" s="3336"/>
      <c r="P37028" s="3337"/>
    </row>
    <row r="37029" spans="7:16" s="1634" customFormat="1">
      <c r="G37029" s="3336"/>
      <c r="P37029" s="3337"/>
    </row>
    <row r="37030" spans="7:16" s="1634" customFormat="1">
      <c r="G37030" s="3336"/>
      <c r="P37030" s="3337"/>
    </row>
    <row r="37031" spans="7:16" s="1634" customFormat="1">
      <c r="G37031" s="3336"/>
      <c r="P37031" s="3337"/>
    </row>
    <row r="37032" spans="7:16" s="1634" customFormat="1">
      <c r="G37032" s="3336"/>
      <c r="P37032" s="3337"/>
    </row>
    <row r="37033" spans="7:16" s="1634" customFormat="1">
      <c r="G37033" s="3336"/>
      <c r="P37033" s="3337"/>
    </row>
    <row r="37034" spans="7:16" s="1634" customFormat="1">
      <c r="G37034" s="3336"/>
      <c r="P37034" s="3337"/>
    </row>
    <row r="37035" spans="7:16" s="1634" customFormat="1">
      <c r="G37035" s="3336"/>
      <c r="P37035" s="3337"/>
    </row>
    <row r="37036" spans="7:16" s="1634" customFormat="1">
      <c r="G37036" s="3336"/>
      <c r="P37036" s="3337"/>
    </row>
    <row r="37037" spans="7:16" s="1634" customFormat="1">
      <c r="G37037" s="3336"/>
      <c r="P37037" s="3337"/>
    </row>
    <row r="37038" spans="7:16" s="1634" customFormat="1">
      <c r="G37038" s="3336"/>
      <c r="P37038" s="3337"/>
    </row>
    <row r="37039" spans="7:16" s="1634" customFormat="1">
      <c r="G37039" s="3336"/>
      <c r="P37039" s="3337"/>
    </row>
    <row r="37040" spans="7:16" s="1634" customFormat="1">
      <c r="G37040" s="3336"/>
      <c r="P37040" s="3337"/>
    </row>
    <row r="37041" spans="7:16" s="1634" customFormat="1">
      <c r="G37041" s="3336"/>
      <c r="P37041" s="3337"/>
    </row>
    <row r="37042" spans="7:16" s="1634" customFormat="1">
      <c r="G37042" s="3336"/>
      <c r="P37042" s="3337"/>
    </row>
    <row r="37043" spans="7:16" s="1634" customFormat="1">
      <c r="G37043" s="3336"/>
      <c r="P37043" s="3337"/>
    </row>
    <row r="37044" spans="7:16" s="1634" customFormat="1">
      <c r="G37044" s="3336"/>
      <c r="P37044" s="3337"/>
    </row>
    <row r="37045" spans="7:16" s="1634" customFormat="1">
      <c r="G37045" s="3336"/>
      <c r="P37045" s="3337"/>
    </row>
    <row r="37046" spans="7:16" s="1634" customFormat="1">
      <c r="G37046" s="3336"/>
      <c r="P37046" s="3337"/>
    </row>
    <row r="37047" spans="7:16" s="1634" customFormat="1">
      <c r="G37047" s="3336"/>
      <c r="P37047" s="3337"/>
    </row>
    <row r="37048" spans="7:16" s="1634" customFormat="1">
      <c r="G37048" s="3336"/>
      <c r="P37048" s="3337"/>
    </row>
    <row r="37049" spans="7:16" s="1634" customFormat="1">
      <c r="G37049" s="3336"/>
      <c r="P37049" s="3337"/>
    </row>
    <row r="37050" spans="7:16" s="1634" customFormat="1">
      <c r="G37050" s="3336"/>
      <c r="P37050" s="3337"/>
    </row>
    <row r="37051" spans="7:16" s="1634" customFormat="1">
      <c r="G37051" s="3336"/>
      <c r="P37051" s="3337"/>
    </row>
    <row r="37052" spans="7:16" s="1634" customFormat="1">
      <c r="G37052" s="3336"/>
      <c r="P37052" s="3337"/>
    </row>
    <row r="37053" spans="7:16" s="1634" customFormat="1">
      <c r="G37053" s="3336"/>
      <c r="P37053" s="3337"/>
    </row>
    <row r="37054" spans="7:16" s="1634" customFormat="1">
      <c r="G37054" s="3336"/>
      <c r="P37054" s="3337"/>
    </row>
    <row r="37055" spans="7:16" s="1634" customFormat="1">
      <c r="G37055" s="3336"/>
      <c r="P37055" s="3337"/>
    </row>
    <row r="37056" spans="7:16" s="1634" customFormat="1">
      <c r="G37056" s="3336"/>
      <c r="P37056" s="3337"/>
    </row>
    <row r="37057" spans="7:16" s="1634" customFormat="1">
      <c r="G37057" s="3336"/>
      <c r="P37057" s="3337"/>
    </row>
    <row r="37058" spans="7:16" s="1634" customFormat="1">
      <c r="G37058" s="3336"/>
      <c r="P37058" s="3337"/>
    </row>
    <row r="37059" spans="7:16" s="1634" customFormat="1">
      <c r="G37059" s="3336"/>
      <c r="P37059" s="3337"/>
    </row>
    <row r="37060" spans="7:16" s="1634" customFormat="1">
      <c r="G37060" s="3336"/>
      <c r="P37060" s="3337"/>
    </row>
    <row r="37061" spans="7:16" s="1634" customFormat="1">
      <c r="G37061" s="3336"/>
      <c r="P37061" s="3337"/>
    </row>
    <row r="37062" spans="7:16" s="1634" customFormat="1">
      <c r="G37062" s="3336"/>
      <c r="P37062" s="3337"/>
    </row>
    <row r="37063" spans="7:16" s="1634" customFormat="1">
      <c r="G37063" s="3336"/>
      <c r="P37063" s="3337"/>
    </row>
    <row r="37064" spans="7:16" s="1634" customFormat="1">
      <c r="G37064" s="3336"/>
      <c r="P37064" s="3337"/>
    </row>
    <row r="37065" spans="7:16" s="1634" customFormat="1">
      <c r="G37065" s="3336"/>
      <c r="P37065" s="3337"/>
    </row>
    <row r="37066" spans="7:16" s="1634" customFormat="1">
      <c r="G37066" s="3336"/>
      <c r="P37066" s="3337"/>
    </row>
    <row r="37067" spans="7:16" s="1634" customFormat="1">
      <c r="G37067" s="3336"/>
      <c r="P37067" s="3337"/>
    </row>
    <row r="37068" spans="7:16" s="1634" customFormat="1">
      <c r="G37068" s="3336"/>
      <c r="P37068" s="3337"/>
    </row>
    <row r="37069" spans="7:16" s="1634" customFormat="1">
      <c r="G37069" s="3336"/>
      <c r="P37069" s="3337"/>
    </row>
    <row r="37070" spans="7:16" s="1634" customFormat="1">
      <c r="G37070" s="3336"/>
      <c r="P37070" s="3337"/>
    </row>
    <row r="37071" spans="7:16" s="1634" customFormat="1">
      <c r="G37071" s="3336"/>
      <c r="P37071" s="3337"/>
    </row>
    <row r="37072" spans="7:16" s="1634" customFormat="1">
      <c r="G37072" s="3336"/>
      <c r="P37072" s="3337"/>
    </row>
    <row r="37073" spans="7:16" s="1634" customFormat="1">
      <c r="G37073" s="3336"/>
      <c r="P37073" s="3337"/>
    </row>
    <row r="37074" spans="7:16" s="1634" customFormat="1">
      <c r="G37074" s="3336"/>
      <c r="P37074" s="3337"/>
    </row>
    <row r="37075" spans="7:16" s="1634" customFormat="1">
      <c r="G37075" s="3336"/>
      <c r="P37075" s="3337"/>
    </row>
    <row r="37076" spans="7:16" s="1634" customFormat="1">
      <c r="G37076" s="3336"/>
      <c r="P37076" s="3337"/>
    </row>
    <row r="37077" spans="7:16" s="1634" customFormat="1">
      <c r="G37077" s="3336"/>
      <c r="P37077" s="3337"/>
    </row>
    <row r="37078" spans="7:16" s="1634" customFormat="1">
      <c r="G37078" s="3336"/>
      <c r="P37078" s="3337"/>
    </row>
    <row r="37079" spans="7:16" s="1634" customFormat="1">
      <c r="G37079" s="3336"/>
      <c r="P37079" s="3337"/>
    </row>
    <row r="37080" spans="7:16" s="1634" customFormat="1">
      <c r="G37080" s="3336"/>
      <c r="P37080" s="3337"/>
    </row>
    <row r="37081" spans="7:16" s="1634" customFormat="1">
      <c r="G37081" s="3336"/>
      <c r="P37081" s="3337"/>
    </row>
    <row r="37082" spans="7:16" s="1634" customFormat="1">
      <c r="G37082" s="3336"/>
      <c r="P37082" s="3337"/>
    </row>
    <row r="37083" spans="7:16" s="1634" customFormat="1">
      <c r="G37083" s="3336"/>
      <c r="P37083" s="3337"/>
    </row>
    <row r="37084" spans="7:16" s="1634" customFormat="1">
      <c r="G37084" s="3336"/>
      <c r="P37084" s="3337"/>
    </row>
    <row r="37085" spans="7:16" s="1634" customFormat="1">
      <c r="G37085" s="3336"/>
      <c r="P37085" s="3337"/>
    </row>
    <row r="37086" spans="7:16" s="1634" customFormat="1">
      <c r="G37086" s="3336"/>
      <c r="P37086" s="3337"/>
    </row>
    <row r="37087" spans="7:16" s="1634" customFormat="1">
      <c r="G37087" s="3336"/>
      <c r="P37087" s="3337"/>
    </row>
    <row r="37088" spans="7:16" s="1634" customFormat="1">
      <c r="G37088" s="3336"/>
      <c r="P37088" s="3337"/>
    </row>
    <row r="37089" spans="7:16" s="1634" customFormat="1">
      <c r="G37089" s="3336"/>
      <c r="P37089" s="3337"/>
    </row>
    <row r="37090" spans="7:16" s="1634" customFormat="1">
      <c r="G37090" s="3336"/>
      <c r="P37090" s="3337"/>
    </row>
    <row r="37091" spans="7:16" s="1634" customFormat="1">
      <c r="G37091" s="3336"/>
      <c r="P37091" s="3337"/>
    </row>
    <row r="37092" spans="7:16" s="1634" customFormat="1">
      <c r="G37092" s="3336"/>
      <c r="P37092" s="3337"/>
    </row>
    <row r="37093" spans="7:16" s="1634" customFormat="1">
      <c r="G37093" s="3336"/>
      <c r="P37093" s="3337"/>
    </row>
    <row r="37094" spans="7:16" s="1634" customFormat="1">
      <c r="G37094" s="3336"/>
      <c r="P37094" s="3337"/>
    </row>
    <row r="37095" spans="7:16" s="1634" customFormat="1">
      <c r="G37095" s="3336"/>
      <c r="P37095" s="3337"/>
    </row>
    <row r="37096" spans="7:16" s="1634" customFormat="1">
      <c r="G37096" s="3336"/>
      <c r="P37096" s="3337"/>
    </row>
    <row r="37097" spans="7:16" s="1634" customFormat="1">
      <c r="G37097" s="3336"/>
      <c r="P37097" s="3337"/>
    </row>
    <row r="37098" spans="7:16" s="1634" customFormat="1">
      <c r="G37098" s="3336"/>
      <c r="P37098" s="3337"/>
    </row>
    <row r="37099" spans="7:16" s="1634" customFormat="1">
      <c r="G37099" s="3336"/>
      <c r="P37099" s="3337"/>
    </row>
    <row r="37100" spans="7:16" s="1634" customFormat="1">
      <c r="G37100" s="3336"/>
      <c r="P37100" s="3337"/>
    </row>
    <row r="37101" spans="7:16" s="1634" customFormat="1">
      <c r="G37101" s="3336"/>
      <c r="P37101" s="3337"/>
    </row>
    <row r="37102" spans="7:16" s="1634" customFormat="1">
      <c r="G37102" s="3336"/>
      <c r="P37102" s="3337"/>
    </row>
    <row r="37103" spans="7:16" s="1634" customFormat="1">
      <c r="G37103" s="3336"/>
      <c r="P37103" s="3337"/>
    </row>
    <row r="37104" spans="7:16" s="1634" customFormat="1">
      <c r="G37104" s="3336"/>
      <c r="P37104" s="3337"/>
    </row>
    <row r="37105" spans="7:16" s="1634" customFormat="1">
      <c r="G37105" s="3336"/>
      <c r="P37105" s="3337"/>
    </row>
    <row r="37106" spans="7:16" s="1634" customFormat="1">
      <c r="G37106" s="3336"/>
      <c r="P37106" s="3337"/>
    </row>
    <row r="37107" spans="7:16" s="1634" customFormat="1">
      <c r="G37107" s="3336"/>
      <c r="P37107" s="3337"/>
    </row>
    <row r="37108" spans="7:16" s="1634" customFormat="1">
      <c r="G37108" s="3336"/>
      <c r="P37108" s="3337"/>
    </row>
    <row r="37109" spans="7:16" s="1634" customFormat="1">
      <c r="G37109" s="3336"/>
      <c r="P37109" s="3337"/>
    </row>
    <row r="37110" spans="7:16" s="1634" customFormat="1">
      <c r="G37110" s="3336"/>
      <c r="P37110" s="3337"/>
    </row>
    <row r="37111" spans="7:16" s="1634" customFormat="1">
      <c r="G37111" s="3336"/>
      <c r="P37111" s="3337"/>
    </row>
    <row r="37112" spans="7:16" s="1634" customFormat="1">
      <c r="G37112" s="3336"/>
      <c r="P37112" s="3337"/>
    </row>
    <row r="37113" spans="7:16" s="1634" customFormat="1">
      <c r="G37113" s="3336"/>
      <c r="P37113" s="3337"/>
    </row>
    <row r="37114" spans="7:16" s="1634" customFormat="1">
      <c r="G37114" s="3336"/>
      <c r="P37114" s="3337"/>
    </row>
    <row r="37115" spans="7:16" s="1634" customFormat="1">
      <c r="G37115" s="3336"/>
      <c r="P37115" s="3337"/>
    </row>
    <row r="37116" spans="7:16" s="1634" customFormat="1">
      <c r="G37116" s="3336"/>
      <c r="P37116" s="3337"/>
    </row>
    <row r="37117" spans="7:16" s="1634" customFormat="1">
      <c r="G37117" s="3336"/>
      <c r="P37117" s="3337"/>
    </row>
    <row r="37118" spans="7:16" s="1634" customFormat="1">
      <c r="G37118" s="3336"/>
      <c r="P37118" s="3337"/>
    </row>
    <row r="37119" spans="7:16" s="1634" customFormat="1">
      <c r="G37119" s="3336"/>
      <c r="P37119" s="3337"/>
    </row>
    <row r="37120" spans="7:16" s="1634" customFormat="1">
      <c r="G37120" s="3336"/>
      <c r="P37120" s="3337"/>
    </row>
    <row r="37121" spans="7:16" s="1634" customFormat="1">
      <c r="G37121" s="3336"/>
      <c r="P37121" s="3337"/>
    </row>
    <row r="37122" spans="7:16" s="1634" customFormat="1">
      <c r="G37122" s="3336"/>
      <c r="P37122" s="3337"/>
    </row>
    <row r="37123" spans="7:16" s="1634" customFormat="1">
      <c r="G37123" s="3336"/>
      <c r="P37123" s="3337"/>
    </row>
    <row r="37124" spans="7:16" s="1634" customFormat="1">
      <c r="G37124" s="3336"/>
      <c r="P37124" s="3337"/>
    </row>
    <row r="37125" spans="7:16" s="1634" customFormat="1">
      <c r="G37125" s="3336"/>
      <c r="P37125" s="3337"/>
    </row>
    <row r="37126" spans="7:16" s="1634" customFormat="1">
      <c r="G37126" s="3336"/>
      <c r="P37126" s="3337"/>
    </row>
    <row r="37127" spans="7:16" s="1634" customFormat="1">
      <c r="G37127" s="3336"/>
      <c r="P37127" s="3337"/>
    </row>
    <row r="37128" spans="7:16" s="1634" customFormat="1">
      <c r="G37128" s="3336"/>
      <c r="P37128" s="3337"/>
    </row>
    <row r="37129" spans="7:16" s="1634" customFormat="1">
      <c r="G37129" s="3336"/>
      <c r="P37129" s="3337"/>
    </row>
    <row r="37130" spans="7:16" s="1634" customFormat="1">
      <c r="G37130" s="3336"/>
      <c r="P37130" s="3337"/>
    </row>
    <row r="37131" spans="7:16" s="1634" customFormat="1">
      <c r="G37131" s="3336"/>
      <c r="P37131" s="3337"/>
    </row>
    <row r="37132" spans="7:16" s="1634" customFormat="1">
      <c r="G37132" s="3336"/>
      <c r="P37132" s="3337"/>
    </row>
    <row r="37133" spans="7:16" s="1634" customFormat="1">
      <c r="G37133" s="3336"/>
      <c r="P37133" s="3337"/>
    </row>
    <row r="37134" spans="7:16" s="1634" customFormat="1">
      <c r="G37134" s="3336"/>
      <c r="P37134" s="3337"/>
    </row>
    <row r="37135" spans="7:16" s="1634" customFormat="1">
      <c r="G37135" s="3336"/>
      <c r="P37135" s="3337"/>
    </row>
    <row r="37136" spans="7:16" s="1634" customFormat="1">
      <c r="G37136" s="3336"/>
      <c r="P37136" s="3337"/>
    </row>
    <row r="37137" spans="7:16" s="1634" customFormat="1">
      <c r="G37137" s="3336"/>
      <c r="P37137" s="3337"/>
    </row>
    <row r="37138" spans="7:16" s="1634" customFormat="1">
      <c r="G37138" s="3336"/>
      <c r="P37138" s="3337"/>
    </row>
    <row r="37139" spans="7:16" s="1634" customFormat="1">
      <c r="G37139" s="3336"/>
      <c r="P37139" s="3337"/>
    </row>
    <row r="37140" spans="7:16" s="1634" customFormat="1">
      <c r="G37140" s="3336"/>
      <c r="P37140" s="3337"/>
    </row>
    <row r="37141" spans="7:16" s="1634" customFormat="1">
      <c r="G37141" s="3336"/>
      <c r="P37141" s="3337"/>
    </row>
    <row r="37142" spans="7:16" s="1634" customFormat="1">
      <c r="G37142" s="3336"/>
      <c r="P37142" s="3337"/>
    </row>
    <row r="37143" spans="7:16" s="1634" customFormat="1">
      <c r="G37143" s="3336"/>
      <c r="P37143" s="3337"/>
    </row>
    <row r="37144" spans="7:16" s="1634" customFormat="1">
      <c r="G37144" s="3336"/>
      <c r="P37144" s="3337"/>
    </row>
    <row r="37145" spans="7:16" s="1634" customFormat="1">
      <c r="G37145" s="3336"/>
      <c r="P37145" s="3337"/>
    </row>
    <row r="37146" spans="7:16" s="1634" customFormat="1">
      <c r="G37146" s="3336"/>
      <c r="P37146" s="3337"/>
    </row>
    <row r="37147" spans="7:16" s="1634" customFormat="1">
      <c r="G37147" s="3336"/>
      <c r="P37147" s="3337"/>
    </row>
    <row r="37148" spans="7:16" s="1634" customFormat="1">
      <c r="G37148" s="3336"/>
      <c r="P37148" s="3337"/>
    </row>
    <row r="37149" spans="7:16" s="1634" customFormat="1">
      <c r="G37149" s="3336"/>
      <c r="P37149" s="3337"/>
    </row>
    <row r="37150" spans="7:16" s="1634" customFormat="1">
      <c r="G37150" s="3336"/>
      <c r="P37150" s="3337"/>
    </row>
    <row r="37151" spans="7:16" s="1634" customFormat="1">
      <c r="G37151" s="3336"/>
      <c r="P37151" s="3337"/>
    </row>
    <row r="37152" spans="7:16" s="1634" customFormat="1">
      <c r="G37152" s="3336"/>
      <c r="P37152" s="3337"/>
    </row>
    <row r="37153" spans="7:16" s="1634" customFormat="1">
      <c r="G37153" s="3336"/>
      <c r="P37153" s="3337"/>
    </row>
    <row r="37154" spans="7:16" s="1634" customFormat="1">
      <c r="G37154" s="3336"/>
      <c r="P37154" s="3337"/>
    </row>
    <row r="37155" spans="7:16" s="1634" customFormat="1">
      <c r="G37155" s="3336"/>
      <c r="P37155" s="3337"/>
    </row>
    <row r="37156" spans="7:16" s="1634" customFormat="1">
      <c r="G37156" s="3336"/>
      <c r="P37156" s="3337"/>
    </row>
    <row r="37157" spans="7:16" s="1634" customFormat="1">
      <c r="G37157" s="3336"/>
      <c r="P37157" s="3337"/>
    </row>
    <row r="37158" spans="7:16" s="1634" customFormat="1">
      <c r="G37158" s="3336"/>
      <c r="P37158" s="3337"/>
    </row>
    <row r="37159" spans="7:16" s="1634" customFormat="1">
      <c r="G37159" s="3336"/>
      <c r="P37159" s="3337"/>
    </row>
    <row r="37160" spans="7:16" s="1634" customFormat="1">
      <c r="G37160" s="3336"/>
      <c r="P37160" s="3337"/>
    </row>
    <row r="37161" spans="7:16" s="1634" customFormat="1">
      <c r="G37161" s="3336"/>
      <c r="P37161" s="3337"/>
    </row>
    <row r="37162" spans="7:16" s="1634" customFormat="1">
      <c r="G37162" s="3336"/>
      <c r="P37162" s="3337"/>
    </row>
    <row r="37163" spans="7:16" s="1634" customFormat="1">
      <c r="G37163" s="3336"/>
      <c r="P37163" s="3337"/>
    </row>
    <row r="37164" spans="7:16" s="1634" customFormat="1">
      <c r="G37164" s="3336"/>
      <c r="P37164" s="3337"/>
    </row>
    <row r="37165" spans="7:16" s="1634" customFormat="1">
      <c r="G37165" s="3336"/>
      <c r="P37165" s="3337"/>
    </row>
    <row r="37166" spans="7:16" s="1634" customFormat="1">
      <c r="G37166" s="3336"/>
      <c r="P37166" s="3337"/>
    </row>
    <row r="37167" spans="7:16" s="1634" customFormat="1">
      <c r="G37167" s="3336"/>
      <c r="P37167" s="3337"/>
    </row>
    <row r="37168" spans="7:16" s="1634" customFormat="1">
      <c r="G37168" s="3336"/>
      <c r="P37168" s="3337"/>
    </row>
    <row r="37169" spans="7:16" s="1634" customFormat="1">
      <c r="G37169" s="3336"/>
      <c r="P37169" s="3337"/>
    </row>
    <row r="37170" spans="7:16" s="1634" customFormat="1">
      <c r="G37170" s="3336"/>
      <c r="P37170" s="3337"/>
    </row>
    <row r="37171" spans="7:16" s="1634" customFormat="1">
      <c r="G37171" s="3336"/>
      <c r="P37171" s="3337"/>
    </row>
    <row r="37172" spans="7:16" s="1634" customFormat="1">
      <c r="G37172" s="3336"/>
      <c r="P37172" s="3337"/>
    </row>
    <row r="37173" spans="7:16" s="1634" customFormat="1">
      <c r="G37173" s="3336"/>
      <c r="P37173" s="3337"/>
    </row>
    <row r="37174" spans="7:16" s="1634" customFormat="1">
      <c r="G37174" s="3336"/>
      <c r="P37174" s="3337"/>
    </row>
    <row r="37175" spans="7:16" s="1634" customFormat="1">
      <c r="G37175" s="3336"/>
      <c r="P37175" s="3337"/>
    </row>
    <row r="37176" spans="7:16" s="1634" customFormat="1">
      <c r="G37176" s="3336"/>
      <c r="P37176" s="3337"/>
    </row>
    <row r="37177" spans="7:16" s="1634" customFormat="1">
      <c r="G37177" s="3336"/>
      <c r="P37177" s="3337"/>
    </row>
    <row r="37178" spans="7:16" s="1634" customFormat="1">
      <c r="G37178" s="3336"/>
      <c r="P37178" s="3337"/>
    </row>
    <row r="37179" spans="7:16" s="1634" customFormat="1">
      <c r="G37179" s="3336"/>
      <c r="P37179" s="3337"/>
    </row>
    <row r="37180" spans="7:16" s="1634" customFormat="1">
      <c r="G37180" s="3336"/>
      <c r="P37180" s="3337"/>
    </row>
    <row r="37181" spans="7:16" s="1634" customFormat="1">
      <c r="G37181" s="3336"/>
      <c r="P37181" s="3337"/>
    </row>
    <row r="37182" spans="7:16" s="1634" customFormat="1">
      <c r="G37182" s="3336"/>
      <c r="P37182" s="3337"/>
    </row>
    <row r="37183" spans="7:16" s="1634" customFormat="1">
      <c r="G37183" s="3336"/>
      <c r="P37183" s="3337"/>
    </row>
    <row r="37184" spans="7:16" s="1634" customFormat="1">
      <c r="G37184" s="3336"/>
      <c r="P37184" s="3337"/>
    </row>
    <row r="37185" spans="7:16" s="1634" customFormat="1">
      <c r="G37185" s="3336"/>
      <c r="P37185" s="3337"/>
    </row>
    <row r="37186" spans="7:16" s="1634" customFormat="1">
      <c r="G37186" s="3336"/>
      <c r="P37186" s="3337"/>
    </row>
    <row r="37187" spans="7:16" s="1634" customFormat="1">
      <c r="G37187" s="3336"/>
      <c r="P37187" s="3337"/>
    </row>
    <row r="37188" spans="7:16" s="1634" customFormat="1">
      <c r="G37188" s="3336"/>
      <c r="P37188" s="3337"/>
    </row>
    <row r="37189" spans="7:16" s="1634" customFormat="1">
      <c r="G37189" s="3336"/>
      <c r="P37189" s="3337"/>
    </row>
    <row r="37190" spans="7:16" s="1634" customFormat="1">
      <c r="G37190" s="3336"/>
      <c r="P37190" s="3337"/>
    </row>
    <row r="37191" spans="7:16" s="1634" customFormat="1">
      <c r="G37191" s="3336"/>
      <c r="P37191" s="3337"/>
    </row>
    <row r="37192" spans="7:16" s="1634" customFormat="1">
      <c r="G37192" s="3336"/>
      <c r="P37192" s="3337"/>
    </row>
    <row r="37193" spans="7:16" s="1634" customFormat="1">
      <c r="G37193" s="3336"/>
      <c r="P37193" s="3337"/>
    </row>
    <row r="37194" spans="7:16" s="1634" customFormat="1">
      <c r="G37194" s="3336"/>
      <c r="P37194" s="3337"/>
    </row>
    <row r="37195" spans="7:16" s="1634" customFormat="1">
      <c r="G37195" s="3336"/>
      <c r="P37195" s="3337"/>
    </row>
    <row r="37196" spans="7:16" s="1634" customFormat="1">
      <c r="G37196" s="3336"/>
      <c r="P37196" s="3337"/>
    </row>
    <row r="37197" spans="7:16" s="1634" customFormat="1">
      <c r="G37197" s="3336"/>
      <c r="P37197" s="3337"/>
    </row>
    <row r="37198" spans="7:16" s="1634" customFormat="1">
      <c r="G37198" s="3336"/>
      <c r="P37198" s="3337"/>
    </row>
    <row r="37199" spans="7:16" s="1634" customFormat="1">
      <c r="G37199" s="3336"/>
      <c r="P37199" s="3337"/>
    </row>
    <row r="37200" spans="7:16" s="1634" customFormat="1">
      <c r="G37200" s="3336"/>
      <c r="P37200" s="3337"/>
    </row>
    <row r="37201" spans="7:16" s="1634" customFormat="1">
      <c r="G37201" s="3336"/>
      <c r="P37201" s="3337"/>
    </row>
    <row r="37202" spans="7:16" s="1634" customFormat="1">
      <c r="G37202" s="3336"/>
      <c r="P37202" s="3337"/>
    </row>
    <row r="37203" spans="7:16" s="1634" customFormat="1">
      <c r="G37203" s="3336"/>
      <c r="P37203" s="3337"/>
    </row>
    <row r="37204" spans="7:16" s="1634" customFormat="1">
      <c r="G37204" s="3336"/>
      <c r="P37204" s="3337"/>
    </row>
    <row r="37205" spans="7:16" s="1634" customFormat="1">
      <c r="G37205" s="3336"/>
      <c r="P37205" s="3337"/>
    </row>
    <row r="37206" spans="7:16" s="1634" customFormat="1">
      <c r="G37206" s="3336"/>
      <c r="P37206" s="3337"/>
    </row>
    <row r="37207" spans="7:16" s="1634" customFormat="1">
      <c r="G37207" s="3336"/>
      <c r="P37207" s="3337"/>
    </row>
    <row r="37208" spans="7:16" s="1634" customFormat="1">
      <c r="G37208" s="3336"/>
      <c r="P37208" s="3337"/>
    </row>
    <row r="37209" spans="7:16" s="1634" customFormat="1">
      <c r="G37209" s="3336"/>
      <c r="P37209" s="3337"/>
    </row>
    <row r="37210" spans="7:16" s="1634" customFormat="1">
      <c r="G37210" s="3336"/>
      <c r="P37210" s="3337"/>
    </row>
    <row r="37211" spans="7:16" s="1634" customFormat="1">
      <c r="G37211" s="3336"/>
      <c r="P37211" s="3337"/>
    </row>
    <row r="37212" spans="7:16" s="1634" customFormat="1">
      <c r="G37212" s="3336"/>
      <c r="P37212" s="3337"/>
    </row>
    <row r="37213" spans="7:16" s="1634" customFormat="1">
      <c r="G37213" s="3336"/>
      <c r="P37213" s="3337"/>
    </row>
    <row r="37214" spans="7:16" s="1634" customFormat="1">
      <c r="G37214" s="3336"/>
      <c r="P37214" s="3337"/>
    </row>
    <row r="37215" spans="7:16" s="1634" customFormat="1">
      <c r="G37215" s="3336"/>
      <c r="P37215" s="3337"/>
    </row>
    <row r="37216" spans="7:16" s="1634" customFormat="1">
      <c r="G37216" s="3336"/>
      <c r="P37216" s="3337"/>
    </row>
    <row r="37217" spans="7:16" s="1634" customFormat="1">
      <c r="G37217" s="3336"/>
      <c r="P37217" s="3337"/>
    </row>
    <row r="37218" spans="7:16" s="1634" customFormat="1">
      <c r="G37218" s="3336"/>
      <c r="P37218" s="3337"/>
    </row>
    <row r="37219" spans="7:16" s="1634" customFormat="1">
      <c r="G37219" s="3336"/>
      <c r="P37219" s="3337"/>
    </row>
    <row r="37220" spans="7:16" s="1634" customFormat="1">
      <c r="G37220" s="3336"/>
      <c r="P37220" s="3337"/>
    </row>
    <row r="37221" spans="7:16" s="1634" customFormat="1">
      <c r="G37221" s="3336"/>
      <c r="P37221" s="3337"/>
    </row>
    <row r="37222" spans="7:16" s="1634" customFormat="1">
      <c r="G37222" s="3336"/>
      <c r="P37222" s="3337"/>
    </row>
    <row r="37223" spans="7:16" s="1634" customFormat="1">
      <c r="G37223" s="3336"/>
      <c r="P37223" s="3337"/>
    </row>
    <row r="37224" spans="7:16" s="1634" customFormat="1">
      <c r="G37224" s="3336"/>
      <c r="P37224" s="3337"/>
    </row>
    <row r="37225" spans="7:16" s="1634" customFormat="1">
      <c r="G37225" s="3336"/>
      <c r="P37225" s="3337"/>
    </row>
    <row r="37226" spans="7:16" s="1634" customFormat="1">
      <c r="G37226" s="3336"/>
      <c r="P37226" s="3337"/>
    </row>
    <row r="37227" spans="7:16" s="1634" customFormat="1">
      <c r="G37227" s="3336"/>
      <c r="P37227" s="3337"/>
    </row>
    <row r="37228" spans="7:16" s="1634" customFormat="1">
      <c r="G37228" s="3336"/>
      <c r="P37228" s="3337"/>
    </row>
    <row r="37229" spans="7:16" s="1634" customFormat="1">
      <c r="G37229" s="3336"/>
      <c r="P37229" s="3337"/>
    </row>
    <row r="37230" spans="7:16" s="1634" customFormat="1">
      <c r="G37230" s="3336"/>
      <c r="P37230" s="3337"/>
    </row>
    <row r="37231" spans="7:16" s="1634" customFormat="1">
      <c r="G37231" s="3336"/>
      <c r="P37231" s="3337"/>
    </row>
    <row r="37232" spans="7:16" s="1634" customFormat="1">
      <c r="G37232" s="3336"/>
      <c r="P37232" s="3337"/>
    </row>
    <row r="37233" spans="7:16" s="1634" customFormat="1">
      <c r="G37233" s="3336"/>
      <c r="P37233" s="3337"/>
    </row>
    <row r="37234" spans="7:16" s="1634" customFormat="1">
      <c r="G37234" s="3336"/>
      <c r="P37234" s="3337"/>
    </row>
    <row r="37235" spans="7:16" s="1634" customFormat="1">
      <c r="G37235" s="3336"/>
      <c r="P37235" s="3337"/>
    </row>
    <row r="37236" spans="7:16" s="1634" customFormat="1">
      <c r="G37236" s="3336"/>
      <c r="P37236" s="3337"/>
    </row>
    <row r="37237" spans="7:16" s="1634" customFormat="1">
      <c r="G37237" s="3336"/>
      <c r="P37237" s="3337"/>
    </row>
    <row r="37238" spans="7:16" s="1634" customFormat="1">
      <c r="G37238" s="3336"/>
      <c r="P37238" s="3337"/>
    </row>
    <row r="37239" spans="7:16" s="1634" customFormat="1">
      <c r="G37239" s="3336"/>
      <c r="P37239" s="3337"/>
    </row>
    <row r="37240" spans="7:16" s="1634" customFormat="1">
      <c r="G37240" s="3336"/>
      <c r="P37240" s="3337"/>
    </row>
    <row r="37241" spans="7:16" s="1634" customFormat="1">
      <c r="G37241" s="3336"/>
      <c r="P37241" s="3337"/>
    </row>
    <row r="37242" spans="7:16" s="1634" customFormat="1">
      <c r="G37242" s="3336"/>
      <c r="P37242" s="3337"/>
    </row>
    <row r="37243" spans="7:16" s="1634" customFormat="1">
      <c r="G37243" s="3336"/>
      <c r="P37243" s="3337"/>
    </row>
    <row r="37244" spans="7:16" s="1634" customFormat="1">
      <c r="G37244" s="3336"/>
      <c r="P37244" s="3337"/>
    </row>
    <row r="37245" spans="7:16" s="1634" customFormat="1">
      <c r="G37245" s="3336"/>
      <c r="P37245" s="3337"/>
    </row>
    <row r="37246" spans="7:16" s="1634" customFormat="1">
      <c r="G37246" s="3336"/>
      <c r="P37246" s="3337"/>
    </row>
    <row r="37247" spans="7:16" s="1634" customFormat="1">
      <c r="G37247" s="3336"/>
      <c r="P37247" s="3337"/>
    </row>
    <row r="37248" spans="7:16" s="1634" customFormat="1">
      <c r="G37248" s="3336"/>
      <c r="P37248" s="3337"/>
    </row>
    <row r="37249" spans="7:16" s="1634" customFormat="1">
      <c r="G37249" s="3336"/>
      <c r="P37249" s="3337"/>
    </row>
    <row r="37250" spans="7:16" s="1634" customFormat="1">
      <c r="G37250" s="3336"/>
      <c r="P37250" s="3337"/>
    </row>
    <row r="37251" spans="7:16" s="1634" customFormat="1">
      <c r="G37251" s="3336"/>
      <c r="P37251" s="3337"/>
    </row>
    <row r="37252" spans="7:16" s="1634" customFormat="1">
      <c r="G37252" s="3336"/>
      <c r="P37252" s="3337"/>
    </row>
    <row r="37253" spans="7:16" s="1634" customFormat="1">
      <c r="G37253" s="3336"/>
      <c r="P37253" s="3337"/>
    </row>
    <row r="37254" spans="7:16" s="1634" customFormat="1">
      <c r="G37254" s="3336"/>
      <c r="P37254" s="3337"/>
    </row>
    <row r="37255" spans="7:16" s="1634" customFormat="1">
      <c r="G37255" s="3336"/>
      <c r="P37255" s="3337"/>
    </row>
    <row r="37256" spans="7:16" s="1634" customFormat="1">
      <c r="G37256" s="3336"/>
      <c r="P37256" s="3337"/>
    </row>
    <row r="37257" spans="7:16" s="1634" customFormat="1">
      <c r="G37257" s="3336"/>
      <c r="P37257" s="3337"/>
    </row>
    <row r="37258" spans="7:16" s="1634" customFormat="1">
      <c r="G37258" s="3336"/>
      <c r="P37258" s="3337"/>
    </row>
    <row r="37259" spans="7:16" s="1634" customFormat="1">
      <c r="G37259" s="3336"/>
      <c r="P37259" s="3337"/>
    </row>
    <row r="37260" spans="7:16" s="1634" customFormat="1">
      <c r="G37260" s="3336"/>
      <c r="P37260" s="3337"/>
    </row>
    <row r="37261" spans="7:16" s="1634" customFormat="1">
      <c r="G37261" s="3336"/>
      <c r="P37261" s="3337"/>
    </row>
    <row r="37262" spans="7:16" s="1634" customFormat="1">
      <c r="G37262" s="3336"/>
      <c r="P37262" s="3337"/>
    </row>
    <row r="37263" spans="7:16" s="1634" customFormat="1">
      <c r="G37263" s="3336"/>
      <c r="P37263" s="3337"/>
    </row>
    <row r="37264" spans="7:16" s="1634" customFormat="1">
      <c r="G37264" s="3336"/>
      <c r="P37264" s="3337"/>
    </row>
    <row r="37265" spans="7:16" s="1634" customFormat="1">
      <c r="G37265" s="3336"/>
      <c r="P37265" s="3337"/>
    </row>
    <row r="37266" spans="7:16" s="1634" customFormat="1">
      <c r="G37266" s="3336"/>
      <c r="P37266" s="3337"/>
    </row>
    <row r="37267" spans="7:16" s="1634" customFormat="1">
      <c r="G37267" s="3336"/>
      <c r="P37267" s="3337"/>
    </row>
    <row r="37268" spans="7:16" s="1634" customFormat="1">
      <c r="G37268" s="3336"/>
      <c r="P37268" s="3337"/>
    </row>
    <row r="37269" spans="7:16" s="1634" customFormat="1">
      <c r="G37269" s="3336"/>
      <c r="P37269" s="3337"/>
    </row>
    <row r="37270" spans="7:16" s="1634" customFormat="1">
      <c r="G37270" s="3336"/>
      <c r="P37270" s="3337"/>
    </row>
    <row r="37271" spans="7:16" s="1634" customFormat="1">
      <c r="G37271" s="3336"/>
      <c r="P37271" s="3337"/>
    </row>
    <row r="37272" spans="7:16" s="1634" customFormat="1">
      <c r="G37272" s="3336"/>
      <c r="P37272" s="3337"/>
    </row>
    <row r="37273" spans="7:16" s="1634" customFormat="1">
      <c r="G37273" s="3336"/>
      <c r="P37273" s="3337"/>
    </row>
    <row r="37274" spans="7:16" s="1634" customFormat="1">
      <c r="G37274" s="3336"/>
      <c r="P37274" s="3337"/>
    </row>
    <row r="37275" spans="7:16" s="1634" customFormat="1">
      <c r="G37275" s="3336"/>
      <c r="P37275" s="3337"/>
    </row>
    <row r="37276" spans="7:16" s="1634" customFormat="1">
      <c r="G37276" s="3336"/>
      <c r="P37276" s="3337"/>
    </row>
    <row r="37277" spans="7:16" s="1634" customFormat="1">
      <c r="G37277" s="3336"/>
      <c r="P37277" s="3337"/>
    </row>
    <row r="37278" spans="7:16" s="1634" customFormat="1">
      <c r="G37278" s="3336"/>
      <c r="P37278" s="3337"/>
    </row>
    <row r="37279" spans="7:16" s="1634" customFormat="1">
      <c r="G37279" s="3336"/>
      <c r="P37279" s="3337"/>
    </row>
    <row r="37280" spans="7:16" s="1634" customFormat="1">
      <c r="G37280" s="3336"/>
      <c r="P37280" s="3337"/>
    </row>
    <row r="37281" spans="7:16" s="1634" customFormat="1">
      <c r="G37281" s="3336"/>
      <c r="P37281" s="3337"/>
    </row>
    <row r="37282" spans="7:16" s="1634" customFormat="1">
      <c r="G37282" s="3336"/>
      <c r="P37282" s="3337"/>
    </row>
    <row r="37283" spans="7:16" s="1634" customFormat="1">
      <c r="G37283" s="3336"/>
      <c r="P37283" s="3337"/>
    </row>
    <row r="37284" spans="7:16" s="1634" customFormat="1">
      <c r="G37284" s="3336"/>
      <c r="P37284" s="3337"/>
    </row>
    <row r="37285" spans="7:16" s="1634" customFormat="1">
      <c r="G37285" s="3336"/>
      <c r="P37285" s="3337"/>
    </row>
    <row r="37286" spans="7:16" s="1634" customFormat="1">
      <c r="G37286" s="3336"/>
      <c r="P37286" s="3337"/>
    </row>
    <row r="37287" spans="7:16" s="1634" customFormat="1">
      <c r="G37287" s="3336"/>
      <c r="P37287" s="3337"/>
    </row>
    <row r="37288" spans="7:16" s="1634" customFormat="1">
      <c r="G37288" s="3336"/>
      <c r="P37288" s="3337"/>
    </row>
    <row r="37289" spans="7:16" s="1634" customFormat="1">
      <c r="G37289" s="3336"/>
      <c r="P37289" s="3337"/>
    </row>
    <row r="37290" spans="7:16" s="1634" customFormat="1">
      <c r="G37290" s="3336"/>
      <c r="P37290" s="3337"/>
    </row>
    <row r="37291" spans="7:16" s="1634" customFormat="1">
      <c r="G37291" s="3336"/>
      <c r="P37291" s="3337"/>
    </row>
    <row r="37292" spans="7:16" s="1634" customFormat="1">
      <c r="G37292" s="3336"/>
      <c r="P37292" s="3337"/>
    </row>
    <row r="37293" spans="7:16" s="1634" customFormat="1">
      <c r="G37293" s="3336"/>
      <c r="P37293" s="3337"/>
    </row>
    <row r="37294" spans="7:16" s="1634" customFormat="1">
      <c r="G37294" s="3336"/>
      <c r="P37294" s="3337"/>
    </row>
    <row r="37295" spans="7:16" s="1634" customFormat="1">
      <c r="G37295" s="3336"/>
      <c r="P37295" s="3337"/>
    </row>
    <row r="37296" spans="7:16" s="1634" customFormat="1">
      <c r="G37296" s="3336"/>
      <c r="P37296" s="3337"/>
    </row>
    <row r="37297" spans="7:16" s="1634" customFormat="1">
      <c r="G37297" s="3336"/>
      <c r="P37297" s="3337"/>
    </row>
    <row r="37298" spans="7:16" s="1634" customFormat="1">
      <c r="G37298" s="3336"/>
      <c r="P37298" s="3337"/>
    </row>
    <row r="37299" spans="7:16" s="1634" customFormat="1">
      <c r="G37299" s="3336"/>
      <c r="P37299" s="3337"/>
    </row>
    <row r="37300" spans="7:16" s="1634" customFormat="1">
      <c r="G37300" s="3336"/>
      <c r="P37300" s="3337"/>
    </row>
    <row r="37301" spans="7:16" s="1634" customFormat="1">
      <c r="G37301" s="3336"/>
      <c r="P37301" s="3337"/>
    </row>
    <row r="37302" spans="7:16" s="1634" customFormat="1">
      <c r="G37302" s="3336"/>
      <c r="P37302" s="3337"/>
    </row>
    <row r="37303" spans="7:16" s="1634" customFormat="1">
      <c r="G37303" s="3336"/>
      <c r="P37303" s="3337"/>
    </row>
    <row r="37304" spans="7:16" s="1634" customFormat="1">
      <c r="G37304" s="3336"/>
      <c r="P37304" s="3337"/>
    </row>
    <row r="37305" spans="7:16" s="1634" customFormat="1">
      <c r="G37305" s="3336"/>
      <c r="P37305" s="3337"/>
    </row>
    <row r="37306" spans="7:16" s="1634" customFormat="1">
      <c r="G37306" s="3336"/>
      <c r="P37306" s="3337"/>
    </row>
    <row r="37307" spans="7:16" s="1634" customFormat="1">
      <c r="G37307" s="3336"/>
      <c r="P37307" s="3337"/>
    </row>
    <row r="37308" spans="7:16" s="1634" customFormat="1">
      <c r="G37308" s="3336"/>
      <c r="P37308" s="3337"/>
    </row>
    <row r="37309" spans="7:16" s="1634" customFormat="1">
      <c r="G37309" s="3336"/>
      <c r="P37309" s="3337"/>
    </row>
    <row r="37310" spans="7:16" s="1634" customFormat="1">
      <c r="G37310" s="3336"/>
      <c r="P37310" s="3337"/>
    </row>
    <row r="37311" spans="7:16" s="1634" customFormat="1">
      <c r="G37311" s="3336"/>
      <c r="P37311" s="3337"/>
    </row>
    <row r="37312" spans="7:16" s="1634" customFormat="1">
      <c r="G37312" s="3336"/>
      <c r="P37312" s="3337"/>
    </row>
    <row r="37313" spans="7:16" s="1634" customFormat="1">
      <c r="G37313" s="3336"/>
      <c r="P37313" s="3337"/>
    </row>
    <row r="37314" spans="7:16" s="1634" customFormat="1">
      <c r="G37314" s="3336"/>
      <c r="P37314" s="3337"/>
    </row>
    <row r="37315" spans="7:16" s="1634" customFormat="1">
      <c r="G37315" s="3336"/>
      <c r="P37315" s="3337"/>
    </row>
    <row r="37316" spans="7:16" s="1634" customFormat="1">
      <c r="G37316" s="3336"/>
      <c r="P37316" s="3337"/>
    </row>
    <row r="37317" spans="7:16" s="1634" customFormat="1">
      <c r="G37317" s="3336"/>
      <c r="P37317" s="3337"/>
    </row>
    <row r="37318" spans="7:16" s="1634" customFormat="1">
      <c r="G37318" s="3336"/>
      <c r="P37318" s="3337"/>
    </row>
    <row r="37319" spans="7:16" s="1634" customFormat="1">
      <c r="G37319" s="3336"/>
      <c r="P37319" s="3337"/>
    </row>
    <row r="37320" spans="7:16" s="1634" customFormat="1">
      <c r="G37320" s="3336"/>
      <c r="P37320" s="3337"/>
    </row>
    <row r="37321" spans="7:16" s="1634" customFormat="1">
      <c r="G37321" s="3336"/>
      <c r="P37321" s="3337"/>
    </row>
    <row r="37322" spans="7:16" s="1634" customFormat="1">
      <c r="G37322" s="3336"/>
      <c r="P37322" s="3337"/>
    </row>
    <row r="37323" spans="7:16" s="1634" customFormat="1">
      <c r="G37323" s="3336"/>
      <c r="P37323" s="3337"/>
    </row>
    <row r="37324" spans="7:16" s="1634" customFormat="1">
      <c r="G37324" s="3336"/>
      <c r="P37324" s="3337"/>
    </row>
    <row r="37325" spans="7:16" s="1634" customFormat="1">
      <c r="G37325" s="3336"/>
      <c r="P37325" s="3337"/>
    </row>
    <row r="37326" spans="7:16" s="1634" customFormat="1">
      <c r="G37326" s="3336"/>
      <c r="P37326" s="3337"/>
    </row>
    <row r="37327" spans="7:16" s="1634" customFormat="1">
      <c r="G37327" s="3336"/>
      <c r="P37327" s="3337"/>
    </row>
    <row r="37328" spans="7:16" s="1634" customFormat="1">
      <c r="G37328" s="3336"/>
      <c r="P37328" s="3337"/>
    </row>
    <row r="37329" spans="7:16" s="1634" customFormat="1">
      <c r="G37329" s="3336"/>
      <c r="P37329" s="3337"/>
    </row>
    <row r="37330" spans="7:16" s="1634" customFormat="1">
      <c r="G37330" s="3336"/>
      <c r="P37330" s="3337"/>
    </row>
    <row r="37331" spans="7:16" s="1634" customFormat="1">
      <c r="G37331" s="3336"/>
      <c r="P37331" s="3337"/>
    </row>
    <row r="37332" spans="7:16" s="1634" customFormat="1">
      <c r="G37332" s="3336"/>
      <c r="P37332" s="3337"/>
    </row>
    <row r="37333" spans="7:16" s="1634" customFormat="1">
      <c r="G37333" s="3336"/>
      <c r="P37333" s="3337"/>
    </row>
    <row r="37334" spans="7:16" s="1634" customFormat="1">
      <c r="G37334" s="3336"/>
      <c r="P37334" s="3337"/>
    </row>
    <row r="37335" spans="7:16" s="1634" customFormat="1">
      <c r="G37335" s="3336"/>
      <c r="P37335" s="3337"/>
    </row>
    <row r="37336" spans="7:16" s="1634" customFormat="1">
      <c r="G37336" s="3336"/>
      <c r="P37336" s="3337"/>
    </row>
    <row r="37337" spans="7:16" s="1634" customFormat="1">
      <c r="G37337" s="3336"/>
      <c r="P37337" s="3337"/>
    </row>
    <row r="37338" spans="7:16" s="1634" customFormat="1">
      <c r="G37338" s="3336"/>
      <c r="P37338" s="3337"/>
    </row>
    <row r="37339" spans="7:16" s="1634" customFormat="1">
      <c r="G37339" s="3336"/>
      <c r="P37339" s="3337"/>
    </row>
    <row r="37340" spans="7:16" s="1634" customFormat="1">
      <c r="G37340" s="3336"/>
      <c r="P37340" s="3337"/>
    </row>
    <row r="37341" spans="7:16" s="1634" customFormat="1">
      <c r="G37341" s="3336"/>
      <c r="P37341" s="3337"/>
    </row>
    <row r="37342" spans="7:16" s="1634" customFormat="1">
      <c r="G37342" s="3336"/>
      <c r="P37342" s="3337"/>
    </row>
    <row r="37343" spans="7:16" s="1634" customFormat="1">
      <c r="G37343" s="3336"/>
      <c r="P37343" s="3337"/>
    </row>
    <row r="37344" spans="7:16" s="1634" customFormat="1">
      <c r="G37344" s="3336"/>
      <c r="P37344" s="3337"/>
    </row>
    <row r="37345" spans="7:16" s="1634" customFormat="1">
      <c r="G37345" s="3336"/>
      <c r="P37345" s="3337"/>
    </row>
    <row r="37346" spans="7:16" s="1634" customFormat="1">
      <c r="G37346" s="3336"/>
      <c r="P37346" s="3337"/>
    </row>
    <row r="37347" spans="7:16" s="1634" customFormat="1">
      <c r="G37347" s="3336"/>
      <c r="P37347" s="3337"/>
    </row>
    <row r="37348" spans="7:16" s="1634" customFormat="1">
      <c r="G37348" s="3336"/>
      <c r="P37348" s="3337"/>
    </row>
    <row r="37349" spans="7:16" s="1634" customFormat="1">
      <c r="G37349" s="3336"/>
      <c r="P37349" s="3337"/>
    </row>
    <row r="37350" spans="7:16" s="1634" customFormat="1">
      <c r="G37350" s="3336"/>
      <c r="P37350" s="3337"/>
    </row>
    <row r="37351" spans="7:16" s="1634" customFormat="1">
      <c r="G37351" s="3336"/>
      <c r="P37351" s="3337"/>
    </row>
    <row r="37352" spans="7:16" s="1634" customFormat="1">
      <c r="G37352" s="3336"/>
      <c r="P37352" s="3337"/>
    </row>
    <row r="37353" spans="7:16" s="1634" customFormat="1">
      <c r="G37353" s="3336"/>
      <c r="P37353" s="3337"/>
    </row>
    <row r="37354" spans="7:16" s="1634" customFormat="1">
      <c r="G37354" s="3336"/>
      <c r="P37354" s="3337"/>
    </row>
    <row r="37355" spans="7:16" s="1634" customFormat="1">
      <c r="G37355" s="3336"/>
      <c r="P37355" s="3337"/>
    </row>
    <row r="37356" spans="7:16" s="1634" customFormat="1">
      <c r="G37356" s="3336"/>
      <c r="P37356" s="3337"/>
    </row>
    <row r="37357" spans="7:16" s="1634" customFormat="1">
      <c r="G37357" s="3336"/>
      <c r="P37357" s="3337"/>
    </row>
    <row r="37358" spans="7:16" s="1634" customFormat="1">
      <c r="G37358" s="3336"/>
      <c r="P37358" s="3337"/>
    </row>
    <row r="37359" spans="7:16" s="1634" customFormat="1">
      <c r="G37359" s="3336"/>
      <c r="P37359" s="3337"/>
    </row>
    <row r="37360" spans="7:16" s="1634" customFormat="1">
      <c r="G37360" s="3336"/>
      <c r="P37360" s="3337"/>
    </row>
    <row r="37361" spans="7:16" s="1634" customFormat="1">
      <c r="G37361" s="3336"/>
      <c r="P37361" s="3337"/>
    </row>
    <row r="37362" spans="7:16" s="1634" customFormat="1">
      <c r="G37362" s="3336"/>
      <c r="P37362" s="3337"/>
    </row>
    <row r="37363" spans="7:16" s="1634" customFormat="1">
      <c r="G37363" s="3336"/>
      <c r="P37363" s="3337"/>
    </row>
    <row r="37364" spans="7:16" s="1634" customFormat="1">
      <c r="G37364" s="3336"/>
      <c r="P37364" s="3337"/>
    </row>
    <row r="37365" spans="7:16" s="1634" customFormat="1">
      <c r="G37365" s="3336"/>
      <c r="P37365" s="3337"/>
    </row>
    <row r="37366" spans="7:16" s="1634" customFormat="1">
      <c r="G37366" s="3336"/>
      <c r="P37366" s="3337"/>
    </row>
    <row r="37367" spans="7:16" s="1634" customFormat="1">
      <c r="G37367" s="3336"/>
      <c r="P37367" s="3337"/>
    </row>
    <row r="37368" spans="7:16" s="1634" customFormat="1">
      <c r="G37368" s="3336"/>
      <c r="P37368" s="3337"/>
    </row>
    <row r="37369" spans="7:16" s="1634" customFormat="1">
      <c r="G37369" s="3336"/>
      <c r="P37369" s="3337"/>
    </row>
    <row r="37370" spans="7:16" s="1634" customFormat="1">
      <c r="G37370" s="3336"/>
      <c r="P37370" s="3337"/>
    </row>
    <row r="37371" spans="7:16" s="1634" customFormat="1">
      <c r="G37371" s="3336"/>
      <c r="P37371" s="3337"/>
    </row>
    <row r="37372" spans="7:16" s="1634" customFormat="1">
      <c r="G37372" s="3336"/>
      <c r="P37372" s="3337"/>
    </row>
    <row r="37373" spans="7:16" s="1634" customFormat="1">
      <c r="G37373" s="3336"/>
      <c r="P37373" s="3337"/>
    </row>
    <row r="37374" spans="7:16" s="1634" customFormat="1">
      <c r="G37374" s="3336"/>
      <c r="P37374" s="3337"/>
    </row>
    <row r="37375" spans="7:16" s="1634" customFormat="1">
      <c r="G37375" s="3336"/>
      <c r="P37375" s="3337"/>
    </row>
    <row r="37376" spans="7:16" s="1634" customFormat="1">
      <c r="G37376" s="3336"/>
      <c r="P37376" s="3337"/>
    </row>
    <row r="37377" spans="7:16" s="1634" customFormat="1">
      <c r="G37377" s="3336"/>
      <c r="P37377" s="3337"/>
    </row>
    <row r="37378" spans="7:16" s="1634" customFormat="1">
      <c r="G37378" s="3336"/>
      <c r="P37378" s="3337"/>
    </row>
    <row r="37379" spans="7:16" s="1634" customFormat="1">
      <c r="G37379" s="3336"/>
      <c r="P37379" s="3337"/>
    </row>
    <row r="37380" spans="7:16" s="1634" customFormat="1">
      <c r="G37380" s="3336"/>
      <c r="P37380" s="3337"/>
    </row>
    <row r="37381" spans="7:16" s="1634" customFormat="1">
      <c r="G37381" s="3336"/>
      <c r="P37381" s="3337"/>
    </row>
    <row r="37382" spans="7:16" s="1634" customFormat="1">
      <c r="G37382" s="3336"/>
      <c r="P37382" s="3337"/>
    </row>
    <row r="37383" spans="7:16" s="1634" customFormat="1">
      <c r="G37383" s="3336"/>
      <c r="P37383" s="3337"/>
    </row>
    <row r="37384" spans="7:16" s="1634" customFormat="1">
      <c r="G37384" s="3336"/>
      <c r="P37384" s="3337"/>
    </row>
    <row r="37385" spans="7:16" s="1634" customFormat="1">
      <c r="G37385" s="3336"/>
      <c r="P37385" s="3337"/>
    </row>
    <row r="37386" spans="7:16" s="1634" customFormat="1">
      <c r="G37386" s="3336"/>
      <c r="P37386" s="3337"/>
    </row>
    <row r="37387" spans="7:16" s="1634" customFormat="1">
      <c r="G37387" s="3336"/>
      <c r="P37387" s="3337"/>
    </row>
    <row r="37388" spans="7:16" s="1634" customFormat="1">
      <c r="G37388" s="3336"/>
      <c r="P37388" s="3337"/>
    </row>
    <row r="37389" spans="7:16" s="1634" customFormat="1">
      <c r="G37389" s="3336"/>
      <c r="P37389" s="3337"/>
    </row>
    <row r="37390" spans="7:16" s="1634" customFormat="1">
      <c r="G37390" s="3336"/>
      <c r="P37390" s="3337"/>
    </row>
    <row r="37391" spans="7:16" s="1634" customFormat="1">
      <c r="G37391" s="3336"/>
      <c r="P37391" s="3337"/>
    </row>
    <row r="37392" spans="7:16" s="1634" customFormat="1">
      <c r="G37392" s="3336"/>
      <c r="P37392" s="3337"/>
    </row>
    <row r="37393" spans="7:16" s="1634" customFormat="1">
      <c r="G37393" s="3336"/>
      <c r="P37393" s="3337"/>
    </row>
    <row r="37394" spans="7:16" s="1634" customFormat="1">
      <c r="G37394" s="3336"/>
      <c r="P37394" s="3337"/>
    </row>
    <row r="37395" spans="7:16" s="1634" customFormat="1">
      <c r="G37395" s="3336"/>
      <c r="P37395" s="3337"/>
    </row>
    <row r="37396" spans="7:16" s="1634" customFormat="1">
      <c r="G37396" s="3336"/>
      <c r="P37396" s="3337"/>
    </row>
    <row r="37397" spans="7:16" s="1634" customFormat="1">
      <c r="G37397" s="3336"/>
      <c r="P37397" s="3337"/>
    </row>
    <row r="37398" spans="7:16" s="1634" customFormat="1">
      <c r="G37398" s="3336"/>
      <c r="P37398" s="3337"/>
    </row>
    <row r="37399" spans="7:16" s="1634" customFormat="1">
      <c r="G37399" s="3336"/>
      <c r="P37399" s="3337"/>
    </row>
    <row r="37400" spans="7:16" s="1634" customFormat="1">
      <c r="G37400" s="3336"/>
      <c r="P37400" s="3337"/>
    </row>
    <row r="37401" spans="7:16" s="1634" customFormat="1">
      <c r="G37401" s="3336"/>
      <c r="P37401" s="3337"/>
    </row>
    <row r="37402" spans="7:16" s="1634" customFormat="1">
      <c r="G37402" s="3336"/>
      <c r="P37402" s="3337"/>
    </row>
    <row r="37403" spans="7:16" s="1634" customFormat="1">
      <c r="G37403" s="3336"/>
      <c r="P37403" s="3337"/>
    </row>
    <row r="37404" spans="7:16" s="1634" customFormat="1">
      <c r="G37404" s="3336"/>
      <c r="P37404" s="3337"/>
    </row>
    <row r="37405" spans="7:16" s="1634" customFormat="1">
      <c r="G37405" s="3336"/>
      <c r="P37405" s="3337"/>
    </row>
    <row r="37406" spans="7:16" s="1634" customFormat="1">
      <c r="G37406" s="3336"/>
      <c r="P37406" s="3337"/>
    </row>
    <row r="37407" spans="7:16" s="1634" customFormat="1">
      <c r="G37407" s="3336"/>
      <c r="P37407" s="3337"/>
    </row>
    <row r="37408" spans="7:16" s="1634" customFormat="1">
      <c r="G37408" s="3336"/>
      <c r="P37408" s="3337"/>
    </row>
    <row r="37409" spans="7:16" s="1634" customFormat="1">
      <c r="G37409" s="3336"/>
      <c r="P37409" s="3337"/>
    </row>
    <row r="37410" spans="7:16" s="1634" customFormat="1">
      <c r="G37410" s="3336"/>
      <c r="P37410" s="3337"/>
    </row>
    <row r="37411" spans="7:16" s="1634" customFormat="1">
      <c r="G37411" s="3336"/>
      <c r="P37411" s="3337"/>
    </row>
    <row r="37412" spans="7:16" s="1634" customFormat="1">
      <c r="G37412" s="3336"/>
      <c r="P37412" s="3337"/>
    </row>
    <row r="37413" spans="7:16" s="1634" customFormat="1">
      <c r="G37413" s="3336"/>
      <c r="P37413" s="3337"/>
    </row>
    <row r="37414" spans="7:16" s="1634" customFormat="1">
      <c r="G37414" s="3336"/>
      <c r="P37414" s="3337"/>
    </row>
    <row r="37415" spans="7:16" s="1634" customFormat="1">
      <c r="G37415" s="3336"/>
      <c r="P37415" s="3337"/>
    </row>
    <row r="37416" spans="7:16" s="1634" customFormat="1">
      <c r="G37416" s="3336"/>
      <c r="P37416" s="3337"/>
    </row>
    <row r="37417" spans="7:16" s="1634" customFormat="1">
      <c r="G37417" s="3336"/>
      <c r="P37417" s="3337"/>
    </row>
    <row r="37418" spans="7:16" s="1634" customFormat="1">
      <c r="G37418" s="3336"/>
      <c r="P37418" s="3337"/>
    </row>
    <row r="37419" spans="7:16" s="1634" customFormat="1">
      <c r="G37419" s="3336"/>
      <c r="P37419" s="3337"/>
    </row>
    <row r="37420" spans="7:16" s="1634" customFormat="1">
      <c r="G37420" s="3336"/>
      <c r="P37420" s="3337"/>
    </row>
    <row r="37421" spans="7:16" s="1634" customFormat="1">
      <c r="G37421" s="3336"/>
      <c r="P37421" s="3337"/>
    </row>
    <row r="37422" spans="7:16" s="1634" customFormat="1">
      <c r="G37422" s="3336"/>
      <c r="P37422" s="3337"/>
    </row>
    <row r="37423" spans="7:16" s="1634" customFormat="1">
      <c r="G37423" s="3336"/>
      <c r="P37423" s="3337"/>
    </row>
    <row r="37424" spans="7:16" s="1634" customFormat="1">
      <c r="G37424" s="3336"/>
      <c r="P37424" s="3337"/>
    </row>
    <row r="37425" spans="7:16" s="1634" customFormat="1">
      <c r="G37425" s="3336"/>
      <c r="P37425" s="3337"/>
    </row>
    <row r="37426" spans="7:16" s="1634" customFormat="1">
      <c r="G37426" s="3336"/>
      <c r="P37426" s="3337"/>
    </row>
    <row r="37427" spans="7:16" s="1634" customFormat="1">
      <c r="G37427" s="3336"/>
      <c r="P37427" s="3337"/>
    </row>
    <row r="37428" spans="7:16" s="1634" customFormat="1">
      <c r="G37428" s="3336"/>
      <c r="P37428" s="3337"/>
    </row>
    <row r="37429" spans="7:16" s="1634" customFormat="1">
      <c r="G37429" s="3336"/>
      <c r="P37429" s="3337"/>
    </row>
    <row r="37430" spans="7:16" s="1634" customFormat="1">
      <c r="G37430" s="3336"/>
      <c r="P37430" s="3337"/>
    </row>
    <row r="37431" spans="7:16" s="1634" customFormat="1">
      <c r="G37431" s="3336"/>
      <c r="P37431" s="3337"/>
    </row>
    <row r="37432" spans="7:16" s="1634" customFormat="1">
      <c r="G37432" s="3336"/>
      <c r="P37432" s="3337"/>
    </row>
    <row r="37433" spans="7:16" s="1634" customFormat="1">
      <c r="G37433" s="3336"/>
      <c r="P37433" s="3337"/>
    </row>
    <row r="37434" spans="7:16" s="1634" customFormat="1">
      <c r="G37434" s="3336"/>
      <c r="P37434" s="3337"/>
    </row>
    <row r="37435" spans="7:16" s="1634" customFormat="1">
      <c r="G37435" s="3336"/>
      <c r="P37435" s="3337"/>
    </row>
    <row r="37436" spans="7:16" s="1634" customFormat="1">
      <c r="G37436" s="3336"/>
      <c r="P37436" s="3337"/>
    </row>
    <row r="37437" spans="7:16" s="1634" customFormat="1">
      <c r="G37437" s="3336"/>
      <c r="P37437" s="3337"/>
    </row>
    <row r="37438" spans="7:16" s="1634" customFormat="1">
      <c r="G37438" s="3336"/>
      <c r="P37438" s="3337"/>
    </row>
    <row r="37439" spans="7:16" s="1634" customFormat="1">
      <c r="G37439" s="3336"/>
      <c r="P37439" s="3337"/>
    </row>
    <row r="37440" spans="7:16" s="1634" customFormat="1">
      <c r="G37440" s="3336"/>
      <c r="P37440" s="3337"/>
    </row>
    <row r="37441" spans="7:16" s="1634" customFormat="1">
      <c r="G37441" s="3336"/>
      <c r="P37441" s="3337"/>
    </row>
    <row r="37442" spans="7:16" s="1634" customFormat="1">
      <c r="G37442" s="3336"/>
      <c r="P37442" s="3337"/>
    </row>
    <row r="37443" spans="7:16" s="1634" customFormat="1">
      <c r="G37443" s="3336"/>
      <c r="P37443" s="3337"/>
    </row>
    <row r="37444" spans="7:16" s="1634" customFormat="1">
      <c r="G37444" s="3336"/>
      <c r="P37444" s="3337"/>
    </row>
    <row r="37445" spans="7:16" s="1634" customFormat="1">
      <c r="G37445" s="3336"/>
      <c r="P37445" s="3337"/>
    </row>
    <row r="37446" spans="7:16" s="1634" customFormat="1">
      <c r="G37446" s="3336"/>
      <c r="P37446" s="3337"/>
    </row>
    <row r="37447" spans="7:16" s="1634" customFormat="1">
      <c r="G37447" s="3336"/>
      <c r="P37447" s="3337"/>
    </row>
    <row r="37448" spans="7:16" s="1634" customFormat="1">
      <c r="G37448" s="3336"/>
      <c r="P37448" s="3337"/>
    </row>
    <row r="37449" spans="7:16" s="1634" customFormat="1">
      <c r="G37449" s="3336"/>
      <c r="P37449" s="3337"/>
    </row>
    <row r="37450" spans="7:16" s="1634" customFormat="1">
      <c r="G37450" s="3336"/>
      <c r="P37450" s="3337"/>
    </row>
    <row r="37451" spans="7:16" s="1634" customFormat="1">
      <c r="G37451" s="3336"/>
      <c r="P37451" s="3337"/>
    </row>
    <row r="37452" spans="7:16" s="1634" customFormat="1">
      <c r="G37452" s="3336"/>
      <c r="P37452" s="3337"/>
    </row>
    <row r="37453" spans="7:16" s="1634" customFormat="1">
      <c r="G37453" s="3336"/>
      <c r="P37453" s="3337"/>
    </row>
    <row r="37454" spans="7:16" s="1634" customFormat="1">
      <c r="G37454" s="3336"/>
      <c r="P37454" s="3337"/>
    </row>
    <row r="37455" spans="7:16" s="1634" customFormat="1">
      <c r="G37455" s="3336"/>
      <c r="P37455" s="3337"/>
    </row>
    <row r="37456" spans="7:16" s="1634" customFormat="1">
      <c r="G37456" s="3336"/>
      <c r="P37456" s="3337"/>
    </row>
    <row r="37457" spans="7:16" s="1634" customFormat="1">
      <c r="G37457" s="3336"/>
      <c r="P37457" s="3337"/>
    </row>
    <row r="37458" spans="7:16" s="1634" customFormat="1">
      <c r="G37458" s="3336"/>
      <c r="P37458" s="3337"/>
    </row>
    <row r="37459" spans="7:16" s="1634" customFormat="1">
      <c r="G37459" s="3336"/>
      <c r="P37459" s="3337"/>
    </row>
    <row r="37460" spans="7:16" s="1634" customFormat="1">
      <c r="G37460" s="3336"/>
      <c r="P37460" s="3337"/>
    </row>
    <row r="37461" spans="7:16" s="1634" customFormat="1">
      <c r="G37461" s="3336"/>
      <c r="P37461" s="3337"/>
    </row>
    <row r="37462" spans="7:16" s="1634" customFormat="1">
      <c r="G37462" s="3336"/>
      <c r="P37462" s="3337"/>
    </row>
    <row r="37463" spans="7:16" s="1634" customFormat="1">
      <c r="G37463" s="3336"/>
      <c r="P37463" s="3337"/>
    </row>
    <row r="37464" spans="7:16" s="1634" customFormat="1">
      <c r="G37464" s="3336"/>
      <c r="P37464" s="3337"/>
    </row>
    <row r="37465" spans="7:16" s="1634" customFormat="1">
      <c r="G37465" s="3336"/>
      <c r="P37465" s="3337"/>
    </row>
    <row r="37466" spans="7:16" s="1634" customFormat="1">
      <c r="G37466" s="3336"/>
      <c r="P37466" s="3337"/>
    </row>
    <row r="37467" spans="7:16" s="1634" customFormat="1">
      <c r="G37467" s="3336"/>
      <c r="P37467" s="3337"/>
    </row>
    <row r="37468" spans="7:16" s="1634" customFormat="1">
      <c r="G37468" s="3336"/>
      <c r="P37468" s="3337"/>
    </row>
    <row r="37469" spans="7:16" s="1634" customFormat="1">
      <c r="G37469" s="3336"/>
      <c r="P37469" s="3337"/>
    </row>
    <row r="37470" spans="7:16" s="1634" customFormat="1">
      <c r="G37470" s="3336"/>
      <c r="P37470" s="3337"/>
    </row>
    <row r="37471" spans="7:16" s="1634" customFormat="1">
      <c r="G37471" s="3336"/>
      <c r="P37471" s="3337"/>
    </row>
    <row r="37472" spans="7:16" s="1634" customFormat="1">
      <c r="G37472" s="3336"/>
      <c r="P37472" s="3337"/>
    </row>
    <row r="37473" spans="7:16" s="1634" customFormat="1">
      <c r="G37473" s="3336"/>
      <c r="P37473" s="3337"/>
    </row>
    <row r="37474" spans="7:16" s="1634" customFormat="1">
      <c r="G37474" s="3336"/>
      <c r="P37474" s="3337"/>
    </row>
    <row r="37475" spans="7:16" s="1634" customFormat="1">
      <c r="G37475" s="3336"/>
      <c r="P37475" s="3337"/>
    </row>
    <row r="37476" spans="7:16" s="1634" customFormat="1">
      <c r="G37476" s="3336"/>
      <c r="P37476" s="3337"/>
    </row>
    <row r="37477" spans="7:16" s="1634" customFormat="1">
      <c r="G37477" s="3336"/>
      <c r="P37477" s="3337"/>
    </row>
    <row r="37478" spans="7:16" s="1634" customFormat="1">
      <c r="G37478" s="3336"/>
      <c r="P37478" s="3337"/>
    </row>
    <row r="37479" spans="7:16" s="1634" customFormat="1">
      <c r="G37479" s="3336"/>
      <c r="P37479" s="3337"/>
    </row>
    <row r="37480" spans="7:16" s="1634" customFormat="1">
      <c r="G37480" s="3336"/>
      <c r="P37480" s="3337"/>
    </row>
    <row r="37481" spans="7:16" s="1634" customFormat="1">
      <c r="G37481" s="3336"/>
      <c r="P37481" s="3337"/>
    </row>
    <row r="37482" spans="7:16" s="1634" customFormat="1">
      <c r="G37482" s="3336"/>
      <c r="P37482" s="3337"/>
    </row>
    <row r="37483" spans="7:16" s="1634" customFormat="1">
      <c r="G37483" s="3336"/>
      <c r="P37483" s="3337"/>
    </row>
    <row r="37484" spans="7:16" s="1634" customFormat="1">
      <c r="G37484" s="3336"/>
      <c r="P37484" s="3337"/>
    </row>
    <row r="37485" spans="7:16" s="1634" customFormat="1">
      <c r="G37485" s="3336"/>
      <c r="P37485" s="3337"/>
    </row>
    <row r="37486" spans="7:16" s="1634" customFormat="1">
      <c r="G37486" s="3336"/>
      <c r="P37486" s="3337"/>
    </row>
    <row r="37487" spans="7:16" s="1634" customFormat="1">
      <c r="G37487" s="3336"/>
      <c r="P37487" s="3337"/>
    </row>
    <row r="37488" spans="7:16" s="1634" customFormat="1">
      <c r="G37488" s="3336"/>
      <c r="P37488" s="3337"/>
    </row>
    <row r="37489" spans="7:16" s="1634" customFormat="1">
      <c r="G37489" s="3336"/>
      <c r="P37489" s="3337"/>
    </row>
    <row r="37490" spans="7:16" s="1634" customFormat="1">
      <c r="G37490" s="3336"/>
      <c r="P37490" s="3337"/>
    </row>
    <row r="37491" spans="7:16" s="1634" customFormat="1">
      <c r="G37491" s="3336"/>
      <c r="P37491" s="3337"/>
    </row>
    <row r="37492" spans="7:16" s="1634" customFormat="1">
      <c r="G37492" s="3336"/>
      <c r="P37492" s="3337"/>
    </row>
    <row r="37493" spans="7:16" s="1634" customFormat="1">
      <c r="G37493" s="3336"/>
      <c r="P37493" s="3337"/>
    </row>
    <row r="37494" spans="7:16" s="1634" customFormat="1">
      <c r="G37494" s="3336"/>
      <c r="P37494" s="3337"/>
    </row>
    <row r="37495" spans="7:16" s="1634" customFormat="1">
      <c r="G37495" s="3336"/>
      <c r="P37495" s="3337"/>
    </row>
    <row r="37496" spans="7:16" s="1634" customFormat="1">
      <c r="G37496" s="3336"/>
      <c r="P37496" s="3337"/>
    </row>
    <row r="37497" spans="7:16" s="1634" customFormat="1">
      <c r="G37497" s="3336"/>
      <c r="P37497" s="3337"/>
    </row>
    <row r="37498" spans="7:16" s="1634" customFormat="1">
      <c r="G37498" s="3336"/>
      <c r="P37498" s="3337"/>
    </row>
    <row r="37499" spans="7:16" s="1634" customFormat="1">
      <c r="G37499" s="3336"/>
      <c r="P37499" s="3337"/>
    </row>
    <row r="37500" spans="7:16" s="1634" customFormat="1">
      <c r="G37500" s="3336"/>
      <c r="P37500" s="3337"/>
    </row>
    <row r="37501" spans="7:16" s="1634" customFormat="1">
      <c r="G37501" s="3336"/>
      <c r="P37501" s="3337"/>
    </row>
    <row r="37502" spans="7:16" s="1634" customFormat="1">
      <c r="G37502" s="3336"/>
      <c r="P37502" s="3337"/>
    </row>
    <row r="37503" spans="7:16" s="1634" customFormat="1">
      <c r="G37503" s="3336"/>
      <c r="P37503" s="3337"/>
    </row>
    <row r="37504" spans="7:16" s="1634" customFormat="1">
      <c r="G37504" s="3336"/>
      <c r="P37504" s="3337"/>
    </row>
    <row r="37505" spans="7:16" s="1634" customFormat="1">
      <c r="G37505" s="3336"/>
      <c r="P37505" s="3337"/>
    </row>
    <row r="37506" spans="7:16" s="1634" customFormat="1">
      <c r="G37506" s="3336"/>
      <c r="P37506" s="3337"/>
    </row>
    <row r="37507" spans="7:16" s="1634" customFormat="1">
      <c r="G37507" s="3336"/>
      <c r="P37507" s="3337"/>
    </row>
    <row r="37508" spans="7:16" s="1634" customFormat="1">
      <c r="G37508" s="3336"/>
      <c r="P37508" s="3337"/>
    </row>
    <row r="37509" spans="7:16" s="1634" customFormat="1">
      <c r="G37509" s="3336"/>
      <c r="P37509" s="3337"/>
    </row>
    <row r="37510" spans="7:16" s="1634" customFormat="1">
      <c r="G37510" s="3336"/>
      <c r="P37510" s="3337"/>
    </row>
    <row r="37511" spans="7:16" s="1634" customFormat="1">
      <c r="G37511" s="3336"/>
      <c r="P37511" s="3337"/>
    </row>
    <row r="37512" spans="7:16" s="1634" customFormat="1">
      <c r="G37512" s="3336"/>
      <c r="P37512" s="3337"/>
    </row>
    <row r="37513" spans="7:16" s="1634" customFormat="1">
      <c r="G37513" s="3336"/>
      <c r="P37513" s="3337"/>
    </row>
    <row r="37514" spans="7:16" s="1634" customFormat="1">
      <c r="G37514" s="3336"/>
      <c r="P37514" s="3337"/>
    </row>
    <row r="37515" spans="7:16" s="1634" customFormat="1">
      <c r="G37515" s="3336"/>
      <c r="P37515" s="3337"/>
    </row>
    <row r="37516" spans="7:16" s="1634" customFormat="1">
      <c r="G37516" s="3336"/>
      <c r="P37516" s="3337"/>
    </row>
    <row r="37517" spans="7:16" s="1634" customFormat="1">
      <c r="G37517" s="3336"/>
      <c r="P37517" s="3337"/>
    </row>
    <row r="37518" spans="7:16" s="1634" customFormat="1">
      <c r="G37518" s="3336"/>
      <c r="P37518" s="3337"/>
    </row>
    <row r="37519" spans="7:16" s="1634" customFormat="1">
      <c r="G37519" s="3336"/>
      <c r="P37519" s="3337"/>
    </row>
    <row r="37520" spans="7:16" s="1634" customFormat="1">
      <c r="G37520" s="3336"/>
      <c r="P37520" s="3337"/>
    </row>
    <row r="37521" spans="7:16" s="1634" customFormat="1">
      <c r="G37521" s="3336"/>
      <c r="P37521" s="3337"/>
    </row>
    <row r="37522" spans="7:16" s="1634" customFormat="1">
      <c r="G37522" s="3336"/>
      <c r="P37522" s="3337"/>
    </row>
    <row r="37523" spans="7:16" s="1634" customFormat="1">
      <c r="G37523" s="3336"/>
      <c r="P37523" s="3337"/>
    </row>
    <row r="37524" spans="7:16" s="1634" customFormat="1">
      <c r="G37524" s="3336"/>
      <c r="P37524" s="3337"/>
    </row>
    <row r="37525" spans="7:16" s="1634" customFormat="1">
      <c r="G37525" s="3336"/>
      <c r="P37525" s="3337"/>
    </row>
    <row r="37526" spans="7:16" s="1634" customFormat="1">
      <c r="G37526" s="3336"/>
      <c r="P37526" s="3337"/>
    </row>
    <row r="37527" spans="7:16" s="1634" customFormat="1">
      <c r="G37527" s="3336"/>
      <c r="P37527" s="3337"/>
    </row>
    <row r="37528" spans="7:16" s="1634" customFormat="1">
      <c r="G37528" s="3336"/>
      <c r="P37528" s="3337"/>
    </row>
    <row r="37529" spans="7:16" s="1634" customFormat="1">
      <c r="G37529" s="3336"/>
      <c r="P37529" s="3337"/>
    </row>
    <row r="37530" spans="7:16" s="1634" customFormat="1">
      <c r="G37530" s="3336"/>
      <c r="P37530" s="3337"/>
    </row>
    <row r="37531" spans="7:16" s="1634" customFormat="1">
      <c r="G37531" s="3336"/>
      <c r="P37531" s="3337"/>
    </row>
    <row r="37532" spans="7:16" s="1634" customFormat="1">
      <c r="G37532" s="3336"/>
      <c r="P37532" s="3337"/>
    </row>
    <row r="37533" spans="7:16" s="1634" customFormat="1">
      <c r="G37533" s="3336"/>
      <c r="P37533" s="3337"/>
    </row>
    <row r="37534" spans="7:16" s="1634" customFormat="1">
      <c r="G37534" s="3336"/>
      <c r="P37534" s="3337"/>
    </row>
    <row r="37535" spans="7:16" s="1634" customFormat="1">
      <c r="G37535" s="3336"/>
      <c r="P37535" s="3337"/>
    </row>
    <row r="37536" spans="7:16" s="1634" customFormat="1">
      <c r="G37536" s="3336"/>
      <c r="P37536" s="3337"/>
    </row>
    <row r="37537" spans="7:16" s="1634" customFormat="1">
      <c r="G37537" s="3336"/>
      <c r="P37537" s="3337"/>
    </row>
    <row r="37538" spans="7:16" s="1634" customFormat="1">
      <c r="G37538" s="3336"/>
      <c r="P37538" s="3337"/>
    </row>
    <row r="37539" spans="7:16" s="1634" customFormat="1">
      <c r="G37539" s="3336"/>
      <c r="P37539" s="3337"/>
    </row>
    <row r="37540" spans="7:16" s="1634" customFormat="1">
      <c r="G37540" s="3336"/>
      <c r="P37540" s="3337"/>
    </row>
    <row r="37541" spans="7:16" s="1634" customFormat="1">
      <c r="G37541" s="3336"/>
      <c r="P37541" s="3337"/>
    </row>
    <row r="37542" spans="7:16" s="1634" customFormat="1">
      <c r="G37542" s="3336"/>
      <c r="P37542" s="3337"/>
    </row>
    <row r="37543" spans="7:16" s="1634" customFormat="1">
      <c r="G37543" s="3336"/>
      <c r="P37543" s="3337"/>
    </row>
    <row r="37544" spans="7:16" s="1634" customFormat="1">
      <c r="G37544" s="3336"/>
      <c r="P37544" s="3337"/>
    </row>
    <row r="37545" spans="7:16" s="1634" customFormat="1">
      <c r="G37545" s="3336"/>
      <c r="P37545" s="3337"/>
    </row>
    <row r="37546" spans="7:16" s="1634" customFormat="1">
      <c r="G37546" s="3336"/>
      <c r="P37546" s="3337"/>
    </row>
    <row r="37547" spans="7:16" s="1634" customFormat="1">
      <c r="G37547" s="3336"/>
      <c r="P37547" s="3337"/>
    </row>
    <row r="37548" spans="7:16" s="1634" customFormat="1">
      <c r="G37548" s="3336"/>
      <c r="P37548" s="3337"/>
    </row>
    <row r="37549" spans="7:16" s="1634" customFormat="1">
      <c r="G37549" s="3336"/>
      <c r="P37549" s="3337"/>
    </row>
    <row r="37550" spans="7:16" s="1634" customFormat="1">
      <c r="G37550" s="3336"/>
      <c r="P37550" s="3337"/>
    </row>
    <row r="37551" spans="7:16" s="1634" customFormat="1">
      <c r="G37551" s="3336"/>
      <c r="P37551" s="3337"/>
    </row>
    <row r="37552" spans="7:16" s="1634" customFormat="1">
      <c r="G37552" s="3336"/>
      <c r="P37552" s="3337"/>
    </row>
    <row r="37553" spans="7:16" s="1634" customFormat="1">
      <c r="G37553" s="3336"/>
      <c r="P37553" s="3337"/>
    </row>
    <row r="37554" spans="7:16" s="1634" customFormat="1">
      <c r="G37554" s="3336"/>
      <c r="P37554" s="3337"/>
    </row>
    <row r="37555" spans="7:16" s="1634" customFormat="1">
      <c r="G37555" s="3336"/>
      <c r="P37555" s="3337"/>
    </row>
    <row r="37556" spans="7:16" s="1634" customFormat="1">
      <c r="G37556" s="3336"/>
      <c r="P37556" s="3337"/>
    </row>
    <row r="37557" spans="7:16" s="1634" customFormat="1">
      <c r="G37557" s="3336"/>
      <c r="P37557" s="3337"/>
    </row>
    <row r="37558" spans="7:16" s="1634" customFormat="1">
      <c r="G37558" s="3336"/>
      <c r="P37558" s="3337"/>
    </row>
    <row r="37559" spans="7:16" s="1634" customFormat="1">
      <c r="G37559" s="3336"/>
      <c r="P37559" s="3337"/>
    </row>
    <row r="37560" spans="7:16" s="1634" customFormat="1">
      <c r="G37560" s="3336"/>
      <c r="P37560" s="3337"/>
    </row>
    <row r="37561" spans="7:16" s="1634" customFormat="1">
      <c r="G37561" s="3336"/>
      <c r="P37561" s="3337"/>
    </row>
    <row r="37562" spans="7:16" s="1634" customFormat="1">
      <c r="G37562" s="3336"/>
      <c r="P37562" s="3337"/>
    </row>
    <row r="37563" spans="7:16" s="1634" customFormat="1">
      <c r="G37563" s="3336"/>
      <c r="P37563" s="3337"/>
    </row>
    <row r="37564" spans="7:16" s="1634" customFormat="1">
      <c r="G37564" s="3336"/>
      <c r="P37564" s="3337"/>
    </row>
    <row r="37565" spans="7:16" s="1634" customFormat="1">
      <c r="G37565" s="3336"/>
      <c r="P37565" s="3337"/>
    </row>
    <row r="37566" spans="7:16" s="1634" customFormat="1">
      <c r="G37566" s="3336"/>
      <c r="P37566" s="3337"/>
    </row>
    <row r="37567" spans="7:16" s="1634" customFormat="1">
      <c r="G37567" s="3336"/>
      <c r="P37567" s="3337"/>
    </row>
    <row r="37568" spans="7:16" s="1634" customFormat="1">
      <c r="G37568" s="3336"/>
      <c r="P37568" s="3337"/>
    </row>
    <row r="37569" spans="7:16" s="1634" customFormat="1">
      <c r="G37569" s="3336"/>
      <c r="P37569" s="3337"/>
    </row>
    <row r="37570" spans="7:16" s="1634" customFormat="1">
      <c r="G37570" s="3336"/>
      <c r="P37570" s="3337"/>
    </row>
    <row r="37571" spans="7:16" s="1634" customFormat="1">
      <c r="G37571" s="3336"/>
      <c r="P37571" s="3337"/>
    </row>
    <row r="37572" spans="7:16" s="1634" customFormat="1">
      <c r="G37572" s="3336"/>
      <c r="P37572" s="3337"/>
    </row>
    <row r="37573" spans="7:16" s="1634" customFormat="1">
      <c r="G37573" s="3336"/>
      <c r="P37573" s="3337"/>
    </row>
    <row r="37574" spans="7:16" s="1634" customFormat="1">
      <c r="G37574" s="3336"/>
      <c r="P37574" s="3337"/>
    </row>
    <row r="37575" spans="7:16" s="1634" customFormat="1">
      <c r="G37575" s="3336"/>
      <c r="P37575" s="3337"/>
    </row>
    <row r="37576" spans="7:16" s="1634" customFormat="1">
      <c r="G37576" s="3336"/>
      <c r="P37576" s="3337"/>
    </row>
    <row r="37577" spans="7:16" s="1634" customFormat="1">
      <c r="G37577" s="3336"/>
      <c r="P37577" s="3337"/>
    </row>
    <row r="37578" spans="7:16" s="1634" customFormat="1">
      <c r="G37578" s="3336"/>
      <c r="P37578" s="3337"/>
    </row>
    <row r="37579" spans="7:16" s="1634" customFormat="1">
      <c r="G37579" s="3336"/>
      <c r="P37579" s="3337"/>
    </row>
    <row r="37580" spans="7:16" s="1634" customFormat="1">
      <c r="G37580" s="3336"/>
      <c r="P37580" s="3337"/>
    </row>
    <row r="37581" spans="7:16" s="1634" customFormat="1">
      <c r="G37581" s="3336"/>
      <c r="P37581" s="3337"/>
    </row>
    <row r="37582" spans="7:16" s="1634" customFormat="1">
      <c r="G37582" s="3336"/>
      <c r="P37582" s="3337"/>
    </row>
    <row r="37583" spans="7:16" s="1634" customFormat="1">
      <c r="G37583" s="3336"/>
      <c r="P37583" s="3337"/>
    </row>
    <row r="37584" spans="7:16" s="1634" customFormat="1">
      <c r="G37584" s="3336"/>
      <c r="P37584" s="3337"/>
    </row>
    <row r="37585" spans="7:16" s="1634" customFormat="1">
      <c r="G37585" s="3336"/>
      <c r="P37585" s="3337"/>
    </row>
    <row r="37586" spans="7:16" s="1634" customFormat="1">
      <c r="G37586" s="3336"/>
      <c r="P37586" s="3337"/>
    </row>
    <row r="37587" spans="7:16" s="1634" customFormat="1">
      <c r="G37587" s="3336"/>
      <c r="P37587" s="3337"/>
    </row>
    <row r="37588" spans="7:16" s="1634" customFormat="1">
      <c r="G37588" s="3336"/>
      <c r="P37588" s="3337"/>
    </row>
    <row r="37589" spans="7:16" s="1634" customFormat="1">
      <c r="G37589" s="3336"/>
      <c r="P37589" s="3337"/>
    </row>
    <row r="37590" spans="7:16" s="1634" customFormat="1">
      <c r="G37590" s="3336"/>
      <c r="P37590" s="3337"/>
    </row>
    <row r="37591" spans="7:16" s="1634" customFormat="1">
      <c r="G37591" s="3336"/>
      <c r="P37591" s="3337"/>
    </row>
    <row r="37592" spans="7:16" s="1634" customFormat="1">
      <c r="G37592" s="3336"/>
      <c r="P37592" s="3337"/>
    </row>
    <row r="37593" spans="7:16" s="1634" customFormat="1">
      <c r="G37593" s="3336"/>
      <c r="P37593" s="3337"/>
    </row>
    <row r="37594" spans="7:16" s="1634" customFormat="1">
      <c r="G37594" s="3336"/>
      <c r="P37594" s="3337"/>
    </row>
    <row r="37595" spans="7:16" s="1634" customFormat="1">
      <c r="G37595" s="3336"/>
      <c r="P37595" s="3337"/>
    </row>
    <row r="37596" spans="7:16" s="1634" customFormat="1">
      <c r="G37596" s="3336"/>
      <c r="P37596" s="3337"/>
    </row>
    <row r="37597" spans="7:16" s="1634" customFormat="1">
      <c r="G37597" s="3336"/>
      <c r="P37597" s="3337"/>
    </row>
    <row r="37598" spans="7:16" s="1634" customFormat="1">
      <c r="G37598" s="3336"/>
      <c r="P37598" s="3337"/>
    </row>
    <row r="37599" spans="7:16" s="1634" customFormat="1">
      <c r="G37599" s="3336"/>
      <c r="P37599" s="3337"/>
    </row>
    <row r="37600" spans="7:16" s="1634" customFormat="1">
      <c r="G37600" s="3336"/>
      <c r="P37600" s="3337"/>
    </row>
    <row r="37601" spans="7:16" s="1634" customFormat="1">
      <c r="G37601" s="3336"/>
      <c r="P37601" s="3337"/>
    </row>
    <row r="37602" spans="7:16" s="1634" customFormat="1">
      <c r="G37602" s="3336"/>
      <c r="P37602" s="3337"/>
    </row>
    <row r="37603" spans="7:16" s="1634" customFormat="1">
      <c r="G37603" s="3336"/>
      <c r="P37603" s="3337"/>
    </row>
    <row r="37604" spans="7:16" s="1634" customFormat="1">
      <c r="G37604" s="3336"/>
      <c r="P37604" s="3337"/>
    </row>
    <row r="37605" spans="7:16" s="1634" customFormat="1">
      <c r="G37605" s="3336"/>
      <c r="P37605" s="3337"/>
    </row>
    <row r="37606" spans="7:16" s="1634" customFormat="1">
      <c r="G37606" s="3336"/>
      <c r="P37606" s="3337"/>
    </row>
    <row r="37607" spans="7:16" s="1634" customFormat="1">
      <c r="G37607" s="3336"/>
      <c r="P37607" s="3337"/>
    </row>
    <row r="37608" spans="7:16" s="1634" customFormat="1">
      <c r="G37608" s="3336"/>
      <c r="P37608" s="3337"/>
    </row>
    <row r="37609" spans="7:16" s="1634" customFormat="1">
      <c r="G37609" s="3336"/>
      <c r="P37609" s="3337"/>
    </row>
    <row r="37610" spans="7:16" s="1634" customFormat="1">
      <c r="G37610" s="3336"/>
      <c r="P37610" s="3337"/>
    </row>
    <row r="37611" spans="7:16" s="1634" customFormat="1">
      <c r="G37611" s="3336"/>
      <c r="P37611" s="3337"/>
    </row>
    <row r="37612" spans="7:16" s="1634" customFormat="1">
      <c r="G37612" s="3336"/>
      <c r="P37612" s="3337"/>
    </row>
    <row r="37613" spans="7:16" s="1634" customFormat="1">
      <c r="G37613" s="3336"/>
      <c r="P37613" s="3337"/>
    </row>
    <row r="37614" spans="7:16" s="1634" customFormat="1">
      <c r="G37614" s="3336"/>
      <c r="P37614" s="3337"/>
    </row>
    <row r="37615" spans="7:16" s="1634" customFormat="1">
      <c r="G37615" s="3336"/>
      <c r="P37615" s="3337"/>
    </row>
    <row r="37616" spans="7:16" s="1634" customFormat="1">
      <c r="G37616" s="3336"/>
      <c r="P37616" s="3337"/>
    </row>
    <row r="37617" spans="7:16" s="1634" customFormat="1">
      <c r="G37617" s="3336"/>
      <c r="P37617" s="3337"/>
    </row>
    <row r="37618" spans="7:16" s="1634" customFormat="1">
      <c r="G37618" s="3336"/>
      <c r="P37618" s="3337"/>
    </row>
    <row r="37619" spans="7:16" s="1634" customFormat="1">
      <c r="G37619" s="3336"/>
      <c r="P37619" s="3337"/>
    </row>
    <row r="37620" spans="7:16" s="1634" customFormat="1">
      <c r="G37620" s="3336"/>
      <c r="P37620" s="3337"/>
    </row>
    <row r="37621" spans="7:16" s="1634" customFormat="1">
      <c r="G37621" s="3336"/>
      <c r="P37621" s="3337"/>
    </row>
    <row r="37622" spans="7:16" s="1634" customFormat="1">
      <c r="G37622" s="3336"/>
      <c r="P37622" s="3337"/>
    </row>
    <row r="37623" spans="7:16" s="1634" customFormat="1">
      <c r="G37623" s="3336"/>
      <c r="P37623" s="3337"/>
    </row>
    <row r="37624" spans="7:16" s="1634" customFormat="1">
      <c r="G37624" s="3336"/>
      <c r="P37624" s="3337"/>
    </row>
    <row r="37625" spans="7:16" s="1634" customFormat="1">
      <c r="G37625" s="3336"/>
      <c r="P37625" s="3337"/>
    </row>
    <row r="37626" spans="7:16" s="1634" customFormat="1">
      <c r="G37626" s="3336"/>
      <c r="P37626" s="3337"/>
    </row>
    <row r="37627" spans="7:16" s="1634" customFormat="1">
      <c r="G37627" s="3336"/>
      <c r="P37627" s="3337"/>
    </row>
    <row r="37628" spans="7:16" s="1634" customFormat="1">
      <c r="G37628" s="3336"/>
      <c r="P37628" s="3337"/>
    </row>
    <row r="37629" spans="7:16" s="1634" customFormat="1">
      <c r="G37629" s="3336"/>
      <c r="P37629" s="3337"/>
    </row>
    <row r="37630" spans="7:16" s="1634" customFormat="1">
      <c r="G37630" s="3336"/>
      <c r="P37630" s="3337"/>
    </row>
    <row r="37631" spans="7:16" s="1634" customFormat="1">
      <c r="G37631" s="3336"/>
      <c r="P37631" s="3337"/>
    </row>
    <row r="37632" spans="7:16" s="1634" customFormat="1">
      <c r="G37632" s="3336"/>
      <c r="P37632" s="3337"/>
    </row>
    <row r="37633" spans="7:16" s="1634" customFormat="1">
      <c r="G37633" s="3336"/>
      <c r="P37633" s="3337"/>
    </row>
    <row r="37634" spans="7:16" s="1634" customFormat="1">
      <c r="G37634" s="3336"/>
      <c r="P37634" s="3337"/>
    </row>
    <row r="37635" spans="7:16" s="1634" customFormat="1">
      <c r="G37635" s="3336"/>
      <c r="P37635" s="3337"/>
    </row>
    <row r="37636" spans="7:16" s="1634" customFormat="1">
      <c r="G37636" s="3336"/>
      <c r="P37636" s="3337"/>
    </row>
    <row r="37637" spans="7:16" s="1634" customFormat="1">
      <c r="G37637" s="3336"/>
      <c r="P37637" s="3337"/>
    </row>
    <row r="37638" spans="7:16" s="1634" customFormat="1">
      <c r="G37638" s="3336"/>
      <c r="P37638" s="3337"/>
    </row>
    <row r="37639" spans="7:16" s="1634" customFormat="1">
      <c r="G37639" s="3336"/>
      <c r="P37639" s="3337"/>
    </row>
    <row r="37640" spans="7:16" s="1634" customFormat="1">
      <c r="G37640" s="3336"/>
      <c r="P37640" s="3337"/>
    </row>
    <row r="37641" spans="7:16" s="1634" customFormat="1">
      <c r="G37641" s="3336"/>
      <c r="P37641" s="3337"/>
    </row>
    <row r="37642" spans="7:16" s="1634" customFormat="1">
      <c r="G37642" s="3336"/>
      <c r="P37642" s="3337"/>
    </row>
    <row r="37643" spans="7:16" s="1634" customFormat="1">
      <c r="G37643" s="3336"/>
      <c r="P37643" s="3337"/>
    </row>
    <row r="37644" spans="7:16" s="1634" customFormat="1">
      <c r="G37644" s="3336"/>
      <c r="P37644" s="3337"/>
    </row>
    <row r="37645" spans="7:16" s="1634" customFormat="1">
      <c r="G37645" s="3336"/>
      <c r="P37645" s="3337"/>
    </row>
    <row r="37646" spans="7:16" s="1634" customFormat="1">
      <c r="G37646" s="3336"/>
      <c r="P37646" s="3337"/>
    </row>
    <row r="37647" spans="7:16" s="1634" customFormat="1">
      <c r="G37647" s="3336"/>
      <c r="P37647" s="3337"/>
    </row>
    <row r="37648" spans="7:16" s="1634" customFormat="1">
      <c r="G37648" s="3336"/>
      <c r="P37648" s="3337"/>
    </row>
    <row r="37649" spans="7:16" s="1634" customFormat="1">
      <c r="G37649" s="3336"/>
      <c r="P37649" s="3337"/>
    </row>
    <row r="37650" spans="7:16" s="1634" customFormat="1">
      <c r="G37650" s="3336"/>
      <c r="P37650" s="3337"/>
    </row>
    <row r="37651" spans="7:16" s="1634" customFormat="1">
      <c r="G37651" s="3336"/>
      <c r="P37651" s="3337"/>
    </row>
    <row r="37652" spans="7:16" s="1634" customFormat="1">
      <c r="G37652" s="3336"/>
      <c r="P37652" s="3337"/>
    </row>
    <row r="37653" spans="7:16" s="1634" customFormat="1">
      <c r="G37653" s="3336"/>
      <c r="P37653" s="3337"/>
    </row>
    <row r="37654" spans="7:16" s="1634" customFormat="1">
      <c r="G37654" s="3336"/>
      <c r="P37654" s="3337"/>
    </row>
    <row r="37655" spans="7:16" s="1634" customFormat="1">
      <c r="G37655" s="3336"/>
      <c r="P37655" s="3337"/>
    </row>
    <row r="37656" spans="7:16" s="1634" customFormat="1">
      <c r="G37656" s="3336"/>
      <c r="P37656" s="3337"/>
    </row>
    <row r="37657" spans="7:16" s="1634" customFormat="1">
      <c r="G37657" s="3336"/>
      <c r="P37657" s="3337"/>
    </row>
    <row r="37658" spans="7:16" s="1634" customFormat="1">
      <c r="G37658" s="3336"/>
      <c r="P37658" s="3337"/>
    </row>
    <row r="37659" spans="7:16" s="1634" customFormat="1">
      <c r="G37659" s="3336"/>
      <c r="P37659" s="3337"/>
    </row>
    <row r="37660" spans="7:16" s="1634" customFormat="1">
      <c r="G37660" s="3336"/>
      <c r="P37660" s="3337"/>
    </row>
    <row r="37661" spans="7:16" s="1634" customFormat="1">
      <c r="G37661" s="3336"/>
      <c r="P37661" s="3337"/>
    </row>
    <row r="37662" spans="7:16" s="1634" customFormat="1">
      <c r="G37662" s="3336"/>
      <c r="P37662" s="3337"/>
    </row>
    <row r="37663" spans="7:16" s="1634" customFormat="1">
      <c r="G37663" s="3336"/>
      <c r="P37663" s="3337"/>
    </row>
    <row r="37664" spans="7:16" s="1634" customFormat="1">
      <c r="G37664" s="3336"/>
      <c r="P37664" s="3337"/>
    </row>
    <row r="37665" spans="7:16" s="1634" customFormat="1">
      <c r="G37665" s="3336"/>
      <c r="P37665" s="3337"/>
    </row>
    <row r="37666" spans="7:16" s="1634" customFormat="1">
      <c r="G37666" s="3336"/>
      <c r="P37666" s="3337"/>
    </row>
    <row r="37667" spans="7:16" s="1634" customFormat="1">
      <c r="G37667" s="3336"/>
      <c r="P37667" s="3337"/>
    </row>
    <row r="37668" spans="7:16" s="1634" customFormat="1">
      <c r="G37668" s="3336"/>
      <c r="P37668" s="3337"/>
    </row>
    <row r="37669" spans="7:16" s="1634" customFormat="1">
      <c r="G37669" s="3336"/>
      <c r="P37669" s="3337"/>
    </row>
    <row r="37670" spans="7:16" s="1634" customFormat="1">
      <c r="G37670" s="3336"/>
      <c r="P37670" s="3337"/>
    </row>
    <row r="37671" spans="7:16" s="1634" customFormat="1">
      <c r="G37671" s="3336"/>
      <c r="P37671" s="3337"/>
    </row>
    <row r="37672" spans="7:16" s="1634" customFormat="1">
      <c r="G37672" s="3336"/>
      <c r="P37672" s="3337"/>
    </row>
    <row r="37673" spans="7:16" s="1634" customFormat="1">
      <c r="G37673" s="3336"/>
      <c r="P37673" s="3337"/>
    </row>
    <row r="37674" spans="7:16" s="1634" customFormat="1">
      <c r="G37674" s="3336"/>
      <c r="P37674" s="3337"/>
    </row>
    <row r="37675" spans="7:16" s="1634" customFormat="1">
      <c r="G37675" s="3336"/>
      <c r="P37675" s="3337"/>
    </row>
    <row r="37676" spans="7:16" s="1634" customFormat="1">
      <c r="G37676" s="3336"/>
      <c r="P37676" s="3337"/>
    </row>
    <row r="37677" spans="7:16" s="1634" customFormat="1">
      <c r="G37677" s="3336"/>
      <c r="P37677" s="3337"/>
    </row>
    <row r="37678" spans="7:16" s="1634" customFormat="1">
      <c r="G37678" s="3336"/>
      <c r="P37678" s="3337"/>
    </row>
    <row r="37679" spans="7:16" s="1634" customFormat="1">
      <c r="G37679" s="3336"/>
      <c r="P37679" s="3337"/>
    </row>
    <row r="37680" spans="7:16" s="1634" customFormat="1">
      <c r="G37680" s="3336"/>
      <c r="P37680" s="3337"/>
    </row>
    <row r="37681" spans="7:16" s="1634" customFormat="1">
      <c r="G37681" s="3336"/>
      <c r="P37681" s="3337"/>
    </row>
    <row r="37682" spans="7:16" s="1634" customFormat="1">
      <c r="G37682" s="3336"/>
      <c r="P37682" s="3337"/>
    </row>
    <row r="37683" spans="7:16" s="1634" customFormat="1">
      <c r="G37683" s="3336"/>
      <c r="P37683" s="3337"/>
    </row>
    <row r="37684" spans="7:16" s="1634" customFormat="1">
      <c r="G37684" s="3336"/>
      <c r="P37684" s="3337"/>
    </row>
    <row r="37685" spans="7:16" s="1634" customFormat="1">
      <c r="G37685" s="3336"/>
      <c r="P37685" s="3337"/>
    </row>
    <row r="37686" spans="7:16" s="1634" customFormat="1">
      <c r="G37686" s="3336"/>
      <c r="P37686" s="3337"/>
    </row>
    <row r="37687" spans="7:16" s="1634" customFormat="1">
      <c r="G37687" s="3336"/>
      <c r="P37687" s="3337"/>
    </row>
    <row r="37688" spans="7:16" s="1634" customFormat="1">
      <c r="G37688" s="3336"/>
      <c r="P37688" s="3337"/>
    </row>
    <row r="37689" spans="7:16" s="1634" customFormat="1">
      <c r="G37689" s="3336"/>
      <c r="P37689" s="3337"/>
    </row>
    <row r="37690" spans="7:16" s="1634" customFormat="1">
      <c r="G37690" s="3336"/>
      <c r="P37690" s="3337"/>
    </row>
    <row r="37691" spans="7:16" s="1634" customFormat="1">
      <c r="G37691" s="3336"/>
      <c r="P37691" s="3337"/>
    </row>
    <row r="37692" spans="7:16" s="1634" customFormat="1">
      <c r="G37692" s="3336"/>
      <c r="P37692" s="3337"/>
    </row>
    <row r="37693" spans="7:16" s="1634" customFormat="1">
      <c r="G37693" s="3336"/>
      <c r="P37693" s="3337"/>
    </row>
    <row r="37694" spans="7:16" s="1634" customFormat="1">
      <c r="G37694" s="3336"/>
      <c r="P37694" s="3337"/>
    </row>
    <row r="37695" spans="7:16" s="1634" customFormat="1">
      <c r="G37695" s="3336"/>
      <c r="P37695" s="3337"/>
    </row>
    <row r="37696" spans="7:16" s="1634" customFormat="1">
      <c r="G37696" s="3336"/>
      <c r="P37696" s="3337"/>
    </row>
    <row r="37697" spans="7:16" s="1634" customFormat="1">
      <c r="G37697" s="3336"/>
      <c r="P37697" s="3337"/>
    </row>
    <row r="37698" spans="7:16" s="1634" customFormat="1">
      <c r="G37698" s="3336"/>
      <c r="P37698" s="3337"/>
    </row>
    <row r="37699" spans="7:16" s="1634" customFormat="1">
      <c r="G37699" s="3336"/>
      <c r="P37699" s="3337"/>
    </row>
    <row r="37700" spans="7:16" s="1634" customFormat="1">
      <c r="G37700" s="3336"/>
      <c r="P37700" s="3337"/>
    </row>
    <row r="37701" spans="7:16" s="1634" customFormat="1">
      <c r="G37701" s="3336"/>
      <c r="P37701" s="3337"/>
    </row>
    <row r="37702" spans="7:16" s="1634" customFormat="1">
      <c r="G37702" s="3336"/>
      <c r="P37702" s="3337"/>
    </row>
    <row r="37703" spans="7:16" s="1634" customFormat="1">
      <c r="G37703" s="3336"/>
      <c r="P37703" s="3337"/>
    </row>
    <row r="37704" spans="7:16" s="1634" customFormat="1">
      <c r="G37704" s="3336"/>
      <c r="P37704" s="3337"/>
    </row>
    <row r="37705" spans="7:16" s="1634" customFormat="1">
      <c r="G37705" s="3336"/>
      <c r="P37705" s="3337"/>
    </row>
    <row r="37706" spans="7:16" s="1634" customFormat="1">
      <c r="G37706" s="3336"/>
      <c r="P37706" s="3337"/>
    </row>
    <row r="37707" spans="7:16" s="1634" customFormat="1">
      <c r="G37707" s="3336"/>
      <c r="P37707" s="3337"/>
    </row>
    <row r="37708" spans="7:16" s="1634" customFormat="1">
      <c r="G37708" s="3336"/>
      <c r="P37708" s="3337"/>
    </row>
    <row r="37709" spans="7:16" s="1634" customFormat="1">
      <c r="G37709" s="3336"/>
      <c r="P37709" s="3337"/>
    </row>
    <row r="37710" spans="7:16" s="1634" customFormat="1">
      <c r="G37710" s="3336"/>
      <c r="P37710" s="3337"/>
    </row>
    <row r="37711" spans="7:16" s="1634" customFormat="1">
      <c r="G37711" s="3336"/>
      <c r="P37711" s="3337"/>
    </row>
    <row r="37712" spans="7:16" s="1634" customFormat="1">
      <c r="G37712" s="3336"/>
      <c r="P37712" s="3337"/>
    </row>
    <row r="37713" spans="7:16" s="1634" customFormat="1">
      <c r="G37713" s="3336"/>
      <c r="P37713" s="3337"/>
    </row>
    <row r="37714" spans="7:16" s="1634" customFormat="1">
      <c r="G37714" s="3336"/>
      <c r="P37714" s="3337"/>
    </row>
    <row r="37715" spans="7:16" s="1634" customFormat="1">
      <c r="G37715" s="3336"/>
      <c r="P37715" s="3337"/>
    </row>
    <row r="37716" spans="7:16" s="1634" customFormat="1">
      <c r="G37716" s="3336"/>
      <c r="P37716" s="3337"/>
    </row>
    <row r="37717" spans="7:16" s="1634" customFormat="1">
      <c r="G37717" s="3336"/>
      <c r="P37717" s="3337"/>
    </row>
    <row r="37718" spans="7:16" s="1634" customFormat="1">
      <c r="G37718" s="3336"/>
      <c r="P37718" s="3337"/>
    </row>
    <row r="37719" spans="7:16" s="1634" customFormat="1">
      <c r="G37719" s="3336"/>
      <c r="P37719" s="3337"/>
    </row>
    <row r="37720" spans="7:16" s="1634" customFormat="1">
      <c r="G37720" s="3336"/>
      <c r="P37720" s="3337"/>
    </row>
    <row r="37721" spans="7:16" s="1634" customFormat="1">
      <c r="G37721" s="3336"/>
      <c r="P37721" s="3337"/>
    </row>
    <row r="37722" spans="7:16" s="1634" customFormat="1">
      <c r="G37722" s="3336"/>
      <c r="P37722" s="3337"/>
    </row>
    <row r="37723" spans="7:16" s="1634" customFormat="1">
      <c r="G37723" s="3336"/>
      <c r="P37723" s="3337"/>
    </row>
    <row r="37724" spans="7:16" s="1634" customFormat="1">
      <c r="G37724" s="3336"/>
      <c r="P37724" s="3337"/>
    </row>
    <row r="37725" spans="7:16" s="1634" customFormat="1">
      <c r="G37725" s="3336"/>
      <c r="P37725" s="3337"/>
    </row>
    <row r="37726" spans="7:16" s="1634" customFormat="1">
      <c r="G37726" s="3336"/>
      <c r="P37726" s="3337"/>
    </row>
    <row r="37727" spans="7:16" s="1634" customFormat="1">
      <c r="G37727" s="3336"/>
      <c r="P37727" s="3337"/>
    </row>
    <row r="37728" spans="7:16" s="1634" customFormat="1">
      <c r="G37728" s="3336"/>
      <c r="P37728" s="3337"/>
    </row>
    <row r="37729" spans="7:16" s="1634" customFormat="1">
      <c r="G37729" s="3336"/>
      <c r="P37729" s="3337"/>
    </row>
    <row r="37730" spans="7:16" s="1634" customFormat="1">
      <c r="G37730" s="3336"/>
      <c r="P37730" s="3337"/>
    </row>
    <row r="37731" spans="7:16" s="1634" customFormat="1">
      <c r="G37731" s="3336"/>
      <c r="P37731" s="3337"/>
    </row>
    <row r="37732" spans="7:16" s="1634" customFormat="1">
      <c r="G37732" s="3336"/>
      <c r="P37732" s="3337"/>
    </row>
    <row r="37733" spans="7:16" s="1634" customFormat="1">
      <c r="G37733" s="3336"/>
      <c r="P37733" s="3337"/>
    </row>
    <row r="37734" spans="7:16" s="1634" customFormat="1">
      <c r="G37734" s="3336"/>
      <c r="P37734" s="3337"/>
    </row>
    <row r="37735" spans="7:16" s="1634" customFormat="1">
      <c r="G37735" s="3336"/>
      <c r="P37735" s="3337"/>
    </row>
    <row r="37736" spans="7:16" s="1634" customFormat="1">
      <c r="G37736" s="3336"/>
      <c r="P37736" s="3337"/>
    </row>
    <row r="37737" spans="7:16" s="1634" customFormat="1">
      <c r="G37737" s="3336"/>
      <c r="P37737" s="3337"/>
    </row>
    <row r="37738" spans="7:16" s="1634" customFormat="1">
      <c r="G37738" s="3336"/>
      <c r="P37738" s="3337"/>
    </row>
    <row r="37739" spans="7:16" s="1634" customFormat="1">
      <c r="G37739" s="3336"/>
      <c r="P37739" s="3337"/>
    </row>
    <row r="37740" spans="7:16" s="1634" customFormat="1">
      <c r="G37740" s="3336"/>
      <c r="P37740" s="3337"/>
    </row>
    <row r="37741" spans="7:16" s="1634" customFormat="1">
      <c r="G37741" s="3336"/>
      <c r="P37741" s="3337"/>
    </row>
    <row r="37742" spans="7:16" s="1634" customFormat="1">
      <c r="G37742" s="3336"/>
      <c r="P37742" s="3337"/>
    </row>
    <row r="37743" spans="7:16" s="1634" customFormat="1">
      <c r="G37743" s="3336"/>
      <c r="P37743" s="3337"/>
    </row>
    <row r="37744" spans="7:16" s="1634" customFormat="1">
      <c r="G37744" s="3336"/>
      <c r="P37744" s="3337"/>
    </row>
    <row r="37745" spans="7:16" s="1634" customFormat="1">
      <c r="G37745" s="3336"/>
      <c r="P37745" s="3337"/>
    </row>
    <row r="37746" spans="7:16" s="1634" customFormat="1">
      <c r="G37746" s="3336"/>
      <c r="P37746" s="3337"/>
    </row>
    <row r="37747" spans="7:16" s="1634" customFormat="1">
      <c r="G37747" s="3336"/>
      <c r="P37747" s="3337"/>
    </row>
    <row r="37748" spans="7:16" s="1634" customFormat="1">
      <c r="G37748" s="3336"/>
      <c r="P37748" s="3337"/>
    </row>
    <row r="37749" spans="7:16" s="1634" customFormat="1">
      <c r="G37749" s="3336"/>
      <c r="P37749" s="3337"/>
    </row>
    <row r="37750" spans="7:16" s="1634" customFormat="1">
      <c r="G37750" s="3336"/>
      <c r="P37750" s="3337"/>
    </row>
    <row r="37751" spans="7:16" s="1634" customFormat="1">
      <c r="G37751" s="3336"/>
      <c r="P37751" s="3337"/>
    </row>
    <row r="37752" spans="7:16" s="1634" customFormat="1">
      <c r="G37752" s="3336"/>
      <c r="P37752" s="3337"/>
    </row>
    <row r="37753" spans="7:16" s="1634" customFormat="1">
      <c r="G37753" s="3336"/>
      <c r="P37753" s="3337"/>
    </row>
    <row r="37754" spans="7:16" s="1634" customFormat="1">
      <c r="G37754" s="3336"/>
      <c r="P37754" s="3337"/>
    </row>
    <row r="37755" spans="7:16" s="1634" customFormat="1">
      <c r="G37755" s="3336"/>
      <c r="P37755" s="3337"/>
    </row>
    <row r="37756" spans="7:16" s="1634" customFormat="1">
      <c r="G37756" s="3336"/>
      <c r="P37756" s="3337"/>
    </row>
    <row r="37757" spans="7:16" s="1634" customFormat="1">
      <c r="G37757" s="3336"/>
      <c r="P37757" s="3337"/>
    </row>
    <row r="37758" spans="7:16" s="1634" customFormat="1">
      <c r="G37758" s="3336"/>
      <c r="P37758" s="3337"/>
    </row>
    <row r="37759" spans="7:16" s="1634" customFormat="1">
      <c r="G37759" s="3336"/>
      <c r="P37759" s="3337"/>
    </row>
    <row r="37760" spans="7:16" s="1634" customFormat="1">
      <c r="G37760" s="3336"/>
      <c r="P37760" s="3337"/>
    </row>
    <row r="37761" spans="7:16" s="1634" customFormat="1">
      <c r="G37761" s="3336"/>
      <c r="P37761" s="3337"/>
    </row>
    <row r="37762" spans="7:16" s="1634" customFormat="1">
      <c r="G37762" s="3336"/>
      <c r="P37762" s="3337"/>
    </row>
    <row r="37763" spans="7:16" s="1634" customFormat="1">
      <c r="G37763" s="3336"/>
      <c r="P37763" s="3337"/>
    </row>
    <row r="37764" spans="7:16" s="1634" customFormat="1">
      <c r="G37764" s="3336"/>
      <c r="P37764" s="3337"/>
    </row>
    <row r="37765" spans="7:16" s="1634" customFormat="1">
      <c r="G37765" s="3336"/>
      <c r="P37765" s="3337"/>
    </row>
    <row r="37766" spans="7:16" s="1634" customFormat="1">
      <c r="G37766" s="3336"/>
      <c r="P37766" s="3337"/>
    </row>
    <row r="37767" spans="7:16" s="1634" customFormat="1">
      <c r="G37767" s="3336"/>
      <c r="P37767" s="3337"/>
    </row>
    <row r="37768" spans="7:16" s="1634" customFormat="1">
      <c r="G37768" s="3336"/>
      <c r="P37768" s="3337"/>
    </row>
    <row r="37769" spans="7:16" s="1634" customFormat="1">
      <c r="G37769" s="3336"/>
      <c r="P37769" s="3337"/>
    </row>
    <row r="37770" spans="7:16" s="1634" customFormat="1">
      <c r="G37770" s="3336"/>
      <c r="P37770" s="3337"/>
    </row>
    <row r="37771" spans="7:16" s="1634" customFormat="1">
      <c r="G37771" s="3336"/>
      <c r="P37771" s="3337"/>
    </row>
    <row r="37772" spans="7:16" s="1634" customFormat="1">
      <c r="G37772" s="3336"/>
      <c r="P37772" s="3337"/>
    </row>
    <row r="37773" spans="7:16" s="1634" customFormat="1">
      <c r="G37773" s="3336"/>
      <c r="P37773" s="3337"/>
    </row>
    <row r="37774" spans="7:16" s="1634" customFormat="1">
      <c r="G37774" s="3336"/>
      <c r="P37774" s="3337"/>
    </row>
    <row r="37775" spans="7:16" s="1634" customFormat="1">
      <c r="G37775" s="3336"/>
      <c r="P37775" s="3337"/>
    </row>
    <row r="37776" spans="7:16" s="1634" customFormat="1">
      <c r="G37776" s="3336"/>
      <c r="P37776" s="3337"/>
    </row>
    <row r="37777" spans="7:16" s="1634" customFormat="1">
      <c r="G37777" s="3336"/>
      <c r="P37777" s="3337"/>
    </row>
    <row r="37778" spans="7:16" s="1634" customFormat="1">
      <c r="G37778" s="3336"/>
      <c r="P37778" s="3337"/>
    </row>
    <row r="37779" spans="7:16" s="1634" customFormat="1">
      <c r="G37779" s="3336"/>
      <c r="P37779" s="3337"/>
    </row>
    <row r="37780" spans="7:16" s="1634" customFormat="1">
      <c r="G37780" s="3336"/>
      <c r="P37780" s="3337"/>
    </row>
    <row r="37781" spans="7:16" s="1634" customFormat="1">
      <c r="G37781" s="3336"/>
      <c r="P37781" s="3337"/>
    </row>
    <row r="37782" spans="7:16" s="1634" customFormat="1">
      <c r="G37782" s="3336"/>
      <c r="P37782" s="3337"/>
    </row>
    <row r="37783" spans="7:16" s="1634" customFormat="1">
      <c r="G37783" s="3336"/>
      <c r="P37783" s="3337"/>
    </row>
    <row r="37784" spans="7:16" s="1634" customFormat="1">
      <c r="G37784" s="3336"/>
      <c r="P37784" s="3337"/>
    </row>
    <row r="37785" spans="7:16" s="1634" customFormat="1">
      <c r="G37785" s="3336"/>
      <c r="P37785" s="3337"/>
    </row>
    <row r="37786" spans="7:16" s="1634" customFormat="1">
      <c r="G37786" s="3336"/>
      <c r="P37786" s="3337"/>
    </row>
    <row r="37787" spans="7:16" s="1634" customFormat="1">
      <c r="G37787" s="3336"/>
      <c r="P37787" s="3337"/>
    </row>
    <row r="37788" spans="7:16" s="1634" customFormat="1">
      <c r="G37788" s="3336"/>
      <c r="P37788" s="3337"/>
    </row>
    <row r="37789" spans="7:16" s="1634" customFormat="1">
      <c r="G37789" s="3336"/>
      <c r="P37789" s="3337"/>
    </row>
    <row r="37790" spans="7:16" s="1634" customFormat="1">
      <c r="G37790" s="3336"/>
      <c r="P37790" s="3337"/>
    </row>
    <row r="37791" spans="7:16" s="1634" customFormat="1">
      <c r="G37791" s="3336"/>
      <c r="P37791" s="3337"/>
    </row>
    <row r="37792" spans="7:16" s="1634" customFormat="1">
      <c r="G37792" s="3336"/>
      <c r="P37792" s="3337"/>
    </row>
    <row r="37793" spans="7:16" s="1634" customFormat="1">
      <c r="G37793" s="3336"/>
      <c r="P37793" s="3337"/>
    </row>
    <row r="37794" spans="7:16" s="1634" customFormat="1">
      <c r="G37794" s="3336"/>
      <c r="P37794" s="3337"/>
    </row>
    <row r="37795" spans="7:16" s="1634" customFormat="1">
      <c r="G37795" s="3336"/>
      <c r="P37795" s="3337"/>
    </row>
    <row r="37796" spans="7:16" s="1634" customFormat="1">
      <c r="G37796" s="3336"/>
      <c r="P37796" s="3337"/>
    </row>
    <row r="37797" spans="7:16" s="1634" customFormat="1">
      <c r="G37797" s="3336"/>
      <c r="P37797" s="3337"/>
    </row>
    <row r="37798" spans="7:16" s="1634" customFormat="1">
      <c r="G37798" s="3336"/>
      <c r="P37798" s="3337"/>
    </row>
    <row r="37799" spans="7:16" s="1634" customFormat="1">
      <c r="G37799" s="3336"/>
      <c r="P37799" s="3337"/>
    </row>
    <row r="37800" spans="7:16" s="1634" customFormat="1">
      <c r="G37800" s="3336"/>
      <c r="P37800" s="3337"/>
    </row>
    <row r="37801" spans="7:16" s="1634" customFormat="1">
      <c r="G37801" s="3336"/>
      <c r="P37801" s="3337"/>
    </row>
    <row r="37802" spans="7:16" s="1634" customFormat="1">
      <c r="G37802" s="3336"/>
      <c r="P37802" s="3337"/>
    </row>
    <row r="37803" spans="7:16" s="1634" customFormat="1">
      <c r="G37803" s="3336"/>
      <c r="P37803" s="3337"/>
    </row>
    <row r="37804" spans="7:16" s="1634" customFormat="1">
      <c r="G37804" s="3336"/>
      <c r="P37804" s="3337"/>
    </row>
    <row r="37805" spans="7:16" s="1634" customFormat="1">
      <c r="G37805" s="3336"/>
      <c r="P37805" s="3337"/>
    </row>
    <row r="37806" spans="7:16" s="1634" customFormat="1">
      <c r="G37806" s="3336"/>
      <c r="P37806" s="3337"/>
    </row>
    <row r="37807" spans="7:16" s="1634" customFormat="1">
      <c r="G37807" s="3336"/>
      <c r="P37807" s="3337"/>
    </row>
    <row r="37808" spans="7:16" s="1634" customFormat="1">
      <c r="G37808" s="3336"/>
      <c r="P37808" s="3337"/>
    </row>
    <row r="37809" spans="7:16" s="1634" customFormat="1">
      <c r="G37809" s="3336"/>
      <c r="P37809" s="3337"/>
    </row>
    <row r="37810" spans="7:16" s="1634" customFormat="1">
      <c r="G37810" s="3336"/>
      <c r="P37810" s="3337"/>
    </row>
    <row r="37811" spans="7:16" s="1634" customFormat="1">
      <c r="G37811" s="3336"/>
      <c r="P37811" s="3337"/>
    </row>
    <row r="37812" spans="7:16" s="1634" customFormat="1">
      <c r="G37812" s="3336"/>
      <c r="P37812" s="3337"/>
    </row>
    <row r="37813" spans="7:16" s="1634" customFormat="1">
      <c r="G37813" s="3336"/>
      <c r="P37813" s="3337"/>
    </row>
    <row r="37814" spans="7:16" s="1634" customFormat="1">
      <c r="G37814" s="3336"/>
      <c r="P37814" s="3337"/>
    </row>
    <row r="37815" spans="7:16" s="1634" customFormat="1">
      <c r="G37815" s="3336"/>
      <c r="P37815" s="3337"/>
    </row>
    <row r="37816" spans="7:16" s="1634" customFormat="1">
      <c r="G37816" s="3336"/>
      <c r="P37816" s="3337"/>
    </row>
    <row r="37817" spans="7:16" s="1634" customFormat="1">
      <c r="G37817" s="3336"/>
      <c r="P37817" s="3337"/>
    </row>
    <row r="37818" spans="7:16" s="1634" customFormat="1">
      <c r="G37818" s="3336"/>
      <c r="P37818" s="3337"/>
    </row>
    <row r="37819" spans="7:16" s="1634" customFormat="1">
      <c r="G37819" s="3336"/>
      <c r="P37819" s="3337"/>
    </row>
    <row r="37820" spans="7:16" s="1634" customFormat="1">
      <c r="G37820" s="3336"/>
      <c r="P37820" s="3337"/>
    </row>
    <row r="37821" spans="7:16" s="1634" customFormat="1">
      <c r="G37821" s="3336"/>
      <c r="P37821" s="3337"/>
    </row>
    <row r="37822" spans="7:16" s="1634" customFormat="1">
      <c r="G37822" s="3336"/>
      <c r="P37822" s="3337"/>
    </row>
    <row r="37823" spans="7:16" s="1634" customFormat="1">
      <c r="G37823" s="3336"/>
      <c r="P37823" s="3337"/>
    </row>
    <row r="37824" spans="7:16" s="1634" customFormat="1">
      <c r="G37824" s="3336"/>
      <c r="P37824" s="3337"/>
    </row>
    <row r="37825" spans="7:16" s="1634" customFormat="1">
      <c r="G37825" s="3336"/>
      <c r="P37825" s="3337"/>
    </row>
    <row r="37826" spans="7:16" s="1634" customFormat="1">
      <c r="G37826" s="3336"/>
      <c r="P37826" s="3337"/>
    </row>
    <row r="37827" spans="7:16" s="1634" customFormat="1">
      <c r="G37827" s="3336"/>
      <c r="P37827" s="3337"/>
    </row>
    <row r="37828" spans="7:16" s="1634" customFormat="1">
      <c r="G37828" s="3336"/>
      <c r="P37828" s="3337"/>
    </row>
    <row r="37829" spans="7:16" s="1634" customFormat="1">
      <c r="G37829" s="3336"/>
      <c r="P37829" s="3337"/>
    </row>
    <row r="37830" spans="7:16" s="1634" customFormat="1">
      <c r="G37830" s="3336"/>
      <c r="P37830" s="3337"/>
    </row>
    <row r="37831" spans="7:16" s="1634" customFormat="1">
      <c r="G37831" s="3336"/>
      <c r="P37831" s="3337"/>
    </row>
    <row r="37832" spans="7:16" s="1634" customFormat="1">
      <c r="G37832" s="3336"/>
      <c r="P37832" s="3337"/>
    </row>
    <row r="37833" spans="7:16" s="1634" customFormat="1">
      <c r="G37833" s="3336"/>
      <c r="P37833" s="3337"/>
    </row>
    <row r="37834" spans="7:16" s="1634" customFormat="1">
      <c r="G37834" s="3336"/>
      <c r="P37834" s="3337"/>
    </row>
    <row r="37835" spans="7:16" s="1634" customFormat="1">
      <c r="G37835" s="3336"/>
      <c r="P37835" s="3337"/>
    </row>
    <row r="37836" spans="7:16" s="1634" customFormat="1">
      <c r="G37836" s="3336"/>
      <c r="P37836" s="3337"/>
    </row>
    <row r="37837" spans="7:16" s="1634" customFormat="1">
      <c r="G37837" s="3336"/>
      <c r="P37837" s="3337"/>
    </row>
    <row r="37838" spans="7:16" s="1634" customFormat="1">
      <c r="G37838" s="3336"/>
      <c r="P37838" s="3337"/>
    </row>
    <row r="37839" spans="7:16" s="1634" customFormat="1">
      <c r="G37839" s="3336"/>
      <c r="P37839" s="3337"/>
    </row>
    <row r="37840" spans="7:16" s="1634" customFormat="1">
      <c r="G37840" s="3336"/>
      <c r="P37840" s="3337"/>
    </row>
    <row r="37841" spans="7:16" s="1634" customFormat="1">
      <c r="G37841" s="3336"/>
      <c r="P37841" s="3337"/>
    </row>
    <row r="37842" spans="7:16" s="1634" customFormat="1">
      <c r="G37842" s="3336"/>
      <c r="P37842" s="3337"/>
    </row>
    <row r="37843" spans="7:16" s="1634" customFormat="1">
      <c r="G37843" s="3336"/>
      <c r="P37843" s="3337"/>
    </row>
    <row r="37844" spans="7:16" s="1634" customFormat="1">
      <c r="G37844" s="3336"/>
      <c r="P37844" s="3337"/>
    </row>
    <row r="37845" spans="7:16" s="1634" customFormat="1">
      <c r="G37845" s="3336"/>
      <c r="P37845" s="3337"/>
    </row>
    <row r="37846" spans="7:16" s="1634" customFormat="1">
      <c r="G37846" s="3336"/>
      <c r="P37846" s="3337"/>
    </row>
    <row r="37847" spans="7:16" s="1634" customFormat="1">
      <c r="G37847" s="3336"/>
      <c r="P37847" s="3337"/>
    </row>
    <row r="37848" spans="7:16" s="1634" customFormat="1">
      <c r="G37848" s="3336"/>
      <c r="P37848" s="3337"/>
    </row>
    <row r="37849" spans="7:16" s="1634" customFormat="1">
      <c r="G37849" s="3336"/>
      <c r="P37849" s="3337"/>
    </row>
    <row r="37850" spans="7:16" s="1634" customFormat="1">
      <c r="G37850" s="3336"/>
      <c r="P37850" s="3337"/>
    </row>
    <row r="37851" spans="7:16" s="1634" customFormat="1">
      <c r="G37851" s="3336"/>
      <c r="P37851" s="3337"/>
    </row>
    <row r="37852" spans="7:16" s="1634" customFormat="1">
      <c r="G37852" s="3336"/>
      <c r="P37852" s="3337"/>
    </row>
    <row r="37853" spans="7:16" s="1634" customFormat="1">
      <c r="G37853" s="3336"/>
      <c r="P37853" s="3337"/>
    </row>
    <row r="37854" spans="7:16" s="1634" customFormat="1">
      <c r="G37854" s="3336"/>
      <c r="P37854" s="3337"/>
    </row>
    <row r="37855" spans="7:16" s="1634" customFormat="1">
      <c r="G37855" s="3336"/>
      <c r="P37855" s="3337"/>
    </row>
    <row r="37856" spans="7:16" s="1634" customFormat="1">
      <c r="G37856" s="3336"/>
      <c r="P37856" s="3337"/>
    </row>
    <row r="37857" spans="7:16" s="1634" customFormat="1">
      <c r="G37857" s="3336"/>
      <c r="P37857" s="3337"/>
    </row>
    <row r="37858" spans="7:16" s="1634" customFormat="1">
      <c r="G37858" s="3336"/>
      <c r="P37858" s="3337"/>
    </row>
    <row r="37859" spans="7:16" s="1634" customFormat="1">
      <c r="G37859" s="3336"/>
      <c r="P37859" s="3337"/>
    </row>
    <row r="37860" spans="7:16" s="1634" customFormat="1">
      <c r="G37860" s="3336"/>
      <c r="P37860" s="3337"/>
    </row>
    <row r="37861" spans="7:16" s="1634" customFormat="1">
      <c r="G37861" s="3336"/>
      <c r="P37861" s="3337"/>
    </row>
    <row r="37862" spans="7:16" s="1634" customFormat="1">
      <c r="G37862" s="3336"/>
      <c r="P37862" s="3337"/>
    </row>
    <row r="37863" spans="7:16" s="1634" customFormat="1">
      <c r="G37863" s="3336"/>
      <c r="P37863" s="3337"/>
    </row>
    <row r="37864" spans="7:16" s="1634" customFormat="1">
      <c r="G37864" s="3336"/>
      <c r="P37864" s="3337"/>
    </row>
    <row r="37865" spans="7:16" s="1634" customFormat="1">
      <c r="G37865" s="3336"/>
      <c r="P37865" s="3337"/>
    </row>
    <row r="37866" spans="7:16" s="1634" customFormat="1">
      <c r="G37866" s="3336"/>
      <c r="P37866" s="3337"/>
    </row>
    <row r="37867" spans="7:16" s="1634" customFormat="1">
      <c r="G37867" s="3336"/>
      <c r="P37867" s="3337"/>
    </row>
    <row r="37868" spans="7:16" s="1634" customFormat="1">
      <c r="G37868" s="3336"/>
      <c r="P37868" s="3337"/>
    </row>
    <row r="37869" spans="7:16" s="1634" customFormat="1">
      <c r="G37869" s="3336"/>
      <c r="P37869" s="3337"/>
    </row>
    <row r="37870" spans="7:16" s="1634" customFormat="1">
      <c r="G37870" s="3336"/>
      <c r="P37870" s="3337"/>
    </row>
    <row r="37871" spans="7:16" s="1634" customFormat="1">
      <c r="G37871" s="3336"/>
      <c r="P37871" s="3337"/>
    </row>
    <row r="37872" spans="7:16" s="1634" customFormat="1">
      <c r="G37872" s="3336"/>
      <c r="P37872" s="3337"/>
    </row>
    <row r="37873" spans="7:16" s="1634" customFormat="1">
      <c r="G37873" s="3336"/>
      <c r="P37873" s="3337"/>
    </row>
    <row r="37874" spans="7:16" s="1634" customFormat="1">
      <c r="G37874" s="3336"/>
      <c r="P37874" s="3337"/>
    </row>
    <row r="37875" spans="7:16" s="1634" customFormat="1">
      <c r="G37875" s="3336"/>
      <c r="P37875" s="3337"/>
    </row>
    <row r="37876" spans="7:16" s="1634" customFormat="1">
      <c r="G37876" s="3336"/>
      <c r="P37876" s="3337"/>
    </row>
    <row r="37877" spans="7:16" s="1634" customFormat="1">
      <c r="G37877" s="3336"/>
      <c r="P37877" s="3337"/>
    </row>
    <row r="37878" spans="7:16" s="1634" customFormat="1">
      <c r="G37878" s="3336"/>
      <c r="P37878" s="3337"/>
    </row>
    <row r="37879" spans="7:16" s="1634" customFormat="1">
      <c r="G37879" s="3336"/>
      <c r="P37879" s="3337"/>
    </row>
    <row r="37880" spans="7:16" s="1634" customFormat="1">
      <c r="G37880" s="3336"/>
      <c r="P37880" s="3337"/>
    </row>
    <row r="37881" spans="7:16" s="1634" customFormat="1">
      <c r="G37881" s="3336"/>
      <c r="P37881" s="3337"/>
    </row>
    <row r="37882" spans="7:16" s="1634" customFormat="1">
      <c r="G37882" s="3336"/>
      <c r="P37882" s="3337"/>
    </row>
    <row r="37883" spans="7:16" s="1634" customFormat="1">
      <c r="G37883" s="3336"/>
      <c r="P37883" s="3337"/>
    </row>
    <row r="37884" spans="7:16" s="1634" customFormat="1">
      <c r="G37884" s="3336"/>
      <c r="P37884" s="3337"/>
    </row>
    <row r="37885" spans="7:16" s="1634" customFormat="1">
      <c r="G37885" s="3336"/>
      <c r="P37885" s="3337"/>
    </row>
    <row r="37886" spans="7:16" s="1634" customFormat="1">
      <c r="G37886" s="3336"/>
      <c r="P37886" s="3337"/>
    </row>
    <row r="37887" spans="7:16" s="1634" customFormat="1">
      <c r="G37887" s="3336"/>
      <c r="P37887" s="3337"/>
    </row>
    <row r="37888" spans="7:16" s="1634" customFormat="1">
      <c r="G37888" s="3336"/>
      <c r="P37888" s="3337"/>
    </row>
    <row r="37889" spans="7:16" s="1634" customFormat="1">
      <c r="G37889" s="3336"/>
      <c r="P37889" s="3337"/>
    </row>
    <row r="37890" spans="7:16" s="1634" customFormat="1">
      <c r="G37890" s="3336"/>
      <c r="P37890" s="3337"/>
    </row>
    <row r="37891" spans="7:16" s="1634" customFormat="1">
      <c r="G37891" s="3336"/>
      <c r="P37891" s="3337"/>
    </row>
    <row r="37892" spans="7:16" s="1634" customFormat="1">
      <c r="G37892" s="3336"/>
      <c r="P37892" s="3337"/>
    </row>
    <row r="37893" spans="7:16" s="1634" customFormat="1">
      <c r="G37893" s="3336"/>
      <c r="P37893" s="3337"/>
    </row>
    <row r="37894" spans="7:16" s="1634" customFormat="1">
      <c r="G37894" s="3336"/>
      <c r="P37894" s="3337"/>
    </row>
    <row r="37895" spans="7:16" s="1634" customFormat="1">
      <c r="G37895" s="3336"/>
      <c r="P37895" s="3337"/>
    </row>
    <row r="37896" spans="7:16" s="1634" customFormat="1">
      <c r="G37896" s="3336"/>
      <c r="P37896" s="3337"/>
    </row>
    <row r="37897" spans="7:16" s="1634" customFormat="1">
      <c r="G37897" s="3336"/>
      <c r="P37897" s="3337"/>
    </row>
    <row r="37898" spans="7:16" s="1634" customFormat="1">
      <c r="G37898" s="3336"/>
      <c r="P37898" s="3337"/>
    </row>
    <row r="37899" spans="7:16" s="1634" customFormat="1">
      <c r="G37899" s="3336"/>
      <c r="P37899" s="3337"/>
    </row>
    <row r="37900" spans="7:16" s="1634" customFormat="1">
      <c r="G37900" s="3336"/>
      <c r="P37900" s="3337"/>
    </row>
    <row r="37901" spans="7:16" s="1634" customFormat="1">
      <c r="G37901" s="3336"/>
      <c r="P37901" s="3337"/>
    </row>
    <row r="37902" spans="7:16" s="1634" customFormat="1">
      <c r="G37902" s="3336"/>
      <c r="P37902" s="3337"/>
    </row>
    <row r="37903" spans="7:16" s="1634" customFormat="1">
      <c r="G37903" s="3336"/>
      <c r="P37903" s="3337"/>
    </row>
    <row r="37904" spans="7:16" s="1634" customFormat="1">
      <c r="G37904" s="3336"/>
      <c r="P37904" s="3337"/>
    </row>
    <row r="37905" spans="7:16" s="1634" customFormat="1">
      <c r="G37905" s="3336"/>
      <c r="P37905" s="3337"/>
    </row>
    <row r="37906" spans="7:16" s="1634" customFormat="1">
      <c r="G37906" s="3336"/>
      <c r="P37906" s="3337"/>
    </row>
    <row r="37907" spans="7:16" s="1634" customFormat="1">
      <c r="G37907" s="3336"/>
      <c r="P37907" s="3337"/>
    </row>
    <row r="37908" spans="7:16" s="1634" customFormat="1">
      <c r="G37908" s="3336"/>
      <c r="P37908" s="3337"/>
    </row>
    <row r="37909" spans="7:16" s="1634" customFormat="1">
      <c r="G37909" s="3336"/>
      <c r="P37909" s="3337"/>
    </row>
    <row r="37910" spans="7:16" s="1634" customFormat="1">
      <c r="G37910" s="3336"/>
      <c r="P37910" s="3337"/>
    </row>
    <row r="37911" spans="7:16" s="1634" customFormat="1">
      <c r="G37911" s="3336"/>
      <c r="P37911" s="3337"/>
    </row>
    <row r="37912" spans="7:16" s="1634" customFormat="1">
      <c r="G37912" s="3336"/>
      <c r="P37912" s="3337"/>
    </row>
    <row r="37913" spans="7:16" s="1634" customFormat="1">
      <c r="G37913" s="3336"/>
      <c r="P37913" s="3337"/>
    </row>
    <row r="37914" spans="7:16" s="1634" customFormat="1">
      <c r="G37914" s="3336"/>
      <c r="P37914" s="3337"/>
    </row>
    <row r="37915" spans="7:16" s="1634" customFormat="1">
      <c r="G37915" s="3336"/>
      <c r="P37915" s="3337"/>
    </row>
    <row r="37916" spans="7:16" s="1634" customFormat="1">
      <c r="G37916" s="3336"/>
      <c r="P37916" s="3337"/>
    </row>
    <row r="37917" spans="7:16" s="1634" customFormat="1">
      <c r="G37917" s="3336"/>
      <c r="P37917" s="3337"/>
    </row>
    <row r="37918" spans="7:16" s="1634" customFormat="1">
      <c r="G37918" s="3336"/>
      <c r="P37918" s="3337"/>
    </row>
    <row r="37919" spans="7:16" s="1634" customFormat="1">
      <c r="G37919" s="3336"/>
      <c r="P37919" s="3337"/>
    </row>
    <row r="37920" spans="7:16" s="1634" customFormat="1">
      <c r="G37920" s="3336"/>
      <c r="P37920" s="3337"/>
    </row>
    <row r="37921" spans="7:16" s="1634" customFormat="1">
      <c r="G37921" s="3336"/>
      <c r="P37921" s="3337"/>
    </row>
    <row r="37922" spans="7:16" s="1634" customFormat="1">
      <c r="G37922" s="3336"/>
      <c r="P37922" s="3337"/>
    </row>
    <row r="37923" spans="7:16" s="1634" customFormat="1">
      <c r="G37923" s="3336"/>
      <c r="P37923" s="3337"/>
    </row>
    <row r="37924" spans="7:16" s="1634" customFormat="1">
      <c r="G37924" s="3336"/>
      <c r="P37924" s="3337"/>
    </row>
    <row r="37925" spans="7:16" s="1634" customFormat="1">
      <c r="G37925" s="3336"/>
      <c r="P37925" s="3337"/>
    </row>
    <row r="37926" spans="7:16" s="1634" customFormat="1">
      <c r="G37926" s="3336"/>
      <c r="P37926" s="3337"/>
    </row>
    <row r="37927" spans="7:16" s="1634" customFormat="1">
      <c r="G37927" s="3336"/>
      <c r="P37927" s="3337"/>
    </row>
    <row r="37928" spans="7:16" s="1634" customFormat="1">
      <c r="G37928" s="3336"/>
      <c r="P37928" s="3337"/>
    </row>
    <row r="37929" spans="7:16" s="1634" customFormat="1">
      <c r="G37929" s="3336"/>
      <c r="P37929" s="3337"/>
    </row>
    <row r="37930" spans="7:16" s="1634" customFormat="1">
      <c r="G37930" s="3336"/>
      <c r="P37930" s="3337"/>
    </row>
    <row r="37931" spans="7:16" s="1634" customFormat="1">
      <c r="G37931" s="3336"/>
      <c r="P37931" s="3337"/>
    </row>
    <row r="37932" spans="7:16" s="1634" customFormat="1">
      <c r="G37932" s="3336"/>
      <c r="P37932" s="3337"/>
    </row>
    <row r="37933" spans="7:16" s="1634" customFormat="1">
      <c r="G37933" s="3336"/>
      <c r="P37933" s="3337"/>
    </row>
    <row r="37934" spans="7:16" s="1634" customFormat="1">
      <c r="G37934" s="3336"/>
      <c r="P37934" s="3337"/>
    </row>
    <row r="37935" spans="7:16" s="1634" customFormat="1">
      <c r="G37935" s="3336"/>
      <c r="P37935" s="3337"/>
    </row>
    <row r="37936" spans="7:16" s="1634" customFormat="1">
      <c r="G37936" s="3336"/>
      <c r="P37936" s="3337"/>
    </row>
    <row r="37937" spans="7:16" s="1634" customFormat="1">
      <c r="G37937" s="3336"/>
      <c r="P37937" s="3337"/>
    </row>
    <row r="37938" spans="7:16" s="1634" customFormat="1">
      <c r="G37938" s="3336"/>
      <c r="P37938" s="3337"/>
    </row>
    <row r="37939" spans="7:16" s="1634" customFormat="1">
      <c r="G37939" s="3336"/>
      <c r="P37939" s="3337"/>
    </row>
    <row r="37940" spans="7:16" s="1634" customFormat="1">
      <c r="G37940" s="3336"/>
      <c r="P37940" s="3337"/>
    </row>
    <row r="37941" spans="7:16" s="1634" customFormat="1">
      <c r="G37941" s="3336"/>
      <c r="P37941" s="3337"/>
    </row>
    <row r="37942" spans="7:16" s="1634" customFormat="1">
      <c r="G37942" s="3336"/>
      <c r="P37942" s="3337"/>
    </row>
    <row r="37943" spans="7:16" s="1634" customFormat="1">
      <c r="G37943" s="3336"/>
      <c r="P37943" s="3337"/>
    </row>
    <row r="37944" spans="7:16" s="1634" customFormat="1">
      <c r="G37944" s="3336"/>
      <c r="P37944" s="3337"/>
    </row>
    <row r="37945" spans="7:16" s="1634" customFormat="1">
      <c r="G37945" s="3336"/>
      <c r="P37945" s="3337"/>
    </row>
    <row r="37946" spans="7:16" s="1634" customFormat="1">
      <c r="G37946" s="3336"/>
      <c r="P37946" s="3337"/>
    </row>
    <row r="37947" spans="7:16" s="1634" customFormat="1">
      <c r="G37947" s="3336"/>
      <c r="P37947" s="3337"/>
    </row>
    <row r="37948" spans="7:16" s="1634" customFormat="1">
      <c r="G37948" s="3336"/>
      <c r="P37948" s="3337"/>
    </row>
    <row r="37949" spans="7:16" s="1634" customFormat="1">
      <c r="G37949" s="3336"/>
      <c r="P37949" s="3337"/>
    </row>
    <row r="37950" spans="7:16" s="1634" customFormat="1">
      <c r="G37950" s="3336"/>
      <c r="P37950" s="3337"/>
    </row>
    <row r="37951" spans="7:16" s="1634" customFormat="1">
      <c r="G37951" s="3336"/>
      <c r="P37951" s="3337"/>
    </row>
    <row r="37952" spans="7:16" s="1634" customFormat="1">
      <c r="G37952" s="3336"/>
      <c r="P37952" s="3337"/>
    </row>
    <row r="37953" spans="7:16" s="1634" customFormat="1">
      <c r="G37953" s="3336"/>
      <c r="P37953" s="3337"/>
    </row>
    <row r="37954" spans="7:16" s="1634" customFormat="1">
      <c r="G37954" s="3336"/>
      <c r="P37954" s="3337"/>
    </row>
    <row r="37955" spans="7:16" s="1634" customFormat="1">
      <c r="G37955" s="3336"/>
      <c r="P37955" s="3337"/>
    </row>
    <row r="37956" spans="7:16" s="1634" customFormat="1">
      <c r="G37956" s="3336"/>
      <c r="P37956" s="3337"/>
    </row>
    <row r="37957" spans="7:16" s="1634" customFormat="1">
      <c r="G37957" s="3336"/>
      <c r="P37957" s="3337"/>
    </row>
    <row r="37958" spans="7:16" s="1634" customFormat="1">
      <c r="G37958" s="3336"/>
      <c r="P37958" s="3337"/>
    </row>
    <row r="37959" spans="7:16" s="1634" customFormat="1">
      <c r="G37959" s="3336"/>
      <c r="P37959" s="3337"/>
    </row>
    <row r="37960" spans="7:16" s="1634" customFormat="1">
      <c r="G37960" s="3336"/>
      <c r="P37960" s="3337"/>
    </row>
    <row r="37961" spans="7:16" s="1634" customFormat="1">
      <c r="G37961" s="3336"/>
      <c r="P37961" s="3337"/>
    </row>
    <row r="37962" spans="7:16" s="1634" customFormat="1">
      <c r="G37962" s="3336"/>
      <c r="P37962" s="3337"/>
    </row>
    <row r="37963" spans="7:16" s="1634" customFormat="1">
      <c r="G37963" s="3336"/>
      <c r="P37963" s="3337"/>
    </row>
    <row r="37964" spans="7:16" s="1634" customFormat="1">
      <c r="G37964" s="3336"/>
      <c r="P37964" s="3337"/>
    </row>
    <row r="37965" spans="7:16" s="1634" customFormat="1">
      <c r="G37965" s="3336"/>
      <c r="P37965" s="3337"/>
    </row>
    <row r="37966" spans="7:16" s="1634" customFormat="1">
      <c r="G37966" s="3336"/>
      <c r="P37966" s="3337"/>
    </row>
    <row r="37967" spans="7:16" s="1634" customFormat="1">
      <c r="G37967" s="3336"/>
      <c r="P37967" s="3337"/>
    </row>
    <row r="37968" spans="7:16" s="1634" customFormat="1">
      <c r="G37968" s="3336"/>
      <c r="P37968" s="3337"/>
    </row>
    <row r="37969" spans="7:16" s="1634" customFormat="1">
      <c r="G37969" s="3336"/>
      <c r="P37969" s="3337"/>
    </row>
    <row r="37970" spans="7:16" s="1634" customFormat="1">
      <c r="G37970" s="3336"/>
      <c r="P37970" s="3337"/>
    </row>
    <row r="37971" spans="7:16" s="1634" customFormat="1">
      <c r="G37971" s="3336"/>
      <c r="P37971" s="3337"/>
    </row>
    <row r="37972" spans="7:16" s="1634" customFormat="1">
      <c r="G37972" s="3336"/>
      <c r="P37972" s="3337"/>
    </row>
    <row r="37973" spans="7:16" s="1634" customFormat="1">
      <c r="G37973" s="3336"/>
      <c r="P37973" s="3337"/>
    </row>
    <row r="37974" spans="7:16" s="1634" customFormat="1">
      <c r="G37974" s="3336"/>
      <c r="P37974" s="3337"/>
    </row>
    <row r="37975" spans="7:16" s="1634" customFormat="1">
      <c r="G37975" s="3336"/>
      <c r="P37975" s="3337"/>
    </row>
    <row r="37976" spans="7:16" s="1634" customFormat="1">
      <c r="G37976" s="3336"/>
      <c r="P37976" s="3337"/>
    </row>
    <row r="37977" spans="7:16" s="1634" customFormat="1">
      <c r="G37977" s="3336"/>
      <c r="P37977" s="3337"/>
    </row>
    <row r="37978" spans="7:16" s="1634" customFormat="1">
      <c r="G37978" s="3336"/>
      <c r="P37978" s="3337"/>
    </row>
    <row r="37979" spans="7:16" s="1634" customFormat="1">
      <c r="G37979" s="3336"/>
      <c r="P37979" s="3337"/>
    </row>
    <row r="37980" spans="7:16" s="1634" customFormat="1">
      <c r="G37980" s="3336"/>
      <c r="P37980" s="3337"/>
    </row>
    <row r="37981" spans="7:16" s="1634" customFormat="1">
      <c r="G37981" s="3336"/>
      <c r="P37981" s="3337"/>
    </row>
    <row r="37982" spans="7:16" s="1634" customFormat="1">
      <c r="G37982" s="3336"/>
      <c r="P37982" s="3337"/>
    </row>
    <row r="37983" spans="7:16" s="1634" customFormat="1">
      <c r="G37983" s="3336"/>
      <c r="P37983" s="3337"/>
    </row>
    <row r="37984" spans="7:16" s="1634" customFormat="1">
      <c r="G37984" s="3336"/>
      <c r="P37984" s="3337"/>
    </row>
    <row r="37985" spans="7:16" s="1634" customFormat="1">
      <c r="G37985" s="3336"/>
      <c r="P37985" s="3337"/>
    </row>
    <row r="37986" spans="7:16" s="1634" customFormat="1">
      <c r="G37986" s="3336"/>
      <c r="P37986" s="3337"/>
    </row>
    <row r="37987" spans="7:16" s="1634" customFormat="1">
      <c r="G37987" s="3336"/>
      <c r="P37987" s="3337"/>
    </row>
    <row r="37988" spans="7:16" s="1634" customFormat="1">
      <c r="G37988" s="3336"/>
      <c r="P37988" s="3337"/>
    </row>
    <row r="37989" spans="7:16" s="1634" customFormat="1">
      <c r="G37989" s="3336"/>
      <c r="P37989" s="3337"/>
    </row>
    <row r="37990" spans="7:16" s="1634" customFormat="1">
      <c r="G37990" s="3336"/>
      <c r="P37990" s="3337"/>
    </row>
    <row r="37991" spans="7:16" s="1634" customFormat="1">
      <c r="G37991" s="3336"/>
      <c r="P37991" s="3337"/>
    </row>
    <row r="37992" spans="7:16" s="1634" customFormat="1">
      <c r="G37992" s="3336"/>
      <c r="P37992" s="3337"/>
    </row>
    <row r="37993" spans="7:16" s="1634" customFormat="1">
      <c r="G37993" s="3336"/>
      <c r="P37993" s="3337"/>
    </row>
    <row r="37994" spans="7:16" s="1634" customFormat="1">
      <c r="G37994" s="3336"/>
      <c r="P37994" s="3337"/>
    </row>
    <row r="37995" spans="7:16" s="1634" customFormat="1">
      <c r="G37995" s="3336"/>
      <c r="P37995" s="3337"/>
    </row>
    <row r="37996" spans="7:16" s="1634" customFormat="1">
      <c r="G37996" s="3336"/>
      <c r="P37996" s="3337"/>
    </row>
    <row r="37997" spans="7:16" s="1634" customFormat="1">
      <c r="G37997" s="3336"/>
      <c r="P37997" s="3337"/>
    </row>
    <row r="37998" spans="7:16" s="1634" customFormat="1">
      <c r="G37998" s="3336"/>
      <c r="P37998" s="3337"/>
    </row>
    <row r="37999" spans="7:16" s="1634" customFormat="1">
      <c r="G37999" s="3336"/>
      <c r="P37999" s="3337"/>
    </row>
    <row r="38000" spans="7:16" s="1634" customFormat="1">
      <c r="G38000" s="3336"/>
      <c r="P38000" s="3337"/>
    </row>
    <row r="38001" spans="7:16" s="1634" customFormat="1">
      <c r="G38001" s="3336"/>
      <c r="P38001" s="3337"/>
    </row>
    <row r="38002" spans="7:16" s="1634" customFormat="1">
      <c r="G38002" s="3336"/>
      <c r="P38002" s="3337"/>
    </row>
    <row r="38003" spans="7:16" s="1634" customFormat="1">
      <c r="G38003" s="3336"/>
      <c r="P38003" s="3337"/>
    </row>
    <row r="38004" spans="7:16" s="1634" customFormat="1">
      <c r="G38004" s="3336"/>
      <c r="P38004" s="3337"/>
    </row>
    <row r="38005" spans="7:16" s="1634" customFormat="1">
      <c r="G38005" s="3336"/>
      <c r="P38005" s="3337"/>
    </row>
    <row r="38006" spans="7:16" s="1634" customFormat="1">
      <c r="G38006" s="3336"/>
      <c r="P38006" s="3337"/>
    </row>
    <row r="38007" spans="7:16" s="1634" customFormat="1">
      <c r="G38007" s="3336"/>
      <c r="P38007" s="3337"/>
    </row>
    <row r="38008" spans="7:16" s="1634" customFormat="1">
      <c r="G38008" s="3336"/>
      <c r="P38008" s="3337"/>
    </row>
    <row r="38009" spans="7:16" s="1634" customFormat="1">
      <c r="G38009" s="3336"/>
      <c r="P38009" s="3337"/>
    </row>
    <row r="38010" spans="7:16" s="1634" customFormat="1">
      <c r="G38010" s="3336"/>
      <c r="P38010" s="3337"/>
    </row>
    <row r="38011" spans="7:16" s="1634" customFormat="1">
      <c r="G38011" s="3336"/>
      <c r="P38011" s="3337"/>
    </row>
    <row r="38012" spans="7:16" s="1634" customFormat="1">
      <c r="G38012" s="3336"/>
      <c r="P38012" s="3337"/>
    </row>
    <row r="38013" spans="7:16" s="1634" customFormat="1">
      <c r="G38013" s="3336"/>
      <c r="P38013" s="3337"/>
    </row>
    <row r="38014" spans="7:16" s="1634" customFormat="1">
      <c r="G38014" s="3336"/>
      <c r="P38014" s="3337"/>
    </row>
    <row r="38015" spans="7:16" s="1634" customFormat="1">
      <c r="G38015" s="3336"/>
      <c r="P38015" s="3337"/>
    </row>
    <row r="38016" spans="7:16" s="1634" customFormat="1">
      <c r="G38016" s="3336"/>
      <c r="P38016" s="3337"/>
    </row>
    <row r="38017" spans="7:16" s="1634" customFormat="1">
      <c r="G38017" s="3336"/>
      <c r="P38017" s="3337"/>
    </row>
    <row r="38018" spans="7:16" s="1634" customFormat="1">
      <c r="G38018" s="3336"/>
      <c r="P38018" s="3337"/>
    </row>
    <row r="38019" spans="7:16" s="1634" customFormat="1">
      <c r="G38019" s="3336"/>
      <c r="P38019" s="3337"/>
    </row>
    <row r="38020" spans="7:16" s="1634" customFormat="1">
      <c r="G38020" s="3336"/>
      <c r="P38020" s="3337"/>
    </row>
    <row r="38021" spans="7:16" s="1634" customFormat="1">
      <c r="G38021" s="3336"/>
      <c r="P38021" s="3337"/>
    </row>
    <row r="38022" spans="7:16" s="1634" customFormat="1">
      <c r="G38022" s="3336"/>
      <c r="P38022" s="3337"/>
    </row>
    <row r="38023" spans="7:16" s="1634" customFormat="1">
      <c r="G38023" s="3336"/>
      <c r="P38023" s="3337"/>
    </row>
    <row r="38024" spans="7:16" s="1634" customFormat="1">
      <c r="G38024" s="3336"/>
      <c r="P38024" s="3337"/>
    </row>
    <row r="38025" spans="7:16" s="1634" customFormat="1">
      <c r="G38025" s="3336"/>
      <c r="P38025" s="3337"/>
    </row>
    <row r="38026" spans="7:16" s="1634" customFormat="1">
      <c r="G38026" s="3336"/>
      <c r="P38026" s="3337"/>
    </row>
    <row r="38027" spans="7:16" s="1634" customFormat="1">
      <c r="G38027" s="3336"/>
      <c r="P38027" s="3337"/>
    </row>
    <row r="38028" spans="7:16" s="1634" customFormat="1">
      <c r="G38028" s="3336"/>
      <c r="P38028" s="3337"/>
    </row>
    <row r="38029" spans="7:16" s="1634" customFormat="1">
      <c r="G38029" s="3336"/>
      <c r="P38029" s="3337"/>
    </row>
    <row r="38030" spans="7:16" s="1634" customFormat="1">
      <c r="G38030" s="3336"/>
      <c r="P38030" s="3337"/>
    </row>
    <row r="38031" spans="7:16" s="1634" customFormat="1">
      <c r="G38031" s="3336"/>
      <c r="P38031" s="3337"/>
    </row>
    <row r="38032" spans="7:16" s="1634" customFormat="1">
      <c r="G38032" s="3336"/>
      <c r="P38032" s="3337"/>
    </row>
    <row r="38033" spans="7:16" s="1634" customFormat="1">
      <c r="G38033" s="3336"/>
      <c r="P38033" s="3337"/>
    </row>
    <row r="38034" spans="7:16" s="1634" customFormat="1">
      <c r="G38034" s="3336"/>
      <c r="P38034" s="3337"/>
    </row>
    <row r="38035" spans="7:16" s="1634" customFormat="1">
      <c r="G38035" s="3336"/>
      <c r="P38035" s="3337"/>
    </row>
    <row r="38036" spans="7:16" s="1634" customFormat="1">
      <c r="G38036" s="3336"/>
      <c r="P38036" s="3337"/>
    </row>
    <row r="38037" spans="7:16" s="1634" customFormat="1">
      <c r="G38037" s="3336"/>
      <c r="P38037" s="3337"/>
    </row>
    <row r="38038" spans="7:16" s="1634" customFormat="1">
      <c r="G38038" s="3336"/>
      <c r="P38038" s="3337"/>
    </row>
    <row r="38039" spans="7:16" s="1634" customFormat="1">
      <c r="G38039" s="3336"/>
      <c r="P38039" s="3337"/>
    </row>
    <row r="38040" spans="7:16" s="1634" customFormat="1">
      <c r="G38040" s="3336"/>
      <c r="P38040" s="3337"/>
    </row>
    <row r="38041" spans="7:16" s="1634" customFormat="1">
      <c r="G38041" s="3336"/>
      <c r="P38041" s="3337"/>
    </row>
    <row r="38042" spans="7:16" s="1634" customFormat="1">
      <c r="G38042" s="3336"/>
      <c r="P38042" s="3337"/>
    </row>
    <row r="38043" spans="7:16" s="1634" customFormat="1">
      <c r="G38043" s="3336"/>
      <c r="P38043" s="3337"/>
    </row>
    <row r="38044" spans="7:16" s="1634" customFormat="1">
      <c r="G38044" s="3336"/>
      <c r="P38044" s="3337"/>
    </row>
    <row r="38045" spans="7:16" s="1634" customFormat="1">
      <c r="G38045" s="3336"/>
      <c r="P38045" s="3337"/>
    </row>
    <row r="38046" spans="7:16" s="1634" customFormat="1">
      <c r="G38046" s="3336"/>
      <c r="P38046" s="3337"/>
    </row>
    <row r="38047" spans="7:16" s="1634" customFormat="1">
      <c r="G38047" s="3336"/>
      <c r="P38047" s="3337"/>
    </row>
    <row r="38048" spans="7:16" s="1634" customFormat="1">
      <c r="G38048" s="3336"/>
      <c r="P38048" s="3337"/>
    </row>
    <row r="38049" spans="7:16" s="1634" customFormat="1">
      <c r="G38049" s="3336"/>
      <c r="P38049" s="3337"/>
    </row>
    <row r="38050" spans="7:16" s="1634" customFormat="1">
      <c r="G38050" s="3336"/>
      <c r="P38050" s="3337"/>
    </row>
    <row r="38051" spans="7:16" s="1634" customFormat="1">
      <c r="G38051" s="3336"/>
      <c r="P38051" s="3337"/>
    </row>
    <row r="38052" spans="7:16" s="1634" customFormat="1">
      <c r="G38052" s="3336"/>
      <c r="P38052" s="3337"/>
    </row>
    <row r="38053" spans="7:16" s="1634" customFormat="1">
      <c r="G38053" s="3336"/>
      <c r="P38053" s="3337"/>
    </row>
    <row r="38054" spans="7:16" s="1634" customFormat="1">
      <c r="G38054" s="3336"/>
      <c r="P38054" s="3337"/>
    </row>
    <row r="38055" spans="7:16" s="1634" customFormat="1">
      <c r="G38055" s="3336"/>
      <c r="P38055" s="3337"/>
    </row>
    <row r="38056" spans="7:16" s="1634" customFormat="1">
      <c r="G38056" s="3336"/>
      <c r="P38056" s="3337"/>
    </row>
    <row r="38057" spans="7:16" s="1634" customFormat="1">
      <c r="G38057" s="3336"/>
      <c r="P38057" s="3337"/>
    </row>
    <row r="38058" spans="7:16" s="1634" customFormat="1">
      <c r="G38058" s="3336"/>
      <c r="P38058" s="3337"/>
    </row>
    <row r="38059" spans="7:16" s="1634" customFormat="1">
      <c r="G38059" s="3336"/>
      <c r="P38059" s="3337"/>
    </row>
    <row r="38060" spans="7:16" s="1634" customFormat="1">
      <c r="G38060" s="3336"/>
      <c r="P38060" s="3337"/>
    </row>
    <row r="38061" spans="7:16" s="1634" customFormat="1">
      <c r="G38061" s="3336"/>
      <c r="P38061" s="3337"/>
    </row>
    <row r="38062" spans="7:16" s="1634" customFormat="1">
      <c r="G38062" s="3336"/>
      <c r="P38062" s="3337"/>
    </row>
    <row r="38063" spans="7:16" s="1634" customFormat="1">
      <c r="G38063" s="3336"/>
      <c r="P38063" s="3337"/>
    </row>
    <row r="38064" spans="7:16" s="1634" customFormat="1">
      <c r="G38064" s="3336"/>
      <c r="P38064" s="3337"/>
    </row>
    <row r="38065" spans="7:16" s="1634" customFormat="1">
      <c r="G38065" s="3336"/>
      <c r="P38065" s="3337"/>
    </row>
    <row r="38066" spans="7:16" s="1634" customFormat="1">
      <c r="G38066" s="3336"/>
      <c r="P38066" s="3337"/>
    </row>
    <row r="38067" spans="7:16" s="1634" customFormat="1">
      <c r="G38067" s="3336"/>
      <c r="P38067" s="3337"/>
    </row>
    <row r="38068" spans="7:16" s="1634" customFormat="1">
      <c r="G38068" s="3336"/>
      <c r="P38068" s="3337"/>
    </row>
    <row r="38069" spans="7:16" s="1634" customFormat="1">
      <c r="G38069" s="3336"/>
      <c r="P38069" s="3337"/>
    </row>
    <row r="38070" spans="7:16" s="1634" customFormat="1">
      <c r="G38070" s="3336"/>
      <c r="P38070" s="3337"/>
    </row>
    <row r="38071" spans="7:16" s="1634" customFormat="1">
      <c r="G38071" s="3336"/>
      <c r="P38071" s="3337"/>
    </row>
    <row r="38072" spans="7:16" s="1634" customFormat="1">
      <c r="G38072" s="3336"/>
      <c r="P38072" s="3337"/>
    </row>
    <row r="38073" spans="7:16" s="1634" customFormat="1">
      <c r="G38073" s="3336"/>
      <c r="P38073" s="3337"/>
    </row>
    <row r="38074" spans="7:16" s="1634" customFormat="1">
      <c r="G38074" s="3336"/>
      <c r="P38074" s="3337"/>
    </row>
    <row r="38075" spans="7:16" s="1634" customFormat="1">
      <c r="G38075" s="3336"/>
      <c r="P38075" s="3337"/>
    </row>
    <row r="38076" spans="7:16" s="1634" customFormat="1">
      <c r="G38076" s="3336"/>
      <c r="P38076" s="3337"/>
    </row>
    <row r="38077" spans="7:16" s="1634" customFormat="1">
      <c r="G38077" s="3336"/>
      <c r="P38077" s="3337"/>
    </row>
    <row r="38078" spans="7:16" s="1634" customFormat="1">
      <c r="G38078" s="3336"/>
      <c r="P38078" s="3337"/>
    </row>
    <row r="38079" spans="7:16" s="1634" customFormat="1">
      <c r="G38079" s="3336"/>
      <c r="P38079" s="3337"/>
    </row>
    <row r="38080" spans="7:16" s="1634" customFormat="1">
      <c r="G38080" s="3336"/>
      <c r="P38080" s="3337"/>
    </row>
    <row r="38081" spans="7:16" s="1634" customFormat="1">
      <c r="G38081" s="3336"/>
      <c r="P38081" s="3337"/>
    </row>
    <row r="38082" spans="7:16" s="1634" customFormat="1">
      <c r="G38082" s="3336"/>
      <c r="P38082" s="3337"/>
    </row>
    <row r="38083" spans="7:16" s="1634" customFormat="1">
      <c r="G38083" s="3336"/>
      <c r="P38083" s="3337"/>
    </row>
    <row r="38084" spans="7:16" s="1634" customFormat="1">
      <c r="G38084" s="3336"/>
      <c r="P38084" s="3337"/>
    </row>
    <row r="38085" spans="7:16" s="1634" customFormat="1">
      <c r="G38085" s="3336"/>
      <c r="P38085" s="3337"/>
    </row>
    <row r="38086" spans="7:16" s="1634" customFormat="1">
      <c r="G38086" s="3336"/>
      <c r="P38086" s="3337"/>
    </row>
    <row r="38087" spans="7:16" s="1634" customFormat="1">
      <c r="G38087" s="3336"/>
      <c r="P38087" s="3337"/>
    </row>
    <row r="38088" spans="7:16" s="1634" customFormat="1">
      <c r="G38088" s="3336"/>
      <c r="P38088" s="3337"/>
    </row>
    <row r="38089" spans="7:16" s="1634" customFormat="1">
      <c r="G38089" s="3336"/>
      <c r="P38089" s="3337"/>
    </row>
    <row r="38090" spans="7:16" s="1634" customFormat="1">
      <c r="G38090" s="3336"/>
      <c r="P38090" s="3337"/>
    </row>
    <row r="38091" spans="7:16" s="1634" customFormat="1">
      <c r="G38091" s="3336"/>
      <c r="P38091" s="3337"/>
    </row>
    <row r="38092" spans="7:16" s="1634" customFormat="1">
      <c r="G38092" s="3336"/>
      <c r="P38092" s="3337"/>
    </row>
    <row r="38093" spans="7:16" s="1634" customFormat="1">
      <c r="G38093" s="3336"/>
      <c r="P38093" s="3337"/>
    </row>
    <row r="38094" spans="7:16" s="1634" customFormat="1">
      <c r="G38094" s="3336"/>
      <c r="P38094" s="3337"/>
    </row>
    <row r="38095" spans="7:16" s="1634" customFormat="1">
      <c r="G38095" s="3336"/>
      <c r="P38095" s="3337"/>
    </row>
    <row r="38096" spans="7:16" s="1634" customFormat="1">
      <c r="G38096" s="3336"/>
      <c r="P38096" s="3337"/>
    </row>
    <row r="38097" spans="7:16" s="1634" customFormat="1">
      <c r="G38097" s="3336"/>
      <c r="P38097" s="3337"/>
    </row>
    <row r="38098" spans="7:16" s="1634" customFormat="1">
      <c r="G38098" s="3336"/>
      <c r="P38098" s="3337"/>
    </row>
    <row r="38099" spans="7:16" s="1634" customFormat="1">
      <c r="G38099" s="3336"/>
      <c r="P38099" s="3337"/>
    </row>
    <row r="38100" spans="7:16" s="1634" customFormat="1">
      <c r="G38100" s="3336"/>
      <c r="P38100" s="3337"/>
    </row>
    <row r="38101" spans="7:16" s="1634" customFormat="1">
      <c r="G38101" s="3336"/>
      <c r="P38101" s="3337"/>
    </row>
    <row r="38102" spans="7:16" s="1634" customFormat="1">
      <c r="G38102" s="3336"/>
      <c r="P38102" s="3337"/>
    </row>
    <row r="38103" spans="7:16" s="1634" customFormat="1">
      <c r="G38103" s="3336"/>
      <c r="P38103" s="3337"/>
    </row>
    <row r="38104" spans="7:16" s="1634" customFormat="1">
      <c r="G38104" s="3336"/>
      <c r="P38104" s="3337"/>
    </row>
    <row r="38105" spans="7:16" s="1634" customFormat="1">
      <c r="G38105" s="3336"/>
      <c r="P38105" s="3337"/>
    </row>
    <row r="38106" spans="7:16" s="1634" customFormat="1">
      <c r="G38106" s="3336"/>
      <c r="P38106" s="3337"/>
    </row>
    <row r="38107" spans="7:16" s="1634" customFormat="1">
      <c r="G38107" s="3336"/>
      <c r="P38107" s="3337"/>
    </row>
    <row r="38108" spans="7:16" s="1634" customFormat="1">
      <c r="G38108" s="3336"/>
      <c r="P38108" s="3337"/>
    </row>
    <row r="38109" spans="7:16" s="1634" customFormat="1">
      <c r="G38109" s="3336"/>
      <c r="P38109" s="3337"/>
    </row>
    <row r="38110" spans="7:16" s="1634" customFormat="1">
      <c r="G38110" s="3336"/>
      <c r="P38110" s="3337"/>
    </row>
    <row r="38111" spans="7:16" s="1634" customFormat="1">
      <c r="G38111" s="3336"/>
      <c r="P38111" s="3337"/>
    </row>
    <row r="38112" spans="7:16" s="1634" customFormat="1">
      <c r="G38112" s="3336"/>
      <c r="P38112" s="3337"/>
    </row>
    <row r="38113" spans="7:16" s="1634" customFormat="1">
      <c r="G38113" s="3336"/>
      <c r="P38113" s="3337"/>
    </row>
    <row r="38114" spans="7:16" s="1634" customFormat="1">
      <c r="G38114" s="3336"/>
      <c r="P38114" s="3337"/>
    </row>
    <row r="38115" spans="7:16" s="1634" customFormat="1">
      <c r="G38115" s="3336"/>
      <c r="P38115" s="3337"/>
    </row>
    <row r="38116" spans="7:16" s="1634" customFormat="1">
      <c r="G38116" s="3336"/>
      <c r="P38116" s="3337"/>
    </row>
    <row r="38117" spans="7:16" s="1634" customFormat="1">
      <c r="G38117" s="3336"/>
      <c r="P38117" s="3337"/>
    </row>
    <row r="38118" spans="7:16" s="1634" customFormat="1">
      <c r="G38118" s="3336"/>
      <c r="P38118" s="3337"/>
    </row>
    <row r="38119" spans="7:16" s="1634" customFormat="1">
      <c r="G38119" s="3336"/>
      <c r="P38119" s="3337"/>
    </row>
    <row r="38120" spans="7:16" s="1634" customFormat="1">
      <c r="G38120" s="3336"/>
      <c r="P38120" s="3337"/>
    </row>
    <row r="38121" spans="7:16" s="1634" customFormat="1">
      <c r="G38121" s="3336"/>
      <c r="P38121" s="3337"/>
    </row>
    <row r="38122" spans="7:16" s="1634" customFormat="1">
      <c r="G38122" s="3336"/>
      <c r="P38122" s="3337"/>
    </row>
    <row r="38123" spans="7:16" s="1634" customFormat="1">
      <c r="G38123" s="3336"/>
      <c r="P38123" s="3337"/>
    </row>
    <row r="38124" spans="7:16" s="1634" customFormat="1">
      <c r="G38124" s="3336"/>
      <c r="P38124" s="3337"/>
    </row>
    <row r="38125" spans="7:16" s="1634" customFormat="1">
      <c r="G38125" s="3336"/>
      <c r="P38125" s="3337"/>
    </row>
    <row r="38126" spans="7:16" s="1634" customFormat="1">
      <c r="G38126" s="3336"/>
      <c r="P38126" s="3337"/>
    </row>
    <row r="38127" spans="7:16" s="1634" customFormat="1">
      <c r="G38127" s="3336"/>
      <c r="P38127" s="3337"/>
    </row>
    <row r="38128" spans="7:16" s="1634" customFormat="1">
      <c r="G38128" s="3336"/>
      <c r="P38128" s="3337"/>
    </row>
    <row r="38129" spans="7:16" s="1634" customFormat="1">
      <c r="G38129" s="3336"/>
      <c r="P38129" s="3337"/>
    </row>
    <row r="38130" spans="7:16" s="1634" customFormat="1">
      <c r="G38130" s="3336"/>
      <c r="P38130" s="3337"/>
    </row>
    <row r="38131" spans="7:16" s="1634" customFormat="1">
      <c r="G38131" s="3336"/>
      <c r="P38131" s="3337"/>
    </row>
    <row r="38132" spans="7:16" s="1634" customFormat="1">
      <c r="G38132" s="3336"/>
      <c r="P38132" s="3337"/>
    </row>
    <row r="38133" spans="7:16" s="1634" customFormat="1">
      <c r="G38133" s="3336"/>
      <c r="P38133" s="3337"/>
    </row>
    <row r="38134" spans="7:16" s="1634" customFormat="1">
      <c r="G38134" s="3336"/>
      <c r="P38134" s="3337"/>
    </row>
    <row r="38135" spans="7:16" s="1634" customFormat="1">
      <c r="G38135" s="3336"/>
      <c r="P38135" s="3337"/>
    </row>
    <row r="38136" spans="7:16" s="1634" customFormat="1">
      <c r="G38136" s="3336"/>
      <c r="P38136" s="3337"/>
    </row>
    <row r="38137" spans="7:16" s="1634" customFormat="1">
      <c r="G38137" s="3336"/>
      <c r="P38137" s="3337"/>
    </row>
    <row r="38138" spans="7:16" s="1634" customFormat="1">
      <c r="G38138" s="3336"/>
      <c r="P38138" s="3337"/>
    </row>
    <row r="38139" spans="7:16" s="1634" customFormat="1">
      <c r="G38139" s="3336"/>
      <c r="P38139" s="3337"/>
    </row>
    <row r="38140" spans="7:16" s="1634" customFormat="1">
      <c r="G38140" s="3336"/>
      <c r="P38140" s="3337"/>
    </row>
    <row r="38141" spans="7:16" s="1634" customFormat="1">
      <c r="G38141" s="3336"/>
      <c r="P38141" s="3337"/>
    </row>
    <row r="38142" spans="7:16" s="1634" customFormat="1">
      <c r="G38142" s="3336"/>
      <c r="P38142" s="3337"/>
    </row>
    <row r="38143" spans="7:16" s="1634" customFormat="1">
      <c r="G38143" s="3336"/>
      <c r="P38143" s="3337"/>
    </row>
    <row r="38144" spans="7:16" s="1634" customFormat="1">
      <c r="G38144" s="3336"/>
      <c r="P38144" s="3337"/>
    </row>
    <row r="38145" spans="7:16" s="1634" customFormat="1">
      <c r="G38145" s="3336"/>
      <c r="P38145" s="3337"/>
    </row>
    <row r="38146" spans="7:16" s="1634" customFormat="1">
      <c r="G38146" s="3336"/>
      <c r="P38146" s="3337"/>
    </row>
    <row r="38147" spans="7:16" s="1634" customFormat="1">
      <c r="G38147" s="3336"/>
      <c r="P38147" s="3337"/>
    </row>
    <row r="38148" spans="7:16" s="1634" customFormat="1">
      <c r="G38148" s="3336"/>
      <c r="P38148" s="3337"/>
    </row>
    <row r="38149" spans="7:16" s="1634" customFormat="1">
      <c r="G38149" s="3336"/>
      <c r="P38149" s="3337"/>
    </row>
    <row r="38150" spans="7:16" s="1634" customFormat="1">
      <c r="G38150" s="3336"/>
      <c r="P38150" s="3337"/>
    </row>
    <row r="38151" spans="7:16" s="1634" customFormat="1">
      <c r="G38151" s="3336"/>
      <c r="P38151" s="3337"/>
    </row>
    <row r="38152" spans="7:16" s="1634" customFormat="1">
      <c r="G38152" s="3336"/>
      <c r="P38152" s="3337"/>
    </row>
    <row r="38153" spans="7:16" s="1634" customFormat="1">
      <c r="G38153" s="3336"/>
      <c r="P38153" s="3337"/>
    </row>
    <row r="38154" spans="7:16" s="1634" customFormat="1">
      <c r="G38154" s="3336"/>
      <c r="P38154" s="3337"/>
    </row>
    <row r="38155" spans="7:16" s="1634" customFormat="1">
      <c r="G38155" s="3336"/>
      <c r="P38155" s="3337"/>
    </row>
    <row r="38156" spans="7:16" s="1634" customFormat="1">
      <c r="G38156" s="3336"/>
      <c r="P38156" s="3337"/>
    </row>
    <row r="38157" spans="7:16" s="1634" customFormat="1">
      <c r="G38157" s="3336"/>
      <c r="P38157" s="3337"/>
    </row>
    <row r="38158" spans="7:16" s="1634" customFormat="1">
      <c r="G38158" s="3336"/>
      <c r="P38158" s="3337"/>
    </row>
    <row r="38159" spans="7:16" s="1634" customFormat="1">
      <c r="G38159" s="3336"/>
      <c r="P38159" s="3337"/>
    </row>
    <row r="38160" spans="7:16" s="1634" customFormat="1">
      <c r="G38160" s="3336"/>
      <c r="P38160" s="3337"/>
    </row>
    <row r="38161" spans="7:16" s="1634" customFormat="1">
      <c r="G38161" s="3336"/>
      <c r="P38161" s="3337"/>
    </row>
    <row r="38162" spans="7:16" s="1634" customFormat="1">
      <c r="G38162" s="3336"/>
      <c r="P38162" s="3337"/>
    </row>
    <row r="38163" spans="7:16" s="1634" customFormat="1">
      <c r="G38163" s="3336"/>
      <c r="P38163" s="3337"/>
    </row>
    <row r="38164" spans="7:16" s="1634" customFormat="1">
      <c r="G38164" s="3336"/>
      <c r="P38164" s="3337"/>
    </row>
    <row r="38165" spans="7:16" s="1634" customFormat="1">
      <c r="G38165" s="3336"/>
      <c r="P38165" s="3337"/>
    </row>
    <row r="38166" spans="7:16" s="1634" customFormat="1">
      <c r="G38166" s="3336"/>
      <c r="P38166" s="3337"/>
    </row>
    <row r="38167" spans="7:16" s="1634" customFormat="1">
      <c r="G38167" s="3336"/>
      <c r="P38167" s="3337"/>
    </row>
    <row r="38168" spans="7:16" s="1634" customFormat="1">
      <c r="G38168" s="3336"/>
      <c r="P38168" s="3337"/>
    </row>
    <row r="38169" spans="7:16" s="1634" customFormat="1">
      <c r="G38169" s="3336"/>
      <c r="P38169" s="3337"/>
    </row>
    <row r="38170" spans="7:16" s="1634" customFormat="1">
      <c r="G38170" s="3336"/>
      <c r="P38170" s="3337"/>
    </row>
    <row r="38171" spans="7:16" s="1634" customFormat="1">
      <c r="G38171" s="3336"/>
      <c r="P38171" s="3337"/>
    </row>
    <row r="38172" spans="7:16" s="1634" customFormat="1">
      <c r="G38172" s="3336"/>
      <c r="P38172" s="3337"/>
    </row>
    <row r="38173" spans="7:16" s="1634" customFormat="1">
      <c r="G38173" s="3336"/>
      <c r="P38173" s="3337"/>
    </row>
    <row r="38174" spans="7:16" s="1634" customFormat="1">
      <c r="G38174" s="3336"/>
      <c r="P38174" s="3337"/>
    </row>
    <row r="38175" spans="7:16" s="1634" customFormat="1">
      <c r="G38175" s="3336"/>
      <c r="P38175" s="3337"/>
    </row>
    <row r="38176" spans="7:16" s="1634" customFormat="1">
      <c r="G38176" s="3336"/>
      <c r="P38176" s="3337"/>
    </row>
    <row r="38177" spans="7:16" s="1634" customFormat="1">
      <c r="G38177" s="3336"/>
      <c r="P38177" s="3337"/>
    </row>
    <row r="38178" spans="7:16" s="1634" customFormat="1">
      <c r="G38178" s="3336"/>
      <c r="P38178" s="3337"/>
    </row>
    <row r="38179" spans="7:16" s="1634" customFormat="1">
      <c r="G38179" s="3336"/>
      <c r="P38179" s="3337"/>
    </row>
    <row r="38180" spans="7:16" s="1634" customFormat="1">
      <c r="G38180" s="3336"/>
      <c r="P38180" s="3337"/>
    </row>
    <row r="38181" spans="7:16" s="1634" customFormat="1">
      <c r="G38181" s="3336"/>
      <c r="P38181" s="3337"/>
    </row>
    <row r="38182" spans="7:16" s="1634" customFormat="1">
      <c r="G38182" s="3336"/>
      <c r="P38182" s="3337"/>
    </row>
    <row r="38183" spans="7:16" s="1634" customFormat="1">
      <c r="G38183" s="3336"/>
      <c r="P38183" s="3337"/>
    </row>
    <row r="38184" spans="7:16" s="1634" customFormat="1">
      <c r="G38184" s="3336"/>
      <c r="P38184" s="3337"/>
    </row>
    <row r="38185" spans="7:16" s="1634" customFormat="1">
      <c r="G38185" s="3336"/>
      <c r="P38185" s="3337"/>
    </row>
    <row r="38186" spans="7:16" s="1634" customFormat="1">
      <c r="G38186" s="3336"/>
      <c r="P38186" s="3337"/>
    </row>
    <row r="38187" spans="7:16" s="1634" customFormat="1">
      <c r="G38187" s="3336"/>
      <c r="P38187" s="3337"/>
    </row>
    <row r="38188" spans="7:16" s="1634" customFormat="1">
      <c r="G38188" s="3336"/>
      <c r="P38188" s="3337"/>
    </row>
    <row r="38189" spans="7:16" s="1634" customFormat="1">
      <c r="G38189" s="3336"/>
      <c r="P38189" s="3337"/>
    </row>
    <row r="38190" spans="7:16" s="1634" customFormat="1">
      <c r="G38190" s="3336"/>
      <c r="P38190" s="3337"/>
    </row>
    <row r="38191" spans="7:16" s="1634" customFormat="1">
      <c r="G38191" s="3336"/>
      <c r="P38191" s="3337"/>
    </row>
    <row r="38192" spans="7:16" s="1634" customFormat="1">
      <c r="G38192" s="3336"/>
      <c r="P38192" s="3337"/>
    </row>
    <row r="38193" spans="7:16" s="1634" customFormat="1">
      <c r="G38193" s="3336"/>
      <c r="P38193" s="3337"/>
    </row>
    <row r="38194" spans="7:16" s="1634" customFormat="1">
      <c r="G38194" s="3336"/>
      <c r="P38194" s="3337"/>
    </row>
    <row r="38195" spans="7:16" s="1634" customFormat="1">
      <c r="G38195" s="3336"/>
      <c r="P38195" s="3337"/>
    </row>
    <row r="38196" spans="7:16" s="1634" customFormat="1">
      <c r="G38196" s="3336"/>
      <c r="P38196" s="3337"/>
    </row>
    <row r="38197" spans="7:16" s="1634" customFormat="1">
      <c r="G38197" s="3336"/>
      <c r="P38197" s="3337"/>
    </row>
    <row r="38198" spans="7:16" s="1634" customFormat="1">
      <c r="G38198" s="3336"/>
      <c r="P38198" s="3337"/>
    </row>
    <row r="38199" spans="7:16" s="1634" customFormat="1">
      <c r="G38199" s="3336"/>
      <c r="P38199" s="3337"/>
    </row>
    <row r="38200" spans="7:16" s="1634" customFormat="1">
      <c r="G38200" s="3336"/>
      <c r="P38200" s="3337"/>
    </row>
    <row r="38201" spans="7:16" s="1634" customFormat="1">
      <c r="G38201" s="3336"/>
      <c r="P38201" s="3337"/>
    </row>
    <row r="38202" spans="7:16" s="1634" customFormat="1">
      <c r="G38202" s="3336"/>
      <c r="P38202" s="3337"/>
    </row>
    <row r="38203" spans="7:16" s="1634" customFormat="1">
      <c r="G38203" s="3336"/>
      <c r="P38203" s="3337"/>
    </row>
    <row r="38204" spans="7:16" s="1634" customFormat="1">
      <c r="G38204" s="3336"/>
      <c r="P38204" s="3337"/>
    </row>
    <row r="38205" spans="7:16" s="1634" customFormat="1">
      <c r="G38205" s="3336"/>
      <c r="P38205" s="3337"/>
    </row>
    <row r="38206" spans="7:16" s="1634" customFormat="1">
      <c r="G38206" s="3336"/>
      <c r="P38206" s="3337"/>
    </row>
    <row r="38207" spans="7:16" s="1634" customFormat="1">
      <c r="G38207" s="3336"/>
      <c r="P38207" s="3337"/>
    </row>
    <row r="38208" spans="7:16" s="1634" customFormat="1">
      <c r="G38208" s="3336"/>
      <c r="P38208" s="3337"/>
    </row>
    <row r="38209" spans="7:16" s="1634" customFormat="1">
      <c r="G38209" s="3336"/>
      <c r="P38209" s="3337"/>
    </row>
    <row r="38210" spans="7:16" s="1634" customFormat="1">
      <c r="G38210" s="3336"/>
      <c r="P38210" s="3337"/>
    </row>
    <row r="38211" spans="7:16" s="1634" customFormat="1">
      <c r="G38211" s="3336"/>
      <c r="P38211" s="3337"/>
    </row>
    <row r="38212" spans="7:16" s="1634" customFormat="1">
      <c r="G38212" s="3336"/>
      <c r="P38212" s="3337"/>
    </row>
    <row r="38213" spans="7:16" s="1634" customFormat="1">
      <c r="G38213" s="3336"/>
      <c r="P38213" s="3337"/>
    </row>
    <row r="38214" spans="7:16" s="1634" customFormat="1">
      <c r="G38214" s="3336"/>
      <c r="P38214" s="3337"/>
    </row>
    <row r="38215" spans="7:16" s="1634" customFormat="1">
      <c r="G38215" s="3336"/>
      <c r="P38215" s="3337"/>
    </row>
    <row r="38216" spans="7:16" s="1634" customFormat="1">
      <c r="G38216" s="3336"/>
      <c r="P38216" s="3337"/>
    </row>
    <row r="38217" spans="7:16" s="1634" customFormat="1">
      <c r="G38217" s="3336"/>
      <c r="P38217" s="3337"/>
    </row>
    <row r="38218" spans="7:16" s="1634" customFormat="1">
      <c r="G38218" s="3336"/>
      <c r="P38218" s="3337"/>
    </row>
    <row r="38219" spans="7:16" s="1634" customFormat="1">
      <c r="G38219" s="3336"/>
      <c r="P38219" s="3337"/>
    </row>
    <row r="38220" spans="7:16" s="1634" customFormat="1">
      <c r="G38220" s="3336"/>
      <c r="P38220" s="3337"/>
    </row>
    <row r="38221" spans="7:16" s="1634" customFormat="1">
      <c r="G38221" s="3336"/>
      <c r="P38221" s="3337"/>
    </row>
    <row r="38222" spans="7:16" s="1634" customFormat="1">
      <c r="G38222" s="3336"/>
      <c r="P38222" s="3337"/>
    </row>
    <row r="38223" spans="7:16" s="1634" customFormat="1">
      <c r="G38223" s="3336"/>
      <c r="P38223" s="3337"/>
    </row>
    <row r="38224" spans="7:16" s="1634" customFormat="1">
      <c r="G38224" s="3336"/>
      <c r="P38224" s="3337"/>
    </row>
    <row r="38225" spans="7:16" s="1634" customFormat="1">
      <c r="G38225" s="3336"/>
      <c r="P38225" s="3337"/>
    </row>
    <row r="38226" spans="7:16" s="1634" customFormat="1">
      <c r="G38226" s="3336"/>
      <c r="P38226" s="3337"/>
    </row>
    <row r="38227" spans="7:16" s="1634" customFormat="1">
      <c r="G38227" s="3336"/>
      <c r="P38227" s="3337"/>
    </row>
    <row r="38228" spans="7:16" s="1634" customFormat="1">
      <c r="G38228" s="3336"/>
      <c r="P38228" s="3337"/>
    </row>
    <row r="38229" spans="7:16" s="1634" customFormat="1">
      <c r="G38229" s="3336"/>
      <c r="P38229" s="3337"/>
    </row>
    <row r="38230" spans="7:16" s="1634" customFormat="1">
      <c r="G38230" s="3336"/>
      <c r="P38230" s="3337"/>
    </row>
    <row r="38231" spans="7:16" s="1634" customFormat="1">
      <c r="G38231" s="3336"/>
      <c r="P38231" s="3337"/>
    </row>
    <row r="38232" spans="7:16" s="1634" customFormat="1">
      <c r="G38232" s="3336"/>
      <c r="P38232" s="3337"/>
    </row>
    <row r="38233" spans="7:16" s="1634" customFormat="1">
      <c r="G38233" s="3336"/>
      <c r="P38233" s="3337"/>
    </row>
    <row r="38234" spans="7:16" s="1634" customFormat="1">
      <c r="G38234" s="3336"/>
      <c r="P38234" s="3337"/>
    </row>
    <row r="38235" spans="7:16" s="1634" customFormat="1">
      <c r="G38235" s="3336"/>
      <c r="P38235" s="3337"/>
    </row>
    <row r="38236" spans="7:16" s="1634" customFormat="1">
      <c r="G38236" s="3336"/>
      <c r="P38236" s="3337"/>
    </row>
    <row r="38237" spans="7:16" s="1634" customFormat="1">
      <c r="G38237" s="3336"/>
      <c r="P38237" s="3337"/>
    </row>
    <row r="38238" spans="7:16" s="1634" customFormat="1">
      <c r="G38238" s="3336"/>
      <c r="P38238" s="3337"/>
    </row>
    <row r="38239" spans="7:16" s="1634" customFormat="1">
      <c r="G38239" s="3336"/>
      <c r="P38239" s="3337"/>
    </row>
    <row r="38240" spans="7:16" s="1634" customFormat="1">
      <c r="G38240" s="3336"/>
      <c r="P38240" s="3337"/>
    </row>
    <row r="38241" spans="7:16" s="1634" customFormat="1">
      <c r="G38241" s="3336"/>
      <c r="P38241" s="3337"/>
    </row>
    <row r="38242" spans="7:16" s="1634" customFormat="1">
      <c r="G38242" s="3336"/>
      <c r="P38242" s="3337"/>
    </row>
    <row r="38243" spans="7:16" s="1634" customFormat="1">
      <c r="G38243" s="3336"/>
      <c r="P38243" s="3337"/>
    </row>
    <row r="38244" spans="7:16" s="1634" customFormat="1">
      <c r="G38244" s="3336"/>
      <c r="P38244" s="3337"/>
    </row>
    <row r="38245" spans="7:16" s="1634" customFormat="1">
      <c r="G38245" s="3336"/>
      <c r="P38245" s="3337"/>
    </row>
    <row r="38246" spans="7:16" s="1634" customFormat="1">
      <c r="G38246" s="3336"/>
      <c r="P38246" s="3337"/>
    </row>
    <row r="38247" spans="7:16" s="1634" customFormat="1">
      <c r="G38247" s="3336"/>
      <c r="P38247" s="3337"/>
    </row>
    <row r="38248" spans="7:16" s="1634" customFormat="1">
      <c r="G38248" s="3336"/>
      <c r="P38248" s="3337"/>
    </row>
    <row r="38249" spans="7:16" s="1634" customFormat="1">
      <c r="G38249" s="3336"/>
      <c r="P38249" s="3337"/>
    </row>
    <row r="38250" spans="7:16" s="1634" customFormat="1">
      <c r="G38250" s="3336"/>
      <c r="P38250" s="3337"/>
    </row>
    <row r="38251" spans="7:16" s="1634" customFormat="1">
      <c r="G38251" s="3336"/>
      <c r="P38251" s="3337"/>
    </row>
    <row r="38252" spans="7:16" s="1634" customFormat="1">
      <c r="G38252" s="3336"/>
      <c r="P38252" s="3337"/>
    </row>
    <row r="38253" spans="7:16" s="1634" customFormat="1">
      <c r="G38253" s="3336"/>
      <c r="P38253" s="3337"/>
    </row>
    <row r="38254" spans="7:16" s="1634" customFormat="1">
      <c r="G38254" s="3336"/>
      <c r="P38254" s="3337"/>
    </row>
    <row r="38255" spans="7:16" s="1634" customFormat="1">
      <c r="G38255" s="3336"/>
      <c r="P38255" s="3337"/>
    </row>
    <row r="38256" spans="7:16" s="1634" customFormat="1">
      <c r="G38256" s="3336"/>
      <c r="P38256" s="3337"/>
    </row>
    <row r="38257" spans="7:16" s="1634" customFormat="1">
      <c r="G38257" s="3336"/>
      <c r="P38257" s="3337"/>
    </row>
    <row r="38258" spans="7:16" s="1634" customFormat="1">
      <c r="G38258" s="3336"/>
      <c r="P38258" s="3337"/>
    </row>
    <row r="38259" spans="7:16" s="1634" customFormat="1">
      <c r="G38259" s="3336"/>
      <c r="P38259" s="3337"/>
    </row>
    <row r="38260" spans="7:16" s="1634" customFormat="1">
      <c r="G38260" s="3336"/>
      <c r="P38260" s="3337"/>
    </row>
    <row r="38261" spans="7:16" s="1634" customFormat="1">
      <c r="G38261" s="3336"/>
      <c r="P38261" s="3337"/>
    </row>
    <row r="38262" spans="7:16" s="1634" customFormat="1">
      <c r="G38262" s="3336"/>
      <c r="P38262" s="3337"/>
    </row>
    <row r="38263" spans="7:16" s="1634" customFormat="1">
      <c r="G38263" s="3336"/>
      <c r="P38263" s="3337"/>
    </row>
    <row r="38264" spans="7:16" s="1634" customFormat="1">
      <c r="G38264" s="3336"/>
      <c r="P38264" s="3337"/>
    </row>
    <row r="38265" spans="7:16" s="1634" customFormat="1">
      <c r="G38265" s="3336"/>
      <c r="P38265" s="3337"/>
    </row>
    <row r="38266" spans="7:16" s="1634" customFormat="1">
      <c r="G38266" s="3336"/>
      <c r="P38266" s="3337"/>
    </row>
    <row r="38267" spans="7:16" s="1634" customFormat="1">
      <c r="G38267" s="3336"/>
      <c r="P38267" s="3337"/>
    </row>
    <row r="38268" spans="7:16" s="1634" customFormat="1">
      <c r="G38268" s="3336"/>
      <c r="P38268" s="3337"/>
    </row>
    <row r="38269" spans="7:16" s="1634" customFormat="1">
      <c r="G38269" s="3336"/>
      <c r="P38269" s="3337"/>
    </row>
    <row r="38270" spans="7:16" s="1634" customFormat="1">
      <c r="G38270" s="3336"/>
      <c r="P38270" s="3337"/>
    </row>
    <row r="38271" spans="7:16" s="1634" customFormat="1">
      <c r="G38271" s="3336"/>
      <c r="P38271" s="3337"/>
    </row>
    <row r="38272" spans="7:16" s="1634" customFormat="1">
      <c r="G38272" s="3336"/>
      <c r="P38272" s="3337"/>
    </row>
    <row r="38273" spans="7:16" s="1634" customFormat="1">
      <c r="G38273" s="3336"/>
      <c r="P38273" s="3337"/>
    </row>
    <row r="38274" spans="7:16" s="1634" customFormat="1">
      <c r="G38274" s="3336"/>
      <c r="P38274" s="3337"/>
    </row>
    <row r="38275" spans="7:16" s="1634" customFormat="1">
      <c r="G38275" s="3336"/>
      <c r="P38275" s="3337"/>
    </row>
    <row r="38276" spans="7:16" s="1634" customFormat="1">
      <c r="G38276" s="3336"/>
      <c r="P38276" s="3337"/>
    </row>
    <row r="38277" spans="7:16" s="1634" customFormat="1">
      <c r="G38277" s="3336"/>
      <c r="P38277" s="3337"/>
    </row>
    <row r="38278" spans="7:16" s="1634" customFormat="1">
      <c r="G38278" s="3336"/>
      <c r="P38278" s="3337"/>
    </row>
    <row r="38279" spans="7:16" s="1634" customFormat="1">
      <c r="G38279" s="3336"/>
      <c r="P38279" s="3337"/>
    </row>
    <row r="38280" spans="7:16" s="1634" customFormat="1">
      <c r="G38280" s="3336"/>
      <c r="P38280" s="3337"/>
    </row>
    <row r="38281" spans="7:16" s="1634" customFormat="1">
      <c r="G38281" s="3336"/>
      <c r="P38281" s="3337"/>
    </row>
    <row r="38282" spans="7:16" s="1634" customFormat="1">
      <c r="G38282" s="3336"/>
      <c r="P38282" s="3337"/>
    </row>
    <row r="38283" spans="7:16" s="1634" customFormat="1">
      <c r="G38283" s="3336"/>
      <c r="P38283" s="3337"/>
    </row>
    <row r="38284" spans="7:16" s="1634" customFormat="1">
      <c r="G38284" s="3336"/>
      <c r="P38284" s="3337"/>
    </row>
    <row r="38285" spans="7:16" s="1634" customFormat="1">
      <c r="G38285" s="3336"/>
      <c r="P38285" s="3337"/>
    </row>
    <row r="38286" spans="7:16" s="1634" customFormat="1">
      <c r="G38286" s="3336"/>
      <c r="P38286" s="3337"/>
    </row>
    <row r="38287" spans="7:16" s="1634" customFormat="1">
      <c r="G38287" s="3336"/>
      <c r="P38287" s="3337"/>
    </row>
    <row r="38288" spans="7:16" s="1634" customFormat="1">
      <c r="G38288" s="3336"/>
      <c r="P38288" s="3337"/>
    </row>
    <row r="38289" spans="7:16" s="1634" customFormat="1">
      <c r="G38289" s="3336"/>
      <c r="P38289" s="3337"/>
    </row>
    <row r="38290" spans="7:16" s="1634" customFormat="1">
      <c r="G38290" s="3336"/>
      <c r="P38290" s="3337"/>
    </row>
    <row r="38291" spans="7:16" s="1634" customFormat="1">
      <c r="G38291" s="3336"/>
      <c r="P38291" s="3337"/>
    </row>
    <row r="38292" spans="7:16" s="1634" customFormat="1">
      <c r="G38292" s="3336"/>
      <c r="P38292" s="3337"/>
    </row>
    <row r="38293" spans="7:16" s="1634" customFormat="1">
      <c r="G38293" s="3336"/>
      <c r="P38293" s="3337"/>
    </row>
    <row r="38294" spans="7:16" s="1634" customFormat="1">
      <c r="G38294" s="3336"/>
      <c r="P38294" s="3337"/>
    </row>
    <row r="38295" spans="7:16" s="1634" customFormat="1">
      <c r="G38295" s="3336"/>
      <c r="P38295" s="3337"/>
    </row>
    <row r="38296" spans="7:16" s="1634" customFormat="1">
      <c r="G38296" s="3336"/>
      <c r="P38296" s="3337"/>
    </row>
    <row r="38297" spans="7:16" s="1634" customFormat="1">
      <c r="G38297" s="3336"/>
      <c r="P38297" s="3337"/>
    </row>
    <row r="38298" spans="7:16" s="1634" customFormat="1">
      <c r="G38298" s="3336"/>
      <c r="P38298" s="3337"/>
    </row>
    <row r="38299" spans="7:16" s="1634" customFormat="1">
      <c r="G38299" s="3336"/>
      <c r="P38299" s="3337"/>
    </row>
    <row r="38300" spans="7:16" s="1634" customFormat="1">
      <c r="G38300" s="3336"/>
      <c r="P38300" s="3337"/>
    </row>
    <row r="38301" spans="7:16" s="1634" customFormat="1">
      <c r="G38301" s="3336"/>
      <c r="P38301" s="3337"/>
    </row>
    <row r="38302" spans="7:16" s="1634" customFormat="1">
      <c r="G38302" s="3336"/>
      <c r="P38302" s="3337"/>
    </row>
    <row r="38303" spans="7:16" s="1634" customFormat="1">
      <c r="G38303" s="3336"/>
      <c r="P38303" s="3337"/>
    </row>
    <row r="38304" spans="7:16" s="1634" customFormat="1">
      <c r="G38304" s="3336"/>
      <c r="P38304" s="3337"/>
    </row>
    <row r="38305" spans="7:16" s="1634" customFormat="1">
      <c r="G38305" s="3336"/>
      <c r="P38305" s="3337"/>
    </row>
    <row r="38306" spans="7:16" s="1634" customFormat="1">
      <c r="G38306" s="3336"/>
      <c r="P38306" s="3337"/>
    </row>
    <row r="38307" spans="7:16" s="1634" customFormat="1">
      <c r="G38307" s="3336"/>
      <c r="P38307" s="3337"/>
    </row>
    <row r="38308" spans="7:16" s="1634" customFormat="1">
      <c r="G38308" s="3336"/>
      <c r="P38308" s="3337"/>
    </row>
    <row r="38309" spans="7:16" s="1634" customFormat="1">
      <c r="G38309" s="3336"/>
      <c r="P38309" s="3337"/>
    </row>
    <row r="38310" spans="7:16" s="1634" customFormat="1">
      <c r="G38310" s="3336"/>
      <c r="P38310" s="3337"/>
    </row>
    <row r="38311" spans="7:16" s="1634" customFormat="1">
      <c r="G38311" s="3336"/>
      <c r="P38311" s="3337"/>
    </row>
    <row r="38312" spans="7:16" s="1634" customFormat="1">
      <c r="G38312" s="3336"/>
      <c r="P38312" s="3337"/>
    </row>
    <row r="38313" spans="7:16" s="1634" customFormat="1">
      <c r="G38313" s="3336"/>
      <c r="P38313" s="3337"/>
    </row>
    <row r="38314" spans="7:16" s="1634" customFormat="1">
      <c r="G38314" s="3336"/>
      <c r="P38314" s="3337"/>
    </row>
    <row r="38315" spans="7:16" s="1634" customFormat="1">
      <c r="G38315" s="3336"/>
      <c r="P38315" s="3337"/>
    </row>
    <row r="38316" spans="7:16" s="1634" customFormat="1">
      <c r="G38316" s="3336"/>
      <c r="P38316" s="3337"/>
    </row>
    <row r="38317" spans="7:16" s="1634" customFormat="1">
      <c r="G38317" s="3336"/>
      <c r="P38317" s="3337"/>
    </row>
    <row r="38318" spans="7:16" s="1634" customFormat="1">
      <c r="G38318" s="3336"/>
      <c r="P38318" s="3337"/>
    </row>
    <row r="38319" spans="7:16" s="1634" customFormat="1">
      <c r="G38319" s="3336"/>
      <c r="P38319" s="3337"/>
    </row>
    <row r="38320" spans="7:16" s="1634" customFormat="1">
      <c r="G38320" s="3336"/>
      <c r="P38320" s="3337"/>
    </row>
    <row r="38321" spans="7:16" s="1634" customFormat="1">
      <c r="G38321" s="3336"/>
      <c r="P38321" s="3337"/>
    </row>
    <row r="38322" spans="7:16" s="1634" customFormat="1">
      <c r="G38322" s="3336"/>
      <c r="P38322" s="3337"/>
    </row>
    <row r="38323" spans="7:16" s="1634" customFormat="1">
      <c r="G38323" s="3336"/>
      <c r="P38323" s="3337"/>
    </row>
    <row r="38324" spans="7:16" s="1634" customFormat="1">
      <c r="G38324" s="3336"/>
      <c r="P38324" s="3337"/>
    </row>
    <row r="38325" spans="7:16" s="1634" customFormat="1">
      <c r="G38325" s="3336"/>
      <c r="P38325" s="3337"/>
    </row>
    <row r="38326" spans="7:16" s="1634" customFormat="1">
      <c r="G38326" s="3336"/>
      <c r="P38326" s="3337"/>
    </row>
    <row r="38327" spans="7:16" s="1634" customFormat="1">
      <c r="G38327" s="3336"/>
      <c r="P38327" s="3337"/>
    </row>
    <row r="38328" spans="7:16" s="1634" customFormat="1">
      <c r="G38328" s="3336"/>
      <c r="P38328" s="3337"/>
    </row>
    <row r="38329" spans="7:16" s="1634" customFormat="1">
      <c r="G38329" s="3336"/>
      <c r="P38329" s="3337"/>
    </row>
    <row r="38330" spans="7:16" s="1634" customFormat="1">
      <c r="G38330" s="3336"/>
      <c r="P38330" s="3337"/>
    </row>
    <row r="38331" spans="7:16" s="1634" customFormat="1">
      <c r="G38331" s="3336"/>
      <c r="P38331" s="3337"/>
    </row>
    <row r="38332" spans="7:16" s="1634" customFormat="1">
      <c r="G38332" s="3336"/>
      <c r="P38332" s="3337"/>
    </row>
    <row r="38333" spans="7:16" s="1634" customFormat="1">
      <c r="G38333" s="3336"/>
      <c r="P38333" s="3337"/>
    </row>
    <row r="38334" spans="7:16" s="1634" customFormat="1">
      <c r="G38334" s="3336"/>
      <c r="P38334" s="3337"/>
    </row>
    <row r="38335" spans="7:16" s="1634" customFormat="1">
      <c r="G38335" s="3336"/>
      <c r="P38335" s="3337"/>
    </row>
    <row r="38336" spans="7:16" s="1634" customFormat="1">
      <c r="G38336" s="3336"/>
      <c r="P38336" s="3337"/>
    </row>
    <row r="38337" spans="7:16" s="1634" customFormat="1">
      <c r="G38337" s="3336"/>
      <c r="P38337" s="3337"/>
    </row>
    <row r="38338" spans="7:16" s="1634" customFormat="1">
      <c r="G38338" s="3336"/>
      <c r="P38338" s="3337"/>
    </row>
    <row r="38339" spans="7:16" s="1634" customFormat="1">
      <c r="G38339" s="3336"/>
      <c r="P38339" s="3337"/>
    </row>
    <row r="38340" spans="7:16" s="1634" customFormat="1">
      <c r="G38340" s="3336"/>
      <c r="P38340" s="3337"/>
    </row>
    <row r="38341" spans="7:16" s="1634" customFormat="1">
      <c r="G38341" s="3336"/>
      <c r="P38341" s="3337"/>
    </row>
    <row r="38342" spans="7:16" s="1634" customFormat="1">
      <c r="G38342" s="3336"/>
      <c r="P38342" s="3337"/>
    </row>
    <row r="38343" spans="7:16" s="1634" customFormat="1">
      <c r="G38343" s="3336"/>
      <c r="P38343" s="3337"/>
    </row>
    <row r="38344" spans="7:16" s="1634" customFormat="1">
      <c r="G38344" s="3336"/>
      <c r="P38344" s="3337"/>
    </row>
    <row r="38345" spans="7:16" s="1634" customFormat="1">
      <c r="G38345" s="3336"/>
      <c r="P38345" s="3337"/>
    </row>
    <row r="38346" spans="7:16" s="1634" customFormat="1">
      <c r="G38346" s="3336"/>
      <c r="P38346" s="3337"/>
    </row>
    <row r="38347" spans="7:16" s="1634" customFormat="1">
      <c r="G38347" s="3336"/>
      <c r="P38347" s="3337"/>
    </row>
    <row r="38348" spans="7:16" s="1634" customFormat="1">
      <c r="G38348" s="3336"/>
      <c r="P38348" s="3337"/>
    </row>
    <row r="38349" spans="7:16" s="1634" customFormat="1">
      <c r="G38349" s="3336"/>
      <c r="P38349" s="3337"/>
    </row>
    <row r="38350" spans="7:16" s="1634" customFormat="1">
      <c r="G38350" s="3336"/>
      <c r="P38350" s="3337"/>
    </row>
    <row r="38351" spans="7:16" s="1634" customFormat="1">
      <c r="G38351" s="3336"/>
      <c r="P38351" s="3337"/>
    </row>
    <row r="38352" spans="7:16" s="1634" customFormat="1">
      <c r="G38352" s="3336"/>
      <c r="P38352" s="3337"/>
    </row>
    <row r="38353" spans="7:16" s="1634" customFormat="1">
      <c r="G38353" s="3336"/>
      <c r="P38353" s="3337"/>
    </row>
    <row r="38354" spans="7:16" s="1634" customFormat="1">
      <c r="G38354" s="3336"/>
      <c r="P38354" s="3337"/>
    </row>
    <row r="38355" spans="7:16" s="1634" customFormat="1">
      <c r="G38355" s="3336"/>
      <c r="P38355" s="3337"/>
    </row>
    <row r="38356" spans="7:16" s="1634" customFormat="1">
      <c r="G38356" s="3336"/>
      <c r="P38356" s="3337"/>
    </row>
    <row r="38357" spans="7:16" s="1634" customFormat="1">
      <c r="G38357" s="3336"/>
      <c r="P38357" s="3337"/>
    </row>
    <row r="38358" spans="7:16" s="1634" customFormat="1">
      <c r="G38358" s="3336"/>
      <c r="P38358" s="3337"/>
    </row>
    <row r="38359" spans="7:16" s="1634" customFormat="1">
      <c r="G38359" s="3336"/>
      <c r="P38359" s="3337"/>
    </row>
    <row r="38360" spans="7:16" s="1634" customFormat="1">
      <c r="G38360" s="3336"/>
      <c r="P38360" s="3337"/>
    </row>
    <row r="38361" spans="7:16" s="1634" customFormat="1">
      <c r="G38361" s="3336"/>
      <c r="P38361" s="3337"/>
    </row>
    <row r="38362" spans="7:16" s="1634" customFormat="1">
      <c r="G38362" s="3336"/>
      <c r="P38362" s="3337"/>
    </row>
    <row r="38363" spans="7:16" s="1634" customFormat="1">
      <c r="G38363" s="3336"/>
      <c r="P38363" s="3337"/>
    </row>
    <row r="38364" spans="7:16" s="1634" customFormat="1">
      <c r="G38364" s="3336"/>
      <c r="P38364" s="3337"/>
    </row>
    <row r="38365" spans="7:16" s="1634" customFormat="1">
      <c r="G38365" s="3336"/>
      <c r="P38365" s="3337"/>
    </row>
    <row r="38366" spans="7:16" s="1634" customFormat="1">
      <c r="G38366" s="3336"/>
      <c r="P38366" s="3337"/>
    </row>
    <row r="38367" spans="7:16" s="1634" customFormat="1">
      <c r="G38367" s="3336"/>
      <c r="P38367" s="3337"/>
    </row>
    <row r="38368" spans="7:16" s="1634" customFormat="1">
      <c r="G38368" s="3336"/>
      <c r="P38368" s="3337"/>
    </row>
    <row r="38369" spans="7:16" s="1634" customFormat="1">
      <c r="G38369" s="3336"/>
      <c r="P38369" s="3337"/>
    </row>
    <row r="38370" spans="7:16" s="1634" customFormat="1">
      <c r="G38370" s="3336"/>
      <c r="P38370" s="3337"/>
    </row>
    <row r="38371" spans="7:16" s="1634" customFormat="1">
      <c r="G38371" s="3336"/>
      <c r="P38371" s="3337"/>
    </row>
    <row r="38372" spans="7:16" s="1634" customFormat="1">
      <c r="G38372" s="3336"/>
      <c r="P38372" s="3337"/>
    </row>
    <row r="38373" spans="7:16" s="1634" customFormat="1">
      <c r="G38373" s="3336"/>
      <c r="P38373" s="3337"/>
    </row>
    <row r="38374" spans="7:16" s="1634" customFormat="1">
      <c r="G38374" s="3336"/>
      <c r="P38374" s="3337"/>
    </row>
    <row r="38375" spans="7:16" s="1634" customFormat="1">
      <c r="G38375" s="3336"/>
      <c r="P38375" s="3337"/>
    </row>
    <row r="38376" spans="7:16" s="1634" customFormat="1">
      <c r="G38376" s="3336"/>
      <c r="P38376" s="3337"/>
    </row>
    <row r="38377" spans="7:16" s="1634" customFormat="1">
      <c r="G38377" s="3336"/>
      <c r="P38377" s="3337"/>
    </row>
    <row r="38378" spans="7:16" s="1634" customFormat="1">
      <c r="G38378" s="3336"/>
      <c r="P38378" s="3337"/>
    </row>
    <row r="38379" spans="7:16" s="1634" customFormat="1">
      <c r="G38379" s="3336"/>
      <c r="P38379" s="3337"/>
    </row>
    <row r="38380" spans="7:16" s="1634" customFormat="1">
      <c r="G38380" s="3336"/>
      <c r="P38380" s="3337"/>
    </row>
    <row r="38381" spans="7:16" s="1634" customFormat="1">
      <c r="G38381" s="3336"/>
      <c r="P38381" s="3337"/>
    </row>
    <row r="38382" spans="7:16" s="1634" customFormat="1">
      <c r="G38382" s="3336"/>
      <c r="P38382" s="3337"/>
    </row>
    <row r="38383" spans="7:16" s="1634" customFormat="1">
      <c r="G38383" s="3336"/>
      <c r="P38383" s="3337"/>
    </row>
    <row r="38384" spans="7:16" s="1634" customFormat="1">
      <c r="G38384" s="3336"/>
      <c r="P38384" s="3337"/>
    </row>
    <row r="38385" spans="7:16" s="1634" customFormat="1">
      <c r="G38385" s="3336"/>
      <c r="P38385" s="3337"/>
    </row>
    <row r="38386" spans="7:16" s="1634" customFormat="1">
      <c r="G38386" s="3336"/>
      <c r="P38386" s="3337"/>
    </row>
    <row r="38387" spans="7:16" s="1634" customFormat="1">
      <c r="G38387" s="3336"/>
      <c r="P38387" s="3337"/>
    </row>
    <row r="38388" spans="7:16" s="1634" customFormat="1">
      <c r="G38388" s="3336"/>
      <c r="P38388" s="3337"/>
    </row>
    <row r="38389" spans="7:16" s="1634" customFormat="1">
      <c r="G38389" s="3336"/>
      <c r="P38389" s="3337"/>
    </row>
    <row r="38390" spans="7:16" s="1634" customFormat="1">
      <c r="G38390" s="3336"/>
      <c r="P38390" s="3337"/>
    </row>
    <row r="38391" spans="7:16" s="1634" customFormat="1">
      <c r="G38391" s="3336"/>
      <c r="P38391" s="3337"/>
    </row>
    <row r="38392" spans="7:16" s="1634" customFormat="1">
      <c r="G38392" s="3336"/>
      <c r="P38392" s="3337"/>
    </row>
    <row r="38393" spans="7:16" s="1634" customFormat="1">
      <c r="G38393" s="3336"/>
      <c r="P38393" s="3337"/>
    </row>
    <row r="38394" spans="7:16" s="1634" customFormat="1">
      <c r="G38394" s="3336"/>
      <c r="P38394" s="3337"/>
    </row>
    <row r="38395" spans="7:16" s="1634" customFormat="1">
      <c r="G38395" s="3336"/>
      <c r="P38395" s="3337"/>
    </row>
    <row r="38396" spans="7:16" s="1634" customFormat="1">
      <c r="G38396" s="3336"/>
      <c r="P38396" s="3337"/>
    </row>
    <row r="38397" spans="7:16" s="1634" customFormat="1">
      <c r="G38397" s="3336"/>
      <c r="P38397" s="3337"/>
    </row>
    <row r="38398" spans="7:16" s="1634" customFormat="1">
      <c r="G38398" s="3336"/>
      <c r="P38398" s="3337"/>
    </row>
    <row r="38399" spans="7:16" s="1634" customFormat="1">
      <c r="G38399" s="3336"/>
      <c r="P38399" s="3337"/>
    </row>
    <row r="38400" spans="7:16" s="1634" customFormat="1">
      <c r="G38400" s="3336"/>
      <c r="P38400" s="3337"/>
    </row>
    <row r="38401" spans="7:16" s="1634" customFormat="1">
      <c r="G38401" s="3336"/>
      <c r="P38401" s="3337"/>
    </row>
    <row r="38402" spans="7:16" s="1634" customFormat="1">
      <c r="G38402" s="3336"/>
      <c r="P38402" s="3337"/>
    </row>
    <row r="38403" spans="7:16" s="1634" customFormat="1">
      <c r="G38403" s="3336"/>
      <c r="P38403" s="3337"/>
    </row>
    <row r="38404" spans="7:16" s="1634" customFormat="1">
      <c r="G38404" s="3336"/>
      <c r="P38404" s="3337"/>
    </row>
    <row r="38405" spans="7:16" s="1634" customFormat="1">
      <c r="G38405" s="3336"/>
      <c r="P38405" s="3337"/>
    </row>
    <row r="38406" spans="7:16" s="1634" customFormat="1">
      <c r="G38406" s="3336"/>
      <c r="P38406" s="3337"/>
    </row>
    <row r="38407" spans="7:16" s="1634" customFormat="1">
      <c r="G38407" s="3336"/>
      <c r="P38407" s="3337"/>
    </row>
    <row r="38408" spans="7:16" s="1634" customFormat="1">
      <c r="G38408" s="3336"/>
      <c r="P38408" s="3337"/>
    </row>
    <row r="38409" spans="7:16" s="1634" customFormat="1">
      <c r="G38409" s="3336"/>
      <c r="P38409" s="3337"/>
    </row>
    <row r="38410" spans="7:16" s="1634" customFormat="1">
      <c r="G38410" s="3336"/>
      <c r="P38410" s="3337"/>
    </row>
    <row r="38411" spans="7:16" s="1634" customFormat="1">
      <c r="G38411" s="3336"/>
      <c r="P38411" s="3337"/>
    </row>
    <row r="38412" spans="7:16" s="1634" customFormat="1">
      <c r="G38412" s="3336"/>
      <c r="P38412" s="3337"/>
    </row>
    <row r="38413" spans="7:16" s="1634" customFormat="1">
      <c r="G38413" s="3336"/>
      <c r="P38413" s="3337"/>
    </row>
    <row r="38414" spans="7:16" s="1634" customFormat="1">
      <c r="G38414" s="3336"/>
      <c r="P38414" s="3337"/>
    </row>
    <row r="38415" spans="7:16" s="1634" customFormat="1">
      <c r="G38415" s="3336"/>
      <c r="P38415" s="3337"/>
    </row>
    <row r="38416" spans="7:16" s="1634" customFormat="1">
      <c r="G38416" s="3336"/>
      <c r="P38416" s="3337"/>
    </row>
    <row r="38417" spans="7:16" s="1634" customFormat="1">
      <c r="G38417" s="3336"/>
      <c r="P38417" s="3337"/>
    </row>
    <row r="38418" spans="7:16" s="1634" customFormat="1">
      <c r="G38418" s="3336"/>
      <c r="P38418" s="3337"/>
    </row>
    <row r="38419" spans="7:16" s="1634" customFormat="1">
      <c r="G38419" s="3336"/>
      <c r="P38419" s="3337"/>
    </row>
    <row r="38420" spans="7:16" s="1634" customFormat="1">
      <c r="G38420" s="3336"/>
      <c r="P38420" s="3337"/>
    </row>
    <row r="38421" spans="7:16" s="1634" customFormat="1">
      <c r="G38421" s="3336"/>
      <c r="P38421" s="3337"/>
    </row>
    <row r="38422" spans="7:16" s="1634" customFormat="1">
      <c r="G38422" s="3336"/>
      <c r="P38422" s="3337"/>
    </row>
    <row r="38423" spans="7:16" s="1634" customFormat="1">
      <c r="G38423" s="3336"/>
      <c r="P38423" s="3337"/>
    </row>
    <row r="38424" spans="7:16" s="1634" customFormat="1">
      <c r="G38424" s="3336"/>
      <c r="P38424" s="3337"/>
    </row>
    <row r="38425" spans="7:16" s="1634" customFormat="1">
      <c r="G38425" s="3336"/>
      <c r="P38425" s="3337"/>
    </row>
    <row r="38426" spans="7:16" s="1634" customFormat="1">
      <c r="G38426" s="3336"/>
      <c r="P38426" s="3337"/>
    </row>
    <row r="38427" spans="7:16" s="1634" customFormat="1">
      <c r="G38427" s="3336"/>
      <c r="P38427" s="3337"/>
    </row>
    <row r="38428" spans="7:16" s="1634" customFormat="1">
      <c r="G38428" s="3336"/>
      <c r="P38428" s="3337"/>
    </row>
    <row r="38429" spans="7:16" s="1634" customFormat="1">
      <c r="G38429" s="3336"/>
      <c r="P38429" s="3337"/>
    </row>
    <row r="38430" spans="7:16" s="1634" customFormat="1">
      <c r="G38430" s="3336"/>
      <c r="P38430" s="3337"/>
    </row>
    <row r="38431" spans="7:16" s="1634" customFormat="1">
      <c r="G38431" s="3336"/>
      <c r="P38431" s="3337"/>
    </row>
    <row r="38432" spans="7:16" s="1634" customFormat="1">
      <c r="G38432" s="3336"/>
      <c r="P38432" s="3337"/>
    </row>
    <row r="38433" spans="7:16" s="1634" customFormat="1">
      <c r="G38433" s="3336"/>
      <c r="P38433" s="3337"/>
    </row>
    <row r="38434" spans="7:16" s="1634" customFormat="1">
      <c r="G38434" s="3336"/>
      <c r="P38434" s="3337"/>
    </row>
    <row r="38435" spans="7:16" s="1634" customFormat="1">
      <c r="G38435" s="3336"/>
      <c r="P38435" s="3337"/>
    </row>
    <row r="38436" spans="7:16" s="1634" customFormat="1">
      <c r="G38436" s="3336"/>
      <c r="P38436" s="3337"/>
    </row>
    <row r="38437" spans="7:16" s="1634" customFormat="1">
      <c r="G38437" s="3336"/>
      <c r="P38437" s="3337"/>
    </row>
    <row r="38438" spans="7:16" s="1634" customFormat="1">
      <c r="G38438" s="3336"/>
      <c r="P38438" s="3337"/>
    </row>
    <row r="38439" spans="7:16" s="1634" customFormat="1">
      <c r="G38439" s="3336"/>
      <c r="P38439" s="3337"/>
    </row>
    <row r="38440" spans="7:16" s="1634" customFormat="1">
      <c r="G38440" s="3336"/>
      <c r="P38440" s="3337"/>
    </row>
    <row r="38441" spans="7:16" s="1634" customFormat="1">
      <c r="G38441" s="3336"/>
      <c r="P38441" s="3337"/>
    </row>
    <row r="38442" spans="7:16" s="1634" customFormat="1">
      <c r="G38442" s="3336"/>
      <c r="P38442" s="3337"/>
    </row>
    <row r="38443" spans="7:16" s="1634" customFormat="1">
      <c r="G38443" s="3336"/>
      <c r="P38443" s="3337"/>
    </row>
    <row r="38444" spans="7:16" s="1634" customFormat="1">
      <c r="G38444" s="3336"/>
      <c r="P38444" s="3337"/>
    </row>
    <row r="38445" spans="7:16" s="1634" customFormat="1">
      <c r="G38445" s="3336"/>
      <c r="P38445" s="3337"/>
    </row>
    <row r="38446" spans="7:16" s="1634" customFormat="1">
      <c r="G38446" s="3336"/>
      <c r="P38446" s="3337"/>
    </row>
    <row r="38447" spans="7:16" s="1634" customFormat="1">
      <c r="G38447" s="3336"/>
      <c r="P38447" s="3337"/>
    </row>
    <row r="38448" spans="7:16" s="1634" customFormat="1">
      <c r="G38448" s="3336"/>
      <c r="P38448" s="3337"/>
    </row>
    <row r="38449" spans="7:16" s="1634" customFormat="1">
      <c r="G38449" s="3336"/>
      <c r="P38449" s="3337"/>
    </row>
    <row r="38450" spans="7:16" s="1634" customFormat="1">
      <c r="G38450" s="3336"/>
      <c r="P38450" s="3337"/>
    </row>
    <row r="38451" spans="7:16" s="1634" customFormat="1">
      <c r="G38451" s="3336"/>
      <c r="P38451" s="3337"/>
    </row>
    <row r="38452" spans="7:16" s="1634" customFormat="1">
      <c r="G38452" s="3336"/>
      <c r="P38452" s="3337"/>
    </row>
    <row r="38453" spans="7:16" s="1634" customFormat="1">
      <c r="G38453" s="3336"/>
      <c r="P38453" s="3337"/>
    </row>
    <row r="38454" spans="7:16" s="1634" customFormat="1">
      <c r="G38454" s="3336"/>
      <c r="P38454" s="3337"/>
    </row>
    <row r="38455" spans="7:16" s="1634" customFormat="1">
      <c r="G38455" s="3336"/>
      <c r="P38455" s="3337"/>
    </row>
    <row r="38456" spans="7:16" s="1634" customFormat="1">
      <c r="G38456" s="3336"/>
      <c r="P38456" s="3337"/>
    </row>
    <row r="38457" spans="7:16" s="1634" customFormat="1">
      <c r="G38457" s="3336"/>
      <c r="P38457" s="3337"/>
    </row>
    <row r="38458" spans="7:16" s="1634" customFormat="1">
      <c r="G38458" s="3336"/>
      <c r="P38458" s="3337"/>
    </row>
    <row r="38459" spans="7:16" s="1634" customFormat="1">
      <c r="G38459" s="3336"/>
      <c r="P38459" s="3337"/>
    </row>
    <row r="38460" spans="7:16" s="1634" customFormat="1">
      <c r="G38460" s="3336"/>
      <c r="P38460" s="3337"/>
    </row>
    <row r="38461" spans="7:16" s="1634" customFormat="1">
      <c r="G38461" s="3336"/>
      <c r="P38461" s="3337"/>
    </row>
    <row r="38462" spans="7:16" s="1634" customFormat="1">
      <c r="G38462" s="3336"/>
      <c r="P38462" s="3337"/>
    </row>
    <row r="38463" spans="7:16" s="1634" customFormat="1">
      <c r="G38463" s="3336"/>
      <c r="P38463" s="3337"/>
    </row>
    <row r="38464" spans="7:16" s="1634" customFormat="1">
      <c r="G38464" s="3336"/>
      <c r="P38464" s="3337"/>
    </row>
    <row r="38465" spans="7:16" s="1634" customFormat="1">
      <c r="G38465" s="3336"/>
      <c r="P38465" s="3337"/>
    </row>
    <row r="38466" spans="7:16" s="1634" customFormat="1">
      <c r="G38466" s="3336"/>
      <c r="P38466" s="3337"/>
    </row>
    <row r="38467" spans="7:16" s="1634" customFormat="1">
      <c r="G38467" s="3336"/>
      <c r="P38467" s="3337"/>
    </row>
    <row r="38468" spans="7:16" s="1634" customFormat="1">
      <c r="G38468" s="3336"/>
      <c r="P38468" s="3337"/>
    </row>
    <row r="38469" spans="7:16" s="1634" customFormat="1">
      <c r="G38469" s="3336"/>
      <c r="P38469" s="3337"/>
    </row>
    <row r="38470" spans="7:16" s="1634" customFormat="1">
      <c r="G38470" s="3336"/>
      <c r="P38470" s="3337"/>
    </row>
    <row r="38471" spans="7:16" s="1634" customFormat="1">
      <c r="G38471" s="3336"/>
      <c r="P38471" s="3337"/>
    </row>
    <row r="38472" spans="7:16" s="1634" customFormat="1">
      <c r="G38472" s="3336"/>
      <c r="P38472" s="3337"/>
    </row>
    <row r="38473" spans="7:16" s="1634" customFormat="1">
      <c r="G38473" s="3336"/>
      <c r="P38473" s="3337"/>
    </row>
    <row r="38474" spans="7:16" s="1634" customFormat="1">
      <c r="G38474" s="3336"/>
      <c r="P38474" s="3337"/>
    </row>
    <row r="38475" spans="7:16" s="1634" customFormat="1">
      <c r="G38475" s="3336"/>
      <c r="P38475" s="3337"/>
    </row>
    <row r="38476" spans="7:16" s="1634" customFormat="1">
      <c r="G38476" s="3336"/>
      <c r="P38476" s="3337"/>
    </row>
    <row r="38477" spans="7:16" s="1634" customFormat="1">
      <c r="G38477" s="3336"/>
      <c r="P38477" s="3337"/>
    </row>
    <row r="38478" spans="7:16" s="1634" customFormat="1">
      <c r="G38478" s="3336"/>
      <c r="P38478" s="3337"/>
    </row>
    <row r="38479" spans="7:16" s="1634" customFormat="1">
      <c r="G38479" s="3336"/>
      <c r="P38479" s="3337"/>
    </row>
    <row r="38480" spans="7:16" s="1634" customFormat="1">
      <c r="G38480" s="3336"/>
      <c r="P38480" s="3337"/>
    </row>
    <row r="38481" spans="7:16" s="1634" customFormat="1">
      <c r="G38481" s="3336"/>
      <c r="P38481" s="3337"/>
    </row>
    <row r="38482" spans="7:16" s="1634" customFormat="1">
      <c r="G38482" s="3336"/>
      <c r="P38482" s="3337"/>
    </row>
    <row r="38483" spans="7:16" s="1634" customFormat="1">
      <c r="G38483" s="3336"/>
      <c r="P38483" s="3337"/>
    </row>
    <row r="38484" spans="7:16" s="1634" customFormat="1">
      <c r="G38484" s="3336"/>
      <c r="P38484" s="3337"/>
    </row>
    <row r="38485" spans="7:16" s="1634" customFormat="1">
      <c r="G38485" s="3336"/>
      <c r="P38485" s="3337"/>
    </row>
    <row r="38486" spans="7:16" s="1634" customFormat="1">
      <c r="G38486" s="3336"/>
      <c r="P38486" s="3337"/>
    </row>
    <row r="38487" spans="7:16" s="1634" customFormat="1">
      <c r="G38487" s="3336"/>
      <c r="P38487" s="3337"/>
    </row>
    <row r="38488" spans="7:16" s="1634" customFormat="1">
      <c r="G38488" s="3336"/>
      <c r="P38488" s="3337"/>
    </row>
    <row r="38489" spans="7:16" s="1634" customFormat="1">
      <c r="G38489" s="3336"/>
      <c r="P38489" s="3337"/>
    </row>
    <row r="38490" spans="7:16" s="1634" customFormat="1">
      <c r="G38490" s="3336"/>
      <c r="P38490" s="3337"/>
    </row>
    <row r="38491" spans="7:16" s="1634" customFormat="1">
      <c r="G38491" s="3336"/>
      <c r="P38491" s="3337"/>
    </row>
    <row r="38492" spans="7:16" s="1634" customFormat="1">
      <c r="G38492" s="3336"/>
      <c r="P38492" s="3337"/>
    </row>
    <row r="38493" spans="7:16" s="1634" customFormat="1">
      <c r="G38493" s="3336"/>
      <c r="P38493" s="3337"/>
    </row>
    <row r="38494" spans="7:16" s="1634" customFormat="1">
      <c r="G38494" s="3336"/>
      <c r="P38494" s="3337"/>
    </row>
    <row r="38495" spans="7:16" s="1634" customFormat="1">
      <c r="G38495" s="3336"/>
      <c r="P38495" s="3337"/>
    </row>
    <row r="38496" spans="7:16" s="1634" customFormat="1">
      <c r="G38496" s="3336"/>
      <c r="P38496" s="3337"/>
    </row>
    <row r="38497" spans="7:16" s="1634" customFormat="1">
      <c r="G38497" s="3336"/>
      <c r="P38497" s="3337"/>
    </row>
    <row r="38498" spans="7:16" s="1634" customFormat="1">
      <c r="G38498" s="3336"/>
      <c r="P38498" s="3337"/>
    </row>
    <row r="38499" spans="7:16" s="1634" customFormat="1">
      <c r="G38499" s="3336"/>
      <c r="P38499" s="3337"/>
    </row>
    <row r="38500" spans="7:16" s="1634" customFormat="1">
      <c r="G38500" s="3336"/>
      <c r="P38500" s="3337"/>
    </row>
    <row r="38501" spans="7:16" s="1634" customFormat="1">
      <c r="G38501" s="3336"/>
      <c r="P38501" s="3337"/>
    </row>
    <row r="38502" spans="7:16" s="1634" customFormat="1">
      <c r="G38502" s="3336"/>
      <c r="P38502" s="3337"/>
    </row>
    <row r="38503" spans="7:16" s="1634" customFormat="1">
      <c r="G38503" s="3336"/>
      <c r="P38503" s="3337"/>
    </row>
    <row r="38504" spans="7:16" s="1634" customFormat="1">
      <c r="G38504" s="3336"/>
      <c r="P38504" s="3337"/>
    </row>
    <row r="38505" spans="7:16" s="1634" customFormat="1">
      <c r="G38505" s="3336"/>
      <c r="P38505" s="3337"/>
    </row>
    <row r="38506" spans="7:16" s="1634" customFormat="1">
      <c r="G38506" s="3336"/>
      <c r="P38506" s="3337"/>
    </row>
    <row r="38507" spans="7:16" s="1634" customFormat="1">
      <c r="G38507" s="3336"/>
      <c r="P38507" s="3337"/>
    </row>
    <row r="38508" spans="7:16" s="1634" customFormat="1">
      <c r="G38508" s="3336"/>
      <c r="P38508" s="3337"/>
    </row>
    <row r="38509" spans="7:16" s="1634" customFormat="1">
      <c r="G38509" s="3336"/>
      <c r="P38509" s="3337"/>
    </row>
    <row r="38510" spans="7:16" s="1634" customFormat="1">
      <c r="G38510" s="3336"/>
      <c r="P38510" s="3337"/>
    </row>
    <row r="38511" spans="7:16" s="1634" customFormat="1">
      <c r="G38511" s="3336"/>
      <c r="P38511" s="3337"/>
    </row>
    <row r="38512" spans="7:16" s="1634" customFormat="1">
      <c r="G38512" s="3336"/>
      <c r="P38512" s="3337"/>
    </row>
    <row r="38513" spans="7:16" s="1634" customFormat="1">
      <c r="G38513" s="3336"/>
      <c r="P38513" s="3337"/>
    </row>
    <row r="38514" spans="7:16" s="1634" customFormat="1">
      <c r="G38514" s="3336"/>
      <c r="P38514" s="3337"/>
    </row>
    <row r="38515" spans="7:16" s="1634" customFormat="1">
      <c r="G38515" s="3336"/>
      <c r="P38515" s="3337"/>
    </row>
    <row r="38516" spans="7:16" s="1634" customFormat="1">
      <c r="G38516" s="3336"/>
      <c r="P38516" s="3337"/>
    </row>
    <row r="38517" spans="7:16" s="1634" customFormat="1">
      <c r="G38517" s="3336"/>
      <c r="P38517" s="3337"/>
    </row>
    <row r="38518" spans="7:16" s="1634" customFormat="1">
      <c r="G38518" s="3336"/>
      <c r="P38518" s="3337"/>
    </row>
    <row r="38519" spans="7:16" s="1634" customFormat="1">
      <c r="G38519" s="3336"/>
      <c r="P38519" s="3337"/>
    </row>
    <row r="38520" spans="7:16" s="1634" customFormat="1">
      <c r="G38520" s="3336"/>
      <c r="P38520" s="3337"/>
    </row>
    <row r="38521" spans="7:16" s="1634" customFormat="1">
      <c r="G38521" s="3336"/>
      <c r="P38521" s="3337"/>
    </row>
    <row r="38522" spans="7:16" s="1634" customFormat="1">
      <c r="G38522" s="3336"/>
      <c r="P38522" s="3337"/>
    </row>
    <row r="38523" spans="7:16" s="1634" customFormat="1">
      <c r="G38523" s="3336"/>
      <c r="P38523" s="3337"/>
    </row>
    <row r="38524" spans="7:16" s="1634" customFormat="1">
      <c r="G38524" s="3336"/>
      <c r="P38524" s="3337"/>
    </row>
    <row r="38525" spans="7:16" s="1634" customFormat="1">
      <c r="G38525" s="3336"/>
      <c r="P38525" s="3337"/>
    </row>
    <row r="38526" spans="7:16" s="1634" customFormat="1">
      <c r="G38526" s="3336"/>
      <c r="P38526" s="3337"/>
    </row>
    <row r="38527" spans="7:16" s="1634" customFormat="1">
      <c r="G38527" s="3336"/>
      <c r="P38527" s="3337"/>
    </row>
    <row r="38528" spans="7:16" s="1634" customFormat="1">
      <c r="G38528" s="3336"/>
      <c r="P38528" s="3337"/>
    </row>
    <row r="38529" spans="7:16" s="1634" customFormat="1">
      <c r="G38529" s="3336"/>
      <c r="P38529" s="3337"/>
    </row>
    <row r="38530" spans="7:16" s="1634" customFormat="1">
      <c r="G38530" s="3336"/>
      <c r="P38530" s="3337"/>
    </row>
    <row r="38531" spans="7:16" s="1634" customFormat="1">
      <c r="G38531" s="3336"/>
      <c r="P38531" s="3337"/>
    </row>
    <row r="38532" spans="7:16" s="1634" customFormat="1">
      <c r="G38532" s="3336"/>
      <c r="P38532" s="3337"/>
    </row>
    <row r="38533" spans="7:16" s="1634" customFormat="1">
      <c r="G38533" s="3336"/>
      <c r="P38533" s="3337"/>
    </row>
    <row r="38534" spans="7:16" s="1634" customFormat="1">
      <c r="G38534" s="3336"/>
      <c r="P38534" s="3337"/>
    </row>
    <row r="38535" spans="7:16" s="1634" customFormat="1">
      <c r="G38535" s="3336"/>
      <c r="P38535" s="3337"/>
    </row>
    <row r="38536" spans="7:16" s="1634" customFormat="1">
      <c r="G38536" s="3336"/>
      <c r="P38536" s="3337"/>
    </row>
    <row r="38537" spans="7:16" s="1634" customFormat="1">
      <c r="G38537" s="3336"/>
      <c r="P38537" s="3337"/>
    </row>
    <row r="38538" spans="7:16" s="1634" customFormat="1">
      <c r="G38538" s="3336"/>
      <c r="P38538" s="3337"/>
    </row>
    <row r="38539" spans="7:16" s="1634" customFormat="1">
      <c r="G38539" s="3336"/>
      <c r="P38539" s="3337"/>
    </row>
    <row r="38540" spans="7:16" s="1634" customFormat="1">
      <c r="G38540" s="3336"/>
      <c r="P38540" s="3337"/>
    </row>
    <row r="38541" spans="7:16" s="1634" customFormat="1">
      <c r="G38541" s="3336"/>
      <c r="P38541" s="3337"/>
    </row>
    <row r="38542" spans="7:16" s="1634" customFormat="1">
      <c r="G38542" s="3336"/>
      <c r="P38542" s="3337"/>
    </row>
    <row r="38543" spans="7:16" s="1634" customFormat="1">
      <c r="G38543" s="3336"/>
      <c r="P38543" s="3337"/>
    </row>
    <row r="38544" spans="7:16" s="1634" customFormat="1">
      <c r="G38544" s="3336"/>
      <c r="P38544" s="3337"/>
    </row>
    <row r="38545" spans="7:16" s="1634" customFormat="1">
      <c r="G38545" s="3336"/>
      <c r="P38545" s="3337"/>
    </row>
    <row r="38546" spans="7:16" s="1634" customFormat="1">
      <c r="G38546" s="3336"/>
      <c r="P38546" s="3337"/>
    </row>
    <row r="38547" spans="7:16" s="1634" customFormat="1">
      <c r="G38547" s="3336"/>
      <c r="P38547" s="3337"/>
    </row>
    <row r="38548" spans="7:16" s="1634" customFormat="1">
      <c r="G38548" s="3336"/>
      <c r="P38548" s="3337"/>
    </row>
    <row r="38549" spans="7:16" s="1634" customFormat="1">
      <c r="G38549" s="3336"/>
      <c r="P38549" s="3337"/>
    </row>
    <row r="38550" spans="7:16" s="1634" customFormat="1">
      <c r="G38550" s="3336"/>
      <c r="P38550" s="3337"/>
    </row>
    <row r="38551" spans="7:16" s="1634" customFormat="1">
      <c r="G38551" s="3336"/>
      <c r="P38551" s="3337"/>
    </row>
    <row r="38552" spans="7:16" s="1634" customFormat="1">
      <c r="G38552" s="3336"/>
      <c r="P38552" s="3337"/>
    </row>
    <row r="38553" spans="7:16" s="1634" customFormat="1">
      <c r="G38553" s="3336"/>
      <c r="P38553" s="3337"/>
    </row>
    <row r="38554" spans="7:16" s="1634" customFormat="1">
      <c r="G38554" s="3336"/>
      <c r="P38554" s="3337"/>
    </row>
    <row r="38555" spans="7:16" s="1634" customFormat="1">
      <c r="G38555" s="3336"/>
      <c r="P38555" s="3337"/>
    </row>
    <row r="38556" spans="7:16" s="1634" customFormat="1">
      <c r="G38556" s="3336"/>
      <c r="P38556" s="3337"/>
    </row>
    <row r="38557" spans="7:16" s="1634" customFormat="1">
      <c r="G38557" s="3336"/>
      <c r="P38557" s="3337"/>
    </row>
    <row r="38558" spans="7:16" s="1634" customFormat="1">
      <c r="G38558" s="3336"/>
      <c r="P38558" s="3337"/>
    </row>
    <row r="38559" spans="7:16" s="1634" customFormat="1">
      <c r="G38559" s="3336"/>
      <c r="P38559" s="3337"/>
    </row>
    <row r="38560" spans="7:16" s="1634" customFormat="1">
      <c r="G38560" s="3336"/>
      <c r="P38560" s="3337"/>
    </row>
    <row r="38561" spans="7:16" s="1634" customFormat="1">
      <c r="G38561" s="3336"/>
      <c r="P38561" s="3337"/>
    </row>
    <row r="38562" spans="7:16" s="1634" customFormat="1">
      <c r="G38562" s="3336"/>
      <c r="P38562" s="3337"/>
    </row>
    <row r="38563" spans="7:16" s="1634" customFormat="1">
      <c r="G38563" s="3336"/>
      <c r="P38563" s="3337"/>
    </row>
    <row r="38564" spans="7:16" s="1634" customFormat="1">
      <c r="G38564" s="3336"/>
      <c r="P38564" s="3337"/>
    </row>
    <row r="38565" spans="7:16" s="1634" customFormat="1">
      <c r="G38565" s="3336"/>
      <c r="P38565" s="3337"/>
    </row>
    <row r="38566" spans="7:16" s="1634" customFormat="1">
      <c r="G38566" s="3336"/>
      <c r="P38566" s="3337"/>
    </row>
    <row r="38567" spans="7:16" s="1634" customFormat="1">
      <c r="G38567" s="3336"/>
      <c r="P38567" s="3337"/>
    </row>
    <row r="38568" spans="7:16" s="1634" customFormat="1">
      <c r="G38568" s="3336"/>
      <c r="P38568" s="3337"/>
    </row>
    <row r="38569" spans="7:16" s="1634" customFormat="1">
      <c r="G38569" s="3336"/>
      <c r="P38569" s="3337"/>
    </row>
    <row r="38570" spans="7:16" s="1634" customFormat="1">
      <c r="G38570" s="3336"/>
      <c r="P38570" s="3337"/>
    </row>
    <row r="38571" spans="7:16" s="1634" customFormat="1">
      <c r="G38571" s="3336"/>
      <c r="P38571" s="3337"/>
    </row>
    <row r="38572" spans="7:16" s="1634" customFormat="1">
      <c r="G38572" s="3336"/>
      <c r="P38572" s="3337"/>
    </row>
    <row r="38573" spans="7:16" s="1634" customFormat="1">
      <c r="G38573" s="3336"/>
      <c r="P38573" s="3337"/>
    </row>
    <row r="38574" spans="7:16" s="1634" customFormat="1">
      <c r="G38574" s="3336"/>
      <c r="P38574" s="3337"/>
    </row>
    <row r="38575" spans="7:16" s="1634" customFormat="1">
      <c r="G38575" s="3336"/>
      <c r="P38575" s="3337"/>
    </row>
    <row r="38576" spans="7:16" s="1634" customFormat="1">
      <c r="G38576" s="3336"/>
      <c r="P38576" s="3337"/>
    </row>
    <row r="38577" spans="7:16" s="1634" customFormat="1">
      <c r="G38577" s="3336"/>
      <c r="P38577" s="3337"/>
    </row>
    <row r="38578" spans="7:16" s="1634" customFormat="1">
      <c r="G38578" s="3336"/>
      <c r="P38578" s="3337"/>
    </row>
    <row r="38579" spans="7:16" s="1634" customFormat="1">
      <c r="G38579" s="3336"/>
      <c r="P38579" s="3337"/>
    </row>
    <row r="38580" spans="7:16" s="1634" customFormat="1">
      <c r="G38580" s="3336"/>
      <c r="P38580" s="3337"/>
    </row>
    <row r="38581" spans="7:16" s="1634" customFormat="1">
      <c r="G38581" s="3336"/>
      <c r="P38581" s="3337"/>
    </row>
    <row r="38582" spans="7:16" s="1634" customFormat="1">
      <c r="G38582" s="3336"/>
      <c r="P38582" s="3337"/>
    </row>
    <row r="38583" spans="7:16" s="1634" customFormat="1">
      <c r="G38583" s="3336"/>
      <c r="P38583" s="3337"/>
    </row>
    <row r="38584" spans="7:16" s="1634" customFormat="1">
      <c r="G38584" s="3336"/>
      <c r="P38584" s="3337"/>
    </row>
    <row r="38585" spans="7:16" s="1634" customFormat="1">
      <c r="G38585" s="3336"/>
      <c r="P38585" s="3337"/>
    </row>
    <row r="38586" spans="7:16" s="1634" customFormat="1">
      <c r="G38586" s="3336"/>
      <c r="P38586" s="3337"/>
    </row>
    <row r="38587" spans="7:16" s="1634" customFormat="1">
      <c r="G38587" s="3336"/>
      <c r="P38587" s="3337"/>
    </row>
    <row r="38588" spans="7:16" s="1634" customFormat="1">
      <c r="G38588" s="3336"/>
      <c r="P38588" s="3337"/>
    </row>
    <row r="38589" spans="7:16" s="1634" customFormat="1">
      <c r="G38589" s="3336"/>
      <c r="P38589" s="3337"/>
    </row>
    <row r="38590" spans="7:16" s="1634" customFormat="1">
      <c r="G38590" s="3336"/>
      <c r="P38590" s="3337"/>
    </row>
    <row r="38591" spans="7:16" s="1634" customFormat="1">
      <c r="G38591" s="3336"/>
      <c r="P38591" s="3337"/>
    </row>
    <row r="38592" spans="7:16" s="1634" customFormat="1">
      <c r="G38592" s="3336"/>
      <c r="P38592" s="3337"/>
    </row>
    <row r="38593" spans="7:16" s="1634" customFormat="1">
      <c r="G38593" s="3336"/>
      <c r="P38593" s="3337"/>
    </row>
    <row r="38594" spans="7:16" s="1634" customFormat="1">
      <c r="G38594" s="3336"/>
      <c r="P38594" s="3337"/>
    </row>
    <row r="38595" spans="7:16" s="1634" customFormat="1">
      <c r="G38595" s="3336"/>
      <c r="P38595" s="3337"/>
    </row>
    <row r="38596" spans="7:16" s="1634" customFormat="1">
      <c r="G38596" s="3336"/>
      <c r="P38596" s="3337"/>
    </row>
    <row r="38597" spans="7:16" s="1634" customFormat="1">
      <c r="G38597" s="3336"/>
      <c r="P38597" s="3337"/>
    </row>
    <row r="38598" spans="7:16" s="1634" customFormat="1">
      <c r="G38598" s="3336"/>
      <c r="P38598" s="3337"/>
    </row>
    <row r="38599" spans="7:16" s="1634" customFormat="1">
      <c r="G38599" s="3336"/>
      <c r="P38599" s="3337"/>
    </row>
    <row r="38600" spans="7:16" s="1634" customFormat="1">
      <c r="G38600" s="3336"/>
      <c r="P38600" s="3337"/>
    </row>
    <row r="38601" spans="7:16" s="1634" customFormat="1">
      <c r="G38601" s="3336"/>
      <c r="P38601" s="3337"/>
    </row>
    <row r="38602" spans="7:16" s="1634" customFormat="1">
      <c r="G38602" s="3336"/>
      <c r="P38602" s="3337"/>
    </row>
    <row r="38603" spans="7:16" s="1634" customFormat="1">
      <c r="G38603" s="3336"/>
      <c r="P38603" s="3337"/>
    </row>
    <row r="38604" spans="7:16" s="1634" customFormat="1">
      <c r="G38604" s="3336"/>
      <c r="P38604" s="3337"/>
    </row>
    <row r="38605" spans="7:16" s="1634" customFormat="1">
      <c r="G38605" s="3336"/>
      <c r="P38605" s="3337"/>
    </row>
    <row r="38606" spans="7:16" s="1634" customFormat="1">
      <c r="G38606" s="3336"/>
      <c r="P38606" s="3337"/>
    </row>
    <row r="38607" spans="7:16" s="1634" customFormat="1">
      <c r="G38607" s="3336"/>
      <c r="P38607" s="3337"/>
    </row>
    <row r="38608" spans="7:16" s="1634" customFormat="1">
      <c r="G38608" s="3336"/>
      <c r="P38608" s="3337"/>
    </row>
    <row r="38609" spans="7:16" s="1634" customFormat="1">
      <c r="G38609" s="3336"/>
      <c r="P38609" s="3337"/>
    </row>
    <row r="38610" spans="7:16" s="1634" customFormat="1">
      <c r="G38610" s="3336"/>
      <c r="P38610" s="3337"/>
    </row>
    <row r="38611" spans="7:16" s="1634" customFormat="1">
      <c r="G38611" s="3336"/>
      <c r="P38611" s="3337"/>
    </row>
    <row r="38612" spans="7:16" s="1634" customFormat="1">
      <c r="G38612" s="3336"/>
      <c r="P38612" s="3337"/>
    </row>
    <row r="38613" spans="7:16" s="1634" customFormat="1">
      <c r="G38613" s="3336"/>
      <c r="P38613" s="3337"/>
    </row>
    <row r="38614" spans="7:16" s="1634" customFormat="1">
      <c r="G38614" s="3336"/>
      <c r="P38614" s="3337"/>
    </row>
    <row r="38615" spans="7:16" s="1634" customFormat="1">
      <c r="G38615" s="3336"/>
      <c r="P38615" s="3337"/>
    </row>
    <row r="38616" spans="7:16" s="1634" customFormat="1">
      <c r="G38616" s="3336"/>
      <c r="P38616" s="3337"/>
    </row>
    <row r="38617" spans="7:16" s="1634" customFormat="1">
      <c r="G38617" s="3336"/>
      <c r="P38617" s="3337"/>
    </row>
    <row r="38618" spans="7:16" s="1634" customFormat="1">
      <c r="G38618" s="3336"/>
      <c r="P38618" s="3337"/>
    </row>
    <row r="38619" spans="7:16" s="1634" customFormat="1">
      <c r="G38619" s="3336"/>
      <c r="P38619" s="3337"/>
    </row>
    <row r="38620" spans="7:16" s="1634" customFormat="1">
      <c r="G38620" s="3336"/>
      <c r="P38620" s="3337"/>
    </row>
    <row r="38621" spans="7:16" s="1634" customFormat="1">
      <c r="G38621" s="3336"/>
      <c r="P38621" s="3337"/>
    </row>
    <row r="38622" spans="7:16" s="1634" customFormat="1">
      <c r="G38622" s="3336"/>
      <c r="P38622" s="3337"/>
    </row>
    <row r="38623" spans="7:16" s="1634" customFormat="1">
      <c r="G38623" s="3336"/>
      <c r="P38623" s="3337"/>
    </row>
    <row r="38624" spans="7:16" s="1634" customFormat="1">
      <c r="G38624" s="3336"/>
      <c r="P38624" s="3337"/>
    </row>
    <row r="38625" spans="7:16" s="1634" customFormat="1">
      <c r="G38625" s="3336"/>
      <c r="P38625" s="3337"/>
    </row>
    <row r="38626" spans="7:16" s="1634" customFormat="1">
      <c r="G38626" s="3336"/>
      <c r="P38626" s="3337"/>
    </row>
    <row r="38627" spans="7:16" s="1634" customFormat="1">
      <c r="G38627" s="3336"/>
      <c r="P38627" s="3337"/>
    </row>
    <row r="38628" spans="7:16" s="1634" customFormat="1">
      <c r="G38628" s="3336"/>
      <c r="P38628" s="3337"/>
    </row>
    <row r="38629" spans="7:16" s="1634" customFormat="1">
      <c r="G38629" s="3336"/>
      <c r="P38629" s="3337"/>
    </row>
    <row r="38630" spans="7:16" s="1634" customFormat="1">
      <c r="G38630" s="3336"/>
      <c r="P38630" s="3337"/>
    </row>
    <row r="38631" spans="7:16" s="1634" customFormat="1">
      <c r="G38631" s="3336"/>
      <c r="P38631" s="3337"/>
    </row>
    <row r="38632" spans="7:16" s="1634" customFormat="1">
      <c r="G38632" s="3336"/>
      <c r="P38632" s="3337"/>
    </row>
    <row r="38633" spans="7:16" s="1634" customFormat="1">
      <c r="G38633" s="3336"/>
      <c r="P38633" s="3337"/>
    </row>
    <row r="38634" spans="7:16" s="1634" customFormat="1">
      <c r="G38634" s="3336"/>
      <c r="P38634" s="3337"/>
    </row>
    <row r="38635" spans="7:16" s="1634" customFormat="1">
      <c r="G38635" s="3336"/>
      <c r="P38635" s="3337"/>
    </row>
    <row r="38636" spans="7:16" s="1634" customFormat="1">
      <c r="G38636" s="3336"/>
      <c r="P38636" s="3337"/>
    </row>
    <row r="38637" spans="7:16" s="1634" customFormat="1">
      <c r="G38637" s="3336"/>
      <c r="P38637" s="3337"/>
    </row>
    <row r="38638" spans="7:16" s="1634" customFormat="1">
      <c r="G38638" s="3336"/>
      <c r="P38638" s="3337"/>
    </row>
    <row r="38639" spans="7:16" s="1634" customFormat="1">
      <c r="G38639" s="3336"/>
      <c r="P38639" s="3337"/>
    </row>
    <row r="38640" spans="7:16" s="1634" customFormat="1">
      <c r="G38640" s="3336"/>
      <c r="P38640" s="3337"/>
    </row>
    <row r="38641" spans="7:16" s="1634" customFormat="1">
      <c r="G38641" s="3336"/>
      <c r="P38641" s="3337"/>
    </row>
    <row r="38642" spans="7:16" s="1634" customFormat="1">
      <c r="G38642" s="3336"/>
      <c r="P38642" s="3337"/>
    </row>
    <row r="38643" spans="7:16" s="1634" customFormat="1">
      <c r="G38643" s="3336"/>
      <c r="P38643" s="3337"/>
    </row>
    <row r="38644" spans="7:16" s="1634" customFormat="1">
      <c r="G38644" s="3336"/>
      <c r="P38644" s="3337"/>
    </row>
    <row r="38645" spans="7:16" s="1634" customFormat="1">
      <c r="G38645" s="3336"/>
      <c r="P38645" s="3337"/>
    </row>
    <row r="38646" spans="7:16" s="1634" customFormat="1">
      <c r="G38646" s="3336"/>
      <c r="P38646" s="3337"/>
    </row>
    <row r="38647" spans="7:16" s="1634" customFormat="1">
      <c r="G38647" s="3336"/>
      <c r="P38647" s="3337"/>
    </row>
    <row r="38648" spans="7:16" s="1634" customFormat="1">
      <c r="G38648" s="3336"/>
      <c r="P38648" s="3337"/>
    </row>
    <row r="38649" spans="7:16" s="1634" customFormat="1">
      <c r="G38649" s="3336"/>
      <c r="P38649" s="3337"/>
    </row>
    <row r="38650" spans="7:16" s="1634" customFormat="1">
      <c r="G38650" s="3336"/>
      <c r="P38650" s="3337"/>
    </row>
    <row r="38651" spans="7:16" s="1634" customFormat="1">
      <c r="G38651" s="3336"/>
      <c r="P38651" s="3337"/>
    </row>
    <row r="38652" spans="7:16" s="1634" customFormat="1">
      <c r="G38652" s="3336"/>
      <c r="P38652" s="3337"/>
    </row>
    <row r="38653" spans="7:16" s="1634" customFormat="1">
      <c r="G38653" s="3336"/>
      <c r="P38653" s="3337"/>
    </row>
    <row r="38654" spans="7:16" s="1634" customFormat="1">
      <c r="G38654" s="3336"/>
      <c r="P38654" s="3337"/>
    </row>
    <row r="38655" spans="7:16" s="1634" customFormat="1">
      <c r="G38655" s="3336"/>
      <c r="P38655" s="3337"/>
    </row>
    <row r="38656" spans="7:16" s="1634" customFormat="1">
      <c r="G38656" s="3336"/>
      <c r="P38656" s="3337"/>
    </row>
    <row r="38657" spans="7:16" s="1634" customFormat="1">
      <c r="G38657" s="3336"/>
      <c r="P38657" s="3337"/>
    </row>
    <row r="38658" spans="7:16" s="1634" customFormat="1">
      <c r="G38658" s="3336"/>
      <c r="P38658" s="3337"/>
    </row>
    <row r="38659" spans="7:16" s="1634" customFormat="1">
      <c r="G38659" s="3336"/>
      <c r="P38659" s="3337"/>
    </row>
    <row r="38660" spans="7:16" s="1634" customFormat="1">
      <c r="G38660" s="3336"/>
      <c r="P38660" s="3337"/>
    </row>
    <row r="38661" spans="7:16" s="1634" customFormat="1">
      <c r="G38661" s="3336"/>
      <c r="P38661" s="3337"/>
    </row>
    <row r="38662" spans="7:16" s="1634" customFormat="1">
      <c r="G38662" s="3336"/>
      <c r="P38662" s="3337"/>
    </row>
    <row r="38663" spans="7:16" s="1634" customFormat="1">
      <c r="G38663" s="3336"/>
      <c r="P38663" s="3337"/>
    </row>
    <row r="38664" spans="7:16" s="1634" customFormat="1">
      <c r="G38664" s="3336"/>
      <c r="P38664" s="3337"/>
    </row>
    <row r="38665" spans="7:16" s="1634" customFormat="1">
      <c r="G38665" s="3336"/>
      <c r="P38665" s="3337"/>
    </row>
    <row r="38666" spans="7:16" s="1634" customFormat="1">
      <c r="G38666" s="3336"/>
      <c r="P38666" s="3337"/>
    </row>
    <row r="38667" spans="7:16" s="1634" customFormat="1">
      <c r="G38667" s="3336"/>
      <c r="P38667" s="3337"/>
    </row>
    <row r="38668" spans="7:16" s="1634" customFormat="1">
      <c r="G38668" s="3336"/>
      <c r="P38668" s="3337"/>
    </row>
    <row r="38669" spans="7:16" s="1634" customFormat="1">
      <c r="G38669" s="3336"/>
      <c r="P38669" s="3337"/>
    </row>
    <row r="38670" spans="7:16" s="1634" customFormat="1">
      <c r="G38670" s="3336"/>
      <c r="P38670" s="3337"/>
    </row>
    <row r="38671" spans="7:16" s="1634" customFormat="1">
      <c r="G38671" s="3336"/>
      <c r="P38671" s="3337"/>
    </row>
    <row r="38672" spans="7:16" s="1634" customFormat="1">
      <c r="G38672" s="3336"/>
      <c r="P38672" s="3337"/>
    </row>
    <row r="38673" spans="7:16" s="1634" customFormat="1">
      <c r="G38673" s="3336"/>
      <c r="P38673" s="3337"/>
    </row>
    <row r="38674" spans="7:16" s="1634" customFormat="1">
      <c r="G38674" s="3336"/>
      <c r="P38674" s="3337"/>
    </row>
    <row r="38675" spans="7:16" s="1634" customFormat="1">
      <c r="G38675" s="3336"/>
      <c r="P38675" s="3337"/>
    </row>
    <row r="38676" spans="7:16" s="1634" customFormat="1">
      <c r="G38676" s="3336"/>
      <c r="P38676" s="3337"/>
    </row>
    <row r="38677" spans="7:16" s="1634" customFormat="1">
      <c r="G38677" s="3336"/>
      <c r="P38677" s="3337"/>
    </row>
    <row r="38678" spans="7:16" s="1634" customFormat="1">
      <c r="G38678" s="3336"/>
      <c r="P38678" s="3337"/>
    </row>
    <row r="38679" spans="7:16" s="1634" customFormat="1">
      <c r="G38679" s="3336"/>
      <c r="P38679" s="3337"/>
    </row>
    <row r="38680" spans="7:16" s="1634" customFormat="1">
      <c r="G38680" s="3336"/>
      <c r="P38680" s="3337"/>
    </row>
    <row r="38681" spans="7:16" s="1634" customFormat="1">
      <c r="G38681" s="3336"/>
      <c r="P38681" s="3337"/>
    </row>
    <row r="38682" spans="7:16" s="1634" customFormat="1">
      <c r="G38682" s="3336"/>
      <c r="P38682" s="3337"/>
    </row>
    <row r="38683" spans="7:16" s="1634" customFormat="1">
      <c r="G38683" s="3336"/>
      <c r="P38683" s="3337"/>
    </row>
    <row r="38684" spans="7:16" s="1634" customFormat="1">
      <c r="G38684" s="3336"/>
      <c r="P38684" s="3337"/>
    </row>
    <row r="38685" spans="7:16" s="1634" customFormat="1">
      <c r="G38685" s="3336"/>
      <c r="P38685" s="3337"/>
    </row>
    <row r="38686" spans="7:16" s="1634" customFormat="1">
      <c r="G38686" s="3336"/>
      <c r="P38686" s="3337"/>
    </row>
    <row r="38687" spans="7:16" s="1634" customFormat="1">
      <c r="G38687" s="3336"/>
      <c r="P38687" s="3337"/>
    </row>
    <row r="38688" spans="7:16" s="1634" customFormat="1">
      <c r="G38688" s="3336"/>
      <c r="P38688" s="3337"/>
    </row>
    <row r="38689" spans="7:16" s="1634" customFormat="1">
      <c r="G38689" s="3336"/>
      <c r="P38689" s="3337"/>
    </row>
    <row r="38690" spans="7:16" s="1634" customFormat="1">
      <c r="G38690" s="3336"/>
      <c r="P38690" s="3337"/>
    </row>
    <row r="38691" spans="7:16" s="1634" customFormat="1">
      <c r="G38691" s="3336"/>
      <c r="P38691" s="3337"/>
    </row>
    <row r="38692" spans="7:16" s="1634" customFormat="1">
      <c r="G38692" s="3336"/>
      <c r="P38692" s="3337"/>
    </row>
    <row r="38693" spans="7:16" s="1634" customFormat="1">
      <c r="G38693" s="3336"/>
      <c r="P38693" s="3337"/>
    </row>
    <row r="38694" spans="7:16" s="1634" customFormat="1">
      <c r="G38694" s="3336"/>
      <c r="P38694" s="3337"/>
    </row>
    <row r="38695" spans="7:16" s="1634" customFormat="1">
      <c r="G38695" s="3336"/>
      <c r="P38695" s="3337"/>
    </row>
    <row r="38696" spans="7:16" s="1634" customFormat="1">
      <c r="G38696" s="3336"/>
      <c r="P38696" s="3337"/>
    </row>
    <row r="38697" spans="7:16" s="1634" customFormat="1">
      <c r="G38697" s="3336"/>
      <c r="P38697" s="3337"/>
    </row>
    <row r="38698" spans="7:16" s="1634" customFormat="1">
      <c r="G38698" s="3336"/>
      <c r="P38698" s="3337"/>
    </row>
    <row r="38699" spans="7:16" s="1634" customFormat="1">
      <c r="G38699" s="3336"/>
      <c r="P38699" s="3337"/>
    </row>
    <row r="38700" spans="7:16" s="1634" customFormat="1">
      <c r="G38700" s="3336"/>
      <c r="P38700" s="3337"/>
    </row>
    <row r="38701" spans="7:16" s="1634" customFormat="1">
      <c r="G38701" s="3336"/>
      <c r="P38701" s="3337"/>
    </row>
    <row r="38702" spans="7:16" s="1634" customFormat="1">
      <c r="G38702" s="3336"/>
      <c r="P38702" s="3337"/>
    </row>
    <row r="38703" spans="7:16" s="1634" customFormat="1">
      <c r="G38703" s="3336"/>
      <c r="P38703" s="3337"/>
    </row>
    <row r="38704" spans="7:16" s="1634" customFormat="1">
      <c r="G38704" s="3336"/>
      <c r="P38704" s="3337"/>
    </row>
    <row r="38705" spans="7:16" s="1634" customFormat="1">
      <c r="G38705" s="3336"/>
      <c r="P38705" s="3337"/>
    </row>
    <row r="38706" spans="7:16" s="1634" customFormat="1">
      <c r="G38706" s="3336"/>
      <c r="P38706" s="3337"/>
    </row>
    <row r="38707" spans="7:16" s="1634" customFormat="1">
      <c r="G38707" s="3336"/>
      <c r="P38707" s="3337"/>
    </row>
    <row r="38708" spans="7:16" s="1634" customFormat="1">
      <c r="G38708" s="3336"/>
      <c r="P38708" s="3337"/>
    </row>
    <row r="38709" spans="7:16" s="1634" customFormat="1">
      <c r="G38709" s="3336"/>
      <c r="P38709" s="3337"/>
    </row>
    <row r="38710" spans="7:16" s="1634" customFormat="1">
      <c r="G38710" s="3336"/>
      <c r="P38710" s="3337"/>
    </row>
    <row r="38711" spans="7:16" s="1634" customFormat="1">
      <c r="G38711" s="3336"/>
      <c r="P38711" s="3337"/>
    </row>
    <row r="38712" spans="7:16" s="1634" customFormat="1">
      <c r="G38712" s="3336"/>
      <c r="P38712" s="3337"/>
    </row>
    <row r="38713" spans="7:16" s="1634" customFormat="1">
      <c r="G38713" s="3336"/>
      <c r="P38713" s="3337"/>
    </row>
    <row r="38714" spans="7:16" s="1634" customFormat="1">
      <c r="G38714" s="3336"/>
      <c r="P38714" s="3337"/>
    </row>
    <row r="38715" spans="7:16" s="1634" customFormat="1">
      <c r="G38715" s="3336"/>
      <c r="P38715" s="3337"/>
    </row>
    <row r="38716" spans="7:16" s="1634" customFormat="1">
      <c r="G38716" s="3336"/>
      <c r="P38716" s="3337"/>
    </row>
    <row r="38717" spans="7:16" s="1634" customFormat="1">
      <c r="G38717" s="3336"/>
      <c r="P38717" s="3337"/>
    </row>
    <row r="38718" spans="7:16" s="1634" customFormat="1">
      <c r="G38718" s="3336"/>
      <c r="P38718" s="3337"/>
    </row>
    <row r="38719" spans="7:16" s="1634" customFormat="1">
      <c r="G38719" s="3336"/>
      <c r="P38719" s="3337"/>
    </row>
    <row r="38720" spans="7:16" s="1634" customFormat="1">
      <c r="G38720" s="3336"/>
      <c r="P38720" s="3337"/>
    </row>
    <row r="38721" spans="7:16" s="1634" customFormat="1">
      <c r="G38721" s="3336"/>
      <c r="P38721" s="3337"/>
    </row>
    <row r="38722" spans="7:16" s="1634" customFormat="1">
      <c r="G38722" s="3336"/>
      <c r="P38722" s="3337"/>
    </row>
    <row r="38723" spans="7:16" s="1634" customFormat="1">
      <c r="G38723" s="3336"/>
      <c r="P38723" s="3337"/>
    </row>
    <row r="38724" spans="7:16" s="1634" customFormat="1">
      <c r="G38724" s="3336"/>
      <c r="P38724" s="3337"/>
    </row>
    <row r="38725" spans="7:16" s="1634" customFormat="1">
      <c r="G38725" s="3336"/>
      <c r="P38725" s="3337"/>
    </row>
    <row r="38726" spans="7:16" s="1634" customFormat="1">
      <c r="G38726" s="3336"/>
      <c r="P38726" s="3337"/>
    </row>
    <row r="38727" spans="7:16" s="1634" customFormat="1">
      <c r="G38727" s="3336"/>
      <c r="P38727" s="3337"/>
    </row>
    <row r="38728" spans="7:16" s="1634" customFormat="1">
      <c r="G38728" s="3336"/>
      <c r="P38728" s="3337"/>
    </row>
    <row r="38729" spans="7:16" s="1634" customFormat="1">
      <c r="G38729" s="3336"/>
      <c r="P38729" s="3337"/>
    </row>
    <row r="38730" spans="7:16" s="1634" customFormat="1">
      <c r="G38730" s="3336"/>
      <c r="P38730" s="3337"/>
    </row>
    <row r="38731" spans="7:16" s="1634" customFormat="1">
      <c r="G38731" s="3336"/>
      <c r="P38731" s="3337"/>
    </row>
    <row r="38732" spans="7:16" s="1634" customFormat="1">
      <c r="G38732" s="3336"/>
      <c r="P38732" s="3337"/>
    </row>
    <row r="38733" spans="7:16" s="1634" customFormat="1">
      <c r="G38733" s="3336"/>
      <c r="P38733" s="3337"/>
    </row>
    <row r="38734" spans="7:16" s="1634" customFormat="1">
      <c r="G38734" s="3336"/>
      <c r="P38734" s="3337"/>
    </row>
    <row r="38735" spans="7:16" s="1634" customFormat="1">
      <c r="G38735" s="3336"/>
      <c r="P38735" s="3337"/>
    </row>
    <row r="38736" spans="7:16" s="1634" customFormat="1">
      <c r="G38736" s="3336"/>
      <c r="P38736" s="3337"/>
    </row>
    <row r="38737" spans="7:16" s="1634" customFormat="1">
      <c r="G38737" s="3336"/>
      <c r="P38737" s="3337"/>
    </row>
    <row r="38738" spans="7:16" s="1634" customFormat="1">
      <c r="G38738" s="3336"/>
      <c r="P38738" s="3337"/>
    </row>
    <row r="38739" spans="7:16" s="1634" customFormat="1">
      <c r="G38739" s="3336"/>
      <c r="P38739" s="3337"/>
    </row>
    <row r="38740" spans="7:16" s="1634" customFormat="1">
      <c r="G38740" s="3336"/>
      <c r="P38740" s="3337"/>
    </row>
    <row r="38741" spans="7:16" s="1634" customFormat="1">
      <c r="G38741" s="3336"/>
      <c r="P38741" s="3337"/>
    </row>
    <row r="38742" spans="7:16" s="1634" customFormat="1">
      <c r="G38742" s="3336"/>
      <c r="P38742" s="3337"/>
    </row>
    <row r="38743" spans="7:16" s="1634" customFormat="1">
      <c r="G38743" s="3336"/>
      <c r="P38743" s="3337"/>
    </row>
    <row r="38744" spans="7:16" s="1634" customFormat="1">
      <c r="G38744" s="3336"/>
      <c r="P38744" s="3337"/>
    </row>
    <row r="38745" spans="7:16" s="1634" customFormat="1">
      <c r="G38745" s="3336"/>
      <c r="P38745" s="3337"/>
    </row>
    <row r="38746" spans="7:16" s="1634" customFormat="1">
      <c r="G38746" s="3336"/>
      <c r="P38746" s="3337"/>
    </row>
    <row r="38747" spans="7:16" s="1634" customFormat="1">
      <c r="G38747" s="3336"/>
      <c r="P38747" s="3337"/>
    </row>
    <row r="38748" spans="7:16" s="1634" customFormat="1">
      <c r="G38748" s="3336"/>
      <c r="P38748" s="3337"/>
    </row>
    <row r="38749" spans="7:16" s="1634" customFormat="1">
      <c r="G38749" s="3336"/>
      <c r="P38749" s="3337"/>
    </row>
    <row r="38750" spans="7:16" s="1634" customFormat="1">
      <c r="G38750" s="3336"/>
      <c r="P38750" s="3337"/>
    </row>
    <row r="38751" spans="7:16" s="1634" customFormat="1">
      <c r="G38751" s="3336"/>
      <c r="P38751" s="3337"/>
    </row>
    <row r="38752" spans="7:16" s="1634" customFormat="1">
      <c r="G38752" s="3336"/>
      <c r="P38752" s="3337"/>
    </row>
    <row r="38753" spans="7:16" s="1634" customFormat="1">
      <c r="G38753" s="3336"/>
      <c r="P38753" s="3337"/>
    </row>
    <row r="38754" spans="7:16" s="1634" customFormat="1">
      <c r="G38754" s="3336"/>
      <c r="P38754" s="3337"/>
    </row>
    <row r="38755" spans="7:16" s="1634" customFormat="1">
      <c r="G38755" s="3336"/>
      <c r="P38755" s="3337"/>
    </row>
    <row r="38756" spans="7:16" s="1634" customFormat="1">
      <c r="G38756" s="3336"/>
      <c r="P38756" s="3337"/>
    </row>
    <row r="38757" spans="7:16" s="1634" customFormat="1">
      <c r="G38757" s="3336"/>
      <c r="P38757" s="3337"/>
    </row>
    <row r="38758" spans="7:16" s="1634" customFormat="1">
      <c r="G38758" s="3336"/>
      <c r="P38758" s="3337"/>
    </row>
    <row r="38759" spans="7:16" s="1634" customFormat="1">
      <c r="G38759" s="3336"/>
      <c r="P38759" s="3337"/>
    </row>
    <row r="38760" spans="7:16" s="1634" customFormat="1">
      <c r="G38760" s="3336"/>
      <c r="P38760" s="3337"/>
    </row>
    <row r="38761" spans="7:16" s="1634" customFormat="1">
      <c r="G38761" s="3336"/>
      <c r="P38761" s="3337"/>
    </row>
    <row r="38762" spans="7:16" s="1634" customFormat="1">
      <c r="G38762" s="3336"/>
      <c r="P38762" s="3337"/>
    </row>
    <row r="38763" spans="7:16" s="1634" customFormat="1">
      <c r="G38763" s="3336"/>
      <c r="P38763" s="3337"/>
    </row>
    <row r="38764" spans="7:16" s="1634" customFormat="1">
      <c r="G38764" s="3336"/>
      <c r="P38764" s="3337"/>
    </row>
    <row r="38765" spans="7:16" s="1634" customFormat="1">
      <c r="G38765" s="3336"/>
      <c r="P38765" s="3337"/>
    </row>
    <row r="38766" spans="7:16" s="1634" customFormat="1">
      <c r="G38766" s="3336"/>
      <c r="P38766" s="3337"/>
    </row>
    <row r="38767" spans="7:16" s="1634" customFormat="1">
      <c r="G38767" s="3336"/>
      <c r="P38767" s="3337"/>
    </row>
    <row r="38768" spans="7:16" s="1634" customFormat="1">
      <c r="G38768" s="3336"/>
      <c r="P38768" s="3337"/>
    </row>
    <row r="38769" spans="7:16" s="1634" customFormat="1">
      <c r="G38769" s="3336"/>
      <c r="P38769" s="3337"/>
    </row>
    <row r="38770" spans="7:16" s="1634" customFormat="1">
      <c r="G38770" s="3336"/>
      <c r="P38770" s="3337"/>
    </row>
    <row r="38771" spans="7:16" s="1634" customFormat="1">
      <c r="G38771" s="3336"/>
      <c r="P38771" s="3337"/>
    </row>
    <row r="38772" spans="7:16" s="1634" customFormat="1">
      <c r="G38772" s="3336"/>
      <c r="P38772" s="3337"/>
    </row>
    <row r="38773" spans="7:16" s="1634" customFormat="1">
      <c r="G38773" s="3336"/>
      <c r="P38773" s="3337"/>
    </row>
    <row r="38774" spans="7:16" s="1634" customFormat="1">
      <c r="G38774" s="3336"/>
      <c r="P38774" s="3337"/>
    </row>
    <row r="38775" spans="7:16" s="1634" customFormat="1">
      <c r="G38775" s="3336"/>
      <c r="P38775" s="3337"/>
    </row>
    <row r="38776" spans="7:16" s="1634" customFormat="1">
      <c r="G38776" s="3336"/>
      <c r="P38776" s="3337"/>
    </row>
    <row r="38777" spans="7:16" s="1634" customFormat="1">
      <c r="G38777" s="3336"/>
      <c r="P38777" s="3337"/>
    </row>
    <row r="38778" spans="7:16" s="1634" customFormat="1">
      <c r="G38778" s="3336"/>
      <c r="P38778" s="3337"/>
    </row>
    <row r="38779" spans="7:16" s="1634" customFormat="1">
      <c r="G38779" s="3336"/>
      <c r="P38779" s="3337"/>
    </row>
    <row r="38780" spans="7:16" s="1634" customFormat="1">
      <c r="G38780" s="3336"/>
      <c r="P38780" s="3337"/>
    </row>
    <row r="38781" spans="7:16" s="1634" customFormat="1">
      <c r="G38781" s="3336"/>
      <c r="P38781" s="3337"/>
    </row>
    <row r="38782" spans="7:16" s="1634" customFormat="1">
      <c r="G38782" s="3336"/>
      <c r="P38782" s="3337"/>
    </row>
    <row r="38783" spans="7:16" s="1634" customFormat="1">
      <c r="G38783" s="3336"/>
      <c r="P38783" s="3337"/>
    </row>
    <row r="38784" spans="7:16" s="1634" customFormat="1">
      <c r="G38784" s="3336"/>
      <c r="P38784" s="3337"/>
    </row>
    <row r="38785" spans="7:16" s="1634" customFormat="1">
      <c r="G38785" s="3336"/>
      <c r="P38785" s="3337"/>
    </row>
    <row r="38786" spans="7:16" s="1634" customFormat="1">
      <c r="G38786" s="3336"/>
      <c r="P38786" s="3337"/>
    </row>
    <row r="38787" spans="7:16" s="1634" customFormat="1">
      <c r="G38787" s="3336"/>
      <c r="P38787" s="3337"/>
    </row>
    <row r="38788" spans="7:16" s="1634" customFormat="1">
      <c r="G38788" s="3336"/>
      <c r="P38788" s="3337"/>
    </row>
    <row r="38789" spans="7:16" s="1634" customFormat="1">
      <c r="G38789" s="3336"/>
      <c r="P38789" s="3337"/>
    </row>
    <row r="38790" spans="7:16" s="1634" customFormat="1">
      <c r="G38790" s="3336"/>
      <c r="P38790" s="3337"/>
    </row>
    <row r="38791" spans="7:16" s="1634" customFormat="1">
      <c r="G38791" s="3336"/>
      <c r="P38791" s="3337"/>
    </row>
    <row r="38792" spans="7:16" s="1634" customFormat="1">
      <c r="G38792" s="3336"/>
      <c r="P38792" s="3337"/>
    </row>
    <row r="38793" spans="7:16" s="1634" customFormat="1">
      <c r="G38793" s="3336"/>
      <c r="P38793" s="3337"/>
    </row>
    <row r="38794" spans="7:16" s="1634" customFormat="1">
      <c r="G38794" s="3336"/>
      <c r="P38794" s="3337"/>
    </row>
    <row r="38795" spans="7:16" s="1634" customFormat="1">
      <c r="G38795" s="3336"/>
      <c r="P38795" s="3337"/>
    </row>
    <row r="38796" spans="7:16" s="1634" customFormat="1">
      <c r="G38796" s="3336"/>
      <c r="P38796" s="3337"/>
    </row>
    <row r="38797" spans="7:16" s="1634" customFormat="1">
      <c r="G38797" s="3336"/>
      <c r="P38797" s="3337"/>
    </row>
    <row r="38798" spans="7:16" s="1634" customFormat="1">
      <c r="G38798" s="3336"/>
      <c r="P38798" s="3337"/>
    </row>
    <row r="38799" spans="7:16" s="1634" customFormat="1">
      <c r="G38799" s="3336"/>
      <c r="P38799" s="3337"/>
    </row>
    <row r="38800" spans="7:16" s="1634" customFormat="1">
      <c r="G38800" s="3336"/>
      <c r="P38800" s="3337"/>
    </row>
    <row r="38801" spans="7:16" s="1634" customFormat="1">
      <c r="G38801" s="3336"/>
      <c r="P38801" s="3337"/>
    </row>
    <row r="38802" spans="7:16" s="1634" customFormat="1">
      <c r="G38802" s="3336"/>
      <c r="P38802" s="3337"/>
    </row>
    <row r="38803" spans="7:16" s="1634" customFormat="1">
      <c r="G38803" s="3336"/>
      <c r="P38803" s="3337"/>
    </row>
    <row r="38804" spans="7:16" s="1634" customFormat="1">
      <c r="G38804" s="3336"/>
      <c r="P38804" s="3337"/>
    </row>
    <row r="38805" spans="7:16" s="1634" customFormat="1">
      <c r="G38805" s="3336"/>
      <c r="P38805" s="3337"/>
    </row>
    <row r="38806" spans="7:16" s="1634" customFormat="1">
      <c r="G38806" s="3336"/>
      <c r="P38806" s="3337"/>
    </row>
    <row r="38807" spans="7:16" s="1634" customFormat="1">
      <c r="G38807" s="3336"/>
      <c r="P38807" s="3337"/>
    </row>
    <row r="38808" spans="7:16" s="1634" customFormat="1">
      <c r="G38808" s="3336"/>
      <c r="P38808" s="3337"/>
    </row>
    <row r="38809" spans="7:16" s="1634" customFormat="1">
      <c r="G38809" s="3336"/>
      <c r="P38809" s="3337"/>
    </row>
    <row r="38810" spans="7:16" s="1634" customFormat="1">
      <c r="G38810" s="3336"/>
      <c r="P38810" s="3337"/>
    </row>
    <row r="38811" spans="7:16" s="1634" customFormat="1">
      <c r="G38811" s="3336"/>
      <c r="P38811" s="3337"/>
    </row>
    <row r="38812" spans="7:16" s="1634" customFormat="1">
      <c r="G38812" s="3336"/>
      <c r="P38812" s="3337"/>
    </row>
    <row r="38813" spans="7:16" s="1634" customFormat="1">
      <c r="G38813" s="3336"/>
      <c r="P38813" s="3337"/>
    </row>
    <row r="38814" spans="7:16" s="1634" customFormat="1">
      <c r="G38814" s="3336"/>
      <c r="P38814" s="3337"/>
    </row>
    <row r="38815" spans="7:16" s="1634" customFormat="1">
      <c r="G38815" s="3336"/>
      <c r="P38815" s="3337"/>
    </row>
    <row r="38816" spans="7:16" s="1634" customFormat="1">
      <c r="G38816" s="3336"/>
      <c r="P38816" s="3337"/>
    </row>
    <row r="38817" spans="7:16" s="1634" customFormat="1">
      <c r="G38817" s="3336"/>
      <c r="P38817" s="3337"/>
    </row>
    <row r="38818" spans="7:16" s="1634" customFormat="1">
      <c r="G38818" s="3336"/>
      <c r="P38818" s="3337"/>
    </row>
    <row r="38819" spans="7:16" s="1634" customFormat="1">
      <c r="G38819" s="3336"/>
      <c r="P38819" s="3337"/>
    </row>
    <row r="38820" spans="7:16" s="1634" customFormat="1">
      <c r="G38820" s="3336"/>
      <c r="P38820" s="3337"/>
    </row>
    <row r="38821" spans="7:16" s="1634" customFormat="1">
      <c r="G38821" s="3336"/>
      <c r="P38821" s="3337"/>
    </row>
    <row r="38822" spans="7:16" s="1634" customFormat="1">
      <c r="G38822" s="3336"/>
      <c r="P38822" s="3337"/>
    </row>
    <row r="38823" spans="7:16" s="1634" customFormat="1">
      <c r="G38823" s="3336"/>
      <c r="P38823" s="3337"/>
    </row>
    <row r="38824" spans="7:16" s="1634" customFormat="1">
      <c r="G38824" s="3336"/>
      <c r="P38824" s="3337"/>
    </row>
    <row r="38825" spans="7:16" s="1634" customFormat="1">
      <c r="G38825" s="3336"/>
      <c r="P38825" s="3337"/>
    </row>
    <row r="38826" spans="7:16" s="1634" customFormat="1">
      <c r="G38826" s="3336"/>
      <c r="P38826" s="3337"/>
    </row>
    <row r="38827" spans="7:16" s="1634" customFormat="1">
      <c r="G38827" s="3336"/>
      <c r="P38827" s="3337"/>
    </row>
    <row r="38828" spans="7:16" s="1634" customFormat="1">
      <c r="G38828" s="3336"/>
      <c r="P38828" s="3337"/>
    </row>
    <row r="38829" spans="7:16" s="1634" customFormat="1">
      <c r="G38829" s="3336"/>
      <c r="P38829" s="3337"/>
    </row>
    <row r="38830" spans="7:16" s="1634" customFormat="1">
      <c r="G38830" s="3336"/>
      <c r="P38830" s="3337"/>
    </row>
    <row r="38831" spans="7:16" s="1634" customFormat="1">
      <c r="G38831" s="3336"/>
      <c r="P38831" s="3337"/>
    </row>
    <row r="38832" spans="7:16" s="1634" customFormat="1">
      <c r="G38832" s="3336"/>
      <c r="P38832" s="3337"/>
    </row>
    <row r="38833" spans="7:16" s="1634" customFormat="1">
      <c r="G38833" s="3336"/>
      <c r="P38833" s="3337"/>
    </row>
    <row r="38834" spans="7:16" s="1634" customFormat="1">
      <c r="G38834" s="3336"/>
      <c r="P38834" s="3337"/>
    </row>
    <row r="38835" spans="7:16" s="1634" customFormat="1">
      <c r="G38835" s="3336"/>
      <c r="P38835" s="3337"/>
    </row>
    <row r="38836" spans="7:16" s="1634" customFormat="1">
      <c r="G38836" s="3336"/>
      <c r="P38836" s="3337"/>
    </row>
    <row r="38837" spans="7:16" s="1634" customFormat="1">
      <c r="G38837" s="3336"/>
      <c r="P38837" s="3337"/>
    </row>
    <row r="38838" spans="7:16" s="1634" customFormat="1">
      <c r="G38838" s="3336"/>
      <c r="P38838" s="3337"/>
    </row>
    <row r="38839" spans="7:16" s="1634" customFormat="1">
      <c r="G38839" s="3336"/>
      <c r="P38839" s="3337"/>
    </row>
    <row r="38840" spans="7:16" s="1634" customFormat="1">
      <c r="G38840" s="3336"/>
      <c r="P38840" s="3337"/>
    </row>
    <row r="38841" spans="7:16" s="1634" customFormat="1">
      <c r="G38841" s="3336"/>
      <c r="P38841" s="3337"/>
    </row>
    <row r="38842" spans="7:16" s="1634" customFormat="1">
      <c r="G38842" s="3336"/>
      <c r="P38842" s="3337"/>
    </row>
    <row r="38843" spans="7:16" s="1634" customFormat="1">
      <c r="G38843" s="3336"/>
      <c r="P38843" s="3337"/>
    </row>
    <row r="38844" spans="7:16" s="1634" customFormat="1">
      <c r="G38844" s="3336"/>
      <c r="P38844" s="3337"/>
    </row>
    <row r="38845" spans="7:16" s="1634" customFormat="1">
      <c r="G38845" s="3336"/>
      <c r="P38845" s="3337"/>
    </row>
    <row r="38846" spans="7:16" s="1634" customFormat="1">
      <c r="G38846" s="3336"/>
      <c r="P38846" s="3337"/>
    </row>
    <row r="38847" spans="7:16" s="1634" customFormat="1">
      <c r="G38847" s="3336"/>
      <c r="P38847" s="3337"/>
    </row>
    <row r="38848" spans="7:16" s="1634" customFormat="1">
      <c r="G38848" s="3336"/>
      <c r="P38848" s="3337"/>
    </row>
    <row r="38849" spans="7:16" s="1634" customFormat="1">
      <c r="G38849" s="3336"/>
      <c r="P38849" s="3337"/>
    </row>
    <row r="38850" spans="7:16" s="1634" customFormat="1">
      <c r="G38850" s="3336"/>
      <c r="P38850" s="3337"/>
    </row>
    <row r="38851" spans="7:16" s="1634" customFormat="1">
      <c r="G38851" s="3336"/>
      <c r="P38851" s="3337"/>
    </row>
    <row r="38852" spans="7:16" s="1634" customFormat="1">
      <c r="G38852" s="3336"/>
      <c r="P38852" s="3337"/>
    </row>
    <row r="38853" spans="7:16" s="1634" customFormat="1">
      <c r="G38853" s="3336"/>
      <c r="P38853" s="3337"/>
    </row>
    <row r="38854" spans="7:16" s="1634" customFormat="1">
      <c r="G38854" s="3336"/>
      <c r="P38854" s="3337"/>
    </row>
    <row r="38855" spans="7:16" s="1634" customFormat="1">
      <c r="G38855" s="3336"/>
      <c r="P38855" s="3337"/>
    </row>
    <row r="38856" spans="7:16" s="1634" customFormat="1">
      <c r="G38856" s="3336"/>
      <c r="P38856" s="3337"/>
    </row>
    <row r="38857" spans="7:16" s="1634" customFormat="1">
      <c r="G38857" s="3336"/>
      <c r="P38857" s="3337"/>
    </row>
    <row r="38858" spans="7:16" s="1634" customFormat="1">
      <c r="G38858" s="3336"/>
      <c r="P38858" s="3337"/>
    </row>
    <row r="38859" spans="7:16" s="1634" customFormat="1">
      <c r="G38859" s="3336"/>
      <c r="P38859" s="3337"/>
    </row>
    <row r="38860" spans="7:16" s="1634" customFormat="1">
      <c r="G38860" s="3336"/>
      <c r="P38860" s="3337"/>
    </row>
    <row r="38861" spans="7:16" s="1634" customFormat="1">
      <c r="G38861" s="3336"/>
      <c r="P38861" s="3337"/>
    </row>
    <row r="38862" spans="7:16" s="1634" customFormat="1">
      <c r="G38862" s="3336"/>
      <c r="P38862" s="3337"/>
    </row>
    <row r="38863" spans="7:16" s="1634" customFormat="1">
      <c r="G38863" s="3336"/>
      <c r="P38863" s="3337"/>
    </row>
    <row r="38864" spans="7:16" s="1634" customFormat="1">
      <c r="G38864" s="3336"/>
      <c r="P38864" s="3337"/>
    </row>
    <row r="38865" spans="7:16" s="1634" customFormat="1">
      <c r="G38865" s="3336"/>
      <c r="P38865" s="3337"/>
    </row>
    <row r="38866" spans="7:16" s="1634" customFormat="1">
      <c r="G38866" s="3336"/>
      <c r="P38866" s="3337"/>
    </row>
    <row r="38867" spans="7:16" s="1634" customFormat="1">
      <c r="G38867" s="3336"/>
      <c r="P38867" s="3337"/>
    </row>
    <row r="38868" spans="7:16" s="1634" customFormat="1">
      <c r="G38868" s="3336"/>
      <c r="P38868" s="3337"/>
    </row>
    <row r="38869" spans="7:16" s="1634" customFormat="1">
      <c r="G38869" s="3336"/>
      <c r="P38869" s="3337"/>
    </row>
    <row r="38870" spans="7:16" s="1634" customFormat="1">
      <c r="G38870" s="3336"/>
      <c r="P38870" s="3337"/>
    </row>
    <row r="38871" spans="7:16" s="1634" customFormat="1">
      <c r="G38871" s="3336"/>
      <c r="P38871" s="3337"/>
    </row>
    <row r="38872" spans="7:16" s="1634" customFormat="1">
      <c r="G38872" s="3336"/>
      <c r="P38872" s="3337"/>
    </row>
    <row r="38873" spans="7:16" s="1634" customFormat="1">
      <c r="G38873" s="3336"/>
      <c r="P38873" s="3337"/>
    </row>
    <row r="38874" spans="7:16" s="1634" customFormat="1">
      <c r="G38874" s="3336"/>
      <c r="P38874" s="3337"/>
    </row>
    <row r="38875" spans="7:16" s="1634" customFormat="1">
      <c r="G38875" s="3336"/>
      <c r="P38875" s="3337"/>
    </row>
    <row r="38876" spans="7:16" s="1634" customFormat="1">
      <c r="G38876" s="3336"/>
      <c r="P38876" s="3337"/>
    </row>
    <row r="38877" spans="7:16" s="1634" customFormat="1">
      <c r="G38877" s="3336"/>
      <c r="P38877" s="3337"/>
    </row>
    <row r="38878" spans="7:16" s="1634" customFormat="1">
      <c r="G38878" s="3336"/>
      <c r="P38878" s="3337"/>
    </row>
    <row r="38879" spans="7:16" s="1634" customFormat="1">
      <c r="G38879" s="3336"/>
      <c r="P38879" s="3337"/>
    </row>
    <row r="38880" spans="7:16" s="1634" customFormat="1">
      <c r="G38880" s="3336"/>
      <c r="P38880" s="3337"/>
    </row>
    <row r="38881" spans="7:16" s="1634" customFormat="1">
      <c r="G38881" s="3336"/>
      <c r="P38881" s="3337"/>
    </row>
    <row r="38882" spans="7:16" s="1634" customFormat="1">
      <c r="G38882" s="3336"/>
      <c r="P38882" s="3337"/>
    </row>
    <row r="38883" spans="7:16" s="1634" customFormat="1">
      <c r="G38883" s="3336"/>
      <c r="P38883" s="3337"/>
    </row>
    <row r="38884" spans="7:16" s="1634" customFormat="1">
      <c r="G38884" s="3336"/>
      <c r="P38884" s="3337"/>
    </row>
    <row r="38885" spans="7:16" s="1634" customFormat="1">
      <c r="G38885" s="3336"/>
      <c r="P38885" s="3337"/>
    </row>
    <row r="38886" spans="7:16" s="1634" customFormat="1">
      <c r="G38886" s="3336"/>
      <c r="P38886" s="3337"/>
    </row>
    <row r="38887" spans="7:16" s="1634" customFormat="1">
      <c r="G38887" s="3336"/>
      <c r="P38887" s="3337"/>
    </row>
    <row r="38888" spans="7:16" s="1634" customFormat="1">
      <c r="G38888" s="3336"/>
      <c r="P38888" s="3337"/>
    </row>
    <row r="38889" spans="7:16" s="1634" customFormat="1">
      <c r="G38889" s="3336"/>
      <c r="P38889" s="3337"/>
    </row>
    <row r="38890" spans="7:16" s="1634" customFormat="1">
      <c r="G38890" s="3336"/>
      <c r="P38890" s="3337"/>
    </row>
    <row r="38891" spans="7:16" s="1634" customFormat="1">
      <c r="G38891" s="3336"/>
      <c r="P38891" s="3337"/>
    </row>
    <row r="38892" spans="7:16" s="1634" customFormat="1">
      <c r="G38892" s="3336"/>
      <c r="P38892" s="3337"/>
    </row>
    <row r="38893" spans="7:16" s="1634" customFormat="1">
      <c r="G38893" s="3336"/>
      <c r="P38893" s="3337"/>
    </row>
    <row r="38894" spans="7:16" s="1634" customFormat="1">
      <c r="G38894" s="3336"/>
      <c r="P38894" s="3337"/>
    </row>
    <row r="38895" spans="7:16" s="1634" customFormat="1">
      <c r="G38895" s="3336"/>
      <c r="P38895" s="3337"/>
    </row>
    <row r="38896" spans="7:16" s="1634" customFormat="1">
      <c r="G38896" s="3336"/>
      <c r="P38896" s="3337"/>
    </row>
    <row r="38897" spans="7:16" s="1634" customFormat="1">
      <c r="G38897" s="3336"/>
      <c r="P38897" s="3337"/>
    </row>
    <row r="38898" spans="7:16" s="1634" customFormat="1">
      <c r="G38898" s="3336"/>
      <c r="P38898" s="3337"/>
    </row>
    <row r="38899" spans="7:16" s="1634" customFormat="1">
      <c r="G38899" s="3336"/>
      <c r="P38899" s="3337"/>
    </row>
    <row r="38900" spans="7:16" s="1634" customFormat="1">
      <c r="G38900" s="3336"/>
      <c r="P38900" s="3337"/>
    </row>
    <row r="38901" spans="7:16" s="1634" customFormat="1">
      <c r="G38901" s="3336"/>
      <c r="P38901" s="3337"/>
    </row>
    <row r="38902" spans="7:16" s="1634" customFormat="1">
      <c r="G38902" s="3336"/>
      <c r="P38902" s="3337"/>
    </row>
    <row r="38903" spans="7:16" s="1634" customFormat="1">
      <c r="G38903" s="3336"/>
      <c r="P38903" s="3337"/>
    </row>
    <row r="38904" spans="7:16" s="1634" customFormat="1">
      <c r="G38904" s="3336"/>
      <c r="P38904" s="3337"/>
    </row>
    <row r="38905" spans="7:16" s="1634" customFormat="1">
      <c r="G38905" s="3336"/>
      <c r="P38905" s="3337"/>
    </row>
    <row r="38906" spans="7:16" s="1634" customFormat="1">
      <c r="G38906" s="3336"/>
      <c r="P38906" s="3337"/>
    </row>
    <row r="38907" spans="7:16" s="1634" customFormat="1">
      <c r="G38907" s="3336"/>
      <c r="P38907" s="3337"/>
    </row>
    <row r="38908" spans="7:16" s="1634" customFormat="1">
      <c r="G38908" s="3336"/>
      <c r="P38908" s="3337"/>
    </row>
    <row r="38909" spans="7:16" s="1634" customFormat="1">
      <c r="G38909" s="3336"/>
      <c r="P38909" s="3337"/>
    </row>
    <row r="38910" spans="7:16" s="1634" customFormat="1">
      <c r="G38910" s="3336"/>
      <c r="P38910" s="3337"/>
    </row>
    <row r="38911" spans="7:16" s="1634" customFormat="1">
      <c r="G38911" s="3336"/>
      <c r="P38911" s="3337"/>
    </row>
    <row r="38912" spans="7:16" s="1634" customFormat="1">
      <c r="G38912" s="3336"/>
      <c r="P38912" s="3337"/>
    </row>
    <row r="38913" spans="7:16" s="1634" customFormat="1">
      <c r="G38913" s="3336"/>
      <c r="P38913" s="3337"/>
    </row>
    <row r="38914" spans="7:16" s="1634" customFormat="1">
      <c r="G38914" s="3336"/>
      <c r="P38914" s="3337"/>
    </row>
    <row r="38915" spans="7:16" s="1634" customFormat="1">
      <c r="G38915" s="3336"/>
      <c r="P38915" s="3337"/>
    </row>
    <row r="38916" spans="7:16" s="1634" customFormat="1">
      <c r="G38916" s="3336"/>
      <c r="P38916" s="3337"/>
    </row>
    <row r="38917" spans="7:16" s="1634" customFormat="1">
      <c r="G38917" s="3336"/>
      <c r="P38917" s="3337"/>
    </row>
    <row r="38918" spans="7:16" s="1634" customFormat="1">
      <c r="G38918" s="3336"/>
      <c r="P38918" s="3337"/>
    </row>
    <row r="38919" spans="7:16" s="1634" customFormat="1">
      <c r="G38919" s="3336"/>
      <c r="P38919" s="3337"/>
    </row>
    <row r="38920" spans="7:16" s="1634" customFormat="1">
      <c r="G38920" s="3336"/>
      <c r="P38920" s="3337"/>
    </row>
    <row r="38921" spans="7:16" s="1634" customFormat="1">
      <c r="G38921" s="3336"/>
      <c r="P38921" s="3337"/>
    </row>
    <row r="38922" spans="7:16" s="1634" customFormat="1">
      <c r="G38922" s="3336"/>
      <c r="P38922" s="3337"/>
    </row>
    <row r="38923" spans="7:16" s="1634" customFormat="1">
      <c r="G38923" s="3336"/>
      <c r="P38923" s="3337"/>
    </row>
    <row r="38924" spans="7:16" s="1634" customFormat="1">
      <c r="G38924" s="3336"/>
      <c r="P38924" s="3337"/>
    </row>
    <row r="38925" spans="7:16" s="1634" customFormat="1">
      <c r="G38925" s="3336"/>
      <c r="P38925" s="3337"/>
    </row>
    <row r="38926" spans="7:16" s="1634" customFormat="1">
      <c r="G38926" s="3336"/>
      <c r="P38926" s="3337"/>
    </row>
    <row r="38927" spans="7:16" s="1634" customFormat="1">
      <c r="G38927" s="3336"/>
      <c r="P38927" s="3337"/>
    </row>
    <row r="38928" spans="7:16" s="1634" customFormat="1">
      <c r="G38928" s="3336"/>
      <c r="P38928" s="3337"/>
    </row>
    <row r="38929" spans="7:16" s="1634" customFormat="1">
      <c r="G38929" s="3336"/>
      <c r="P38929" s="3337"/>
    </row>
    <row r="38930" spans="7:16" s="1634" customFormat="1">
      <c r="G38930" s="3336"/>
      <c r="P38930" s="3337"/>
    </row>
    <row r="38931" spans="7:16" s="1634" customFormat="1">
      <c r="G38931" s="3336"/>
      <c r="P38931" s="3337"/>
    </row>
    <row r="38932" spans="7:16" s="1634" customFormat="1">
      <c r="G38932" s="3336"/>
      <c r="P38932" s="3337"/>
    </row>
    <row r="38933" spans="7:16" s="1634" customFormat="1">
      <c r="G38933" s="3336"/>
      <c r="P38933" s="3337"/>
    </row>
    <row r="38934" spans="7:16" s="1634" customFormat="1">
      <c r="G38934" s="3336"/>
      <c r="P38934" s="3337"/>
    </row>
    <row r="38935" spans="7:16" s="1634" customFormat="1">
      <c r="G38935" s="3336"/>
      <c r="P38935" s="3337"/>
    </row>
    <row r="38936" spans="7:16" s="1634" customFormat="1">
      <c r="G38936" s="3336"/>
      <c r="P38936" s="3337"/>
    </row>
    <row r="38937" spans="7:16" s="1634" customFormat="1">
      <c r="G38937" s="3336"/>
      <c r="P38937" s="3337"/>
    </row>
    <row r="38938" spans="7:16" s="1634" customFormat="1">
      <c r="G38938" s="3336"/>
      <c r="P38938" s="3337"/>
    </row>
    <row r="38939" spans="7:16" s="1634" customFormat="1">
      <c r="G38939" s="3336"/>
      <c r="P38939" s="3337"/>
    </row>
    <row r="38940" spans="7:16" s="1634" customFormat="1">
      <c r="G38940" s="3336"/>
      <c r="P38940" s="3337"/>
    </row>
    <row r="38941" spans="7:16" s="1634" customFormat="1">
      <c r="G38941" s="3336"/>
      <c r="P38941" s="3337"/>
    </row>
    <row r="38942" spans="7:16" s="1634" customFormat="1">
      <c r="G38942" s="3336"/>
      <c r="P38942" s="3337"/>
    </row>
    <row r="38943" spans="7:16" s="1634" customFormat="1">
      <c r="G38943" s="3336"/>
      <c r="P38943" s="3337"/>
    </row>
    <row r="38944" spans="7:16" s="1634" customFormat="1">
      <c r="G38944" s="3336"/>
      <c r="P38944" s="3337"/>
    </row>
    <row r="38945" spans="7:16" s="1634" customFormat="1">
      <c r="G38945" s="3336"/>
      <c r="P38945" s="3337"/>
    </row>
    <row r="38946" spans="7:16" s="1634" customFormat="1">
      <c r="G38946" s="3336"/>
      <c r="P38946" s="3337"/>
    </row>
    <row r="38947" spans="7:16" s="1634" customFormat="1">
      <c r="G38947" s="3336"/>
      <c r="P38947" s="3337"/>
    </row>
    <row r="38948" spans="7:16" s="1634" customFormat="1">
      <c r="G38948" s="3336"/>
      <c r="P38948" s="3337"/>
    </row>
    <row r="38949" spans="7:16" s="1634" customFormat="1">
      <c r="G38949" s="3336"/>
      <c r="P38949" s="3337"/>
    </row>
    <row r="38950" spans="7:16" s="1634" customFormat="1">
      <c r="G38950" s="3336"/>
      <c r="P38950" s="3337"/>
    </row>
    <row r="38951" spans="7:16" s="1634" customFormat="1">
      <c r="G38951" s="3336"/>
      <c r="P38951" s="3337"/>
    </row>
    <row r="38952" spans="7:16" s="1634" customFormat="1">
      <c r="G38952" s="3336"/>
      <c r="P38952" s="3337"/>
    </row>
    <row r="38953" spans="7:16" s="1634" customFormat="1">
      <c r="G38953" s="3336"/>
      <c r="P38953" s="3337"/>
    </row>
    <row r="38954" spans="7:16" s="1634" customFormat="1">
      <c r="G38954" s="3336"/>
      <c r="P38954" s="3337"/>
    </row>
    <row r="38955" spans="7:16" s="1634" customFormat="1">
      <c r="G38955" s="3336"/>
      <c r="P38955" s="3337"/>
    </row>
    <row r="38956" spans="7:16" s="1634" customFormat="1">
      <c r="G38956" s="3336"/>
      <c r="P38956" s="3337"/>
    </row>
    <row r="38957" spans="7:16" s="1634" customFormat="1">
      <c r="G38957" s="3336"/>
      <c r="P38957" s="3337"/>
    </row>
    <row r="38958" spans="7:16" s="1634" customFormat="1">
      <c r="G38958" s="3336"/>
      <c r="P38958" s="3337"/>
    </row>
    <row r="38959" spans="7:16" s="1634" customFormat="1">
      <c r="G38959" s="3336"/>
      <c r="P38959" s="3337"/>
    </row>
    <row r="38960" spans="7:16" s="1634" customFormat="1">
      <c r="G38960" s="3336"/>
      <c r="P38960" s="3337"/>
    </row>
    <row r="38961" spans="7:16" s="1634" customFormat="1">
      <c r="G38961" s="3336"/>
      <c r="P38961" s="3337"/>
    </row>
    <row r="38962" spans="7:16" s="1634" customFormat="1">
      <c r="G38962" s="3336"/>
      <c r="P38962" s="3337"/>
    </row>
    <row r="38963" spans="7:16" s="1634" customFormat="1">
      <c r="G38963" s="3336"/>
      <c r="P38963" s="3337"/>
    </row>
    <row r="38964" spans="7:16" s="1634" customFormat="1">
      <c r="G38964" s="3336"/>
      <c r="P38964" s="3337"/>
    </row>
    <row r="38965" spans="7:16" s="1634" customFormat="1">
      <c r="G38965" s="3336"/>
      <c r="P38965" s="3337"/>
    </row>
    <row r="38966" spans="7:16" s="1634" customFormat="1">
      <c r="G38966" s="3336"/>
      <c r="P38966" s="3337"/>
    </row>
    <row r="38967" spans="7:16" s="1634" customFormat="1">
      <c r="G38967" s="3336"/>
      <c r="P38967" s="3337"/>
    </row>
    <row r="38968" spans="7:16" s="1634" customFormat="1">
      <c r="G38968" s="3336"/>
      <c r="P38968" s="3337"/>
    </row>
    <row r="38969" spans="7:16" s="1634" customFormat="1">
      <c r="G38969" s="3336"/>
      <c r="P38969" s="3337"/>
    </row>
    <row r="38970" spans="7:16" s="1634" customFormat="1">
      <c r="G38970" s="3336"/>
      <c r="P38970" s="3337"/>
    </row>
    <row r="38971" spans="7:16" s="1634" customFormat="1">
      <c r="G38971" s="3336"/>
      <c r="P38971" s="3337"/>
    </row>
    <row r="38972" spans="7:16" s="1634" customFormat="1">
      <c r="G38972" s="3336"/>
      <c r="P38972" s="3337"/>
    </row>
    <row r="38973" spans="7:16" s="1634" customFormat="1">
      <c r="G38973" s="3336"/>
      <c r="P38973" s="3337"/>
    </row>
    <row r="38974" spans="7:16" s="1634" customFormat="1">
      <c r="G38974" s="3336"/>
      <c r="P38974" s="3337"/>
    </row>
    <row r="38975" spans="7:16" s="1634" customFormat="1">
      <c r="G38975" s="3336"/>
      <c r="P38975" s="3337"/>
    </row>
    <row r="38976" spans="7:16" s="1634" customFormat="1">
      <c r="G38976" s="3336"/>
      <c r="P38976" s="3337"/>
    </row>
    <row r="38977" spans="7:16" s="1634" customFormat="1">
      <c r="G38977" s="3336"/>
      <c r="P38977" s="3337"/>
    </row>
    <row r="38978" spans="7:16" s="1634" customFormat="1">
      <c r="G38978" s="3336"/>
      <c r="P38978" s="3337"/>
    </row>
    <row r="38979" spans="7:16" s="1634" customFormat="1">
      <c r="G38979" s="3336"/>
      <c r="P38979" s="3337"/>
    </row>
    <row r="38980" spans="7:16" s="1634" customFormat="1">
      <c r="G38980" s="3336"/>
      <c r="P38980" s="3337"/>
    </row>
    <row r="38981" spans="7:16" s="1634" customFormat="1">
      <c r="G38981" s="3336"/>
      <c r="P38981" s="3337"/>
    </row>
    <row r="38982" spans="7:16" s="1634" customFormat="1">
      <c r="G38982" s="3336"/>
      <c r="P38982" s="3337"/>
    </row>
    <row r="38983" spans="7:16" s="1634" customFormat="1">
      <c r="G38983" s="3336"/>
      <c r="P38983" s="3337"/>
    </row>
    <row r="38984" spans="7:16" s="1634" customFormat="1">
      <c r="G38984" s="3336"/>
      <c r="P38984" s="3337"/>
    </row>
    <row r="38985" spans="7:16" s="1634" customFormat="1">
      <c r="G38985" s="3336"/>
      <c r="P38985" s="3337"/>
    </row>
    <row r="38986" spans="7:16" s="1634" customFormat="1">
      <c r="G38986" s="3336"/>
      <c r="P38986" s="3337"/>
    </row>
    <row r="38987" spans="7:16" s="1634" customFormat="1">
      <c r="G38987" s="3336"/>
      <c r="P38987" s="3337"/>
    </row>
    <row r="38988" spans="7:16" s="1634" customFormat="1">
      <c r="G38988" s="3336"/>
      <c r="P38988" s="3337"/>
    </row>
    <row r="38989" spans="7:16" s="1634" customFormat="1">
      <c r="G38989" s="3336"/>
      <c r="P38989" s="3337"/>
    </row>
    <row r="38990" spans="7:16" s="1634" customFormat="1">
      <c r="G38990" s="3336"/>
      <c r="P38990" s="3337"/>
    </row>
    <row r="38991" spans="7:16" s="1634" customFormat="1">
      <c r="G38991" s="3336"/>
      <c r="P38991" s="3337"/>
    </row>
    <row r="38992" spans="7:16" s="1634" customFormat="1">
      <c r="G38992" s="3336"/>
      <c r="P38992" s="3337"/>
    </row>
    <row r="38993" spans="7:16" s="1634" customFormat="1">
      <c r="G38993" s="3336"/>
      <c r="P38993" s="3337"/>
    </row>
    <row r="38994" spans="7:16" s="1634" customFormat="1">
      <c r="G38994" s="3336"/>
      <c r="P38994" s="3337"/>
    </row>
    <row r="38995" spans="7:16" s="1634" customFormat="1">
      <c r="G38995" s="3336"/>
      <c r="P38995" s="3337"/>
    </row>
    <row r="38996" spans="7:16" s="1634" customFormat="1">
      <c r="G38996" s="3336"/>
      <c r="P38996" s="3337"/>
    </row>
    <row r="38997" spans="7:16" s="1634" customFormat="1">
      <c r="G38997" s="3336"/>
      <c r="P38997" s="3337"/>
    </row>
    <row r="38998" spans="7:16" s="1634" customFormat="1">
      <c r="G38998" s="3336"/>
      <c r="P38998" s="3337"/>
    </row>
    <row r="38999" spans="7:16" s="1634" customFormat="1">
      <c r="G38999" s="3336"/>
      <c r="P38999" s="3337"/>
    </row>
    <row r="39000" spans="7:16" s="1634" customFormat="1">
      <c r="G39000" s="3336"/>
      <c r="P39000" s="3337"/>
    </row>
    <row r="39001" spans="7:16" s="1634" customFormat="1">
      <c r="G39001" s="3336"/>
      <c r="P39001" s="3337"/>
    </row>
    <row r="39002" spans="7:16" s="1634" customFormat="1">
      <c r="G39002" s="3336"/>
      <c r="P39002" s="3337"/>
    </row>
    <row r="39003" spans="7:16" s="1634" customFormat="1">
      <c r="G39003" s="3336"/>
      <c r="P39003" s="3337"/>
    </row>
    <row r="39004" spans="7:16" s="1634" customFormat="1">
      <c r="G39004" s="3336"/>
      <c r="P39004" s="3337"/>
    </row>
    <row r="39005" spans="7:16" s="1634" customFormat="1">
      <c r="G39005" s="3336"/>
      <c r="P39005" s="3337"/>
    </row>
    <row r="39006" spans="7:16" s="1634" customFormat="1">
      <c r="G39006" s="3336"/>
      <c r="P39006" s="3337"/>
    </row>
    <row r="39007" spans="7:16" s="1634" customFormat="1">
      <c r="G39007" s="3336"/>
      <c r="P39007" s="3337"/>
    </row>
    <row r="39008" spans="7:16" s="1634" customFormat="1">
      <c r="G39008" s="3336"/>
      <c r="P39008" s="3337"/>
    </row>
    <row r="39009" spans="7:16" s="1634" customFormat="1">
      <c r="G39009" s="3336"/>
      <c r="P39009" s="3337"/>
    </row>
    <row r="39010" spans="7:16" s="1634" customFormat="1">
      <c r="G39010" s="3336"/>
      <c r="P39010" s="3337"/>
    </row>
    <row r="39011" spans="7:16" s="1634" customFormat="1">
      <c r="G39011" s="3336"/>
      <c r="P39011" s="3337"/>
    </row>
    <row r="39012" spans="7:16" s="1634" customFormat="1">
      <c r="G39012" s="3336"/>
      <c r="P39012" s="3337"/>
    </row>
    <row r="39013" spans="7:16" s="1634" customFormat="1">
      <c r="G39013" s="3336"/>
      <c r="P39013" s="3337"/>
    </row>
    <row r="39014" spans="7:16" s="1634" customFormat="1">
      <c r="G39014" s="3336"/>
      <c r="P39014" s="3337"/>
    </row>
    <row r="39015" spans="7:16" s="1634" customFormat="1">
      <c r="G39015" s="3336"/>
      <c r="P39015" s="3337"/>
    </row>
    <row r="39016" spans="7:16" s="1634" customFormat="1">
      <c r="G39016" s="3336"/>
      <c r="P39016" s="3337"/>
    </row>
    <row r="39017" spans="7:16" s="1634" customFormat="1">
      <c r="G39017" s="3336"/>
      <c r="P39017" s="3337"/>
    </row>
    <row r="39018" spans="7:16" s="1634" customFormat="1">
      <c r="G39018" s="3336"/>
      <c r="P39018" s="3337"/>
    </row>
    <row r="39019" spans="7:16" s="1634" customFormat="1">
      <c r="G39019" s="3336"/>
      <c r="P39019" s="3337"/>
    </row>
    <row r="39020" spans="7:16" s="1634" customFormat="1">
      <c r="G39020" s="3336"/>
      <c r="P39020" s="3337"/>
    </row>
    <row r="39021" spans="7:16" s="1634" customFormat="1">
      <c r="G39021" s="3336"/>
      <c r="P39021" s="3337"/>
    </row>
    <row r="39022" spans="7:16" s="1634" customFormat="1">
      <c r="G39022" s="3336"/>
      <c r="P39022" s="3337"/>
    </row>
    <row r="39023" spans="7:16" s="1634" customFormat="1">
      <c r="G39023" s="3336"/>
      <c r="P39023" s="3337"/>
    </row>
    <row r="39024" spans="7:16" s="1634" customFormat="1">
      <c r="G39024" s="3336"/>
      <c r="P39024" s="3337"/>
    </row>
    <row r="39025" spans="7:16" s="1634" customFormat="1">
      <c r="G39025" s="3336"/>
      <c r="P39025" s="3337"/>
    </row>
    <row r="39026" spans="7:16" s="1634" customFormat="1">
      <c r="G39026" s="3336"/>
      <c r="P39026" s="3337"/>
    </row>
    <row r="39027" spans="7:16" s="1634" customFormat="1">
      <c r="G39027" s="3336"/>
      <c r="P39027" s="3337"/>
    </row>
    <row r="39028" spans="7:16" s="1634" customFormat="1">
      <c r="G39028" s="3336"/>
      <c r="P39028" s="3337"/>
    </row>
    <row r="39029" spans="7:16" s="1634" customFormat="1">
      <c r="G39029" s="3336"/>
      <c r="P39029" s="3337"/>
    </row>
    <row r="39030" spans="7:16" s="1634" customFormat="1">
      <c r="G39030" s="3336"/>
      <c r="P39030" s="3337"/>
    </row>
    <row r="39031" spans="7:16" s="1634" customFormat="1">
      <c r="G39031" s="3336"/>
      <c r="P39031" s="3337"/>
    </row>
    <row r="39032" spans="7:16" s="1634" customFormat="1">
      <c r="G39032" s="3336"/>
      <c r="P39032" s="3337"/>
    </row>
    <row r="39033" spans="7:16" s="1634" customFormat="1">
      <c r="G39033" s="3336"/>
      <c r="P39033" s="3337"/>
    </row>
    <row r="39034" spans="7:16" s="1634" customFormat="1">
      <c r="G39034" s="3336"/>
      <c r="P39034" s="3337"/>
    </row>
    <row r="39035" spans="7:16" s="1634" customFormat="1">
      <c r="G39035" s="3336"/>
      <c r="P39035" s="3337"/>
    </row>
    <row r="39036" spans="7:16" s="1634" customFormat="1">
      <c r="G39036" s="3336"/>
      <c r="P39036" s="3337"/>
    </row>
    <row r="39037" spans="7:16" s="1634" customFormat="1">
      <c r="G39037" s="3336"/>
      <c r="P39037" s="3337"/>
    </row>
    <row r="39038" spans="7:16" s="1634" customFormat="1">
      <c r="G39038" s="3336"/>
      <c r="P39038" s="3337"/>
    </row>
    <row r="39039" spans="7:16" s="1634" customFormat="1">
      <c r="G39039" s="3336"/>
      <c r="P39039" s="3337"/>
    </row>
    <row r="39040" spans="7:16" s="1634" customFormat="1">
      <c r="G39040" s="3336"/>
      <c r="P39040" s="3337"/>
    </row>
    <row r="39041" spans="7:16" s="1634" customFormat="1">
      <c r="G39041" s="3336"/>
      <c r="P39041" s="3337"/>
    </row>
    <row r="39042" spans="7:16" s="1634" customFormat="1">
      <c r="G39042" s="3336"/>
      <c r="P39042" s="3337"/>
    </row>
    <row r="39043" spans="7:16" s="1634" customFormat="1">
      <c r="G39043" s="3336"/>
      <c r="P39043" s="3337"/>
    </row>
    <row r="39044" spans="7:16" s="1634" customFormat="1">
      <c r="G39044" s="3336"/>
      <c r="P39044" s="3337"/>
    </row>
    <row r="39045" spans="7:16" s="1634" customFormat="1">
      <c r="G39045" s="3336"/>
      <c r="P39045" s="3337"/>
    </row>
    <row r="39046" spans="7:16" s="1634" customFormat="1">
      <c r="G39046" s="3336"/>
      <c r="P39046" s="3337"/>
    </row>
    <row r="39047" spans="7:16" s="1634" customFormat="1">
      <c r="G39047" s="3336"/>
      <c r="P39047" s="3337"/>
    </row>
    <row r="39048" spans="7:16" s="1634" customFormat="1">
      <c r="G39048" s="3336"/>
      <c r="P39048" s="3337"/>
    </row>
    <row r="39049" spans="7:16" s="1634" customFormat="1">
      <c r="G39049" s="3336"/>
      <c r="P39049" s="3337"/>
    </row>
    <row r="39050" spans="7:16" s="1634" customFormat="1">
      <c r="G39050" s="3336"/>
      <c r="P39050" s="3337"/>
    </row>
    <row r="39051" spans="7:16" s="1634" customFormat="1">
      <c r="G39051" s="3336"/>
      <c r="P39051" s="3337"/>
    </row>
    <row r="39052" spans="7:16" s="1634" customFormat="1">
      <c r="G39052" s="3336"/>
      <c r="P39052" s="3337"/>
    </row>
    <row r="39053" spans="7:16" s="1634" customFormat="1">
      <c r="G39053" s="3336"/>
      <c r="P39053" s="3337"/>
    </row>
    <row r="39054" spans="7:16" s="1634" customFormat="1">
      <c r="G39054" s="3336"/>
      <c r="P39054" s="3337"/>
    </row>
    <row r="39055" spans="7:16" s="1634" customFormat="1">
      <c r="G39055" s="3336"/>
      <c r="P39055" s="3337"/>
    </row>
    <row r="39056" spans="7:16" s="1634" customFormat="1">
      <c r="G39056" s="3336"/>
      <c r="P39056" s="3337"/>
    </row>
    <row r="39057" spans="7:16" s="1634" customFormat="1">
      <c r="G39057" s="3336"/>
      <c r="P39057" s="3337"/>
    </row>
    <row r="39058" spans="7:16" s="1634" customFormat="1">
      <c r="G39058" s="3336"/>
      <c r="P39058" s="3337"/>
    </row>
    <row r="39059" spans="7:16" s="1634" customFormat="1">
      <c r="G39059" s="3336"/>
      <c r="P39059" s="3337"/>
    </row>
    <row r="39060" spans="7:16" s="1634" customFormat="1">
      <c r="G39060" s="3336"/>
      <c r="P39060" s="3337"/>
    </row>
    <row r="39061" spans="7:16" s="1634" customFormat="1">
      <c r="G39061" s="3336"/>
      <c r="P39061" s="3337"/>
    </row>
    <row r="39062" spans="7:16" s="1634" customFormat="1">
      <c r="G39062" s="3336"/>
      <c r="P39062" s="3337"/>
    </row>
    <row r="39063" spans="7:16" s="1634" customFormat="1">
      <c r="G39063" s="3336"/>
      <c r="P39063" s="3337"/>
    </row>
    <row r="39064" spans="7:16" s="1634" customFormat="1">
      <c r="G39064" s="3336"/>
      <c r="P39064" s="3337"/>
    </row>
    <row r="39065" spans="7:16" s="1634" customFormat="1">
      <c r="G39065" s="3336"/>
      <c r="P39065" s="3337"/>
    </row>
    <row r="39066" spans="7:16" s="1634" customFormat="1">
      <c r="G39066" s="3336"/>
      <c r="P39066" s="3337"/>
    </row>
    <row r="39067" spans="7:16" s="1634" customFormat="1">
      <c r="G39067" s="3336"/>
      <c r="P39067" s="3337"/>
    </row>
    <row r="39068" spans="7:16" s="1634" customFormat="1">
      <c r="G39068" s="3336"/>
      <c r="P39068" s="3337"/>
    </row>
    <row r="39069" spans="7:16" s="1634" customFormat="1">
      <c r="G39069" s="3336"/>
      <c r="P39069" s="3337"/>
    </row>
    <row r="39070" spans="7:16" s="1634" customFormat="1">
      <c r="G39070" s="3336"/>
      <c r="P39070" s="3337"/>
    </row>
    <row r="39071" spans="7:16" s="1634" customFormat="1">
      <c r="G39071" s="3336"/>
      <c r="P39071" s="3337"/>
    </row>
    <row r="39072" spans="7:16" s="1634" customFormat="1">
      <c r="G39072" s="3336"/>
      <c r="P39072" s="3337"/>
    </row>
    <row r="39073" spans="7:16" s="1634" customFormat="1">
      <c r="G39073" s="3336"/>
      <c r="P39073" s="3337"/>
    </row>
    <row r="39074" spans="7:16" s="1634" customFormat="1">
      <c r="G39074" s="3336"/>
      <c r="P39074" s="3337"/>
    </row>
    <row r="39075" spans="7:16" s="1634" customFormat="1">
      <c r="G39075" s="3336"/>
      <c r="P39075" s="3337"/>
    </row>
    <row r="39076" spans="7:16" s="1634" customFormat="1">
      <c r="G39076" s="3336"/>
      <c r="P39076" s="3337"/>
    </row>
    <row r="39077" spans="7:16" s="1634" customFormat="1">
      <c r="G39077" s="3336"/>
      <c r="P39077" s="3337"/>
    </row>
    <row r="39078" spans="7:16" s="1634" customFormat="1">
      <c r="G39078" s="3336"/>
      <c r="P39078" s="3337"/>
    </row>
    <row r="39079" spans="7:16" s="1634" customFormat="1">
      <c r="G39079" s="3336"/>
      <c r="P39079" s="3337"/>
    </row>
    <row r="39080" spans="7:16" s="1634" customFormat="1">
      <c r="G39080" s="3336"/>
      <c r="P39080" s="3337"/>
    </row>
    <row r="39081" spans="7:16" s="1634" customFormat="1">
      <c r="G39081" s="3336"/>
      <c r="P39081" s="3337"/>
    </row>
    <row r="39082" spans="7:16" s="1634" customFormat="1">
      <c r="G39082" s="3336"/>
      <c r="P39082" s="3337"/>
    </row>
    <row r="39083" spans="7:16" s="1634" customFormat="1">
      <c r="G39083" s="3336"/>
      <c r="P39083" s="3337"/>
    </row>
    <row r="39084" spans="7:16" s="1634" customFormat="1">
      <c r="G39084" s="3336"/>
      <c r="P39084" s="3337"/>
    </row>
    <row r="39085" spans="7:16" s="1634" customFormat="1">
      <c r="G39085" s="3336"/>
      <c r="P39085" s="3337"/>
    </row>
    <row r="39086" spans="7:16" s="1634" customFormat="1">
      <c r="G39086" s="3336"/>
      <c r="P39086" s="3337"/>
    </row>
    <row r="39087" spans="7:16" s="1634" customFormat="1">
      <c r="G39087" s="3336"/>
      <c r="P39087" s="3337"/>
    </row>
    <row r="39088" spans="7:16" s="1634" customFormat="1">
      <c r="G39088" s="3336"/>
      <c r="P39088" s="3337"/>
    </row>
    <row r="39089" spans="7:16" s="1634" customFormat="1">
      <c r="G39089" s="3336"/>
      <c r="P39089" s="3337"/>
    </row>
    <row r="39090" spans="7:16" s="1634" customFormat="1">
      <c r="G39090" s="3336"/>
      <c r="P39090" s="3337"/>
    </row>
    <row r="39091" spans="7:16" s="1634" customFormat="1">
      <c r="G39091" s="3336"/>
      <c r="P39091" s="3337"/>
    </row>
    <row r="39092" spans="7:16" s="1634" customFormat="1">
      <c r="G39092" s="3336"/>
      <c r="P39092" s="3337"/>
    </row>
    <row r="39093" spans="7:16" s="1634" customFormat="1">
      <c r="G39093" s="3336"/>
      <c r="P39093" s="3337"/>
    </row>
    <row r="39094" spans="7:16" s="1634" customFormat="1">
      <c r="G39094" s="3336"/>
      <c r="P39094" s="3337"/>
    </row>
    <row r="39095" spans="7:16" s="1634" customFormat="1">
      <c r="G39095" s="3336"/>
      <c r="P39095" s="3337"/>
    </row>
    <row r="39096" spans="7:16" s="1634" customFormat="1">
      <c r="G39096" s="3336"/>
      <c r="P39096" s="3337"/>
    </row>
    <row r="39097" spans="7:16" s="1634" customFormat="1">
      <c r="G39097" s="3336"/>
      <c r="P39097" s="3337"/>
    </row>
    <row r="39098" spans="7:16" s="1634" customFormat="1">
      <c r="G39098" s="3336"/>
      <c r="P39098" s="3337"/>
    </row>
    <row r="39099" spans="7:16" s="1634" customFormat="1">
      <c r="G39099" s="3336"/>
      <c r="P39099" s="3337"/>
    </row>
    <row r="39100" spans="7:16" s="1634" customFormat="1">
      <c r="G39100" s="3336"/>
      <c r="P39100" s="3337"/>
    </row>
    <row r="39101" spans="7:16" s="1634" customFormat="1">
      <c r="G39101" s="3336"/>
      <c r="P39101" s="3337"/>
    </row>
    <row r="39102" spans="7:16" s="1634" customFormat="1">
      <c r="G39102" s="3336"/>
      <c r="P39102" s="3337"/>
    </row>
    <row r="39103" spans="7:16" s="1634" customFormat="1">
      <c r="G39103" s="3336"/>
      <c r="P39103" s="3337"/>
    </row>
    <row r="39104" spans="7:16" s="1634" customFormat="1">
      <c r="G39104" s="3336"/>
      <c r="P39104" s="3337"/>
    </row>
    <row r="39105" spans="7:16" s="1634" customFormat="1">
      <c r="G39105" s="3336"/>
      <c r="P39105" s="3337"/>
    </row>
    <row r="39106" spans="7:16" s="1634" customFormat="1">
      <c r="G39106" s="3336"/>
      <c r="P39106" s="3337"/>
    </row>
    <row r="39107" spans="7:16" s="1634" customFormat="1">
      <c r="G39107" s="3336"/>
      <c r="P39107" s="3337"/>
    </row>
    <row r="39108" spans="7:16" s="1634" customFormat="1">
      <c r="G39108" s="3336"/>
      <c r="P39108" s="3337"/>
    </row>
    <row r="39109" spans="7:16" s="1634" customFormat="1">
      <c r="G39109" s="3336"/>
      <c r="P39109" s="3337"/>
    </row>
    <row r="39110" spans="7:16" s="1634" customFormat="1">
      <c r="G39110" s="3336"/>
      <c r="P39110" s="3337"/>
    </row>
    <row r="39111" spans="7:16" s="1634" customFormat="1">
      <c r="G39111" s="3336"/>
      <c r="P39111" s="3337"/>
    </row>
    <row r="39112" spans="7:16" s="1634" customFormat="1">
      <c r="G39112" s="3336"/>
      <c r="P39112" s="3337"/>
    </row>
    <row r="39113" spans="7:16" s="1634" customFormat="1">
      <c r="G39113" s="3336"/>
      <c r="P39113" s="3337"/>
    </row>
    <row r="39114" spans="7:16" s="1634" customFormat="1">
      <c r="G39114" s="3336"/>
      <c r="P39114" s="3337"/>
    </row>
    <row r="39115" spans="7:16" s="1634" customFormat="1">
      <c r="G39115" s="3336"/>
      <c r="P39115" s="3337"/>
    </row>
    <row r="39116" spans="7:16" s="1634" customFormat="1">
      <c r="G39116" s="3336"/>
      <c r="P39116" s="3337"/>
    </row>
    <row r="39117" spans="7:16" s="1634" customFormat="1">
      <c r="G39117" s="3336"/>
      <c r="P39117" s="3337"/>
    </row>
    <row r="39118" spans="7:16" s="1634" customFormat="1">
      <c r="G39118" s="3336"/>
      <c r="P39118" s="3337"/>
    </row>
    <row r="39119" spans="7:16" s="1634" customFormat="1">
      <c r="G39119" s="3336"/>
      <c r="P39119" s="3337"/>
    </row>
    <row r="39120" spans="7:16" s="1634" customFormat="1">
      <c r="G39120" s="3336"/>
      <c r="P39120" s="3337"/>
    </row>
    <row r="39121" spans="7:16" s="1634" customFormat="1">
      <c r="G39121" s="3336"/>
      <c r="P39121" s="3337"/>
    </row>
    <row r="39122" spans="7:16" s="1634" customFormat="1">
      <c r="G39122" s="3336"/>
      <c r="P39122" s="3337"/>
    </row>
    <row r="39123" spans="7:16" s="1634" customFormat="1">
      <c r="G39123" s="3336"/>
      <c r="P39123" s="3337"/>
    </row>
    <row r="39124" spans="7:16" s="1634" customFormat="1">
      <c r="G39124" s="3336"/>
      <c r="P39124" s="3337"/>
    </row>
    <row r="39125" spans="7:16" s="1634" customFormat="1">
      <c r="G39125" s="3336"/>
      <c r="P39125" s="3337"/>
    </row>
    <row r="39126" spans="7:16" s="1634" customFormat="1">
      <c r="G39126" s="3336"/>
      <c r="P39126" s="3337"/>
    </row>
    <row r="39127" spans="7:16" s="1634" customFormat="1">
      <c r="G39127" s="3336"/>
      <c r="P39127" s="3337"/>
    </row>
    <row r="39128" spans="7:16" s="1634" customFormat="1">
      <c r="G39128" s="3336"/>
      <c r="P39128" s="3337"/>
    </row>
    <row r="39129" spans="7:16" s="1634" customFormat="1">
      <c r="G39129" s="3336"/>
      <c r="P39129" s="3337"/>
    </row>
    <row r="39130" spans="7:16" s="1634" customFormat="1">
      <c r="G39130" s="3336"/>
      <c r="P39130" s="3337"/>
    </row>
    <row r="39131" spans="7:16" s="1634" customFormat="1">
      <c r="G39131" s="3336"/>
      <c r="P39131" s="3337"/>
    </row>
    <row r="39132" spans="7:16" s="1634" customFormat="1">
      <c r="G39132" s="3336"/>
      <c r="P39132" s="3337"/>
    </row>
    <row r="39133" spans="7:16" s="1634" customFormat="1">
      <c r="G39133" s="3336"/>
      <c r="P39133" s="3337"/>
    </row>
    <row r="39134" spans="7:16" s="1634" customFormat="1">
      <c r="G39134" s="3336"/>
      <c r="P39134" s="3337"/>
    </row>
    <row r="39135" spans="7:16" s="1634" customFormat="1">
      <c r="G39135" s="3336"/>
      <c r="P39135" s="3337"/>
    </row>
    <row r="39136" spans="7:16" s="1634" customFormat="1">
      <c r="G39136" s="3336"/>
      <c r="P39136" s="3337"/>
    </row>
    <row r="39137" spans="7:16" s="1634" customFormat="1">
      <c r="G39137" s="3336"/>
      <c r="P39137" s="3337"/>
    </row>
    <row r="39138" spans="7:16" s="1634" customFormat="1">
      <c r="G39138" s="3336"/>
      <c r="P39138" s="3337"/>
    </row>
    <row r="39139" spans="7:16" s="1634" customFormat="1">
      <c r="G39139" s="3336"/>
      <c r="P39139" s="3337"/>
    </row>
    <row r="39140" spans="7:16" s="1634" customFormat="1">
      <c r="G39140" s="3336"/>
      <c r="P39140" s="3337"/>
    </row>
    <row r="39141" spans="7:16" s="1634" customFormat="1">
      <c r="G39141" s="3336"/>
      <c r="P39141" s="3337"/>
    </row>
    <row r="39142" spans="7:16" s="1634" customFormat="1">
      <c r="G39142" s="3336"/>
      <c r="P39142" s="3337"/>
    </row>
    <row r="39143" spans="7:16" s="1634" customFormat="1">
      <c r="G39143" s="3336"/>
      <c r="P39143" s="3337"/>
    </row>
    <row r="39144" spans="7:16" s="1634" customFormat="1">
      <c r="G39144" s="3336"/>
      <c r="P39144" s="3337"/>
    </row>
    <row r="39145" spans="7:16" s="1634" customFormat="1">
      <c r="G39145" s="3336"/>
      <c r="P39145" s="3337"/>
    </row>
    <row r="39146" spans="7:16" s="1634" customFormat="1">
      <c r="G39146" s="3336"/>
      <c r="P39146" s="3337"/>
    </row>
    <row r="39147" spans="7:16" s="1634" customFormat="1">
      <c r="G39147" s="3336"/>
      <c r="P39147" s="3337"/>
    </row>
    <row r="39148" spans="7:16" s="1634" customFormat="1">
      <c r="G39148" s="3336"/>
      <c r="P39148" s="3337"/>
    </row>
    <row r="39149" spans="7:16" s="1634" customFormat="1">
      <c r="G39149" s="3336"/>
      <c r="P39149" s="3337"/>
    </row>
    <row r="39150" spans="7:16" s="1634" customFormat="1">
      <c r="G39150" s="3336"/>
      <c r="P39150" s="3337"/>
    </row>
    <row r="39151" spans="7:16" s="1634" customFormat="1">
      <c r="G39151" s="3336"/>
      <c r="P39151" s="3337"/>
    </row>
    <row r="39152" spans="7:16" s="1634" customFormat="1">
      <c r="G39152" s="3336"/>
      <c r="P39152" s="3337"/>
    </row>
    <row r="39153" spans="7:16" s="1634" customFormat="1">
      <c r="G39153" s="3336"/>
      <c r="P39153" s="3337"/>
    </row>
    <row r="39154" spans="7:16" s="1634" customFormat="1">
      <c r="G39154" s="3336"/>
      <c r="P39154" s="3337"/>
    </row>
    <row r="39155" spans="7:16" s="1634" customFormat="1">
      <c r="G39155" s="3336"/>
      <c r="P39155" s="3337"/>
    </row>
    <row r="39156" spans="7:16" s="1634" customFormat="1">
      <c r="G39156" s="3336"/>
      <c r="P39156" s="3337"/>
    </row>
    <row r="39157" spans="7:16" s="1634" customFormat="1">
      <c r="G39157" s="3336"/>
      <c r="P39157" s="3337"/>
    </row>
    <row r="39158" spans="7:16" s="1634" customFormat="1">
      <c r="G39158" s="3336"/>
      <c r="P39158" s="3337"/>
    </row>
    <row r="39159" spans="7:16" s="1634" customFormat="1">
      <c r="G39159" s="3336"/>
      <c r="P39159" s="3337"/>
    </row>
    <row r="39160" spans="7:16" s="1634" customFormat="1">
      <c r="G39160" s="3336"/>
      <c r="P39160" s="3337"/>
    </row>
    <row r="39161" spans="7:16" s="1634" customFormat="1">
      <c r="G39161" s="3336"/>
      <c r="P39161" s="3337"/>
    </row>
    <row r="39162" spans="7:16" s="1634" customFormat="1">
      <c r="G39162" s="3336"/>
      <c r="P39162" s="3337"/>
    </row>
    <row r="39163" spans="7:16" s="1634" customFormat="1">
      <c r="G39163" s="3336"/>
      <c r="P39163" s="3337"/>
    </row>
    <row r="39164" spans="7:16" s="1634" customFormat="1">
      <c r="G39164" s="3336"/>
      <c r="P39164" s="3337"/>
    </row>
    <row r="39165" spans="7:16" s="1634" customFormat="1">
      <c r="G39165" s="3336"/>
      <c r="P39165" s="3337"/>
    </row>
    <row r="39166" spans="7:16" s="1634" customFormat="1">
      <c r="G39166" s="3336"/>
      <c r="P39166" s="3337"/>
    </row>
    <row r="39167" spans="7:16" s="1634" customFormat="1">
      <c r="G39167" s="3336"/>
      <c r="P39167" s="3337"/>
    </row>
    <row r="39168" spans="7:16" s="1634" customFormat="1">
      <c r="G39168" s="3336"/>
      <c r="P39168" s="3337"/>
    </row>
    <row r="39169" spans="7:16" s="1634" customFormat="1">
      <c r="G39169" s="3336"/>
      <c r="P39169" s="3337"/>
    </row>
    <row r="39170" spans="7:16" s="1634" customFormat="1">
      <c r="G39170" s="3336"/>
      <c r="P39170" s="3337"/>
    </row>
    <row r="39171" spans="7:16" s="1634" customFormat="1">
      <c r="G39171" s="3336"/>
      <c r="P39171" s="3337"/>
    </row>
    <row r="39172" spans="7:16" s="1634" customFormat="1">
      <c r="G39172" s="3336"/>
      <c r="P39172" s="3337"/>
    </row>
    <row r="39173" spans="7:16" s="1634" customFormat="1">
      <c r="G39173" s="3336"/>
      <c r="P39173" s="3337"/>
    </row>
    <row r="39174" spans="7:16" s="1634" customFormat="1">
      <c r="G39174" s="3336"/>
      <c r="P39174" s="3337"/>
    </row>
    <row r="39175" spans="7:16" s="1634" customFormat="1">
      <c r="G39175" s="3336"/>
      <c r="P39175" s="3337"/>
    </row>
    <row r="39176" spans="7:16" s="1634" customFormat="1">
      <c r="G39176" s="3336"/>
      <c r="P39176" s="3337"/>
    </row>
    <row r="39177" spans="7:16" s="1634" customFormat="1">
      <c r="G39177" s="3336"/>
      <c r="P39177" s="3337"/>
    </row>
    <row r="39178" spans="7:16" s="1634" customFormat="1">
      <c r="G39178" s="3336"/>
      <c r="P39178" s="3337"/>
    </row>
    <row r="39179" spans="7:16" s="1634" customFormat="1">
      <c r="G39179" s="3336"/>
      <c r="P39179" s="3337"/>
    </row>
    <row r="39180" spans="7:16" s="1634" customFormat="1">
      <c r="G39180" s="3336"/>
      <c r="P39180" s="3337"/>
    </row>
    <row r="39181" spans="7:16" s="1634" customFormat="1">
      <c r="G39181" s="3336"/>
      <c r="P39181" s="3337"/>
    </row>
    <row r="39182" spans="7:16" s="1634" customFormat="1">
      <c r="G39182" s="3336"/>
      <c r="P39182" s="3337"/>
    </row>
    <row r="39183" spans="7:16" s="1634" customFormat="1">
      <c r="G39183" s="3336"/>
      <c r="P39183" s="3337"/>
    </row>
    <row r="39184" spans="7:16" s="1634" customFormat="1">
      <c r="G39184" s="3336"/>
      <c r="P39184" s="3337"/>
    </row>
    <row r="39185" spans="7:16" s="1634" customFormat="1">
      <c r="G39185" s="3336"/>
      <c r="P39185" s="3337"/>
    </row>
    <row r="39186" spans="7:16" s="1634" customFormat="1">
      <c r="G39186" s="3336"/>
      <c r="P39186" s="3337"/>
    </row>
    <row r="39187" spans="7:16" s="1634" customFormat="1">
      <c r="G39187" s="3336"/>
      <c r="P39187" s="3337"/>
    </row>
    <row r="39188" spans="7:16" s="1634" customFormat="1">
      <c r="G39188" s="3336"/>
      <c r="P39188" s="3337"/>
    </row>
    <row r="39189" spans="7:16" s="1634" customFormat="1">
      <c r="G39189" s="3336"/>
      <c r="P39189" s="3337"/>
    </row>
    <row r="39190" spans="7:16" s="1634" customFormat="1">
      <c r="G39190" s="3336"/>
      <c r="P39190" s="3337"/>
    </row>
    <row r="39191" spans="7:16" s="1634" customFormat="1">
      <c r="G39191" s="3336"/>
      <c r="P39191" s="3337"/>
    </row>
    <row r="39192" spans="7:16" s="1634" customFormat="1">
      <c r="G39192" s="3336"/>
      <c r="P39192" s="3337"/>
    </row>
    <row r="39193" spans="7:16" s="1634" customFormat="1">
      <c r="G39193" s="3336"/>
      <c r="P39193" s="3337"/>
    </row>
    <row r="39194" spans="7:16" s="1634" customFormat="1">
      <c r="G39194" s="3336"/>
      <c r="P39194" s="3337"/>
    </row>
    <row r="39195" spans="7:16" s="1634" customFormat="1">
      <c r="G39195" s="3336"/>
      <c r="P39195" s="3337"/>
    </row>
    <row r="39196" spans="7:16" s="1634" customFormat="1">
      <c r="G39196" s="3336"/>
      <c r="P39196" s="3337"/>
    </row>
    <row r="39197" spans="7:16" s="1634" customFormat="1">
      <c r="G39197" s="3336"/>
      <c r="P39197" s="3337"/>
    </row>
    <row r="39198" spans="7:16" s="1634" customFormat="1">
      <c r="G39198" s="3336"/>
      <c r="P39198" s="3337"/>
    </row>
    <row r="39199" spans="7:16" s="1634" customFormat="1">
      <c r="G39199" s="3336"/>
      <c r="P39199" s="3337"/>
    </row>
    <row r="39200" spans="7:16" s="1634" customFormat="1">
      <c r="G39200" s="3336"/>
      <c r="P39200" s="3337"/>
    </row>
    <row r="39201" spans="7:16" s="1634" customFormat="1">
      <c r="G39201" s="3336"/>
      <c r="P39201" s="3337"/>
    </row>
    <row r="39202" spans="7:16" s="1634" customFormat="1">
      <c r="G39202" s="3336"/>
      <c r="P39202" s="3337"/>
    </row>
    <row r="39203" spans="7:16" s="1634" customFormat="1">
      <c r="G39203" s="3336"/>
      <c r="P39203" s="3337"/>
    </row>
    <row r="39204" spans="7:16" s="1634" customFormat="1">
      <c r="G39204" s="3336"/>
      <c r="P39204" s="3337"/>
    </row>
    <row r="39205" spans="7:16" s="1634" customFormat="1">
      <c r="G39205" s="3336"/>
      <c r="P39205" s="3337"/>
    </row>
    <row r="39206" spans="7:16" s="1634" customFormat="1">
      <c r="G39206" s="3336"/>
      <c r="P39206" s="3337"/>
    </row>
    <row r="39207" spans="7:16" s="1634" customFormat="1">
      <c r="G39207" s="3336"/>
      <c r="P39207" s="3337"/>
    </row>
    <row r="39208" spans="7:16" s="1634" customFormat="1">
      <c r="G39208" s="3336"/>
      <c r="P39208" s="3337"/>
    </row>
    <row r="39209" spans="7:16" s="1634" customFormat="1">
      <c r="G39209" s="3336"/>
      <c r="P39209" s="3337"/>
    </row>
    <row r="39210" spans="7:16" s="1634" customFormat="1">
      <c r="G39210" s="3336"/>
      <c r="P39210" s="3337"/>
    </row>
    <row r="39211" spans="7:16" s="1634" customFormat="1">
      <c r="G39211" s="3336"/>
      <c r="P39211" s="3337"/>
    </row>
    <row r="39212" spans="7:16" s="1634" customFormat="1">
      <c r="G39212" s="3336"/>
      <c r="P39212" s="3337"/>
    </row>
    <row r="39213" spans="7:16" s="1634" customFormat="1">
      <c r="G39213" s="3336"/>
      <c r="P39213" s="3337"/>
    </row>
    <row r="39214" spans="7:16" s="1634" customFormat="1">
      <c r="G39214" s="3336"/>
      <c r="P39214" s="3337"/>
    </row>
    <row r="39215" spans="7:16" s="1634" customFormat="1">
      <c r="G39215" s="3336"/>
      <c r="P39215" s="3337"/>
    </row>
    <row r="39216" spans="7:16" s="1634" customFormat="1">
      <c r="G39216" s="3336"/>
      <c r="P39216" s="3337"/>
    </row>
    <row r="39217" spans="7:16" s="1634" customFormat="1">
      <c r="G39217" s="3336"/>
      <c r="P39217" s="3337"/>
    </row>
    <row r="39218" spans="7:16" s="1634" customFormat="1">
      <c r="G39218" s="3336"/>
      <c r="P39218" s="3337"/>
    </row>
    <row r="39219" spans="7:16" s="1634" customFormat="1">
      <c r="G39219" s="3336"/>
      <c r="P39219" s="3337"/>
    </row>
    <row r="39220" spans="7:16" s="1634" customFormat="1">
      <c r="G39220" s="3336"/>
      <c r="P39220" s="3337"/>
    </row>
    <row r="39221" spans="7:16" s="1634" customFormat="1">
      <c r="G39221" s="3336"/>
      <c r="P39221" s="3337"/>
    </row>
    <row r="39222" spans="7:16" s="1634" customFormat="1">
      <c r="G39222" s="3336"/>
      <c r="P39222" s="3337"/>
    </row>
    <row r="39223" spans="7:16" s="1634" customFormat="1">
      <c r="G39223" s="3336"/>
      <c r="P39223" s="3337"/>
    </row>
    <row r="39224" spans="7:16" s="1634" customFormat="1">
      <c r="G39224" s="3336"/>
      <c r="P39224" s="3337"/>
    </row>
    <row r="39225" spans="7:16" s="1634" customFormat="1">
      <c r="G39225" s="3336"/>
      <c r="P39225" s="3337"/>
    </row>
    <row r="39226" spans="7:16" s="1634" customFormat="1">
      <c r="G39226" s="3336"/>
      <c r="P39226" s="3337"/>
    </row>
    <row r="39227" spans="7:16" s="1634" customFormat="1">
      <c r="G39227" s="3336"/>
      <c r="P39227" s="3337"/>
    </row>
    <row r="39228" spans="7:16" s="1634" customFormat="1">
      <c r="G39228" s="3336"/>
      <c r="P39228" s="3337"/>
    </row>
    <row r="39229" spans="7:16" s="1634" customFormat="1">
      <c r="G39229" s="3336"/>
      <c r="P39229" s="3337"/>
    </row>
    <row r="39230" spans="7:16" s="1634" customFormat="1">
      <c r="G39230" s="3336"/>
      <c r="P39230" s="3337"/>
    </row>
    <row r="39231" spans="7:16" s="1634" customFormat="1">
      <c r="G39231" s="3336"/>
      <c r="P39231" s="3337"/>
    </row>
    <row r="39232" spans="7:16" s="1634" customFormat="1">
      <c r="G39232" s="3336"/>
      <c r="P39232" s="3337"/>
    </row>
    <row r="39233" spans="7:16" s="1634" customFormat="1">
      <c r="G39233" s="3336"/>
      <c r="P39233" s="3337"/>
    </row>
    <row r="39234" spans="7:16" s="1634" customFormat="1">
      <c r="G39234" s="3336"/>
      <c r="P39234" s="3337"/>
    </row>
    <row r="39235" spans="7:16" s="1634" customFormat="1">
      <c r="G39235" s="3336"/>
      <c r="P39235" s="3337"/>
    </row>
    <row r="39236" spans="7:16" s="1634" customFormat="1">
      <c r="G39236" s="3336"/>
      <c r="P39236" s="3337"/>
    </row>
    <row r="39237" spans="7:16" s="1634" customFormat="1">
      <c r="G39237" s="3336"/>
      <c r="P39237" s="3337"/>
    </row>
    <row r="39238" spans="7:16" s="1634" customFormat="1">
      <c r="G39238" s="3336"/>
      <c r="P39238" s="3337"/>
    </row>
    <row r="39239" spans="7:16" s="1634" customFormat="1">
      <c r="G39239" s="3336"/>
      <c r="P39239" s="3337"/>
    </row>
    <row r="39240" spans="7:16" s="1634" customFormat="1">
      <c r="G39240" s="3336"/>
      <c r="P39240" s="3337"/>
    </row>
    <row r="39241" spans="7:16" s="1634" customFormat="1">
      <c r="G39241" s="3336"/>
      <c r="P39241" s="3337"/>
    </row>
    <row r="39242" spans="7:16" s="1634" customFormat="1">
      <c r="G39242" s="3336"/>
      <c r="P39242" s="3337"/>
    </row>
    <row r="39243" spans="7:16" s="1634" customFormat="1">
      <c r="G39243" s="3336"/>
      <c r="P39243" s="3337"/>
    </row>
    <row r="39244" spans="7:16" s="1634" customFormat="1">
      <c r="G39244" s="3336"/>
      <c r="P39244" s="3337"/>
    </row>
    <row r="39245" spans="7:16" s="1634" customFormat="1">
      <c r="G39245" s="3336"/>
      <c r="P39245" s="3337"/>
    </row>
    <row r="39246" spans="7:16" s="1634" customFormat="1">
      <c r="G39246" s="3336"/>
      <c r="P39246" s="3337"/>
    </row>
    <row r="39247" spans="7:16" s="1634" customFormat="1">
      <c r="G39247" s="3336"/>
      <c r="P39247" s="3337"/>
    </row>
    <row r="39248" spans="7:16" s="1634" customFormat="1">
      <c r="G39248" s="3336"/>
      <c r="P39248" s="3337"/>
    </row>
    <row r="39249" spans="7:16" s="1634" customFormat="1">
      <c r="G39249" s="3336"/>
      <c r="P39249" s="3337"/>
    </row>
    <row r="39250" spans="7:16" s="1634" customFormat="1">
      <c r="G39250" s="3336"/>
      <c r="P39250" s="3337"/>
    </row>
    <row r="39251" spans="7:16" s="1634" customFormat="1">
      <c r="G39251" s="3336"/>
      <c r="P39251" s="3337"/>
    </row>
    <row r="39252" spans="7:16" s="1634" customFormat="1">
      <c r="G39252" s="3336"/>
      <c r="P39252" s="3337"/>
    </row>
    <row r="39253" spans="7:16" s="1634" customFormat="1">
      <c r="G39253" s="3336"/>
      <c r="P39253" s="3337"/>
    </row>
    <row r="39254" spans="7:16" s="1634" customFormat="1">
      <c r="G39254" s="3336"/>
      <c r="P39254" s="3337"/>
    </row>
    <row r="39255" spans="7:16" s="1634" customFormat="1">
      <c r="G39255" s="3336"/>
      <c r="P39255" s="3337"/>
    </row>
    <row r="39256" spans="7:16" s="1634" customFormat="1">
      <c r="G39256" s="3336"/>
      <c r="P39256" s="3337"/>
    </row>
    <row r="39257" spans="7:16" s="1634" customFormat="1">
      <c r="G39257" s="3336"/>
      <c r="P39257" s="3337"/>
    </row>
    <row r="39258" spans="7:16" s="1634" customFormat="1">
      <c r="G39258" s="3336"/>
      <c r="P39258" s="3337"/>
    </row>
    <row r="39259" spans="7:16" s="1634" customFormat="1">
      <c r="G39259" s="3336"/>
      <c r="P39259" s="3337"/>
    </row>
    <row r="39260" spans="7:16" s="1634" customFormat="1">
      <c r="G39260" s="3336"/>
      <c r="P39260" s="3337"/>
    </row>
    <row r="39261" spans="7:16" s="1634" customFormat="1">
      <c r="G39261" s="3336"/>
      <c r="P39261" s="3337"/>
    </row>
    <row r="39262" spans="7:16" s="1634" customFormat="1">
      <c r="G39262" s="3336"/>
      <c r="P39262" s="3337"/>
    </row>
    <row r="39263" spans="7:16" s="1634" customFormat="1">
      <c r="G39263" s="3336"/>
      <c r="P39263" s="3337"/>
    </row>
    <row r="39264" spans="7:16" s="1634" customFormat="1">
      <c r="G39264" s="3336"/>
      <c r="P39264" s="3337"/>
    </row>
    <row r="39265" spans="7:16" s="1634" customFormat="1">
      <c r="G39265" s="3336"/>
      <c r="P39265" s="3337"/>
    </row>
    <row r="39266" spans="7:16" s="1634" customFormat="1">
      <c r="G39266" s="3336"/>
      <c r="P39266" s="3337"/>
    </row>
    <row r="39267" spans="7:16" s="1634" customFormat="1">
      <c r="G39267" s="3336"/>
      <c r="P39267" s="3337"/>
    </row>
    <row r="39268" spans="7:16" s="1634" customFormat="1">
      <c r="G39268" s="3336"/>
      <c r="P39268" s="3337"/>
    </row>
    <row r="39269" spans="7:16" s="1634" customFormat="1">
      <c r="G39269" s="3336"/>
      <c r="P39269" s="3337"/>
    </row>
    <row r="39270" spans="7:16" s="1634" customFormat="1">
      <c r="G39270" s="3336"/>
      <c r="P39270" s="3337"/>
    </row>
    <row r="39271" spans="7:16" s="1634" customFormat="1">
      <c r="G39271" s="3336"/>
      <c r="P39271" s="3337"/>
    </row>
    <row r="39272" spans="7:16" s="1634" customFormat="1">
      <c r="G39272" s="3336"/>
      <c r="P39272" s="3337"/>
    </row>
    <row r="39273" spans="7:16" s="1634" customFormat="1">
      <c r="G39273" s="3336"/>
      <c r="P39273" s="3337"/>
    </row>
    <row r="39274" spans="7:16" s="1634" customFormat="1">
      <c r="G39274" s="3336"/>
      <c r="P39274" s="3337"/>
    </row>
    <row r="39275" spans="7:16" s="1634" customFormat="1">
      <c r="G39275" s="3336"/>
      <c r="P39275" s="3337"/>
    </row>
    <row r="39276" spans="7:16" s="1634" customFormat="1">
      <c r="G39276" s="3336"/>
      <c r="P39276" s="3337"/>
    </row>
    <row r="39277" spans="7:16" s="1634" customFormat="1">
      <c r="G39277" s="3336"/>
      <c r="P39277" s="3337"/>
    </row>
    <row r="39278" spans="7:16" s="1634" customFormat="1">
      <c r="G39278" s="3336"/>
      <c r="P39278" s="3337"/>
    </row>
    <row r="39279" spans="7:16" s="1634" customFormat="1">
      <c r="G39279" s="3336"/>
      <c r="P39279" s="3337"/>
    </row>
    <row r="39280" spans="7:16" s="1634" customFormat="1">
      <c r="G39280" s="3336"/>
      <c r="P39280" s="3337"/>
    </row>
    <row r="39281" spans="7:16" s="1634" customFormat="1">
      <c r="G39281" s="3336"/>
      <c r="P39281" s="3337"/>
    </row>
    <row r="39282" spans="7:16" s="1634" customFormat="1">
      <c r="G39282" s="3336"/>
      <c r="P39282" s="3337"/>
    </row>
    <row r="39283" spans="7:16" s="1634" customFormat="1">
      <c r="G39283" s="3336"/>
      <c r="P39283" s="3337"/>
    </row>
    <row r="39284" spans="7:16" s="1634" customFormat="1">
      <c r="G39284" s="3336"/>
      <c r="P39284" s="3337"/>
    </row>
    <row r="39285" spans="7:16" s="1634" customFormat="1">
      <c r="G39285" s="3336"/>
      <c r="P39285" s="3337"/>
    </row>
    <row r="39286" spans="7:16" s="1634" customFormat="1">
      <c r="G39286" s="3336"/>
      <c r="P39286" s="3337"/>
    </row>
    <row r="39287" spans="7:16" s="1634" customFormat="1">
      <c r="G39287" s="3336"/>
      <c r="P39287" s="3337"/>
    </row>
    <row r="39288" spans="7:16" s="1634" customFormat="1">
      <c r="G39288" s="3336"/>
      <c r="P39288" s="3337"/>
    </row>
    <row r="39289" spans="7:16" s="1634" customFormat="1">
      <c r="G39289" s="3336"/>
      <c r="P39289" s="3337"/>
    </row>
    <row r="39290" spans="7:16" s="1634" customFormat="1">
      <c r="G39290" s="3336"/>
      <c r="P39290" s="3337"/>
    </row>
    <row r="39291" spans="7:16" s="1634" customFormat="1">
      <c r="G39291" s="3336"/>
      <c r="P39291" s="3337"/>
    </row>
    <row r="39292" spans="7:16" s="1634" customFormat="1">
      <c r="G39292" s="3336"/>
      <c r="P39292" s="3337"/>
    </row>
    <row r="39293" spans="7:16" s="1634" customFormat="1">
      <c r="G39293" s="3336"/>
      <c r="P39293" s="3337"/>
    </row>
    <row r="39294" spans="7:16" s="1634" customFormat="1">
      <c r="G39294" s="3336"/>
      <c r="P39294" s="3337"/>
    </row>
    <row r="39295" spans="7:16" s="1634" customFormat="1">
      <c r="G39295" s="3336"/>
      <c r="P39295" s="3337"/>
    </row>
    <row r="39296" spans="7:16" s="1634" customFormat="1">
      <c r="G39296" s="3336"/>
      <c r="P39296" s="3337"/>
    </row>
    <row r="39297" spans="7:16" s="1634" customFormat="1">
      <c r="G39297" s="3336"/>
      <c r="P39297" s="3337"/>
    </row>
    <row r="39298" spans="7:16" s="1634" customFormat="1">
      <c r="G39298" s="3336"/>
      <c r="P39298" s="3337"/>
    </row>
    <row r="39299" spans="7:16" s="1634" customFormat="1">
      <c r="G39299" s="3336"/>
      <c r="P39299" s="3337"/>
    </row>
    <row r="39300" spans="7:16" s="1634" customFormat="1">
      <c r="G39300" s="3336"/>
      <c r="P39300" s="3337"/>
    </row>
    <row r="39301" spans="7:16" s="1634" customFormat="1">
      <c r="G39301" s="3336"/>
      <c r="P39301" s="3337"/>
    </row>
    <row r="39302" spans="7:16" s="1634" customFormat="1">
      <c r="G39302" s="3336"/>
      <c r="P39302" s="3337"/>
    </row>
    <row r="39303" spans="7:16" s="1634" customFormat="1">
      <c r="G39303" s="3336"/>
      <c r="P39303" s="3337"/>
    </row>
    <row r="39304" spans="7:16" s="1634" customFormat="1">
      <c r="G39304" s="3336"/>
      <c r="P39304" s="3337"/>
    </row>
    <row r="39305" spans="7:16" s="1634" customFormat="1">
      <c r="G39305" s="3336"/>
      <c r="P39305" s="3337"/>
    </row>
    <row r="39306" spans="7:16" s="1634" customFormat="1">
      <c r="G39306" s="3336"/>
      <c r="P39306" s="3337"/>
    </row>
    <row r="39307" spans="7:16" s="1634" customFormat="1">
      <c r="G39307" s="3336"/>
      <c r="P39307" s="3337"/>
    </row>
    <row r="39308" spans="7:16" s="1634" customFormat="1">
      <c r="G39308" s="3336"/>
      <c r="P39308" s="3337"/>
    </row>
    <row r="39309" spans="7:16" s="1634" customFormat="1">
      <c r="G39309" s="3336"/>
      <c r="P39309" s="3337"/>
    </row>
    <row r="39310" spans="7:16" s="1634" customFormat="1">
      <c r="G39310" s="3336"/>
      <c r="P39310" s="3337"/>
    </row>
    <row r="39311" spans="7:16" s="1634" customFormat="1">
      <c r="G39311" s="3336"/>
      <c r="P39311" s="3337"/>
    </row>
    <row r="39312" spans="7:16" s="1634" customFormat="1">
      <c r="G39312" s="3336"/>
      <c r="P39312" s="3337"/>
    </row>
    <row r="39313" spans="7:16" s="1634" customFormat="1">
      <c r="G39313" s="3336"/>
      <c r="P39313" s="3337"/>
    </row>
    <row r="39314" spans="7:16" s="1634" customFormat="1">
      <c r="G39314" s="3336"/>
      <c r="P39314" s="3337"/>
    </row>
    <row r="39315" spans="7:16" s="1634" customFormat="1">
      <c r="G39315" s="3336"/>
      <c r="P39315" s="3337"/>
    </row>
    <row r="39316" spans="7:16" s="1634" customFormat="1">
      <c r="G39316" s="3336"/>
      <c r="P39316" s="3337"/>
    </row>
    <row r="39317" spans="7:16" s="1634" customFormat="1">
      <c r="G39317" s="3336"/>
      <c r="P39317" s="3337"/>
    </row>
    <row r="39318" spans="7:16" s="1634" customFormat="1">
      <c r="G39318" s="3336"/>
      <c r="P39318" s="3337"/>
    </row>
    <row r="39319" spans="7:16" s="1634" customFormat="1">
      <c r="G39319" s="3336"/>
      <c r="P39319" s="3337"/>
    </row>
    <row r="39320" spans="7:16" s="1634" customFormat="1">
      <c r="G39320" s="3336"/>
      <c r="P39320" s="3337"/>
    </row>
    <row r="39321" spans="7:16" s="1634" customFormat="1">
      <c r="G39321" s="3336"/>
      <c r="P39321" s="3337"/>
    </row>
    <row r="39322" spans="7:16" s="1634" customFormat="1">
      <c r="G39322" s="3336"/>
      <c r="P39322" s="3337"/>
    </row>
    <row r="39323" spans="7:16" s="1634" customFormat="1">
      <c r="G39323" s="3336"/>
      <c r="P39323" s="3337"/>
    </row>
    <row r="39324" spans="7:16" s="1634" customFormat="1">
      <c r="G39324" s="3336"/>
      <c r="P39324" s="3337"/>
    </row>
    <row r="39325" spans="7:16" s="1634" customFormat="1">
      <c r="G39325" s="3336"/>
      <c r="P39325" s="3337"/>
    </row>
    <row r="39326" spans="7:16" s="1634" customFormat="1">
      <c r="G39326" s="3336"/>
      <c r="P39326" s="3337"/>
    </row>
    <row r="39327" spans="7:16" s="1634" customFormat="1">
      <c r="G39327" s="3336"/>
      <c r="P39327" s="3337"/>
    </row>
    <row r="39328" spans="7:16" s="1634" customFormat="1">
      <c r="G39328" s="3336"/>
      <c r="P39328" s="3337"/>
    </row>
    <row r="39329" spans="7:16" s="1634" customFormat="1">
      <c r="G39329" s="3336"/>
      <c r="P39329" s="3337"/>
    </row>
    <row r="39330" spans="7:16" s="1634" customFormat="1">
      <c r="G39330" s="3336"/>
      <c r="P39330" s="3337"/>
    </row>
    <row r="39331" spans="7:16" s="1634" customFormat="1">
      <c r="G39331" s="3336"/>
      <c r="P39331" s="3337"/>
    </row>
    <row r="39332" spans="7:16" s="1634" customFormat="1">
      <c r="G39332" s="3336"/>
      <c r="P39332" s="3337"/>
    </row>
    <row r="39333" spans="7:16" s="1634" customFormat="1">
      <c r="G39333" s="3336"/>
      <c r="P39333" s="3337"/>
    </row>
    <row r="39334" spans="7:16" s="1634" customFormat="1">
      <c r="G39334" s="3336"/>
      <c r="P39334" s="3337"/>
    </row>
    <row r="39335" spans="7:16" s="1634" customFormat="1">
      <c r="G39335" s="3336"/>
      <c r="P39335" s="3337"/>
    </row>
    <row r="39336" spans="7:16" s="1634" customFormat="1">
      <c r="G39336" s="3336"/>
      <c r="P39336" s="3337"/>
    </row>
    <row r="39337" spans="7:16" s="1634" customFormat="1">
      <c r="G39337" s="3336"/>
      <c r="P39337" s="3337"/>
    </row>
    <row r="39338" spans="7:16" s="1634" customFormat="1">
      <c r="G39338" s="3336"/>
      <c r="P39338" s="3337"/>
    </row>
    <row r="39339" spans="7:16" s="1634" customFormat="1">
      <c r="G39339" s="3336"/>
      <c r="P39339" s="3337"/>
    </row>
    <row r="39340" spans="7:16" s="1634" customFormat="1">
      <c r="G39340" s="3336"/>
      <c r="P39340" s="3337"/>
    </row>
    <row r="39341" spans="7:16" s="1634" customFormat="1">
      <c r="G39341" s="3336"/>
      <c r="P39341" s="3337"/>
    </row>
    <row r="39342" spans="7:16" s="1634" customFormat="1">
      <c r="G39342" s="3336"/>
      <c r="P39342" s="3337"/>
    </row>
    <row r="39343" spans="7:16" s="1634" customFormat="1">
      <c r="G39343" s="3336"/>
      <c r="P39343" s="3337"/>
    </row>
    <row r="39344" spans="7:16" s="1634" customFormat="1">
      <c r="G39344" s="3336"/>
      <c r="P39344" s="3337"/>
    </row>
    <row r="39345" spans="7:16" s="1634" customFormat="1">
      <c r="G39345" s="3336"/>
      <c r="P39345" s="3337"/>
    </row>
    <row r="39346" spans="7:16" s="1634" customFormat="1">
      <c r="G39346" s="3336"/>
      <c r="P39346" s="3337"/>
    </row>
    <row r="39347" spans="7:16" s="1634" customFormat="1">
      <c r="G39347" s="3336"/>
      <c r="P39347" s="3337"/>
    </row>
    <row r="39348" spans="7:16" s="1634" customFormat="1">
      <c r="G39348" s="3336"/>
      <c r="P39348" s="3337"/>
    </row>
    <row r="39349" spans="7:16" s="1634" customFormat="1">
      <c r="G39349" s="3336"/>
      <c r="P39349" s="3337"/>
    </row>
    <row r="39350" spans="7:16" s="1634" customFormat="1">
      <c r="G39350" s="3336"/>
      <c r="P39350" s="3337"/>
    </row>
    <row r="39351" spans="7:16" s="1634" customFormat="1">
      <c r="G39351" s="3336"/>
      <c r="P39351" s="3337"/>
    </row>
    <row r="39352" spans="7:16" s="1634" customFormat="1">
      <c r="G39352" s="3336"/>
      <c r="P39352" s="3337"/>
    </row>
    <row r="39353" spans="7:16" s="1634" customFormat="1">
      <c r="G39353" s="3336"/>
      <c r="P39353" s="3337"/>
    </row>
    <row r="39354" spans="7:16" s="1634" customFormat="1">
      <c r="G39354" s="3336"/>
      <c r="P39354" s="3337"/>
    </row>
    <row r="39355" spans="7:16" s="1634" customFormat="1">
      <c r="G39355" s="3336"/>
      <c r="P39355" s="3337"/>
    </row>
    <row r="39356" spans="7:16" s="1634" customFormat="1">
      <c r="G39356" s="3336"/>
      <c r="P39356" s="3337"/>
    </row>
    <row r="39357" spans="7:16" s="1634" customFormat="1">
      <c r="G39357" s="3336"/>
      <c r="P39357" s="3337"/>
    </row>
    <row r="39358" spans="7:16" s="1634" customFormat="1">
      <c r="G39358" s="3336"/>
      <c r="P39358" s="3337"/>
    </row>
    <row r="39359" spans="7:16" s="1634" customFormat="1">
      <c r="G39359" s="3336"/>
      <c r="P39359" s="3337"/>
    </row>
    <row r="39360" spans="7:16" s="1634" customFormat="1">
      <c r="G39360" s="3336"/>
      <c r="P39360" s="3337"/>
    </row>
    <row r="39361" spans="7:16" s="1634" customFormat="1">
      <c r="G39361" s="3336"/>
      <c r="P39361" s="3337"/>
    </row>
    <row r="39362" spans="7:16" s="1634" customFormat="1">
      <c r="G39362" s="3336"/>
      <c r="P39362" s="3337"/>
    </row>
    <row r="39363" spans="7:16" s="1634" customFormat="1">
      <c r="G39363" s="3336"/>
      <c r="P39363" s="3337"/>
    </row>
    <row r="39364" spans="7:16" s="1634" customFormat="1">
      <c r="G39364" s="3336"/>
      <c r="P39364" s="3337"/>
    </row>
    <row r="39365" spans="7:16" s="1634" customFormat="1">
      <c r="G39365" s="3336"/>
      <c r="P39365" s="3337"/>
    </row>
    <row r="39366" spans="7:16" s="1634" customFormat="1">
      <c r="G39366" s="3336"/>
      <c r="P39366" s="3337"/>
    </row>
    <row r="39367" spans="7:16" s="1634" customFormat="1">
      <c r="G39367" s="3336"/>
      <c r="P39367" s="3337"/>
    </row>
    <row r="39368" spans="7:16" s="1634" customFormat="1">
      <c r="G39368" s="3336"/>
      <c r="P39368" s="3337"/>
    </row>
    <row r="39369" spans="7:16" s="1634" customFormat="1">
      <c r="G39369" s="3336"/>
      <c r="P39369" s="3337"/>
    </row>
    <row r="39370" spans="7:16" s="1634" customFormat="1">
      <c r="G39370" s="3336"/>
      <c r="P39370" s="3337"/>
    </row>
    <row r="39371" spans="7:16" s="1634" customFormat="1">
      <c r="G39371" s="3336"/>
      <c r="P39371" s="3337"/>
    </row>
    <row r="39372" spans="7:16" s="1634" customFormat="1">
      <c r="G39372" s="3336"/>
      <c r="P39372" s="3337"/>
    </row>
    <row r="39373" spans="7:16" s="1634" customFormat="1">
      <c r="G39373" s="3336"/>
      <c r="P39373" s="3337"/>
    </row>
    <row r="39374" spans="7:16" s="1634" customFormat="1">
      <c r="G39374" s="3336"/>
      <c r="P39374" s="3337"/>
    </row>
    <row r="39375" spans="7:16" s="1634" customFormat="1">
      <c r="G39375" s="3336"/>
      <c r="P39375" s="3337"/>
    </row>
    <row r="39376" spans="7:16" s="1634" customFormat="1">
      <c r="G39376" s="3336"/>
      <c r="P39376" s="3337"/>
    </row>
    <row r="39377" spans="7:16" s="1634" customFormat="1">
      <c r="G39377" s="3336"/>
      <c r="P39377" s="3337"/>
    </row>
    <row r="39378" spans="7:16" s="1634" customFormat="1">
      <c r="G39378" s="3336"/>
      <c r="P39378" s="3337"/>
    </row>
    <row r="39379" spans="7:16" s="1634" customFormat="1">
      <c r="G39379" s="3336"/>
      <c r="P39379" s="3337"/>
    </row>
    <row r="39380" spans="7:16" s="1634" customFormat="1">
      <c r="G39380" s="3336"/>
      <c r="P39380" s="3337"/>
    </row>
    <row r="39381" spans="7:16" s="1634" customFormat="1">
      <c r="G39381" s="3336"/>
      <c r="P39381" s="3337"/>
    </row>
    <row r="39382" spans="7:16" s="1634" customFormat="1">
      <c r="G39382" s="3336"/>
      <c r="P39382" s="3337"/>
    </row>
    <row r="39383" spans="7:16" s="1634" customFormat="1">
      <c r="G39383" s="3336"/>
      <c r="P39383" s="3337"/>
    </row>
    <row r="39384" spans="7:16" s="1634" customFormat="1">
      <c r="G39384" s="3336"/>
      <c r="P39384" s="3337"/>
    </row>
    <row r="39385" spans="7:16" s="1634" customFormat="1">
      <c r="G39385" s="3336"/>
      <c r="P39385" s="3337"/>
    </row>
    <row r="39386" spans="7:16" s="1634" customFormat="1">
      <c r="G39386" s="3336"/>
      <c r="P39386" s="3337"/>
    </row>
    <row r="39387" spans="7:16" s="1634" customFormat="1">
      <c r="G39387" s="3336"/>
      <c r="P39387" s="3337"/>
    </row>
    <row r="39388" spans="7:16" s="1634" customFormat="1">
      <c r="G39388" s="3336"/>
      <c r="P39388" s="3337"/>
    </row>
    <row r="39389" spans="7:16" s="1634" customFormat="1">
      <c r="G39389" s="3336"/>
      <c r="P39389" s="3337"/>
    </row>
    <row r="39390" spans="7:16" s="1634" customFormat="1">
      <c r="G39390" s="3336"/>
      <c r="P39390" s="3337"/>
    </row>
    <row r="39391" spans="7:16" s="1634" customFormat="1">
      <c r="G39391" s="3336"/>
      <c r="P39391" s="3337"/>
    </row>
    <row r="39392" spans="7:16" s="1634" customFormat="1">
      <c r="G39392" s="3336"/>
      <c r="P39392" s="3337"/>
    </row>
    <row r="39393" spans="7:16" s="1634" customFormat="1">
      <c r="G39393" s="3336"/>
      <c r="P39393" s="3337"/>
    </row>
    <row r="39394" spans="7:16" s="1634" customFormat="1">
      <c r="G39394" s="3336"/>
      <c r="P39394" s="3337"/>
    </row>
    <row r="39395" spans="7:16" s="1634" customFormat="1">
      <c r="G39395" s="3336"/>
      <c r="P39395" s="3337"/>
    </row>
    <row r="39396" spans="7:16" s="1634" customFormat="1">
      <c r="G39396" s="3336"/>
      <c r="P39396" s="3337"/>
    </row>
    <row r="39397" spans="7:16" s="1634" customFormat="1">
      <c r="G39397" s="3336"/>
      <c r="P39397" s="3337"/>
    </row>
    <row r="39398" spans="7:16" s="1634" customFormat="1">
      <c r="G39398" s="3336"/>
      <c r="P39398" s="3337"/>
    </row>
    <row r="39399" spans="7:16" s="1634" customFormat="1">
      <c r="G39399" s="3336"/>
      <c r="P39399" s="3337"/>
    </row>
    <row r="39400" spans="7:16" s="1634" customFormat="1">
      <c r="G39400" s="3336"/>
      <c r="P39400" s="3337"/>
    </row>
    <row r="39401" spans="7:16" s="1634" customFormat="1">
      <c r="G39401" s="3336"/>
      <c r="P39401" s="3337"/>
    </row>
    <row r="39402" spans="7:16" s="1634" customFormat="1">
      <c r="G39402" s="3336"/>
      <c r="P39402" s="3337"/>
    </row>
    <row r="39403" spans="7:16" s="1634" customFormat="1">
      <c r="G39403" s="3336"/>
      <c r="P39403" s="3337"/>
    </row>
    <row r="39404" spans="7:16" s="1634" customFormat="1">
      <c r="G39404" s="3336"/>
      <c r="P39404" s="3337"/>
    </row>
    <row r="39405" spans="7:16" s="1634" customFormat="1">
      <c r="G39405" s="3336"/>
      <c r="P39405" s="3337"/>
    </row>
    <row r="39406" spans="7:16" s="1634" customFormat="1">
      <c r="G39406" s="3336"/>
      <c r="P39406" s="3337"/>
    </row>
    <row r="39407" spans="7:16" s="1634" customFormat="1">
      <c r="G39407" s="3336"/>
      <c r="P39407" s="3337"/>
    </row>
    <row r="39408" spans="7:16" s="1634" customFormat="1">
      <c r="G39408" s="3336"/>
      <c r="P39408" s="3337"/>
    </row>
    <row r="39409" spans="7:16" s="1634" customFormat="1">
      <c r="G39409" s="3336"/>
      <c r="P39409" s="3337"/>
    </row>
    <row r="39410" spans="7:16" s="1634" customFormat="1">
      <c r="G39410" s="3336"/>
      <c r="P39410" s="3337"/>
    </row>
    <row r="39411" spans="7:16" s="1634" customFormat="1">
      <c r="G39411" s="3336"/>
      <c r="P39411" s="3337"/>
    </row>
    <row r="39412" spans="7:16" s="1634" customFormat="1">
      <c r="G39412" s="3336"/>
      <c r="P39412" s="3337"/>
    </row>
    <row r="39413" spans="7:16" s="1634" customFormat="1">
      <c r="G39413" s="3336"/>
      <c r="P39413" s="3337"/>
    </row>
    <row r="39414" spans="7:16" s="1634" customFormat="1">
      <c r="G39414" s="3336"/>
      <c r="P39414" s="3337"/>
    </row>
    <row r="39415" spans="7:16" s="1634" customFormat="1">
      <c r="G39415" s="3336"/>
      <c r="P39415" s="3337"/>
    </row>
    <row r="39416" spans="7:16" s="1634" customFormat="1">
      <c r="G39416" s="3336"/>
      <c r="P39416" s="3337"/>
    </row>
    <row r="39417" spans="7:16" s="1634" customFormat="1">
      <c r="G39417" s="3336"/>
      <c r="P39417" s="3337"/>
    </row>
    <row r="39418" spans="7:16" s="1634" customFormat="1">
      <c r="G39418" s="3336"/>
      <c r="P39418" s="3337"/>
    </row>
    <row r="39419" spans="7:16" s="1634" customFormat="1">
      <c r="G39419" s="3336"/>
      <c r="P39419" s="3337"/>
    </row>
    <row r="39420" spans="7:16" s="1634" customFormat="1">
      <c r="G39420" s="3336"/>
      <c r="P39420" s="3337"/>
    </row>
    <row r="39421" spans="7:16" s="1634" customFormat="1">
      <c r="G39421" s="3336"/>
      <c r="P39421" s="3337"/>
    </row>
    <row r="39422" spans="7:16" s="1634" customFormat="1">
      <c r="G39422" s="3336"/>
      <c r="P39422" s="3337"/>
    </row>
    <row r="39423" spans="7:16" s="1634" customFormat="1">
      <c r="G39423" s="3336"/>
      <c r="P39423" s="3337"/>
    </row>
    <row r="39424" spans="7:16" s="1634" customFormat="1">
      <c r="G39424" s="3336"/>
      <c r="P39424" s="3337"/>
    </row>
    <row r="39425" spans="7:16" s="1634" customFormat="1">
      <c r="G39425" s="3336"/>
      <c r="P39425" s="3337"/>
    </row>
    <row r="39426" spans="7:16" s="1634" customFormat="1">
      <c r="G39426" s="3336"/>
      <c r="P39426" s="3337"/>
    </row>
    <row r="39427" spans="7:16" s="1634" customFormat="1">
      <c r="G39427" s="3336"/>
      <c r="P39427" s="3337"/>
    </row>
    <row r="39428" spans="7:16" s="1634" customFormat="1">
      <c r="G39428" s="3336"/>
      <c r="P39428" s="3337"/>
    </row>
    <row r="39429" spans="7:16" s="1634" customFormat="1">
      <c r="G39429" s="3336"/>
      <c r="P39429" s="3337"/>
    </row>
    <row r="39430" spans="7:16" s="1634" customFormat="1">
      <c r="G39430" s="3336"/>
      <c r="P39430" s="3337"/>
    </row>
    <row r="39431" spans="7:16" s="1634" customFormat="1">
      <c r="G39431" s="3336"/>
      <c r="P39431" s="3337"/>
    </row>
    <row r="39432" spans="7:16" s="1634" customFormat="1">
      <c r="G39432" s="3336"/>
      <c r="P39432" s="3337"/>
    </row>
    <row r="39433" spans="7:16" s="1634" customFormat="1">
      <c r="G39433" s="3336"/>
      <c r="P39433" s="3337"/>
    </row>
    <row r="39434" spans="7:16" s="1634" customFormat="1">
      <c r="G39434" s="3336"/>
      <c r="P39434" s="3337"/>
    </row>
    <row r="39435" spans="7:16" s="1634" customFormat="1">
      <c r="G39435" s="3336"/>
      <c r="P39435" s="3337"/>
    </row>
    <row r="39436" spans="7:16" s="1634" customFormat="1">
      <c r="G39436" s="3336"/>
      <c r="P39436" s="3337"/>
    </row>
    <row r="39437" spans="7:16" s="1634" customFormat="1">
      <c r="G39437" s="3336"/>
      <c r="P39437" s="3337"/>
    </row>
    <row r="39438" spans="7:16" s="1634" customFormat="1">
      <c r="G39438" s="3336"/>
      <c r="P39438" s="3337"/>
    </row>
    <row r="39439" spans="7:16" s="1634" customFormat="1">
      <c r="G39439" s="3336"/>
      <c r="P39439" s="3337"/>
    </row>
    <row r="39440" spans="7:16" s="1634" customFormat="1">
      <c r="G39440" s="3336"/>
      <c r="P39440" s="3337"/>
    </row>
    <row r="39441" spans="7:16" s="1634" customFormat="1">
      <c r="G39441" s="3336"/>
      <c r="P39441" s="3337"/>
    </row>
    <row r="39442" spans="7:16" s="1634" customFormat="1">
      <c r="G39442" s="3336"/>
      <c r="P39442" s="3337"/>
    </row>
    <row r="39443" spans="7:16" s="1634" customFormat="1">
      <c r="G39443" s="3336"/>
      <c r="P39443" s="3337"/>
    </row>
    <row r="39444" spans="7:16" s="1634" customFormat="1">
      <c r="G39444" s="3336"/>
      <c r="P39444" s="3337"/>
    </row>
    <row r="39445" spans="7:16" s="1634" customFormat="1">
      <c r="G39445" s="3336"/>
      <c r="P39445" s="3337"/>
    </row>
    <row r="39446" spans="7:16" s="1634" customFormat="1">
      <c r="G39446" s="3336"/>
      <c r="P39446" s="3337"/>
    </row>
    <row r="39447" spans="7:16" s="1634" customFormat="1">
      <c r="G39447" s="3336"/>
      <c r="P39447" s="3337"/>
    </row>
    <row r="39448" spans="7:16" s="1634" customFormat="1">
      <c r="G39448" s="3336"/>
      <c r="P39448" s="3337"/>
    </row>
    <row r="39449" spans="7:16" s="1634" customFormat="1">
      <c r="G39449" s="3336"/>
      <c r="P39449" s="3337"/>
    </row>
    <row r="39450" spans="7:16" s="1634" customFormat="1">
      <c r="G39450" s="3336"/>
      <c r="P39450" s="3337"/>
    </row>
    <row r="39451" spans="7:16" s="1634" customFormat="1">
      <c r="G39451" s="3336"/>
      <c r="P39451" s="3337"/>
    </row>
    <row r="39452" spans="7:16" s="1634" customFormat="1">
      <c r="G39452" s="3336"/>
      <c r="P39452" s="3337"/>
    </row>
    <row r="39453" spans="7:16" s="1634" customFormat="1">
      <c r="G39453" s="3336"/>
      <c r="P39453" s="3337"/>
    </row>
    <row r="39454" spans="7:16" s="1634" customFormat="1">
      <c r="G39454" s="3336"/>
      <c r="P39454" s="3337"/>
    </row>
    <row r="39455" spans="7:16" s="1634" customFormat="1">
      <c r="G39455" s="3336"/>
      <c r="P39455" s="3337"/>
    </row>
    <row r="39456" spans="7:16" s="1634" customFormat="1">
      <c r="G39456" s="3336"/>
      <c r="P39456" s="3337"/>
    </row>
    <row r="39457" spans="7:16" s="1634" customFormat="1">
      <c r="G39457" s="3336"/>
      <c r="P39457" s="3337"/>
    </row>
    <row r="39458" spans="7:16" s="1634" customFormat="1">
      <c r="G39458" s="3336"/>
      <c r="P39458" s="3337"/>
    </row>
    <row r="39459" spans="7:16" s="1634" customFormat="1">
      <c r="G39459" s="3336"/>
      <c r="P39459" s="3337"/>
    </row>
    <row r="39460" spans="7:16" s="1634" customFormat="1">
      <c r="G39460" s="3336"/>
      <c r="P39460" s="3337"/>
    </row>
    <row r="39461" spans="7:16" s="1634" customFormat="1">
      <c r="G39461" s="3336"/>
      <c r="P39461" s="3337"/>
    </row>
    <row r="39462" spans="7:16" s="1634" customFormat="1">
      <c r="G39462" s="3336"/>
      <c r="P39462" s="3337"/>
    </row>
    <row r="39463" spans="7:16" s="1634" customFormat="1">
      <c r="G39463" s="3336"/>
      <c r="P39463" s="3337"/>
    </row>
    <row r="39464" spans="7:16" s="1634" customFormat="1">
      <c r="G39464" s="3336"/>
      <c r="P39464" s="3337"/>
    </row>
    <row r="39465" spans="7:16" s="1634" customFormat="1">
      <c r="G39465" s="3336"/>
      <c r="P39465" s="3337"/>
    </row>
    <row r="39466" spans="7:16" s="1634" customFormat="1">
      <c r="G39466" s="3336"/>
      <c r="P39466" s="3337"/>
    </row>
    <row r="39467" spans="7:16" s="1634" customFormat="1">
      <c r="G39467" s="3336"/>
      <c r="P39467" s="3337"/>
    </row>
    <row r="39468" spans="7:16" s="1634" customFormat="1">
      <c r="G39468" s="3336"/>
      <c r="P39468" s="3337"/>
    </row>
    <row r="39469" spans="7:16" s="1634" customFormat="1">
      <c r="G39469" s="3336"/>
      <c r="P39469" s="3337"/>
    </row>
    <row r="39470" spans="7:16" s="1634" customFormat="1">
      <c r="G39470" s="3336"/>
      <c r="P39470" s="3337"/>
    </row>
    <row r="39471" spans="7:16" s="1634" customFormat="1">
      <c r="G39471" s="3336"/>
      <c r="P39471" s="3337"/>
    </row>
    <row r="39472" spans="7:16" s="1634" customFormat="1">
      <c r="G39472" s="3336"/>
      <c r="P39472" s="3337"/>
    </row>
    <row r="39473" spans="7:16" s="1634" customFormat="1">
      <c r="G39473" s="3336"/>
      <c r="P39473" s="3337"/>
    </row>
    <row r="39474" spans="7:16" s="1634" customFormat="1">
      <c r="G39474" s="3336"/>
      <c r="P39474" s="3337"/>
    </row>
    <row r="39475" spans="7:16" s="1634" customFormat="1">
      <c r="G39475" s="3336"/>
      <c r="P39475" s="3337"/>
    </row>
    <row r="39476" spans="7:16" s="1634" customFormat="1">
      <c r="G39476" s="3336"/>
      <c r="P39476" s="3337"/>
    </row>
    <row r="39477" spans="7:16" s="1634" customFormat="1">
      <c r="G39477" s="3336"/>
      <c r="P39477" s="3337"/>
    </row>
    <row r="39478" spans="7:16" s="1634" customFormat="1">
      <c r="G39478" s="3336"/>
      <c r="P39478" s="3337"/>
    </row>
    <row r="39479" spans="7:16" s="1634" customFormat="1">
      <c r="G39479" s="3336"/>
      <c r="P39479" s="3337"/>
    </row>
    <row r="39480" spans="7:16" s="1634" customFormat="1">
      <c r="G39480" s="3336"/>
      <c r="P39480" s="3337"/>
    </row>
    <row r="39481" spans="7:16" s="1634" customFormat="1">
      <c r="G39481" s="3336"/>
      <c r="P39481" s="3337"/>
    </row>
    <row r="39482" spans="7:16" s="1634" customFormat="1">
      <c r="G39482" s="3336"/>
      <c r="P39482" s="3337"/>
    </row>
    <row r="39483" spans="7:16" s="1634" customFormat="1">
      <c r="G39483" s="3336"/>
      <c r="P39483" s="3337"/>
    </row>
    <row r="39484" spans="7:16" s="1634" customFormat="1">
      <c r="G39484" s="3336"/>
      <c r="P39484" s="3337"/>
    </row>
    <row r="39485" spans="7:16" s="1634" customFormat="1">
      <c r="G39485" s="3336"/>
      <c r="P39485" s="3337"/>
    </row>
    <row r="39486" spans="7:16" s="1634" customFormat="1">
      <c r="G39486" s="3336"/>
      <c r="P39486" s="3337"/>
    </row>
    <row r="39487" spans="7:16" s="1634" customFormat="1">
      <c r="G39487" s="3336"/>
      <c r="P39487" s="3337"/>
    </row>
    <row r="39488" spans="7:16" s="1634" customFormat="1">
      <c r="G39488" s="3336"/>
      <c r="P39488" s="3337"/>
    </row>
    <row r="39489" spans="7:16" s="1634" customFormat="1">
      <c r="G39489" s="3336"/>
      <c r="P39489" s="3337"/>
    </row>
    <row r="39490" spans="7:16" s="1634" customFormat="1">
      <c r="G39490" s="3336"/>
      <c r="P39490" s="3337"/>
    </row>
    <row r="39491" spans="7:16" s="1634" customFormat="1">
      <c r="G39491" s="3336"/>
      <c r="P39491" s="3337"/>
    </row>
    <row r="39492" spans="7:16" s="1634" customFormat="1">
      <c r="G39492" s="3336"/>
      <c r="P39492" s="3337"/>
    </row>
    <row r="39493" spans="7:16" s="1634" customFormat="1">
      <c r="G39493" s="3336"/>
      <c r="P39493" s="3337"/>
    </row>
    <row r="39494" spans="7:16" s="1634" customFormat="1">
      <c r="G39494" s="3336"/>
      <c r="P39494" s="3337"/>
    </row>
    <row r="39495" spans="7:16" s="1634" customFormat="1">
      <c r="G39495" s="3336"/>
      <c r="P39495" s="3337"/>
    </row>
    <row r="39496" spans="7:16" s="1634" customFormat="1">
      <c r="G39496" s="3336"/>
      <c r="P39496" s="3337"/>
    </row>
    <row r="39497" spans="7:16" s="1634" customFormat="1">
      <c r="G39497" s="3336"/>
      <c r="P39497" s="3337"/>
    </row>
    <row r="39498" spans="7:16" s="1634" customFormat="1">
      <c r="G39498" s="3336"/>
      <c r="P39498" s="3337"/>
    </row>
    <row r="39499" spans="7:16" s="1634" customFormat="1">
      <c r="G39499" s="3336"/>
      <c r="P39499" s="3337"/>
    </row>
    <row r="39500" spans="7:16" s="1634" customFormat="1">
      <c r="G39500" s="3336"/>
      <c r="P39500" s="3337"/>
    </row>
    <row r="39501" spans="7:16" s="1634" customFormat="1">
      <c r="G39501" s="3336"/>
      <c r="P39501" s="3337"/>
    </row>
    <row r="39502" spans="7:16" s="1634" customFormat="1">
      <c r="G39502" s="3336"/>
      <c r="P39502" s="3337"/>
    </row>
    <row r="39503" spans="7:16" s="1634" customFormat="1">
      <c r="G39503" s="3336"/>
      <c r="P39503" s="3337"/>
    </row>
    <row r="39504" spans="7:16" s="1634" customFormat="1">
      <c r="G39504" s="3336"/>
      <c r="P39504" s="3337"/>
    </row>
    <row r="39505" spans="7:16" s="1634" customFormat="1">
      <c r="G39505" s="3336"/>
      <c r="P39505" s="3337"/>
    </row>
    <row r="39506" spans="7:16" s="1634" customFormat="1">
      <c r="G39506" s="3336"/>
      <c r="P39506" s="3337"/>
    </row>
    <row r="39507" spans="7:16" s="1634" customFormat="1">
      <c r="G39507" s="3336"/>
      <c r="P39507" s="3337"/>
    </row>
    <row r="39508" spans="7:16" s="1634" customFormat="1">
      <c r="G39508" s="3336"/>
      <c r="P39508" s="3337"/>
    </row>
    <row r="39509" spans="7:16" s="1634" customFormat="1">
      <c r="G39509" s="3336"/>
      <c r="P39509" s="3337"/>
    </row>
    <row r="39510" spans="7:16" s="1634" customFormat="1">
      <c r="G39510" s="3336"/>
      <c r="P39510" s="3337"/>
    </row>
    <row r="39511" spans="7:16" s="1634" customFormat="1">
      <c r="G39511" s="3336"/>
      <c r="P39511" s="3337"/>
    </row>
    <row r="39512" spans="7:16" s="1634" customFormat="1">
      <c r="G39512" s="3336"/>
      <c r="P39512" s="3337"/>
    </row>
    <row r="39513" spans="7:16" s="1634" customFormat="1">
      <c r="G39513" s="3336"/>
      <c r="P39513" s="3337"/>
    </row>
    <row r="39514" spans="7:16" s="1634" customFormat="1">
      <c r="G39514" s="3336"/>
      <c r="P39514" s="3337"/>
    </row>
    <row r="39515" spans="7:16" s="1634" customFormat="1">
      <c r="G39515" s="3336"/>
      <c r="P39515" s="3337"/>
    </row>
    <row r="39516" spans="7:16" s="1634" customFormat="1">
      <c r="G39516" s="3336"/>
      <c r="P39516" s="3337"/>
    </row>
    <row r="39517" spans="7:16" s="1634" customFormat="1">
      <c r="G39517" s="3336"/>
      <c r="P39517" s="3337"/>
    </row>
    <row r="39518" spans="7:16" s="1634" customFormat="1">
      <c r="G39518" s="3336"/>
      <c r="P39518" s="3337"/>
    </row>
    <row r="39519" spans="7:16" s="1634" customFormat="1">
      <c r="G39519" s="3336"/>
      <c r="P39519" s="3337"/>
    </row>
    <row r="39520" spans="7:16" s="1634" customFormat="1">
      <c r="G39520" s="3336"/>
      <c r="P39520" s="3337"/>
    </row>
    <row r="39521" spans="7:16" s="1634" customFormat="1">
      <c r="G39521" s="3336"/>
      <c r="P39521" s="3337"/>
    </row>
    <row r="39522" spans="7:16" s="1634" customFormat="1">
      <c r="G39522" s="3336"/>
      <c r="P39522" s="3337"/>
    </row>
    <row r="39523" spans="7:16" s="1634" customFormat="1">
      <c r="G39523" s="3336"/>
      <c r="P39523" s="3337"/>
    </row>
    <row r="39524" spans="7:16" s="1634" customFormat="1">
      <c r="G39524" s="3336"/>
      <c r="P39524" s="3337"/>
    </row>
    <row r="39525" spans="7:16" s="1634" customFormat="1">
      <c r="G39525" s="3336"/>
      <c r="P39525" s="3337"/>
    </row>
    <row r="39526" spans="7:16" s="1634" customFormat="1">
      <c r="G39526" s="3336"/>
      <c r="P39526" s="3337"/>
    </row>
    <row r="39527" spans="7:16" s="1634" customFormat="1">
      <c r="G39527" s="3336"/>
      <c r="P39527" s="3337"/>
    </row>
    <row r="39528" spans="7:16" s="1634" customFormat="1">
      <c r="G39528" s="3336"/>
      <c r="P39528" s="3337"/>
    </row>
    <row r="39529" spans="7:16" s="1634" customFormat="1">
      <c r="G39529" s="3336"/>
      <c r="P39529" s="3337"/>
    </row>
    <row r="39530" spans="7:16" s="1634" customFormat="1">
      <c r="G39530" s="3336"/>
      <c r="P39530" s="3337"/>
    </row>
    <row r="39531" spans="7:16" s="1634" customFormat="1">
      <c r="G39531" s="3336"/>
      <c r="P39531" s="3337"/>
    </row>
    <row r="39532" spans="7:16" s="1634" customFormat="1">
      <c r="G39532" s="3336"/>
      <c r="P39532" s="3337"/>
    </row>
    <row r="39533" spans="7:16" s="1634" customFormat="1">
      <c r="G39533" s="3336"/>
      <c r="P39533" s="3337"/>
    </row>
    <row r="39534" spans="7:16" s="1634" customFormat="1">
      <c r="G39534" s="3336"/>
      <c r="P39534" s="3337"/>
    </row>
    <row r="39535" spans="7:16" s="1634" customFormat="1">
      <c r="G39535" s="3336"/>
      <c r="P39535" s="3337"/>
    </row>
    <row r="39536" spans="7:16" s="1634" customFormat="1">
      <c r="G39536" s="3336"/>
      <c r="P39536" s="3337"/>
    </row>
    <row r="39537" spans="7:16" s="1634" customFormat="1">
      <c r="G39537" s="3336"/>
      <c r="P39537" s="3337"/>
    </row>
    <row r="39538" spans="7:16" s="1634" customFormat="1">
      <c r="G39538" s="3336"/>
      <c r="P39538" s="3337"/>
    </row>
    <row r="39539" spans="7:16" s="1634" customFormat="1">
      <c r="G39539" s="3336"/>
      <c r="P39539" s="3337"/>
    </row>
    <row r="39540" spans="7:16" s="1634" customFormat="1">
      <c r="G39540" s="3336"/>
      <c r="P39540" s="3337"/>
    </row>
    <row r="39541" spans="7:16" s="1634" customFormat="1">
      <c r="G39541" s="3336"/>
      <c r="P39541" s="3337"/>
    </row>
    <row r="39542" spans="7:16" s="1634" customFormat="1">
      <c r="G39542" s="3336"/>
      <c r="P39542" s="3337"/>
    </row>
    <row r="39543" spans="7:16" s="1634" customFormat="1">
      <c r="G39543" s="3336"/>
      <c r="P39543" s="3337"/>
    </row>
    <row r="39544" spans="7:16" s="1634" customFormat="1">
      <c r="G39544" s="3336"/>
      <c r="P39544" s="3337"/>
    </row>
    <row r="39545" spans="7:16" s="1634" customFormat="1">
      <c r="G39545" s="3336"/>
      <c r="P39545" s="3337"/>
    </row>
    <row r="39546" spans="7:16" s="1634" customFormat="1">
      <c r="G39546" s="3336"/>
      <c r="P39546" s="3337"/>
    </row>
    <row r="39547" spans="7:16" s="1634" customFormat="1">
      <c r="G39547" s="3336"/>
      <c r="P39547" s="3337"/>
    </row>
    <row r="39548" spans="7:16" s="1634" customFormat="1">
      <c r="G39548" s="3336"/>
      <c r="P39548" s="3337"/>
    </row>
    <row r="39549" spans="7:16" s="1634" customFormat="1">
      <c r="G39549" s="3336"/>
      <c r="P39549" s="3337"/>
    </row>
    <row r="39550" spans="7:16" s="1634" customFormat="1">
      <c r="G39550" s="3336"/>
      <c r="P39550" s="3337"/>
    </row>
    <row r="39551" spans="7:16" s="1634" customFormat="1">
      <c r="G39551" s="3336"/>
      <c r="P39551" s="3337"/>
    </row>
    <row r="39552" spans="7:16" s="1634" customFormat="1">
      <c r="G39552" s="3336"/>
      <c r="P39552" s="3337"/>
    </row>
    <row r="39553" spans="7:16" s="1634" customFormat="1">
      <c r="G39553" s="3336"/>
      <c r="P39553" s="3337"/>
    </row>
    <row r="39554" spans="7:16" s="1634" customFormat="1">
      <c r="G39554" s="3336"/>
      <c r="P39554" s="3337"/>
    </row>
    <row r="39555" spans="7:16" s="1634" customFormat="1">
      <c r="G39555" s="3336"/>
      <c r="P39555" s="3337"/>
    </row>
    <row r="39556" spans="7:16" s="1634" customFormat="1">
      <c r="G39556" s="3336"/>
      <c r="P39556" s="3337"/>
    </row>
    <row r="39557" spans="7:16" s="1634" customFormat="1">
      <c r="G39557" s="3336"/>
      <c r="P39557" s="3337"/>
    </row>
    <row r="39558" spans="7:16" s="1634" customFormat="1">
      <c r="G39558" s="3336"/>
      <c r="P39558" s="3337"/>
    </row>
    <row r="39559" spans="7:16" s="1634" customFormat="1">
      <c r="G39559" s="3336"/>
      <c r="P39559" s="3337"/>
    </row>
    <row r="39560" spans="7:16" s="1634" customFormat="1">
      <c r="G39560" s="3336"/>
      <c r="P39560" s="3337"/>
    </row>
    <row r="39561" spans="7:16" s="1634" customFormat="1">
      <c r="G39561" s="3336"/>
      <c r="P39561" s="3337"/>
    </row>
    <row r="39562" spans="7:16" s="1634" customFormat="1">
      <c r="G39562" s="3336"/>
      <c r="P39562" s="3337"/>
    </row>
    <row r="39563" spans="7:16" s="1634" customFormat="1">
      <c r="G39563" s="3336"/>
      <c r="P39563" s="3337"/>
    </row>
    <row r="39564" spans="7:16" s="1634" customFormat="1">
      <c r="G39564" s="3336"/>
      <c r="P39564" s="3337"/>
    </row>
    <row r="39565" spans="7:16" s="1634" customFormat="1">
      <c r="G39565" s="3336"/>
      <c r="P39565" s="3337"/>
    </row>
    <row r="39566" spans="7:16" s="1634" customFormat="1">
      <c r="G39566" s="3336"/>
      <c r="P39566" s="3337"/>
    </row>
    <row r="39567" spans="7:16" s="1634" customFormat="1">
      <c r="G39567" s="3336"/>
      <c r="P39567" s="3337"/>
    </row>
    <row r="39568" spans="7:16" s="1634" customFormat="1">
      <c r="G39568" s="3336"/>
      <c r="P39568" s="3337"/>
    </row>
    <row r="39569" spans="7:16" s="1634" customFormat="1">
      <c r="G39569" s="3336"/>
      <c r="P39569" s="3337"/>
    </row>
    <row r="39570" spans="7:16" s="1634" customFormat="1">
      <c r="G39570" s="3336"/>
      <c r="P39570" s="3337"/>
    </row>
    <row r="39571" spans="7:16" s="1634" customFormat="1">
      <c r="G39571" s="3336"/>
      <c r="P39571" s="3337"/>
    </row>
    <row r="39572" spans="7:16" s="1634" customFormat="1">
      <c r="G39572" s="3336"/>
      <c r="P39572" s="3337"/>
    </row>
    <row r="39573" spans="7:16" s="1634" customFormat="1">
      <c r="G39573" s="3336"/>
      <c r="P39573" s="3337"/>
    </row>
    <row r="39574" spans="7:16" s="1634" customFormat="1">
      <c r="G39574" s="3336"/>
      <c r="P39574" s="3337"/>
    </row>
    <row r="39575" spans="7:16" s="1634" customFormat="1">
      <c r="G39575" s="3336"/>
      <c r="P39575" s="3337"/>
    </row>
    <row r="39576" spans="7:16" s="1634" customFormat="1">
      <c r="G39576" s="3336"/>
      <c r="P39576" s="3337"/>
    </row>
    <row r="39577" spans="7:16" s="1634" customFormat="1">
      <c r="G39577" s="3336"/>
      <c r="P39577" s="3337"/>
    </row>
    <row r="39578" spans="7:16" s="1634" customFormat="1">
      <c r="G39578" s="3336"/>
      <c r="P39578" s="3337"/>
    </row>
    <row r="39579" spans="7:16" s="1634" customFormat="1">
      <c r="G39579" s="3336"/>
      <c r="P39579" s="3337"/>
    </row>
    <row r="39580" spans="7:16" s="1634" customFormat="1">
      <c r="G39580" s="3336"/>
      <c r="P39580" s="3337"/>
    </row>
    <row r="39581" spans="7:16" s="1634" customFormat="1">
      <c r="G39581" s="3336"/>
      <c r="P39581" s="3337"/>
    </row>
    <row r="39582" spans="7:16" s="1634" customFormat="1">
      <c r="G39582" s="3336"/>
      <c r="P39582" s="3337"/>
    </row>
    <row r="39583" spans="7:16" s="1634" customFormat="1">
      <c r="G39583" s="3336"/>
      <c r="P39583" s="3337"/>
    </row>
    <row r="39584" spans="7:16" s="1634" customFormat="1">
      <c r="G39584" s="3336"/>
      <c r="P39584" s="3337"/>
    </row>
    <row r="39585" spans="7:16" s="1634" customFormat="1">
      <c r="G39585" s="3336"/>
      <c r="P39585" s="3337"/>
    </row>
    <row r="39586" spans="7:16" s="1634" customFormat="1">
      <c r="G39586" s="3336"/>
      <c r="P39586" s="3337"/>
    </row>
    <row r="39587" spans="7:16" s="1634" customFormat="1">
      <c r="G39587" s="3336"/>
      <c r="P39587" s="3337"/>
    </row>
    <row r="39588" spans="7:16" s="1634" customFormat="1">
      <c r="G39588" s="3336"/>
      <c r="P39588" s="3337"/>
    </row>
    <row r="39589" spans="7:16" s="1634" customFormat="1">
      <c r="G39589" s="3336"/>
      <c r="P39589" s="3337"/>
    </row>
    <row r="39590" spans="7:16" s="1634" customFormat="1">
      <c r="G39590" s="3336"/>
      <c r="P39590" s="3337"/>
    </row>
    <row r="39591" spans="7:16" s="1634" customFormat="1">
      <c r="G39591" s="3336"/>
      <c r="P39591" s="3337"/>
    </row>
    <row r="39592" spans="7:16" s="1634" customFormat="1">
      <c r="G39592" s="3336"/>
      <c r="P39592" s="3337"/>
    </row>
    <row r="39593" spans="7:16" s="1634" customFormat="1">
      <c r="G39593" s="3336"/>
      <c r="P39593" s="3337"/>
    </row>
    <row r="39594" spans="7:16" s="1634" customFormat="1">
      <c r="G39594" s="3336"/>
      <c r="P39594" s="3337"/>
    </row>
    <row r="39595" spans="7:16" s="1634" customFormat="1">
      <c r="G39595" s="3336"/>
      <c r="P39595" s="3337"/>
    </row>
    <row r="39596" spans="7:16" s="1634" customFormat="1">
      <c r="G39596" s="3336"/>
      <c r="P39596" s="3337"/>
    </row>
    <row r="39597" spans="7:16" s="1634" customFormat="1">
      <c r="G39597" s="3336"/>
      <c r="P39597" s="3337"/>
    </row>
    <row r="39598" spans="7:16" s="1634" customFormat="1">
      <c r="G39598" s="3336"/>
      <c r="P39598" s="3337"/>
    </row>
    <row r="39599" spans="7:16" s="1634" customFormat="1">
      <c r="G39599" s="3336"/>
      <c r="P39599" s="3337"/>
    </row>
    <row r="39600" spans="7:16" s="1634" customFormat="1">
      <c r="G39600" s="3336"/>
      <c r="P39600" s="3337"/>
    </row>
    <row r="39601" spans="7:16" s="1634" customFormat="1">
      <c r="G39601" s="3336"/>
      <c r="P39601" s="3337"/>
    </row>
    <row r="39602" spans="7:16" s="1634" customFormat="1">
      <c r="G39602" s="3336"/>
      <c r="P39602" s="3337"/>
    </row>
    <row r="39603" spans="7:16" s="1634" customFormat="1">
      <c r="G39603" s="3336"/>
      <c r="P39603" s="3337"/>
    </row>
    <row r="39604" spans="7:16" s="1634" customFormat="1">
      <c r="G39604" s="3336"/>
      <c r="P39604" s="3337"/>
    </row>
    <row r="39605" spans="7:16" s="1634" customFormat="1">
      <c r="G39605" s="3336"/>
      <c r="P39605" s="3337"/>
    </row>
    <row r="39606" spans="7:16" s="1634" customFormat="1">
      <c r="G39606" s="3336"/>
      <c r="P39606" s="3337"/>
    </row>
    <row r="39607" spans="7:16" s="1634" customFormat="1">
      <c r="G39607" s="3336"/>
      <c r="P39607" s="3337"/>
    </row>
    <row r="39608" spans="7:16" s="1634" customFormat="1">
      <c r="G39608" s="3336"/>
      <c r="P39608" s="3337"/>
    </row>
    <row r="39609" spans="7:16" s="1634" customFormat="1">
      <c r="G39609" s="3336"/>
      <c r="P39609" s="3337"/>
    </row>
    <row r="39610" spans="7:16" s="1634" customFormat="1">
      <c r="G39610" s="3336"/>
      <c r="P39610" s="3337"/>
    </row>
    <row r="39611" spans="7:16" s="1634" customFormat="1">
      <c r="G39611" s="3336"/>
      <c r="P39611" s="3337"/>
    </row>
    <row r="39612" spans="7:16" s="1634" customFormat="1">
      <c r="G39612" s="3336"/>
      <c r="P39612" s="3337"/>
    </row>
    <row r="39613" spans="7:16" s="1634" customFormat="1">
      <c r="G39613" s="3336"/>
      <c r="P39613" s="3337"/>
    </row>
    <row r="39614" spans="7:16" s="1634" customFormat="1">
      <c r="G39614" s="3336"/>
      <c r="P39614" s="3337"/>
    </row>
    <row r="39615" spans="7:16" s="1634" customFormat="1">
      <c r="G39615" s="3336"/>
      <c r="P39615" s="3337"/>
    </row>
    <row r="39616" spans="7:16" s="1634" customFormat="1">
      <c r="G39616" s="3336"/>
      <c r="P39616" s="3337"/>
    </row>
    <row r="39617" spans="7:16" s="1634" customFormat="1">
      <c r="G39617" s="3336"/>
      <c r="P39617" s="3337"/>
    </row>
    <row r="39618" spans="7:16" s="1634" customFormat="1">
      <c r="G39618" s="3336"/>
      <c r="P39618" s="3337"/>
    </row>
    <row r="39619" spans="7:16" s="1634" customFormat="1">
      <c r="G39619" s="3336"/>
      <c r="P39619" s="3337"/>
    </row>
    <row r="39620" spans="7:16" s="1634" customFormat="1">
      <c r="G39620" s="3336"/>
      <c r="P39620" s="3337"/>
    </row>
    <row r="39621" spans="7:16" s="1634" customFormat="1">
      <c r="G39621" s="3336"/>
      <c r="P39621" s="3337"/>
    </row>
    <row r="39622" spans="7:16" s="1634" customFormat="1">
      <c r="G39622" s="3336"/>
      <c r="P39622" s="3337"/>
    </row>
    <row r="39623" spans="7:16" s="1634" customFormat="1">
      <c r="G39623" s="3336"/>
      <c r="P39623" s="3337"/>
    </row>
    <row r="39624" spans="7:16" s="1634" customFormat="1">
      <c r="G39624" s="3336"/>
      <c r="P39624" s="3337"/>
    </row>
    <row r="39625" spans="7:16" s="1634" customFormat="1">
      <c r="G39625" s="3336"/>
      <c r="P39625" s="3337"/>
    </row>
    <row r="39626" spans="7:16" s="1634" customFormat="1">
      <c r="G39626" s="3336"/>
      <c r="P39626" s="3337"/>
    </row>
    <row r="39627" spans="7:16" s="1634" customFormat="1">
      <c r="G39627" s="3336"/>
      <c r="P39627" s="3337"/>
    </row>
    <row r="39628" spans="7:16" s="1634" customFormat="1">
      <c r="G39628" s="3336"/>
      <c r="P39628" s="3337"/>
    </row>
    <row r="39629" spans="7:16" s="1634" customFormat="1">
      <c r="G39629" s="3336"/>
      <c r="P39629" s="3337"/>
    </row>
    <row r="39630" spans="7:16" s="1634" customFormat="1">
      <c r="G39630" s="3336"/>
      <c r="P39630" s="3337"/>
    </row>
    <row r="39631" spans="7:16" s="1634" customFormat="1">
      <c r="G39631" s="3336"/>
      <c r="P39631" s="3337"/>
    </row>
    <row r="39632" spans="7:16" s="1634" customFormat="1">
      <c r="G39632" s="3336"/>
      <c r="P39632" s="3337"/>
    </row>
    <row r="39633" spans="7:16" s="1634" customFormat="1">
      <c r="G39633" s="3336"/>
      <c r="P39633" s="3337"/>
    </row>
    <row r="39634" spans="7:16" s="1634" customFormat="1">
      <c r="G39634" s="3336"/>
      <c r="P39634" s="3337"/>
    </row>
    <row r="39635" spans="7:16" s="1634" customFormat="1">
      <c r="G39635" s="3336"/>
      <c r="P39635" s="3337"/>
    </row>
    <row r="39636" spans="7:16" s="1634" customFormat="1">
      <c r="G39636" s="3336"/>
      <c r="P39636" s="3337"/>
    </row>
    <row r="39637" spans="7:16" s="1634" customFormat="1">
      <c r="G39637" s="3336"/>
      <c r="P39637" s="3337"/>
    </row>
    <row r="39638" spans="7:16" s="1634" customFormat="1">
      <c r="G39638" s="3336"/>
      <c r="P39638" s="3337"/>
    </row>
    <row r="39639" spans="7:16" s="1634" customFormat="1">
      <c r="G39639" s="3336"/>
      <c r="P39639" s="3337"/>
    </row>
    <row r="39640" spans="7:16" s="1634" customFormat="1">
      <c r="G39640" s="3336"/>
      <c r="P39640" s="3337"/>
    </row>
    <row r="39641" spans="7:16" s="1634" customFormat="1">
      <c r="G39641" s="3336"/>
      <c r="P39641" s="3337"/>
    </row>
    <row r="39642" spans="7:16" s="1634" customFormat="1">
      <c r="G39642" s="3336"/>
      <c r="P39642" s="3337"/>
    </row>
    <row r="39643" spans="7:16" s="1634" customFormat="1">
      <c r="G39643" s="3336"/>
      <c r="P39643" s="3337"/>
    </row>
    <row r="39644" spans="7:16" s="1634" customFormat="1">
      <c r="G39644" s="3336"/>
      <c r="P39644" s="3337"/>
    </row>
    <row r="39645" spans="7:16" s="1634" customFormat="1">
      <c r="G39645" s="3336"/>
      <c r="P39645" s="3337"/>
    </row>
    <row r="39646" spans="7:16" s="1634" customFormat="1">
      <c r="G39646" s="3336"/>
      <c r="P39646" s="3337"/>
    </row>
    <row r="39647" spans="7:16" s="1634" customFormat="1">
      <c r="G39647" s="3336"/>
      <c r="P39647" s="3337"/>
    </row>
    <row r="39648" spans="7:16" s="1634" customFormat="1">
      <c r="G39648" s="3336"/>
      <c r="P39648" s="3337"/>
    </row>
    <row r="39649" spans="7:16" s="1634" customFormat="1">
      <c r="G39649" s="3336"/>
      <c r="P39649" s="3337"/>
    </row>
    <row r="39650" spans="7:16" s="1634" customFormat="1">
      <c r="G39650" s="3336"/>
      <c r="P39650" s="3337"/>
    </row>
    <row r="39651" spans="7:16" s="1634" customFormat="1">
      <c r="G39651" s="3336"/>
      <c r="P39651" s="3337"/>
    </row>
    <row r="39652" spans="7:16" s="1634" customFormat="1">
      <c r="G39652" s="3336"/>
      <c r="P39652" s="3337"/>
    </row>
    <row r="39653" spans="7:16" s="1634" customFormat="1">
      <c r="G39653" s="3336"/>
      <c r="P39653" s="3337"/>
    </row>
    <row r="39654" spans="7:16" s="1634" customFormat="1">
      <c r="G39654" s="3336"/>
      <c r="P39654" s="3337"/>
    </row>
    <row r="39655" spans="7:16" s="1634" customFormat="1">
      <c r="G39655" s="3336"/>
      <c r="P39655" s="3337"/>
    </row>
    <row r="39656" spans="7:16" s="1634" customFormat="1">
      <c r="G39656" s="3336"/>
      <c r="P39656" s="3337"/>
    </row>
    <row r="39657" spans="7:16" s="1634" customFormat="1">
      <c r="G39657" s="3336"/>
      <c r="P39657" s="3337"/>
    </row>
    <row r="39658" spans="7:16" s="1634" customFormat="1">
      <c r="G39658" s="3336"/>
      <c r="P39658" s="3337"/>
    </row>
    <row r="39659" spans="7:16" s="1634" customFormat="1">
      <c r="G39659" s="3336"/>
      <c r="P39659" s="3337"/>
    </row>
    <row r="39660" spans="7:16" s="1634" customFormat="1">
      <c r="G39660" s="3336"/>
      <c r="P39660" s="3337"/>
    </row>
    <row r="39661" spans="7:16" s="1634" customFormat="1">
      <c r="G39661" s="3336"/>
      <c r="P39661" s="3337"/>
    </row>
    <row r="39662" spans="7:16" s="1634" customFormat="1">
      <c r="G39662" s="3336"/>
      <c r="P39662" s="3337"/>
    </row>
    <row r="39663" spans="7:16" s="1634" customFormat="1">
      <c r="G39663" s="3336"/>
      <c r="P39663" s="3337"/>
    </row>
    <row r="39664" spans="7:16" s="1634" customFormat="1">
      <c r="G39664" s="3336"/>
      <c r="P39664" s="3337"/>
    </row>
    <row r="39665" spans="7:16" s="1634" customFormat="1">
      <c r="G39665" s="3336"/>
      <c r="P39665" s="3337"/>
    </row>
    <row r="39666" spans="7:16" s="1634" customFormat="1">
      <c r="G39666" s="3336"/>
      <c r="P39666" s="3337"/>
    </row>
    <row r="39667" spans="7:16" s="1634" customFormat="1">
      <c r="G39667" s="3336"/>
      <c r="P39667" s="3337"/>
    </row>
    <row r="39668" spans="7:16" s="1634" customFormat="1">
      <c r="G39668" s="3336"/>
      <c r="P39668" s="3337"/>
    </row>
    <row r="39669" spans="7:16" s="1634" customFormat="1">
      <c r="G39669" s="3336"/>
      <c r="P39669" s="3337"/>
    </row>
    <row r="39670" spans="7:16" s="1634" customFormat="1">
      <c r="G39670" s="3336"/>
      <c r="P39670" s="3337"/>
    </row>
    <row r="39671" spans="7:16" s="1634" customFormat="1">
      <c r="G39671" s="3336"/>
      <c r="P39671" s="3337"/>
    </row>
    <row r="39672" spans="7:16" s="1634" customFormat="1">
      <c r="G39672" s="3336"/>
      <c r="P39672" s="3337"/>
    </row>
    <row r="39673" spans="7:16" s="1634" customFormat="1">
      <c r="G39673" s="3336"/>
      <c r="P39673" s="3337"/>
    </row>
    <row r="39674" spans="7:16" s="1634" customFormat="1">
      <c r="G39674" s="3336"/>
      <c r="P39674" s="3337"/>
    </row>
    <row r="39675" spans="7:16" s="1634" customFormat="1">
      <c r="G39675" s="3336"/>
      <c r="P39675" s="3337"/>
    </row>
    <row r="39676" spans="7:16" s="1634" customFormat="1">
      <c r="G39676" s="3336"/>
      <c r="P39676" s="3337"/>
    </row>
    <row r="39677" spans="7:16" s="1634" customFormat="1">
      <c r="G39677" s="3336"/>
      <c r="P39677" s="3337"/>
    </row>
    <row r="39678" spans="7:16" s="1634" customFormat="1">
      <c r="G39678" s="3336"/>
      <c r="P39678" s="3337"/>
    </row>
    <row r="39679" spans="7:16" s="1634" customFormat="1">
      <c r="G39679" s="3336"/>
      <c r="P39679" s="3337"/>
    </row>
    <row r="39680" spans="7:16" s="1634" customFormat="1">
      <c r="G39680" s="3336"/>
      <c r="P39680" s="3337"/>
    </row>
    <row r="39681" spans="7:16" s="1634" customFormat="1">
      <c r="G39681" s="3336"/>
      <c r="P39681" s="3337"/>
    </row>
    <row r="39682" spans="7:16" s="1634" customFormat="1">
      <c r="G39682" s="3336"/>
      <c r="P39682" s="3337"/>
    </row>
    <row r="39683" spans="7:16" s="1634" customFormat="1">
      <c r="G39683" s="3336"/>
      <c r="P39683" s="3337"/>
    </row>
    <row r="39684" spans="7:16" s="1634" customFormat="1">
      <c r="G39684" s="3336"/>
      <c r="P39684" s="3337"/>
    </row>
    <row r="39685" spans="7:16" s="1634" customFormat="1">
      <c r="G39685" s="3336"/>
      <c r="P39685" s="3337"/>
    </row>
    <row r="39686" spans="7:16" s="1634" customFormat="1">
      <c r="G39686" s="3336"/>
      <c r="P39686" s="3337"/>
    </row>
    <row r="39687" spans="7:16" s="1634" customFormat="1">
      <c r="G39687" s="3336"/>
      <c r="P39687" s="3337"/>
    </row>
    <row r="39688" spans="7:16" s="1634" customFormat="1">
      <c r="G39688" s="3336"/>
      <c r="P39688" s="3337"/>
    </row>
    <row r="39689" spans="7:16" s="1634" customFormat="1">
      <c r="G39689" s="3336"/>
      <c r="P39689" s="3337"/>
    </row>
    <row r="39690" spans="7:16" s="1634" customFormat="1">
      <c r="G39690" s="3336"/>
      <c r="P39690" s="3337"/>
    </row>
    <row r="39691" spans="7:16" s="1634" customFormat="1">
      <c r="G39691" s="3336"/>
      <c r="P39691" s="3337"/>
    </row>
    <row r="39692" spans="7:16" s="1634" customFormat="1">
      <c r="G39692" s="3336"/>
      <c r="P39692" s="3337"/>
    </row>
    <row r="39693" spans="7:16" s="1634" customFormat="1">
      <c r="G39693" s="3336"/>
      <c r="P39693" s="3337"/>
    </row>
    <row r="39694" spans="7:16" s="1634" customFormat="1">
      <c r="G39694" s="3336"/>
      <c r="P39694" s="3337"/>
    </row>
    <row r="39695" spans="7:16" s="1634" customFormat="1">
      <c r="G39695" s="3336"/>
      <c r="P39695" s="3337"/>
    </row>
    <row r="39696" spans="7:16" s="1634" customFormat="1">
      <c r="G39696" s="3336"/>
      <c r="P39696" s="3337"/>
    </row>
    <row r="39697" spans="7:16" s="1634" customFormat="1">
      <c r="G39697" s="3336"/>
      <c r="P39697" s="3337"/>
    </row>
    <row r="39698" spans="7:16" s="1634" customFormat="1">
      <c r="G39698" s="3336"/>
      <c r="P39698" s="3337"/>
    </row>
    <row r="39699" spans="7:16" s="1634" customFormat="1">
      <c r="G39699" s="3336"/>
      <c r="P39699" s="3337"/>
    </row>
    <row r="39700" spans="7:16" s="1634" customFormat="1">
      <c r="G39700" s="3336"/>
      <c r="P39700" s="3337"/>
    </row>
    <row r="39701" spans="7:16" s="1634" customFormat="1">
      <c r="G39701" s="3336"/>
      <c r="P39701" s="3337"/>
    </row>
    <row r="39702" spans="7:16" s="1634" customFormat="1">
      <c r="G39702" s="3336"/>
      <c r="P39702" s="3337"/>
    </row>
    <row r="39703" spans="7:16" s="1634" customFormat="1">
      <c r="G39703" s="3336"/>
      <c r="P39703" s="3337"/>
    </row>
    <row r="39704" spans="7:16" s="1634" customFormat="1">
      <c r="G39704" s="3336"/>
      <c r="P39704" s="3337"/>
    </row>
    <row r="39705" spans="7:16" s="1634" customFormat="1">
      <c r="G39705" s="3336"/>
      <c r="P39705" s="3337"/>
    </row>
    <row r="39706" spans="7:16" s="1634" customFormat="1">
      <c r="G39706" s="3336"/>
      <c r="P39706" s="3337"/>
    </row>
    <row r="39707" spans="7:16" s="1634" customFormat="1">
      <c r="G39707" s="3336"/>
      <c r="P39707" s="3337"/>
    </row>
    <row r="39708" spans="7:16" s="1634" customFormat="1">
      <c r="G39708" s="3336"/>
      <c r="P39708" s="3337"/>
    </row>
    <row r="39709" spans="7:16" s="1634" customFormat="1">
      <c r="G39709" s="3336"/>
      <c r="P39709" s="3337"/>
    </row>
    <row r="39710" spans="7:16" s="1634" customFormat="1">
      <c r="G39710" s="3336"/>
      <c r="P39710" s="3337"/>
    </row>
    <row r="39711" spans="7:16" s="1634" customFormat="1">
      <c r="G39711" s="3336"/>
      <c r="P39711" s="3337"/>
    </row>
    <row r="39712" spans="7:16" s="1634" customFormat="1">
      <c r="G39712" s="3336"/>
      <c r="P39712" s="3337"/>
    </row>
    <row r="39713" spans="7:16" s="1634" customFormat="1">
      <c r="G39713" s="3336"/>
      <c r="P39713" s="3337"/>
    </row>
    <row r="39714" spans="7:16" s="1634" customFormat="1">
      <c r="G39714" s="3336"/>
      <c r="P39714" s="3337"/>
    </row>
    <row r="39715" spans="7:16" s="1634" customFormat="1">
      <c r="G39715" s="3336"/>
      <c r="P39715" s="3337"/>
    </row>
    <row r="39716" spans="7:16" s="1634" customFormat="1">
      <c r="G39716" s="3336"/>
      <c r="P39716" s="3337"/>
    </row>
    <row r="39717" spans="7:16" s="1634" customFormat="1">
      <c r="G39717" s="3336"/>
      <c r="P39717" s="3337"/>
    </row>
    <row r="39718" spans="7:16" s="1634" customFormat="1">
      <c r="G39718" s="3336"/>
      <c r="P39718" s="3337"/>
    </row>
    <row r="39719" spans="7:16" s="1634" customFormat="1">
      <c r="G39719" s="3336"/>
      <c r="P39719" s="3337"/>
    </row>
    <row r="39720" spans="7:16" s="1634" customFormat="1">
      <c r="G39720" s="3336"/>
      <c r="P39720" s="3337"/>
    </row>
    <row r="39721" spans="7:16" s="1634" customFormat="1">
      <c r="G39721" s="3336"/>
      <c r="P39721" s="3337"/>
    </row>
    <row r="39722" spans="7:16" s="1634" customFormat="1">
      <c r="G39722" s="3336"/>
      <c r="P39722" s="3337"/>
    </row>
    <row r="39723" spans="7:16" s="1634" customFormat="1">
      <c r="G39723" s="3336"/>
      <c r="P39723" s="3337"/>
    </row>
    <row r="39724" spans="7:16" s="1634" customFormat="1">
      <c r="G39724" s="3336"/>
      <c r="P39724" s="3337"/>
    </row>
    <row r="39725" spans="7:16" s="1634" customFormat="1">
      <c r="G39725" s="3336"/>
      <c r="P39725" s="3337"/>
    </row>
    <row r="39726" spans="7:16" s="1634" customFormat="1">
      <c r="G39726" s="3336"/>
      <c r="P39726" s="3337"/>
    </row>
    <row r="39727" spans="7:16" s="1634" customFormat="1">
      <c r="G39727" s="3336"/>
      <c r="P39727" s="3337"/>
    </row>
    <row r="39728" spans="7:16" s="1634" customFormat="1">
      <c r="G39728" s="3336"/>
      <c r="P39728" s="3337"/>
    </row>
    <row r="39729" spans="7:16" s="1634" customFormat="1">
      <c r="G39729" s="3336"/>
      <c r="P39729" s="3337"/>
    </row>
    <row r="39730" spans="7:16" s="1634" customFormat="1">
      <c r="G39730" s="3336"/>
      <c r="P39730" s="3337"/>
    </row>
    <row r="39731" spans="7:16" s="1634" customFormat="1">
      <c r="G39731" s="3336"/>
      <c r="P39731" s="3337"/>
    </row>
    <row r="39732" spans="7:16" s="1634" customFormat="1">
      <c r="G39732" s="3336"/>
      <c r="P39732" s="3337"/>
    </row>
    <row r="39733" spans="7:16" s="1634" customFormat="1">
      <c r="G39733" s="3336"/>
      <c r="P39733" s="3337"/>
    </row>
    <row r="39734" spans="7:16" s="1634" customFormat="1">
      <c r="G39734" s="3336"/>
      <c r="P39734" s="3337"/>
    </row>
    <row r="39735" spans="7:16" s="1634" customFormat="1">
      <c r="G39735" s="3336"/>
      <c r="P39735" s="3337"/>
    </row>
    <row r="39736" spans="7:16" s="1634" customFormat="1">
      <c r="G39736" s="3336"/>
      <c r="P39736" s="3337"/>
    </row>
    <row r="39737" spans="7:16" s="1634" customFormat="1">
      <c r="G39737" s="3336"/>
      <c r="P39737" s="3337"/>
    </row>
    <row r="39738" spans="7:16" s="1634" customFormat="1">
      <c r="G39738" s="3336"/>
      <c r="P39738" s="3337"/>
    </row>
    <row r="39739" spans="7:16" s="1634" customFormat="1">
      <c r="G39739" s="3336"/>
      <c r="P39739" s="3337"/>
    </row>
    <row r="39740" spans="7:16" s="1634" customFormat="1">
      <c r="G39740" s="3336"/>
      <c r="P39740" s="3337"/>
    </row>
    <row r="39741" spans="7:16" s="1634" customFormat="1">
      <c r="G39741" s="3336"/>
      <c r="P39741" s="3337"/>
    </row>
    <row r="39742" spans="7:16" s="1634" customFormat="1">
      <c r="G39742" s="3336"/>
      <c r="P39742" s="3337"/>
    </row>
    <row r="39743" spans="7:16" s="1634" customFormat="1">
      <c r="G39743" s="3336"/>
      <c r="P39743" s="3337"/>
    </row>
    <row r="39744" spans="7:16" s="1634" customFormat="1">
      <c r="G39744" s="3336"/>
      <c r="P39744" s="3337"/>
    </row>
    <row r="39745" spans="7:16" s="1634" customFormat="1">
      <c r="G39745" s="3336"/>
      <c r="P39745" s="3337"/>
    </row>
    <row r="39746" spans="7:16" s="1634" customFormat="1">
      <c r="G39746" s="3336"/>
      <c r="P39746" s="3337"/>
    </row>
    <row r="39747" spans="7:16" s="1634" customFormat="1">
      <c r="G39747" s="3336"/>
      <c r="P39747" s="3337"/>
    </row>
    <row r="39748" spans="7:16" s="1634" customFormat="1">
      <c r="G39748" s="3336"/>
      <c r="P39748" s="3337"/>
    </row>
    <row r="39749" spans="7:16" s="1634" customFormat="1">
      <c r="G39749" s="3336"/>
      <c r="P39749" s="3337"/>
    </row>
    <row r="39750" spans="7:16" s="1634" customFormat="1">
      <c r="G39750" s="3336"/>
      <c r="P39750" s="3337"/>
    </row>
    <row r="39751" spans="7:16" s="1634" customFormat="1">
      <c r="G39751" s="3336"/>
      <c r="P39751" s="3337"/>
    </row>
    <row r="39752" spans="7:16" s="1634" customFormat="1">
      <c r="G39752" s="3336"/>
      <c r="P39752" s="3337"/>
    </row>
    <row r="39753" spans="7:16" s="1634" customFormat="1">
      <c r="G39753" s="3336"/>
      <c r="P39753" s="3337"/>
    </row>
    <row r="39754" spans="7:16" s="1634" customFormat="1">
      <c r="G39754" s="3336"/>
      <c r="P39754" s="3337"/>
    </row>
    <row r="39755" spans="7:16" s="1634" customFormat="1">
      <c r="G39755" s="3336"/>
      <c r="P39755" s="3337"/>
    </row>
    <row r="39756" spans="7:16" s="1634" customFormat="1">
      <c r="G39756" s="3336"/>
      <c r="P39756" s="3337"/>
    </row>
    <row r="39757" spans="7:16" s="1634" customFormat="1">
      <c r="G39757" s="3336"/>
      <c r="P39757" s="3337"/>
    </row>
    <row r="39758" spans="7:16" s="1634" customFormat="1">
      <c r="G39758" s="3336"/>
      <c r="P39758" s="3337"/>
    </row>
    <row r="39759" spans="7:16" s="1634" customFormat="1">
      <c r="G39759" s="3336"/>
      <c r="P39759" s="3337"/>
    </row>
    <row r="39760" spans="7:16" s="1634" customFormat="1">
      <c r="G39760" s="3336"/>
      <c r="P39760" s="3337"/>
    </row>
    <row r="39761" spans="7:16" s="1634" customFormat="1">
      <c r="G39761" s="3336"/>
      <c r="P39761" s="3337"/>
    </row>
    <row r="39762" spans="7:16" s="1634" customFormat="1">
      <c r="G39762" s="3336"/>
      <c r="P39762" s="3337"/>
    </row>
    <row r="39763" spans="7:16" s="1634" customFormat="1">
      <c r="G39763" s="3336"/>
      <c r="P39763" s="3337"/>
    </row>
    <row r="39764" spans="7:16" s="1634" customFormat="1">
      <c r="G39764" s="3336"/>
      <c r="P39764" s="3337"/>
    </row>
    <row r="39765" spans="7:16" s="1634" customFormat="1">
      <c r="G39765" s="3336"/>
      <c r="P39765" s="3337"/>
    </row>
    <row r="39766" spans="7:16" s="1634" customFormat="1">
      <c r="G39766" s="3336"/>
      <c r="P39766" s="3337"/>
    </row>
    <row r="39767" spans="7:16" s="1634" customFormat="1">
      <c r="G39767" s="3336"/>
      <c r="P39767" s="3337"/>
    </row>
    <row r="39768" spans="7:16" s="1634" customFormat="1">
      <c r="G39768" s="3336"/>
      <c r="P39768" s="3337"/>
    </row>
    <row r="39769" spans="7:16" s="1634" customFormat="1">
      <c r="G39769" s="3336"/>
      <c r="P39769" s="3337"/>
    </row>
    <row r="39770" spans="7:16" s="1634" customFormat="1">
      <c r="G39770" s="3336"/>
      <c r="P39770" s="3337"/>
    </row>
    <row r="39771" spans="7:16" s="1634" customFormat="1">
      <c r="G39771" s="3336"/>
      <c r="P39771" s="3337"/>
    </row>
    <row r="39772" spans="7:16" s="1634" customFormat="1">
      <c r="G39772" s="3336"/>
      <c r="P39772" s="3337"/>
    </row>
    <row r="39773" spans="7:16" s="1634" customFormat="1">
      <c r="G39773" s="3336"/>
      <c r="P39773" s="3337"/>
    </row>
    <row r="39774" spans="7:16" s="1634" customFormat="1">
      <c r="G39774" s="3336"/>
      <c r="P39774" s="3337"/>
    </row>
    <row r="39775" spans="7:16" s="1634" customFormat="1">
      <c r="G39775" s="3336"/>
      <c r="P39775" s="3337"/>
    </row>
    <row r="39776" spans="7:16" s="1634" customFormat="1">
      <c r="G39776" s="3336"/>
      <c r="P39776" s="3337"/>
    </row>
    <row r="39777" spans="7:16" s="1634" customFormat="1">
      <c r="G39777" s="3336"/>
      <c r="P39777" s="3337"/>
    </row>
    <row r="39778" spans="7:16" s="1634" customFormat="1">
      <c r="G39778" s="3336"/>
      <c r="P39778" s="3337"/>
    </row>
    <row r="39779" spans="7:16" s="1634" customFormat="1">
      <c r="G39779" s="3336"/>
      <c r="P39779" s="3337"/>
    </row>
    <row r="39780" spans="7:16" s="1634" customFormat="1">
      <c r="G39780" s="3336"/>
      <c r="P39780" s="3337"/>
    </row>
    <row r="39781" spans="7:16" s="1634" customFormat="1">
      <c r="G39781" s="3336"/>
      <c r="P39781" s="3337"/>
    </row>
    <row r="39782" spans="7:16" s="1634" customFormat="1">
      <c r="G39782" s="3336"/>
      <c r="P39782" s="3337"/>
    </row>
    <row r="39783" spans="7:16" s="1634" customFormat="1">
      <c r="G39783" s="3336"/>
      <c r="P39783" s="3337"/>
    </row>
    <row r="39784" spans="7:16" s="1634" customFormat="1">
      <c r="G39784" s="3336"/>
      <c r="P39784" s="3337"/>
    </row>
    <row r="39785" spans="7:16" s="1634" customFormat="1">
      <c r="G39785" s="3336"/>
      <c r="P39785" s="3337"/>
    </row>
    <row r="39786" spans="7:16" s="1634" customFormat="1">
      <c r="G39786" s="3336"/>
      <c r="P39786" s="3337"/>
    </row>
    <row r="39787" spans="7:16" s="1634" customFormat="1">
      <c r="G39787" s="3336"/>
      <c r="P39787" s="3337"/>
    </row>
    <row r="39788" spans="7:16" s="1634" customFormat="1">
      <c r="G39788" s="3336"/>
      <c r="P39788" s="3337"/>
    </row>
    <row r="39789" spans="7:16" s="1634" customFormat="1">
      <c r="G39789" s="3336"/>
      <c r="P39789" s="3337"/>
    </row>
    <row r="39790" spans="7:16" s="1634" customFormat="1">
      <c r="G39790" s="3336"/>
      <c r="P39790" s="3337"/>
    </row>
    <row r="39791" spans="7:16" s="1634" customFormat="1">
      <c r="G39791" s="3336"/>
      <c r="P39791" s="3337"/>
    </row>
    <row r="39792" spans="7:16" s="1634" customFormat="1">
      <c r="G39792" s="3336"/>
      <c r="P39792" s="3337"/>
    </row>
    <row r="39793" spans="7:16" s="1634" customFormat="1">
      <c r="G39793" s="3336"/>
      <c r="P39793" s="3337"/>
    </row>
    <row r="39794" spans="7:16" s="1634" customFormat="1">
      <c r="G39794" s="3336"/>
      <c r="P39794" s="3337"/>
    </row>
    <row r="39795" spans="7:16" s="1634" customFormat="1">
      <c r="G39795" s="3336"/>
      <c r="P39795" s="3337"/>
    </row>
    <row r="39796" spans="7:16" s="1634" customFormat="1">
      <c r="G39796" s="3336"/>
      <c r="P39796" s="3337"/>
    </row>
    <row r="39797" spans="7:16" s="1634" customFormat="1">
      <c r="G39797" s="3336"/>
      <c r="P39797" s="3337"/>
    </row>
    <row r="39798" spans="7:16" s="1634" customFormat="1">
      <c r="G39798" s="3336"/>
      <c r="P39798" s="3337"/>
    </row>
    <row r="39799" spans="7:16" s="1634" customFormat="1">
      <c r="G39799" s="3336"/>
      <c r="P39799" s="3337"/>
    </row>
    <row r="39800" spans="7:16" s="1634" customFormat="1">
      <c r="G39800" s="3336"/>
      <c r="P39800" s="3337"/>
    </row>
    <row r="39801" spans="7:16" s="1634" customFormat="1">
      <c r="G39801" s="3336"/>
      <c r="P39801" s="3337"/>
    </row>
    <row r="39802" spans="7:16" s="1634" customFormat="1">
      <c r="G39802" s="3336"/>
      <c r="P39802" s="3337"/>
    </row>
    <row r="39803" spans="7:16" s="1634" customFormat="1">
      <c r="G39803" s="3336"/>
      <c r="P39803" s="3337"/>
    </row>
    <row r="39804" spans="7:16" s="1634" customFormat="1">
      <c r="G39804" s="3336"/>
      <c r="P39804" s="3337"/>
    </row>
    <row r="39805" spans="7:16" s="1634" customFormat="1">
      <c r="G39805" s="3336"/>
      <c r="P39805" s="3337"/>
    </row>
    <row r="39806" spans="7:16" s="1634" customFormat="1">
      <c r="G39806" s="3336"/>
      <c r="P39806" s="3337"/>
    </row>
    <row r="39807" spans="7:16" s="1634" customFormat="1">
      <c r="G39807" s="3336"/>
      <c r="P39807" s="3337"/>
    </row>
    <row r="39808" spans="7:16" s="1634" customFormat="1">
      <c r="G39808" s="3336"/>
      <c r="P39808" s="3337"/>
    </row>
    <row r="39809" spans="7:16" s="1634" customFormat="1">
      <c r="G39809" s="3336"/>
      <c r="P39809" s="3337"/>
    </row>
    <row r="39810" spans="7:16" s="1634" customFormat="1">
      <c r="G39810" s="3336"/>
      <c r="P39810" s="3337"/>
    </row>
    <row r="39811" spans="7:16" s="1634" customFormat="1">
      <c r="G39811" s="3336"/>
      <c r="P39811" s="3337"/>
    </row>
    <row r="39812" spans="7:16" s="1634" customFormat="1">
      <c r="G39812" s="3336"/>
      <c r="P39812" s="3337"/>
    </row>
    <row r="39813" spans="7:16" s="1634" customFormat="1">
      <c r="G39813" s="3336"/>
      <c r="P39813" s="3337"/>
    </row>
    <row r="39814" spans="7:16" s="1634" customFormat="1">
      <c r="G39814" s="3336"/>
      <c r="P39814" s="3337"/>
    </row>
    <row r="39815" spans="7:16" s="1634" customFormat="1">
      <c r="G39815" s="3336"/>
      <c r="P39815" s="3337"/>
    </row>
    <row r="39816" spans="7:16" s="1634" customFormat="1">
      <c r="G39816" s="3336"/>
      <c r="P39816" s="3337"/>
    </row>
    <row r="39817" spans="7:16" s="1634" customFormat="1">
      <c r="G39817" s="3336"/>
      <c r="P39817" s="3337"/>
    </row>
    <row r="39818" spans="7:16" s="1634" customFormat="1">
      <c r="G39818" s="3336"/>
      <c r="P39818" s="3337"/>
    </row>
    <row r="39819" spans="7:16" s="1634" customFormat="1">
      <c r="G39819" s="3336"/>
      <c r="P39819" s="3337"/>
    </row>
    <row r="39820" spans="7:16" s="1634" customFormat="1">
      <c r="G39820" s="3336"/>
      <c r="P39820" s="3337"/>
    </row>
    <row r="39821" spans="7:16" s="1634" customFormat="1">
      <c r="G39821" s="3336"/>
      <c r="P39821" s="3337"/>
    </row>
    <row r="39822" spans="7:16" s="1634" customFormat="1">
      <c r="G39822" s="3336"/>
      <c r="P39822" s="3337"/>
    </row>
    <row r="39823" spans="7:16" s="1634" customFormat="1">
      <c r="G39823" s="3336"/>
      <c r="P39823" s="3337"/>
    </row>
    <row r="39824" spans="7:16" s="1634" customFormat="1">
      <c r="G39824" s="3336"/>
      <c r="P39824" s="3337"/>
    </row>
    <row r="39825" spans="7:16" s="1634" customFormat="1">
      <c r="G39825" s="3336"/>
      <c r="P39825" s="3337"/>
    </row>
    <row r="39826" spans="7:16" s="1634" customFormat="1">
      <c r="G39826" s="3336"/>
      <c r="P39826" s="3337"/>
    </row>
    <row r="39827" spans="7:16" s="1634" customFormat="1">
      <c r="G39827" s="3336"/>
      <c r="P39827" s="3337"/>
    </row>
    <row r="39828" spans="7:16" s="1634" customFormat="1">
      <c r="G39828" s="3336"/>
      <c r="P39828" s="3337"/>
    </row>
    <row r="39829" spans="7:16" s="1634" customFormat="1">
      <c r="G39829" s="3336"/>
      <c r="P39829" s="3337"/>
    </row>
    <row r="39830" spans="7:16" s="1634" customFormat="1">
      <c r="G39830" s="3336"/>
      <c r="P39830" s="3337"/>
    </row>
    <row r="39831" spans="7:16" s="1634" customFormat="1">
      <c r="G39831" s="3336"/>
      <c r="P39831" s="3337"/>
    </row>
    <row r="39832" spans="7:16" s="1634" customFormat="1">
      <c r="G39832" s="3336"/>
      <c r="P39832" s="3337"/>
    </row>
    <row r="39833" spans="7:16" s="1634" customFormat="1">
      <c r="G39833" s="3336"/>
      <c r="P39833" s="3337"/>
    </row>
    <row r="39834" spans="7:16" s="1634" customFormat="1">
      <c r="G39834" s="3336"/>
      <c r="P39834" s="3337"/>
    </row>
    <row r="39835" spans="7:16" s="1634" customFormat="1">
      <c r="G39835" s="3336"/>
      <c r="P39835" s="3337"/>
    </row>
    <row r="39836" spans="7:16" s="1634" customFormat="1">
      <c r="G39836" s="3336"/>
      <c r="P39836" s="3337"/>
    </row>
    <row r="39837" spans="7:16" s="1634" customFormat="1">
      <c r="G39837" s="3336"/>
      <c r="P39837" s="3337"/>
    </row>
    <row r="39838" spans="7:16" s="1634" customFormat="1">
      <c r="G39838" s="3336"/>
      <c r="P39838" s="3337"/>
    </row>
    <row r="39839" spans="7:16" s="1634" customFormat="1">
      <c r="G39839" s="3336"/>
      <c r="P39839" s="3337"/>
    </row>
    <row r="39840" spans="7:16" s="1634" customFormat="1">
      <c r="G39840" s="3336"/>
      <c r="P39840" s="3337"/>
    </row>
    <row r="39841" spans="7:16" s="1634" customFormat="1">
      <c r="G39841" s="3336"/>
      <c r="P39841" s="3337"/>
    </row>
    <row r="39842" spans="7:16" s="1634" customFormat="1">
      <c r="G39842" s="3336"/>
      <c r="P39842" s="3337"/>
    </row>
    <row r="39843" spans="7:16" s="1634" customFormat="1">
      <c r="G39843" s="3336"/>
      <c r="P39843" s="3337"/>
    </row>
    <row r="39844" spans="7:16" s="1634" customFormat="1">
      <c r="G39844" s="3336"/>
      <c r="P39844" s="3337"/>
    </row>
    <row r="39845" spans="7:16" s="1634" customFormat="1">
      <c r="G39845" s="3336"/>
      <c r="P39845" s="3337"/>
    </row>
    <row r="39846" spans="7:16" s="1634" customFormat="1">
      <c r="G39846" s="3336"/>
      <c r="P39846" s="3337"/>
    </row>
    <row r="39847" spans="7:16" s="1634" customFormat="1">
      <c r="G39847" s="3336"/>
      <c r="P39847" s="3337"/>
    </row>
    <row r="39848" spans="7:16" s="1634" customFormat="1">
      <c r="G39848" s="3336"/>
      <c r="P39848" s="3337"/>
    </row>
    <row r="39849" spans="7:16" s="1634" customFormat="1">
      <c r="G39849" s="3336"/>
      <c r="P39849" s="3337"/>
    </row>
    <row r="39850" spans="7:16" s="1634" customFormat="1">
      <c r="G39850" s="3336"/>
      <c r="P39850" s="3337"/>
    </row>
    <row r="39851" spans="7:16" s="1634" customFormat="1">
      <c r="G39851" s="3336"/>
      <c r="P39851" s="3337"/>
    </row>
    <row r="39852" spans="7:16" s="1634" customFormat="1">
      <c r="G39852" s="3336"/>
      <c r="P39852" s="3337"/>
    </row>
    <row r="39853" spans="7:16" s="1634" customFormat="1">
      <c r="G39853" s="3336"/>
      <c r="P39853" s="3337"/>
    </row>
    <row r="39854" spans="7:16" s="1634" customFormat="1">
      <c r="G39854" s="3336"/>
      <c r="P39854" s="3337"/>
    </row>
    <row r="39855" spans="7:16" s="1634" customFormat="1">
      <c r="G39855" s="3336"/>
      <c r="P39855" s="3337"/>
    </row>
    <row r="39856" spans="7:16" s="1634" customFormat="1">
      <c r="G39856" s="3336"/>
      <c r="P39856" s="3337"/>
    </row>
    <row r="39857" spans="7:16" s="1634" customFormat="1">
      <c r="G39857" s="3336"/>
      <c r="P39857" s="3337"/>
    </row>
    <row r="39858" spans="7:16" s="1634" customFormat="1">
      <c r="G39858" s="3336"/>
      <c r="P39858" s="3337"/>
    </row>
    <row r="39859" spans="7:16" s="1634" customFormat="1">
      <c r="G39859" s="3336"/>
      <c r="P39859" s="3337"/>
    </row>
    <row r="39860" spans="7:16" s="1634" customFormat="1">
      <c r="G39860" s="3336"/>
      <c r="P39860" s="3337"/>
    </row>
    <row r="39861" spans="7:16" s="1634" customFormat="1">
      <c r="G39861" s="3336"/>
      <c r="P39861" s="3337"/>
    </row>
    <row r="39862" spans="7:16" s="1634" customFormat="1">
      <c r="G39862" s="3336"/>
      <c r="P39862" s="3337"/>
    </row>
    <row r="39863" spans="7:16" s="1634" customFormat="1">
      <c r="G39863" s="3336"/>
      <c r="P39863" s="3337"/>
    </row>
    <row r="39864" spans="7:16" s="1634" customFormat="1">
      <c r="G39864" s="3336"/>
      <c r="P39864" s="3337"/>
    </row>
    <row r="39865" spans="7:16" s="1634" customFormat="1">
      <c r="G39865" s="3336"/>
      <c r="P39865" s="3337"/>
    </row>
    <row r="39866" spans="7:16" s="1634" customFormat="1">
      <c r="G39866" s="3336"/>
      <c r="P39866" s="3337"/>
    </row>
    <row r="39867" spans="7:16" s="1634" customFormat="1">
      <c r="G39867" s="3336"/>
      <c r="P39867" s="3337"/>
    </row>
    <row r="39868" spans="7:16" s="1634" customFormat="1">
      <c r="G39868" s="3336"/>
      <c r="P39868" s="3337"/>
    </row>
    <row r="39869" spans="7:16" s="1634" customFormat="1">
      <c r="G39869" s="3336"/>
      <c r="P39869" s="3337"/>
    </row>
    <row r="39870" spans="7:16" s="1634" customFormat="1">
      <c r="G39870" s="3336"/>
      <c r="P39870" s="3337"/>
    </row>
    <row r="39871" spans="7:16" s="1634" customFormat="1">
      <c r="G39871" s="3336"/>
      <c r="P39871" s="3337"/>
    </row>
    <row r="39872" spans="7:16" s="1634" customFormat="1">
      <c r="G39872" s="3336"/>
      <c r="P39872" s="3337"/>
    </row>
    <row r="39873" spans="7:16" s="1634" customFormat="1">
      <c r="G39873" s="3336"/>
      <c r="P39873" s="3337"/>
    </row>
    <row r="39874" spans="7:16" s="1634" customFormat="1">
      <c r="G39874" s="3336"/>
      <c r="P39874" s="3337"/>
    </row>
    <row r="39875" spans="7:16" s="1634" customFormat="1">
      <c r="G39875" s="3336"/>
      <c r="P39875" s="3337"/>
    </row>
    <row r="39876" spans="7:16" s="1634" customFormat="1">
      <c r="G39876" s="3336"/>
      <c r="P39876" s="3337"/>
    </row>
    <row r="39877" spans="7:16" s="1634" customFormat="1">
      <c r="G39877" s="3336"/>
      <c r="P39877" s="3337"/>
    </row>
    <row r="39878" spans="7:16" s="1634" customFormat="1">
      <c r="G39878" s="3336"/>
      <c r="P39878" s="3337"/>
    </row>
    <row r="39879" spans="7:16" s="1634" customFormat="1">
      <c r="G39879" s="3336"/>
      <c r="P39879" s="3337"/>
    </row>
    <row r="39880" spans="7:16" s="1634" customFormat="1">
      <c r="G39880" s="3336"/>
      <c r="P39880" s="3337"/>
    </row>
    <row r="39881" spans="7:16" s="1634" customFormat="1">
      <c r="G39881" s="3336"/>
      <c r="P39881" s="3337"/>
    </row>
    <row r="39882" spans="7:16" s="1634" customFormat="1">
      <c r="G39882" s="3336"/>
      <c r="P39882" s="3337"/>
    </row>
    <row r="39883" spans="7:16" s="1634" customFormat="1">
      <c r="G39883" s="3336"/>
      <c r="P39883" s="3337"/>
    </row>
    <row r="39884" spans="7:16" s="1634" customFormat="1">
      <c r="G39884" s="3336"/>
      <c r="P39884" s="3337"/>
    </row>
    <row r="39885" spans="7:16" s="1634" customFormat="1">
      <c r="G39885" s="3336"/>
      <c r="P39885" s="3337"/>
    </row>
    <row r="39886" spans="7:16" s="1634" customFormat="1">
      <c r="G39886" s="3336"/>
      <c r="P39886" s="3337"/>
    </row>
    <row r="39887" spans="7:16" s="1634" customFormat="1">
      <c r="G39887" s="3336"/>
      <c r="P39887" s="3337"/>
    </row>
    <row r="39888" spans="7:16" s="1634" customFormat="1">
      <c r="G39888" s="3336"/>
      <c r="P39888" s="3337"/>
    </row>
    <row r="39889" spans="7:16" s="1634" customFormat="1">
      <c r="G39889" s="3336"/>
      <c r="P39889" s="3337"/>
    </row>
    <row r="39890" spans="7:16" s="1634" customFormat="1">
      <c r="G39890" s="3336"/>
      <c r="P39890" s="3337"/>
    </row>
    <row r="39891" spans="7:16" s="1634" customFormat="1">
      <c r="G39891" s="3336"/>
      <c r="P39891" s="3337"/>
    </row>
    <row r="39892" spans="7:16" s="1634" customFormat="1">
      <c r="G39892" s="3336"/>
      <c r="P39892" s="3337"/>
    </row>
    <row r="39893" spans="7:16" s="1634" customFormat="1">
      <c r="G39893" s="3336"/>
      <c r="P39893" s="3337"/>
    </row>
    <row r="39894" spans="7:16" s="1634" customFormat="1">
      <c r="G39894" s="3336"/>
      <c r="P39894" s="3337"/>
    </row>
    <row r="39895" spans="7:16" s="1634" customFormat="1">
      <c r="G39895" s="3336"/>
      <c r="P39895" s="3337"/>
    </row>
    <row r="39896" spans="7:16" s="1634" customFormat="1">
      <c r="G39896" s="3336"/>
      <c r="P39896" s="3337"/>
    </row>
    <row r="39897" spans="7:16" s="1634" customFormat="1">
      <c r="G39897" s="3336"/>
      <c r="P39897" s="3337"/>
    </row>
    <row r="39898" spans="7:16" s="1634" customFormat="1">
      <c r="G39898" s="3336"/>
      <c r="P39898" s="3337"/>
    </row>
    <row r="39899" spans="7:16" s="1634" customFormat="1">
      <c r="G39899" s="3336"/>
      <c r="P39899" s="3337"/>
    </row>
    <row r="39900" spans="7:16" s="1634" customFormat="1">
      <c r="G39900" s="3336"/>
      <c r="P39900" s="3337"/>
    </row>
    <row r="39901" spans="7:16" s="1634" customFormat="1">
      <c r="G39901" s="3336"/>
      <c r="P39901" s="3337"/>
    </row>
    <row r="39902" spans="7:16" s="1634" customFormat="1">
      <c r="G39902" s="3336"/>
      <c r="P39902" s="3337"/>
    </row>
    <row r="39903" spans="7:16" s="1634" customFormat="1">
      <c r="G39903" s="3336"/>
      <c r="P39903" s="3337"/>
    </row>
    <row r="39904" spans="7:16" s="1634" customFormat="1">
      <c r="G39904" s="3336"/>
      <c r="P39904" s="3337"/>
    </row>
    <row r="39905" spans="7:16" s="1634" customFormat="1">
      <c r="G39905" s="3336"/>
      <c r="P39905" s="3337"/>
    </row>
    <row r="39906" spans="7:16" s="1634" customFormat="1">
      <c r="G39906" s="3336"/>
      <c r="P39906" s="3337"/>
    </row>
    <row r="39907" spans="7:16" s="1634" customFormat="1">
      <c r="G39907" s="3336"/>
      <c r="P39907" s="3337"/>
    </row>
    <row r="39908" spans="7:16" s="1634" customFormat="1">
      <c r="G39908" s="3336"/>
      <c r="P39908" s="3337"/>
    </row>
    <row r="39909" spans="7:16" s="1634" customFormat="1">
      <c r="G39909" s="3336"/>
      <c r="P39909" s="3337"/>
    </row>
    <row r="39910" spans="7:16" s="1634" customFormat="1">
      <c r="G39910" s="3336"/>
      <c r="P39910" s="3337"/>
    </row>
    <row r="39911" spans="7:16" s="1634" customFormat="1">
      <c r="G39911" s="3336"/>
      <c r="P39911" s="3337"/>
    </row>
    <row r="39912" spans="7:16" s="1634" customFormat="1">
      <c r="G39912" s="3336"/>
      <c r="P39912" s="3337"/>
    </row>
    <row r="39913" spans="7:16" s="1634" customFormat="1">
      <c r="G39913" s="3336"/>
      <c r="P39913" s="3337"/>
    </row>
    <row r="39914" spans="7:16" s="1634" customFormat="1">
      <c r="G39914" s="3336"/>
      <c r="P39914" s="3337"/>
    </row>
    <row r="39915" spans="7:16" s="1634" customFormat="1">
      <c r="G39915" s="3336"/>
      <c r="P39915" s="3337"/>
    </row>
    <row r="39916" spans="7:16" s="1634" customFormat="1">
      <c r="G39916" s="3336"/>
      <c r="P39916" s="3337"/>
    </row>
    <row r="39917" spans="7:16" s="1634" customFormat="1">
      <c r="G39917" s="3336"/>
      <c r="P39917" s="3337"/>
    </row>
    <row r="39918" spans="7:16" s="1634" customFormat="1">
      <c r="G39918" s="3336"/>
      <c r="P39918" s="3337"/>
    </row>
    <row r="39919" spans="7:16" s="1634" customFormat="1">
      <c r="G39919" s="3336"/>
      <c r="P39919" s="3337"/>
    </row>
    <row r="39920" spans="7:16" s="1634" customFormat="1">
      <c r="G39920" s="3336"/>
      <c r="P39920" s="3337"/>
    </row>
    <row r="39921" spans="7:16" s="1634" customFormat="1">
      <c r="G39921" s="3336"/>
      <c r="P39921" s="3337"/>
    </row>
    <row r="39922" spans="7:16" s="1634" customFormat="1">
      <c r="G39922" s="3336"/>
      <c r="P39922" s="3337"/>
    </row>
    <row r="39923" spans="7:16" s="1634" customFormat="1">
      <c r="G39923" s="3336"/>
      <c r="P39923" s="3337"/>
    </row>
    <row r="39924" spans="7:16" s="1634" customFormat="1">
      <c r="G39924" s="3336"/>
      <c r="P39924" s="3337"/>
    </row>
    <row r="39925" spans="7:16" s="1634" customFormat="1">
      <c r="G39925" s="3336"/>
      <c r="P39925" s="3337"/>
    </row>
    <row r="39926" spans="7:16" s="1634" customFormat="1">
      <c r="G39926" s="3336"/>
      <c r="P39926" s="3337"/>
    </row>
    <row r="39927" spans="7:16" s="1634" customFormat="1">
      <c r="G39927" s="3336"/>
      <c r="P39927" s="3337"/>
    </row>
    <row r="39928" spans="7:16" s="1634" customFormat="1">
      <c r="G39928" s="3336"/>
      <c r="P39928" s="3337"/>
    </row>
    <row r="39929" spans="7:16" s="1634" customFormat="1">
      <c r="G39929" s="3336"/>
      <c r="P39929" s="3337"/>
    </row>
    <row r="39930" spans="7:16" s="1634" customFormat="1">
      <c r="G39930" s="3336"/>
      <c r="P39930" s="3337"/>
    </row>
    <row r="39931" spans="7:16" s="1634" customFormat="1">
      <c r="G39931" s="3336"/>
      <c r="P39931" s="3337"/>
    </row>
    <row r="39932" spans="7:16" s="1634" customFormat="1">
      <c r="G39932" s="3336"/>
      <c r="P39932" s="3337"/>
    </row>
    <row r="39933" spans="7:16" s="1634" customFormat="1">
      <c r="G39933" s="3336"/>
      <c r="P39933" s="3337"/>
    </row>
    <row r="39934" spans="7:16" s="1634" customFormat="1">
      <c r="G39934" s="3336"/>
      <c r="P39934" s="3337"/>
    </row>
    <row r="39935" spans="7:16" s="1634" customFormat="1">
      <c r="G39935" s="3336"/>
      <c r="P39935" s="3337"/>
    </row>
    <row r="39936" spans="7:16" s="1634" customFormat="1">
      <c r="G39936" s="3336"/>
      <c r="P39936" s="3337"/>
    </row>
    <row r="39937" spans="7:16" s="1634" customFormat="1">
      <c r="G39937" s="3336"/>
      <c r="P39937" s="3337"/>
    </row>
    <row r="39938" spans="7:16" s="1634" customFormat="1">
      <c r="G39938" s="3336"/>
      <c r="P39938" s="3337"/>
    </row>
    <row r="39939" spans="7:16" s="1634" customFormat="1">
      <c r="G39939" s="3336"/>
      <c r="P39939" s="3337"/>
    </row>
    <row r="39940" spans="7:16" s="1634" customFormat="1">
      <c r="G39940" s="3336"/>
      <c r="P39940" s="3337"/>
    </row>
    <row r="39941" spans="7:16" s="1634" customFormat="1">
      <c r="G39941" s="3336"/>
      <c r="P39941" s="3337"/>
    </row>
    <row r="39942" spans="7:16" s="1634" customFormat="1">
      <c r="G39942" s="3336"/>
      <c r="P39942" s="3337"/>
    </row>
    <row r="39943" spans="7:16" s="1634" customFormat="1">
      <c r="G39943" s="3336"/>
      <c r="P39943" s="3337"/>
    </row>
    <row r="39944" spans="7:16" s="1634" customFormat="1">
      <c r="G39944" s="3336"/>
      <c r="P39944" s="3337"/>
    </row>
    <row r="39945" spans="7:16" s="1634" customFormat="1">
      <c r="G39945" s="3336"/>
      <c r="P39945" s="3337"/>
    </row>
    <row r="39946" spans="7:16" s="1634" customFormat="1">
      <c r="G39946" s="3336"/>
      <c r="P39946" s="3337"/>
    </row>
    <row r="39947" spans="7:16" s="1634" customFormat="1">
      <c r="G39947" s="3336"/>
      <c r="P39947" s="3337"/>
    </row>
    <row r="39948" spans="7:16" s="1634" customFormat="1">
      <c r="G39948" s="3336"/>
      <c r="P39948" s="3337"/>
    </row>
    <row r="39949" spans="7:16" s="1634" customFormat="1">
      <c r="G39949" s="3336"/>
      <c r="P39949" s="3337"/>
    </row>
    <row r="39950" spans="7:16" s="1634" customFormat="1">
      <c r="G39950" s="3336"/>
      <c r="P39950" s="3337"/>
    </row>
    <row r="39951" spans="7:16" s="1634" customFormat="1">
      <c r="G39951" s="3336"/>
      <c r="P39951" s="3337"/>
    </row>
    <row r="39952" spans="7:16" s="1634" customFormat="1">
      <c r="G39952" s="3336"/>
      <c r="P39952" s="3337"/>
    </row>
    <row r="39953" spans="7:16" s="1634" customFormat="1">
      <c r="G39953" s="3336"/>
      <c r="P39953" s="3337"/>
    </row>
    <row r="39954" spans="7:16" s="1634" customFormat="1">
      <c r="G39954" s="3336"/>
      <c r="P39954" s="3337"/>
    </row>
    <row r="39955" spans="7:16" s="1634" customFormat="1">
      <c r="G39955" s="3336"/>
      <c r="P39955" s="3337"/>
    </row>
    <row r="39956" spans="7:16" s="1634" customFormat="1">
      <c r="G39956" s="3336"/>
      <c r="P39956" s="3337"/>
    </row>
    <row r="39957" spans="7:16" s="1634" customFormat="1">
      <c r="G39957" s="3336"/>
      <c r="P39957" s="3337"/>
    </row>
    <row r="39958" spans="7:16" s="1634" customFormat="1">
      <c r="G39958" s="3336"/>
      <c r="P39958" s="3337"/>
    </row>
    <row r="39959" spans="7:16" s="1634" customFormat="1">
      <c r="G39959" s="3336"/>
      <c r="P39959" s="3337"/>
    </row>
    <row r="39960" spans="7:16" s="1634" customFormat="1">
      <c r="G39960" s="3336"/>
      <c r="P39960" s="3337"/>
    </row>
    <row r="39961" spans="7:16" s="1634" customFormat="1">
      <c r="G39961" s="3336"/>
      <c r="P39961" s="3337"/>
    </row>
    <row r="39962" spans="7:16" s="1634" customFormat="1">
      <c r="G39962" s="3336"/>
      <c r="P39962" s="3337"/>
    </row>
    <row r="39963" spans="7:16" s="1634" customFormat="1">
      <c r="G39963" s="3336"/>
      <c r="P39963" s="3337"/>
    </row>
    <row r="39964" spans="7:16" s="1634" customFormat="1">
      <c r="G39964" s="3336"/>
      <c r="P39964" s="3337"/>
    </row>
    <row r="39965" spans="7:16" s="1634" customFormat="1">
      <c r="G39965" s="3336"/>
      <c r="P39965" s="3337"/>
    </row>
    <row r="39966" spans="7:16" s="1634" customFormat="1">
      <c r="G39966" s="3336"/>
      <c r="P39966" s="3337"/>
    </row>
    <row r="39967" spans="7:16" s="1634" customFormat="1">
      <c r="G39967" s="3336"/>
      <c r="P39967" s="3337"/>
    </row>
    <row r="39968" spans="7:16" s="1634" customFormat="1">
      <c r="G39968" s="3336"/>
      <c r="P39968" s="3337"/>
    </row>
    <row r="39969" spans="7:16" s="1634" customFormat="1">
      <c r="G39969" s="3336"/>
      <c r="P39969" s="3337"/>
    </row>
    <row r="39970" spans="7:16" s="1634" customFormat="1">
      <c r="G39970" s="3336"/>
      <c r="P39970" s="3337"/>
    </row>
    <row r="39971" spans="7:16" s="1634" customFormat="1">
      <c r="G39971" s="3336"/>
      <c r="P39971" s="3337"/>
    </row>
    <row r="39972" spans="7:16" s="1634" customFormat="1">
      <c r="G39972" s="3336"/>
      <c r="P39972" s="3337"/>
    </row>
    <row r="39973" spans="7:16" s="1634" customFormat="1">
      <c r="G39973" s="3336"/>
      <c r="P39973" s="3337"/>
    </row>
    <row r="39974" spans="7:16" s="1634" customFormat="1">
      <c r="G39974" s="3336"/>
      <c r="P39974" s="3337"/>
    </row>
    <row r="39975" spans="7:16" s="1634" customFormat="1">
      <c r="G39975" s="3336"/>
      <c r="P39975" s="3337"/>
    </row>
    <row r="39976" spans="7:16" s="1634" customFormat="1">
      <c r="G39976" s="3336"/>
      <c r="P39976" s="3337"/>
    </row>
    <row r="39977" spans="7:16" s="1634" customFormat="1">
      <c r="G39977" s="3336"/>
      <c r="P39977" s="3337"/>
    </row>
    <row r="39978" spans="7:16" s="1634" customFormat="1">
      <c r="G39978" s="3336"/>
      <c r="P39978" s="3337"/>
    </row>
    <row r="39979" spans="7:16" s="1634" customFormat="1">
      <c r="G39979" s="3336"/>
      <c r="P39979" s="3337"/>
    </row>
    <row r="39980" spans="7:16" s="1634" customFormat="1">
      <c r="G39980" s="3336"/>
      <c r="P39980" s="3337"/>
    </row>
    <row r="39981" spans="7:16" s="1634" customFormat="1">
      <c r="G39981" s="3336"/>
      <c r="P39981" s="3337"/>
    </row>
    <row r="39982" spans="7:16" s="1634" customFormat="1">
      <c r="G39982" s="3336"/>
      <c r="P39982" s="3337"/>
    </row>
    <row r="39983" spans="7:16" s="1634" customFormat="1">
      <c r="G39983" s="3336"/>
      <c r="P39983" s="3337"/>
    </row>
    <row r="39984" spans="7:16" s="1634" customFormat="1">
      <c r="G39984" s="3336"/>
      <c r="P39984" s="3337"/>
    </row>
    <row r="39985" spans="7:16" s="1634" customFormat="1">
      <c r="G39985" s="3336"/>
      <c r="P39985" s="3337"/>
    </row>
    <row r="39986" spans="7:16" s="1634" customFormat="1">
      <c r="G39986" s="3336"/>
      <c r="P39986" s="3337"/>
    </row>
    <row r="39987" spans="7:16" s="1634" customFormat="1">
      <c r="G39987" s="3336"/>
      <c r="P39987" s="3337"/>
    </row>
    <row r="39988" spans="7:16" s="1634" customFormat="1">
      <c r="G39988" s="3336"/>
      <c r="P39988" s="3337"/>
    </row>
    <row r="39989" spans="7:16" s="1634" customFormat="1">
      <c r="G39989" s="3336"/>
      <c r="P39989" s="3337"/>
    </row>
    <row r="39990" spans="7:16" s="1634" customFormat="1">
      <c r="G39990" s="3336"/>
      <c r="P39990" s="3337"/>
    </row>
    <row r="39991" spans="7:16" s="1634" customFormat="1">
      <c r="G39991" s="3336"/>
      <c r="P39991" s="3337"/>
    </row>
    <row r="39992" spans="7:16" s="1634" customFormat="1">
      <c r="G39992" s="3336"/>
      <c r="P39992" s="3337"/>
    </row>
    <row r="39993" spans="7:16" s="1634" customFormat="1">
      <c r="G39993" s="3336"/>
      <c r="P39993" s="3337"/>
    </row>
    <row r="39994" spans="7:16" s="1634" customFormat="1">
      <c r="G39994" s="3336"/>
      <c r="P39994" s="3337"/>
    </row>
    <row r="39995" spans="7:16" s="1634" customFormat="1">
      <c r="G39995" s="3336"/>
      <c r="P39995" s="3337"/>
    </row>
    <row r="39996" spans="7:16" s="1634" customFormat="1">
      <c r="G39996" s="3336"/>
      <c r="P39996" s="3337"/>
    </row>
    <row r="39997" spans="7:16" s="1634" customFormat="1">
      <c r="G39997" s="3336"/>
      <c r="P39997" s="3337"/>
    </row>
    <row r="39998" spans="7:16" s="1634" customFormat="1">
      <c r="G39998" s="3336"/>
      <c r="P39998" s="3337"/>
    </row>
    <row r="39999" spans="7:16" s="1634" customFormat="1">
      <c r="G39999" s="3336"/>
      <c r="P39999" s="3337"/>
    </row>
    <row r="40000" spans="7:16" s="1634" customFormat="1">
      <c r="G40000" s="3336"/>
      <c r="P40000" s="3337"/>
    </row>
    <row r="40001" spans="7:16" s="1634" customFormat="1">
      <c r="G40001" s="3336"/>
      <c r="P40001" s="3337"/>
    </row>
    <row r="40002" spans="7:16" s="1634" customFormat="1">
      <c r="G40002" s="3336"/>
      <c r="P40002" s="3337"/>
    </row>
    <row r="40003" spans="7:16" s="1634" customFormat="1">
      <c r="G40003" s="3336"/>
      <c r="P40003" s="3337"/>
    </row>
    <row r="40004" spans="7:16" s="1634" customFormat="1">
      <c r="G40004" s="3336"/>
      <c r="P40004" s="3337"/>
    </row>
    <row r="40005" spans="7:16" s="1634" customFormat="1">
      <c r="G40005" s="3336"/>
      <c r="P40005" s="3337"/>
    </row>
    <row r="40006" spans="7:16" s="1634" customFormat="1">
      <c r="G40006" s="3336"/>
      <c r="P40006" s="3337"/>
    </row>
    <row r="40007" spans="7:16" s="1634" customFormat="1">
      <c r="G40007" s="3336"/>
      <c r="P40007" s="3337"/>
    </row>
    <row r="40008" spans="7:16" s="1634" customFormat="1">
      <c r="G40008" s="3336"/>
      <c r="P40008" s="3337"/>
    </row>
    <row r="40009" spans="7:16" s="1634" customFormat="1">
      <c r="G40009" s="3336"/>
      <c r="P40009" s="3337"/>
    </row>
    <row r="40010" spans="7:16" s="1634" customFormat="1">
      <c r="G40010" s="3336"/>
      <c r="P40010" s="3337"/>
    </row>
    <row r="40011" spans="7:16" s="1634" customFormat="1">
      <c r="G40011" s="3336"/>
      <c r="P40011" s="3337"/>
    </row>
    <row r="40012" spans="7:16" s="1634" customFormat="1">
      <c r="G40012" s="3336"/>
      <c r="P40012" s="3337"/>
    </row>
    <row r="40013" spans="7:16" s="1634" customFormat="1">
      <c r="G40013" s="3336"/>
      <c r="P40013" s="3337"/>
    </row>
    <row r="40014" spans="7:16" s="1634" customFormat="1">
      <c r="G40014" s="3336"/>
      <c r="P40014" s="3337"/>
    </row>
    <row r="40015" spans="7:16" s="1634" customFormat="1">
      <c r="G40015" s="3336"/>
      <c r="P40015" s="3337"/>
    </row>
    <row r="40016" spans="7:16" s="1634" customFormat="1">
      <c r="G40016" s="3336"/>
      <c r="P40016" s="3337"/>
    </row>
    <row r="40017" spans="7:16" s="1634" customFormat="1">
      <c r="G40017" s="3336"/>
      <c r="P40017" s="3337"/>
    </row>
    <row r="40018" spans="7:16" s="1634" customFormat="1">
      <c r="G40018" s="3336"/>
      <c r="P40018" s="3337"/>
    </row>
    <row r="40019" spans="7:16" s="1634" customFormat="1">
      <c r="G40019" s="3336"/>
      <c r="P40019" s="3337"/>
    </row>
    <row r="40020" spans="7:16" s="1634" customFormat="1">
      <c r="G40020" s="3336"/>
      <c r="P40020" s="3337"/>
    </row>
    <row r="40021" spans="7:16" s="1634" customFormat="1">
      <c r="G40021" s="3336"/>
      <c r="P40021" s="3337"/>
    </row>
    <row r="40022" spans="7:16" s="1634" customFormat="1">
      <c r="G40022" s="3336"/>
      <c r="P40022" s="3337"/>
    </row>
    <row r="40023" spans="7:16" s="1634" customFormat="1">
      <c r="G40023" s="3336"/>
      <c r="P40023" s="3337"/>
    </row>
    <row r="40024" spans="7:16" s="1634" customFormat="1">
      <c r="G40024" s="3336"/>
      <c r="P40024" s="3337"/>
    </row>
    <row r="40025" spans="7:16" s="1634" customFormat="1">
      <c r="G40025" s="3336"/>
      <c r="P40025" s="3337"/>
    </row>
    <row r="40026" spans="7:16" s="1634" customFormat="1">
      <c r="G40026" s="3336"/>
      <c r="P40026" s="3337"/>
    </row>
    <row r="40027" spans="7:16" s="1634" customFormat="1">
      <c r="G40027" s="3336"/>
      <c r="P40027" s="3337"/>
    </row>
    <row r="40028" spans="7:16" s="1634" customFormat="1">
      <c r="G40028" s="3336"/>
      <c r="P40028" s="3337"/>
    </row>
    <row r="40029" spans="7:16" s="1634" customFormat="1">
      <c r="G40029" s="3336"/>
      <c r="P40029" s="3337"/>
    </row>
    <row r="40030" spans="7:16" s="1634" customFormat="1">
      <c r="G40030" s="3336"/>
      <c r="P40030" s="3337"/>
    </row>
    <row r="40031" spans="7:16" s="1634" customFormat="1">
      <c r="G40031" s="3336"/>
      <c r="P40031" s="3337"/>
    </row>
    <row r="40032" spans="7:16" s="1634" customFormat="1">
      <c r="G40032" s="3336"/>
      <c r="P40032" s="3337"/>
    </row>
    <row r="40033" spans="7:16" s="1634" customFormat="1">
      <c r="G40033" s="3336"/>
      <c r="P40033" s="3337"/>
    </row>
    <row r="40034" spans="7:16" s="1634" customFormat="1">
      <c r="G40034" s="3336"/>
      <c r="P40034" s="3337"/>
    </row>
    <row r="40035" spans="7:16" s="1634" customFormat="1">
      <c r="G40035" s="3336"/>
      <c r="P40035" s="3337"/>
    </row>
    <row r="40036" spans="7:16" s="1634" customFormat="1">
      <c r="G40036" s="3336"/>
      <c r="P40036" s="3337"/>
    </row>
    <row r="40037" spans="7:16" s="1634" customFormat="1">
      <c r="G40037" s="3336"/>
      <c r="P40037" s="3337"/>
    </row>
    <row r="40038" spans="7:16" s="1634" customFormat="1">
      <c r="G40038" s="3336"/>
      <c r="P40038" s="3337"/>
    </row>
    <row r="40039" spans="7:16" s="1634" customFormat="1">
      <c r="G40039" s="3336"/>
      <c r="P40039" s="3337"/>
    </row>
    <row r="40040" spans="7:16" s="1634" customFormat="1">
      <c r="G40040" s="3336"/>
      <c r="P40040" s="3337"/>
    </row>
    <row r="40041" spans="7:16" s="1634" customFormat="1">
      <c r="G40041" s="3336"/>
      <c r="P40041" s="3337"/>
    </row>
    <row r="40042" spans="7:16" s="1634" customFormat="1">
      <c r="G40042" s="3336"/>
      <c r="P40042" s="3337"/>
    </row>
    <row r="40043" spans="7:16" s="1634" customFormat="1">
      <c r="G40043" s="3336"/>
      <c r="P40043" s="3337"/>
    </row>
    <row r="40044" spans="7:16" s="1634" customFormat="1">
      <c r="G40044" s="3336"/>
      <c r="P40044" s="3337"/>
    </row>
    <row r="40045" spans="7:16" s="1634" customFormat="1">
      <c r="G40045" s="3336"/>
      <c r="P40045" s="3337"/>
    </row>
    <row r="40046" spans="7:16" s="1634" customFormat="1">
      <c r="G40046" s="3336"/>
      <c r="P40046" s="3337"/>
    </row>
    <row r="40047" spans="7:16" s="1634" customFormat="1">
      <c r="G40047" s="3336"/>
      <c r="P40047" s="3337"/>
    </row>
    <row r="40048" spans="7:16" s="1634" customFormat="1">
      <c r="G40048" s="3336"/>
      <c r="P40048" s="3337"/>
    </row>
    <row r="40049" spans="7:16" s="1634" customFormat="1">
      <c r="G40049" s="3336"/>
      <c r="P40049" s="3337"/>
    </row>
    <row r="40050" spans="7:16" s="1634" customFormat="1">
      <c r="G40050" s="3336"/>
      <c r="P40050" s="3337"/>
    </row>
    <row r="40051" spans="7:16" s="1634" customFormat="1">
      <c r="G40051" s="3336"/>
      <c r="P40051" s="3337"/>
    </row>
    <row r="40052" spans="7:16" s="1634" customFormat="1">
      <c r="G40052" s="3336"/>
      <c r="P40052" s="3337"/>
    </row>
    <row r="40053" spans="7:16" s="1634" customFormat="1">
      <c r="G40053" s="3336"/>
      <c r="P40053" s="3337"/>
    </row>
    <row r="40054" spans="7:16" s="1634" customFormat="1">
      <c r="G40054" s="3336"/>
      <c r="P40054" s="3337"/>
    </row>
    <row r="40055" spans="7:16" s="1634" customFormat="1">
      <c r="G40055" s="3336"/>
      <c r="P40055" s="3337"/>
    </row>
    <row r="40056" spans="7:16" s="1634" customFormat="1">
      <c r="G40056" s="3336"/>
      <c r="P40056" s="3337"/>
    </row>
    <row r="40057" spans="7:16" s="1634" customFormat="1">
      <c r="G40057" s="3336"/>
      <c r="P40057" s="3337"/>
    </row>
    <row r="40058" spans="7:16" s="1634" customFormat="1">
      <c r="G40058" s="3336"/>
      <c r="P40058" s="3337"/>
    </row>
    <row r="40059" spans="7:16" s="1634" customFormat="1">
      <c r="G40059" s="3336"/>
      <c r="P40059" s="3337"/>
    </row>
    <row r="40060" spans="7:16" s="1634" customFormat="1">
      <c r="G40060" s="3336"/>
      <c r="P40060" s="3337"/>
    </row>
    <row r="40061" spans="7:16" s="1634" customFormat="1">
      <c r="G40061" s="3336"/>
      <c r="P40061" s="3337"/>
    </row>
    <row r="40062" spans="7:16" s="1634" customFormat="1">
      <c r="G40062" s="3336"/>
      <c r="P40062" s="3337"/>
    </row>
    <row r="40063" spans="7:16" s="1634" customFormat="1">
      <c r="G40063" s="3336"/>
      <c r="P40063" s="3337"/>
    </row>
    <row r="40064" spans="7:16" s="1634" customFormat="1">
      <c r="G40064" s="3336"/>
      <c r="P40064" s="3337"/>
    </row>
    <row r="40065" spans="7:16" s="1634" customFormat="1">
      <c r="G40065" s="3336"/>
      <c r="P40065" s="3337"/>
    </row>
    <row r="40066" spans="7:16" s="1634" customFormat="1">
      <c r="G40066" s="3336"/>
      <c r="P40066" s="3337"/>
    </row>
    <row r="40067" spans="7:16" s="1634" customFormat="1">
      <c r="G40067" s="3336"/>
      <c r="P40067" s="3337"/>
    </row>
    <row r="40068" spans="7:16" s="1634" customFormat="1">
      <c r="G40068" s="3336"/>
      <c r="P40068" s="3337"/>
    </row>
    <row r="40069" spans="7:16" s="1634" customFormat="1">
      <c r="G40069" s="3336"/>
      <c r="P40069" s="3337"/>
    </row>
    <row r="40070" spans="7:16" s="1634" customFormat="1">
      <c r="G40070" s="3336"/>
      <c r="P40070" s="3337"/>
    </row>
    <row r="40071" spans="7:16" s="1634" customFormat="1">
      <c r="G40071" s="3336"/>
      <c r="P40071" s="3337"/>
    </row>
    <row r="40072" spans="7:16" s="1634" customFormat="1">
      <c r="G40072" s="3336"/>
      <c r="P40072" s="3337"/>
    </row>
    <row r="40073" spans="7:16" s="1634" customFormat="1">
      <c r="G40073" s="3336"/>
      <c r="P40073" s="3337"/>
    </row>
    <row r="40074" spans="7:16" s="1634" customFormat="1">
      <c r="G40074" s="3336"/>
      <c r="P40074" s="3337"/>
    </row>
    <row r="40075" spans="7:16" s="1634" customFormat="1">
      <c r="G40075" s="3336"/>
      <c r="P40075" s="3337"/>
    </row>
    <row r="40076" spans="7:16" s="1634" customFormat="1">
      <c r="G40076" s="3336"/>
      <c r="P40076" s="3337"/>
    </row>
    <row r="40077" spans="7:16" s="1634" customFormat="1">
      <c r="G40077" s="3336"/>
      <c r="P40077" s="3337"/>
    </row>
    <row r="40078" spans="7:16" s="1634" customFormat="1">
      <c r="G40078" s="3336"/>
      <c r="P40078" s="3337"/>
    </row>
    <row r="40079" spans="7:16" s="1634" customFormat="1">
      <c r="G40079" s="3336"/>
      <c r="P40079" s="3337"/>
    </row>
    <row r="40080" spans="7:16" s="1634" customFormat="1">
      <c r="G40080" s="3336"/>
      <c r="P40080" s="3337"/>
    </row>
    <row r="40081" spans="7:16" s="1634" customFormat="1">
      <c r="G40081" s="3336"/>
      <c r="P40081" s="3337"/>
    </row>
    <row r="40082" spans="7:16" s="1634" customFormat="1">
      <c r="G40082" s="3336"/>
      <c r="P40082" s="3337"/>
    </row>
    <row r="40083" spans="7:16" s="1634" customFormat="1">
      <c r="G40083" s="3336"/>
      <c r="P40083" s="3337"/>
    </row>
    <row r="40084" spans="7:16" s="1634" customFormat="1">
      <c r="G40084" s="3336"/>
      <c r="P40084" s="3337"/>
    </row>
    <row r="40085" spans="7:16" s="1634" customFormat="1">
      <c r="G40085" s="3336"/>
      <c r="P40085" s="3337"/>
    </row>
    <row r="40086" spans="7:16" s="1634" customFormat="1">
      <c r="G40086" s="3336"/>
      <c r="P40086" s="3337"/>
    </row>
    <row r="40087" spans="7:16" s="1634" customFormat="1">
      <c r="G40087" s="3336"/>
      <c r="P40087" s="3337"/>
    </row>
    <row r="40088" spans="7:16" s="1634" customFormat="1">
      <c r="G40088" s="3336"/>
      <c r="P40088" s="3337"/>
    </row>
    <row r="40089" spans="7:16" s="1634" customFormat="1">
      <c r="G40089" s="3336"/>
      <c r="P40089" s="3337"/>
    </row>
    <row r="40090" spans="7:16" s="1634" customFormat="1">
      <c r="G40090" s="3336"/>
      <c r="P40090" s="3337"/>
    </row>
    <row r="40091" spans="7:16" s="1634" customFormat="1">
      <c r="G40091" s="3336"/>
      <c r="P40091" s="3337"/>
    </row>
    <row r="40092" spans="7:16" s="1634" customFormat="1">
      <c r="G40092" s="3336"/>
      <c r="P40092" s="3337"/>
    </row>
    <row r="40093" spans="7:16" s="1634" customFormat="1">
      <c r="G40093" s="3336"/>
      <c r="P40093" s="3337"/>
    </row>
    <row r="40094" spans="7:16" s="1634" customFormat="1">
      <c r="G40094" s="3336"/>
      <c r="P40094" s="3337"/>
    </row>
    <row r="40095" spans="7:16" s="1634" customFormat="1">
      <c r="G40095" s="3336"/>
      <c r="P40095" s="3337"/>
    </row>
    <row r="40096" spans="7:16" s="1634" customFormat="1">
      <c r="G40096" s="3336"/>
      <c r="P40096" s="3337"/>
    </row>
    <row r="40097" spans="7:16" s="1634" customFormat="1">
      <c r="G40097" s="3336"/>
      <c r="P40097" s="3337"/>
    </row>
    <row r="40098" spans="7:16" s="1634" customFormat="1">
      <c r="G40098" s="3336"/>
      <c r="P40098" s="3337"/>
    </row>
    <row r="40099" spans="7:16" s="1634" customFormat="1">
      <c r="G40099" s="3336"/>
      <c r="P40099" s="3337"/>
    </row>
    <row r="40100" spans="7:16" s="1634" customFormat="1">
      <c r="G40100" s="3336"/>
      <c r="P40100" s="3337"/>
    </row>
    <row r="40101" spans="7:16" s="1634" customFormat="1">
      <c r="G40101" s="3336"/>
      <c r="P40101" s="3337"/>
    </row>
    <row r="40102" spans="7:16" s="1634" customFormat="1">
      <c r="G40102" s="3336"/>
      <c r="P40102" s="3337"/>
    </row>
    <row r="40103" spans="7:16" s="1634" customFormat="1">
      <c r="G40103" s="3336"/>
      <c r="P40103" s="3337"/>
    </row>
    <row r="40104" spans="7:16" s="1634" customFormat="1">
      <c r="G40104" s="3336"/>
      <c r="P40104" s="3337"/>
    </row>
    <row r="40105" spans="7:16" s="1634" customFormat="1">
      <c r="G40105" s="3336"/>
      <c r="P40105" s="3337"/>
    </row>
    <row r="40106" spans="7:16" s="1634" customFormat="1">
      <c r="G40106" s="3336"/>
      <c r="P40106" s="3337"/>
    </row>
    <row r="40107" spans="7:16" s="1634" customFormat="1">
      <c r="G40107" s="3336"/>
      <c r="P40107" s="3337"/>
    </row>
    <row r="40108" spans="7:16" s="1634" customFormat="1">
      <c r="G40108" s="3336"/>
      <c r="P40108" s="3337"/>
    </row>
    <row r="40109" spans="7:16" s="1634" customFormat="1">
      <c r="G40109" s="3336"/>
      <c r="P40109" s="3337"/>
    </row>
    <row r="40110" spans="7:16" s="1634" customFormat="1">
      <c r="G40110" s="3336"/>
      <c r="P40110" s="3337"/>
    </row>
    <row r="40111" spans="7:16" s="1634" customFormat="1">
      <c r="G40111" s="3336"/>
      <c r="P40111" s="3337"/>
    </row>
    <row r="40112" spans="7:16" s="1634" customFormat="1">
      <c r="G40112" s="3336"/>
      <c r="P40112" s="3337"/>
    </row>
    <row r="40113" spans="7:16" s="1634" customFormat="1">
      <c r="G40113" s="3336"/>
      <c r="P40113" s="3337"/>
    </row>
    <row r="40114" spans="7:16" s="1634" customFormat="1">
      <c r="G40114" s="3336"/>
      <c r="P40114" s="3337"/>
    </row>
    <row r="40115" spans="7:16" s="1634" customFormat="1">
      <c r="G40115" s="3336"/>
      <c r="P40115" s="3337"/>
    </row>
    <row r="40116" spans="7:16" s="1634" customFormat="1">
      <c r="G40116" s="3336"/>
      <c r="P40116" s="3337"/>
    </row>
    <row r="40117" spans="7:16" s="1634" customFormat="1">
      <c r="G40117" s="3336"/>
      <c r="P40117" s="3337"/>
    </row>
    <row r="40118" spans="7:16" s="1634" customFormat="1">
      <c r="G40118" s="3336"/>
      <c r="P40118" s="3337"/>
    </row>
    <row r="40119" spans="7:16" s="1634" customFormat="1">
      <c r="G40119" s="3336"/>
      <c r="P40119" s="3337"/>
    </row>
    <row r="40120" spans="7:16" s="1634" customFormat="1">
      <c r="G40120" s="3336"/>
      <c r="P40120" s="3337"/>
    </row>
    <row r="40121" spans="7:16" s="1634" customFormat="1">
      <c r="G40121" s="3336"/>
      <c r="P40121" s="3337"/>
    </row>
    <row r="40122" spans="7:16" s="1634" customFormat="1">
      <c r="G40122" s="3336"/>
      <c r="P40122" s="3337"/>
    </row>
    <row r="40123" spans="7:16" s="1634" customFormat="1">
      <c r="G40123" s="3336"/>
      <c r="P40123" s="3337"/>
    </row>
    <row r="40124" spans="7:16" s="1634" customFormat="1">
      <c r="G40124" s="3336"/>
      <c r="P40124" s="3337"/>
    </row>
    <row r="40125" spans="7:16" s="1634" customFormat="1">
      <c r="G40125" s="3336"/>
      <c r="P40125" s="3337"/>
    </row>
    <row r="40126" spans="7:16" s="1634" customFormat="1">
      <c r="G40126" s="3336"/>
      <c r="P40126" s="3337"/>
    </row>
    <row r="40127" spans="7:16" s="1634" customFormat="1">
      <c r="G40127" s="3336"/>
      <c r="P40127" s="3337"/>
    </row>
    <row r="40128" spans="7:16" s="1634" customFormat="1">
      <c r="G40128" s="3336"/>
      <c r="P40128" s="3337"/>
    </row>
    <row r="40129" spans="7:16" s="1634" customFormat="1">
      <c r="G40129" s="3336"/>
      <c r="P40129" s="3337"/>
    </row>
    <row r="40130" spans="7:16" s="1634" customFormat="1">
      <c r="G40130" s="3336"/>
      <c r="P40130" s="3337"/>
    </row>
    <row r="40131" spans="7:16" s="1634" customFormat="1">
      <c r="G40131" s="3336"/>
      <c r="P40131" s="3337"/>
    </row>
    <row r="40132" spans="7:16" s="1634" customFormat="1">
      <c r="G40132" s="3336"/>
      <c r="P40132" s="3337"/>
    </row>
    <row r="40133" spans="7:16" s="1634" customFormat="1">
      <c r="G40133" s="3336"/>
      <c r="P40133" s="3337"/>
    </row>
    <row r="40134" spans="7:16" s="1634" customFormat="1">
      <c r="G40134" s="3336"/>
      <c r="P40134" s="3337"/>
    </row>
    <row r="40135" spans="7:16" s="1634" customFormat="1">
      <c r="G40135" s="3336"/>
      <c r="P40135" s="3337"/>
    </row>
    <row r="40136" spans="7:16" s="1634" customFormat="1">
      <c r="G40136" s="3336"/>
      <c r="P40136" s="3337"/>
    </row>
    <row r="40137" spans="7:16" s="1634" customFormat="1">
      <c r="G40137" s="3336"/>
      <c r="P40137" s="3337"/>
    </row>
    <row r="40138" spans="7:16" s="1634" customFormat="1">
      <c r="G40138" s="3336"/>
      <c r="P40138" s="3337"/>
    </row>
    <row r="40139" spans="7:16" s="1634" customFormat="1">
      <c r="G40139" s="3336"/>
      <c r="P40139" s="3337"/>
    </row>
    <row r="40140" spans="7:16" s="1634" customFormat="1">
      <c r="G40140" s="3336"/>
      <c r="P40140" s="3337"/>
    </row>
    <row r="40141" spans="7:16" s="1634" customFormat="1">
      <c r="G40141" s="3336"/>
      <c r="P40141" s="3337"/>
    </row>
    <row r="40142" spans="7:16" s="1634" customFormat="1">
      <c r="G40142" s="3336"/>
      <c r="P40142" s="3337"/>
    </row>
    <row r="40143" spans="7:16" s="1634" customFormat="1">
      <c r="G40143" s="3336"/>
      <c r="P40143" s="3337"/>
    </row>
    <row r="40144" spans="7:16" s="1634" customFormat="1">
      <c r="G40144" s="3336"/>
      <c r="P40144" s="3337"/>
    </row>
    <row r="40145" spans="7:16" s="1634" customFormat="1">
      <c r="G40145" s="3336"/>
      <c r="P40145" s="3337"/>
    </row>
    <row r="40146" spans="7:16" s="1634" customFormat="1">
      <c r="G40146" s="3336"/>
      <c r="P40146" s="3337"/>
    </row>
    <row r="40147" spans="7:16" s="1634" customFormat="1">
      <c r="G40147" s="3336"/>
      <c r="P40147" s="3337"/>
    </row>
    <row r="40148" spans="7:16" s="1634" customFormat="1">
      <c r="G40148" s="3336"/>
      <c r="P40148" s="3337"/>
    </row>
    <row r="40149" spans="7:16" s="1634" customFormat="1">
      <c r="G40149" s="3336"/>
      <c r="P40149" s="3337"/>
    </row>
    <row r="40150" spans="7:16" s="1634" customFormat="1">
      <c r="G40150" s="3336"/>
      <c r="P40150" s="3337"/>
    </row>
    <row r="40151" spans="7:16" s="1634" customFormat="1">
      <c r="G40151" s="3336"/>
      <c r="P40151" s="3337"/>
    </row>
    <row r="40152" spans="7:16" s="1634" customFormat="1">
      <c r="G40152" s="3336"/>
      <c r="P40152" s="3337"/>
    </row>
    <row r="40153" spans="7:16" s="1634" customFormat="1">
      <c r="G40153" s="3336"/>
      <c r="P40153" s="3337"/>
    </row>
    <row r="40154" spans="7:16" s="1634" customFormat="1">
      <c r="G40154" s="3336"/>
      <c r="P40154" s="3337"/>
    </row>
    <row r="40155" spans="7:16" s="1634" customFormat="1">
      <c r="G40155" s="3336"/>
      <c r="P40155" s="3337"/>
    </row>
    <row r="40156" spans="7:16" s="1634" customFormat="1">
      <c r="G40156" s="3336"/>
      <c r="P40156" s="3337"/>
    </row>
    <row r="40157" spans="7:16" s="1634" customFormat="1">
      <c r="G40157" s="3336"/>
      <c r="P40157" s="3337"/>
    </row>
    <row r="40158" spans="7:16" s="1634" customFormat="1">
      <c r="G40158" s="3336"/>
      <c r="P40158" s="3337"/>
    </row>
    <row r="40159" spans="7:16" s="1634" customFormat="1">
      <c r="G40159" s="3336"/>
      <c r="P40159" s="3337"/>
    </row>
    <row r="40160" spans="7:16" s="1634" customFormat="1">
      <c r="G40160" s="3336"/>
      <c r="P40160" s="3337"/>
    </row>
    <row r="40161" spans="7:16" s="1634" customFormat="1">
      <c r="G40161" s="3336"/>
      <c r="P40161" s="3337"/>
    </row>
    <row r="40162" spans="7:16" s="1634" customFormat="1">
      <c r="G40162" s="3336"/>
      <c r="P40162" s="3337"/>
    </row>
    <row r="40163" spans="7:16" s="1634" customFormat="1">
      <c r="G40163" s="3336"/>
      <c r="P40163" s="3337"/>
    </row>
    <row r="40164" spans="7:16" s="1634" customFormat="1">
      <c r="G40164" s="3336"/>
      <c r="P40164" s="3337"/>
    </row>
    <row r="40165" spans="7:16" s="1634" customFormat="1">
      <c r="G40165" s="3336"/>
      <c r="P40165" s="3337"/>
    </row>
    <row r="40166" spans="7:16" s="1634" customFormat="1">
      <c r="G40166" s="3336"/>
      <c r="P40166" s="3337"/>
    </row>
    <row r="40167" spans="7:16" s="1634" customFormat="1">
      <c r="G40167" s="3336"/>
      <c r="P40167" s="3337"/>
    </row>
    <row r="40168" spans="7:16" s="1634" customFormat="1">
      <c r="G40168" s="3336"/>
      <c r="P40168" s="3337"/>
    </row>
    <row r="40169" spans="7:16" s="1634" customFormat="1">
      <c r="G40169" s="3336"/>
      <c r="P40169" s="3337"/>
    </row>
    <row r="40170" spans="7:16" s="1634" customFormat="1">
      <c r="G40170" s="3336"/>
      <c r="P40170" s="3337"/>
    </row>
    <row r="40171" spans="7:16" s="1634" customFormat="1">
      <c r="G40171" s="3336"/>
      <c r="P40171" s="3337"/>
    </row>
    <row r="40172" spans="7:16" s="1634" customFormat="1">
      <c r="G40172" s="3336"/>
      <c r="P40172" s="3337"/>
    </row>
    <row r="40173" spans="7:16" s="1634" customFormat="1">
      <c r="G40173" s="3336"/>
      <c r="P40173" s="3337"/>
    </row>
    <row r="40174" spans="7:16" s="1634" customFormat="1">
      <c r="G40174" s="3336"/>
      <c r="P40174" s="3337"/>
    </row>
    <row r="40175" spans="7:16" s="1634" customFormat="1">
      <c r="G40175" s="3336"/>
      <c r="P40175" s="3337"/>
    </row>
    <row r="40176" spans="7:16" s="1634" customFormat="1">
      <c r="G40176" s="3336"/>
      <c r="P40176" s="3337"/>
    </row>
    <row r="40177" spans="7:16" s="1634" customFormat="1">
      <c r="G40177" s="3336"/>
      <c r="P40177" s="3337"/>
    </row>
    <row r="40178" spans="7:16" s="1634" customFormat="1">
      <c r="G40178" s="3336"/>
      <c r="P40178" s="3337"/>
    </row>
    <row r="40179" spans="7:16" s="1634" customFormat="1">
      <c r="G40179" s="3336"/>
      <c r="P40179" s="3337"/>
    </row>
    <row r="40180" spans="7:16" s="1634" customFormat="1">
      <c r="G40180" s="3336"/>
      <c r="P40180" s="3337"/>
    </row>
    <row r="40181" spans="7:16" s="1634" customFormat="1">
      <c r="G40181" s="3336"/>
      <c r="P40181" s="3337"/>
    </row>
    <row r="40182" spans="7:16" s="1634" customFormat="1">
      <c r="G40182" s="3336"/>
      <c r="P40182" s="3337"/>
    </row>
    <row r="40183" spans="7:16" s="1634" customFormat="1">
      <c r="G40183" s="3336"/>
      <c r="P40183" s="3337"/>
    </row>
    <row r="40184" spans="7:16" s="1634" customFormat="1">
      <c r="G40184" s="3336"/>
      <c r="P40184" s="3337"/>
    </row>
    <row r="40185" spans="7:16" s="1634" customFormat="1">
      <c r="G40185" s="3336"/>
      <c r="P40185" s="3337"/>
    </row>
    <row r="40186" spans="7:16" s="1634" customFormat="1">
      <c r="G40186" s="3336"/>
      <c r="P40186" s="3337"/>
    </row>
    <row r="40187" spans="7:16" s="1634" customFormat="1">
      <c r="G40187" s="3336"/>
      <c r="P40187" s="3337"/>
    </row>
    <row r="40188" spans="7:16" s="1634" customFormat="1">
      <c r="G40188" s="3336"/>
      <c r="P40188" s="3337"/>
    </row>
    <row r="40189" spans="7:16" s="1634" customFormat="1">
      <c r="G40189" s="3336"/>
      <c r="P40189" s="3337"/>
    </row>
    <row r="40190" spans="7:16" s="1634" customFormat="1">
      <c r="G40190" s="3336"/>
      <c r="P40190" s="3337"/>
    </row>
    <row r="40191" spans="7:16" s="1634" customFormat="1">
      <c r="G40191" s="3336"/>
      <c r="P40191" s="3337"/>
    </row>
    <row r="40192" spans="7:16" s="1634" customFormat="1">
      <c r="G40192" s="3336"/>
      <c r="P40192" s="3337"/>
    </row>
    <row r="40193" spans="7:16" s="1634" customFormat="1">
      <c r="G40193" s="3336"/>
      <c r="P40193" s="3337"/>
    </row>
    <row r="40194" spans="7:16" s="1634" customFormat="1">
      <c r="G40194" s="3336"/>
      <c r="P40194" s="3337"/>
    </row>
    <row r="40195" spans="7:16" s="1634" customFormat="1">
      <c r="G40195" s="3336"/>
      <c r="P40195" s="3337"/>
    </row>
    <row r="40196" spans="7:16" s="1634" customFormat="1">
      <c r="G40196" s="3336"/>
      <c r="P40196" s="3337"/>
    </row>
    <row r="40197" spans="7:16" s="1634" customFormat="1">
      <c r="G40197" s="3336"/>
      <c r="P40197" s="3337"/>
    </row>
    <row r="40198" spans="7:16" s="1634" customFormat="1">
      <c r="G40198" s="3336"/>
      <c r="P40198" s="3337"/>
    </row>
    <row r="40199" spans="7:16" s="1634" customFormat="1">
      <c r="G40199" s="3336"/>
      <c r="P40199" s="3337"/>
    </row>
    <row r="40200" spans="7:16" s="1634" customFormat="1">
      <c r="G40200" s="3336"/>
      <c r="P40200" s="3337"/>
    </row>
    <row r="40201" spans="7:16" s="1634" customFormat="1">
      <c r="G40201" s="3336"/>
      <c r="P40201" s="3337"/>
    </row>
    <row r="40202" spans="7:16" s="1634" customFormat="1">
      <c r="G40202" s="3336"/>
      <c r="P40202" s="3337"/>
    </row>
    <row r="40203" spans="7:16" s="1634" customFormat="1">
      <c r="G40203" s="3336"/>
      <c r="P40203" s="3337"/>
    </row>
    <row r="40204" spans="7:16" s="1634" customFormat="1">
      <c r="G40204" s="3336"/>
      <c r="P40204" s="3337"/>
    </row>
    <row r="40205" spans="7:16" s="1634" customFormat="1">
      <c r="G40205" s="3336"/>
      <c r="P40205" s="3337"/>
    </row>
    <row r="40206" spans="7:16" s="1634" customFormat="1">
      <c r="G40206" s="3336"/>
      <c r="P40206" s="3337"/>
    </row>
    <row r="40207" spans="7:16" s="1634" customFormat="1">
      <c r="G40207" s="3336"/>
      <c r="P40207" s="3337"/>
    </row>
    <row r="40208" spans="7:16" s="1634" customFormat="1">
      <c r="G40208" s="3336"/>
      <c r="P40208" s="3337"/>
    </row>
    <row r="40209" spans="7:16" s="1634" customFormat="1">
      <c r="G40209" s="3336"/>
      <c r="P40209" s="3337"/>
    </row>
    <row r="40210" spans="7:16" s="1634" customFormat="1">
      <c r="G40210" s="3336"/>
      <c r="P40210" s="3337"/>
    </row>
    <row r="40211" spans="7:16" s="1634" customFormat="1">
      <c r="G40211" s="3336"/>
      <c r="P40211" s="3337"/>
    </row>
    <row r="40212" spans="7:16" s="1634" customFormat="1">
      <c r="G40212" s="3336"/>
      <c r="P40212" s="3337"/>
    </row>
    <row r="40213" spans="7:16" s="1634" customFormat="1">
      <c r="G40213" s="3336"/>
      <c r="P40213" s="3337"/>
    </row>
    <row r="40214" spans="7:16" s="1634" customFormat="1">
      <c r="G40214" s="3336"/>
      <c r="P40214" s="3337"/>
    </row>
    <row r="40215" spans="7:16" s="1634" customFormat="1">
      <c r="G40215" s="3336"/>
      <c r="P40215" s="3337"/>
    </row>
    <row r="40216" spans="7:16" s="1634" customFormat="1">
      <c r="G40216" s="3336"/>
      <c r="P40216" s="3337"/>
    </row>
    <row r="40217" spans="7:16" s="1634" customFormat="1">
      <c r="G40217" s="3336"/>
      <c r="P40217" s="3337"/>
    </row>
    <row r="40218" spans="7:16" s="1634" customFormat="1">
      <c r="G40218" s="3336"/>
      <c r="P40218" s="3337"/>
    </row>
    <row r="40219" spans="7:16" s="1634" customFormat="1">
      <c r="G40219" s="3336"/>
      <c r="P40219" s="3337"/>
    </row>
    <row r="40220" spans="7:16" s="1634" customFormat="1">
      <c r="G40220" s="3336"/>
      <c r="P40220" s="3337"/>
    </row>
    <row r="40221" spans="7:16" s="1634" customFormat="1">
      <c r="G40221" s="3336"/>
      <c r="P40221" s="3337"/>
    </row>
    <row r="40222" spans="7:16" s="1634" customFormat="1">
      <c r="G40222" s="3336"/>
      <c r="P40222" s="3337"/>
    </row>
    <row r="40223" spans="7:16" s="1634" customFormat="1">
      <c r="G40223" s="3336"/>
      <c r="P40223" s="3337"/>
    </row>
    <row r="40224" spans="7:16" s="1634" customFormat="1">
      <c r="G40224" s="3336"/>
      <c r="P40224" s="3337"/>
    </row>
    <row r="40225" spans="7:16" s="1634" customFormat="1">
      <c r="G40225" s="3336"/>
      <c r="P40225" s="3337"/>
    </row>
    <row r="40226" spans="7:16" s="1634" customFormat="1">
      <c r="G40226" s="3336"/>
      <c r="P40226" s="3337"/>
    </row>
    <row r="40227" spans="7:16" s="1634" customFormat="1">
      <c r="G40227" s="3336"/>
      <c r="P40227" s="3337"/>
    </row>
    <row r="40228" spans="7:16" s="1634" customFormat="1">
      <c r="G40228" s="3336"/>
      <c r="P40228" s="3337"/>
    </row>
    <row r="40229" spans="7:16" s="1634" customFormat="1">
      <c r="G40229" s="3336"/>
      <c r="P40229" s="3337"/>
    </row>
    <row r="40230" spans="7:16" s="1634" customFormat="1">
      <c r="G40230" s="3336"/>
      <c r="P40230" s="3337"/>
    </row>
    <row r="40231" spans="7:16" s="1634" customFormat="1">
      <c r="G40231" s="3336"/>
      <c r="P40231" s="3337"/>
    </row>
    <row r="40232" spans="7:16" s="1634" customFormat="1">
      <c r="G40232" s="3336"/>
      <c r="P40232" s="3337"/>
    </row>
    <row r="40233" spans="7:16" s="1634" customFormat="1">
      <c r="G40233" s="3336"/>
      <c r="P40233" s="3337"/>
    </row>
    <row r="40234" spans="7:16" s="1634" customFormat="1">
      <c r="G40234" s="3336"/>
      <c r="P40234" s="3337"/>
    </row>
    <row r="40235" spans="7:16" s="1634" customFormat="1">
      <c r="G40235" s="3336"/>
      <c r="P40235" s="3337"/>
    </row>
    <row r="40236" spans="7:16" s="1634" customFormat="1">
      <c r="G40236" s="3336"/>
      <c r="P40236" s="3337"/>
    </row>
    <row r="40237" spans="7:16" s="1634" customFormat="1">
      <c r="G40237" s="3336"/>
      <c r="P40237" s="3337"/>
    </row>
    <row r="40238" spans="7:16" s="1634" customFormat="1">
      <c r="G40238" s="3336"/>
      <c r="P40238" s="3337"/>
    </row>
    <row r="40239" spans="7:16" s="1634" customFormat="1">
      <c r="G40239" s="3336"/>
      <c r="P40239" s="3337"/>
    </row>
    <row r="40240" spans="7:16" s="1634" customFormat="1">
      <c r="G40240" s="3336"/>
      <c r="P40240" s="3337"/>
    </row>
    <row r="40241" spans="7:16" s="1634" customFormat="1">
      <c r="G40241" s="3336"/>
      <c r="P40241" s="3337"/>
    </row>
    <row r="40242" spans="7:16" s="1634" customFormat="1">
      <c r="G40242" s="3336"/>
      <c r="P40242" s="3337"/>
    </row>
    <row r="40243" spans="7:16" s="1634" customFormat="1">
      <c r="G40243" s="3336"/>
      <c r="P40243" s="3337"/>
    </row>
    <row r="40244" spans="7:16" s="1634" customFormat="1">
      <c r="G40244" s="3336"/>
      <c r="P40244" s="3337"/>
    </row>
    <row r="40245" spans="7:16" s="1634" customFormat="1">
      <c r="G40245" s="3336"/>
      <c r="P40245" s="3337"/>
    </row>
    <row r="40246" spans="7:16" s="1634" customFormat="1">
      <c r="G40246" s="3336"/>
      <c r="P40246" s="3337"/>
    </row>
    <row r="40247" spans="7:16" s="1634" customFormat="1">
      <c r="G40247" s="3336"/>
      <c r="P40247" s="3337"/>
    </row>
    <row r="40248" spans="7:16" s="1634" customFormat="1">
      <c r="G40248" s="3336"/>
      <c r="P40248" s="3337"/>
    </row>
    <row r="40249" spans="7:16" s="1634" customFormat="1">
      <c r="G40249" s="3336"/>
      <c r="P40249" s="3337"/>
    </row>
    <row r="40250" spans="7:16" s="1634" customFormat="1">
      <c r="G40250" s="3336"/>
      <c r="P40250" s="3337"/>
    </row>
    <row r="40251" spans="7:16" s="1634" customFormat="1">
      <c r="G40251" s="3336"/>
      <c r="P40251" s="3337"/>
    </row>
    <row r="40252" spans="7:16" s="1634" customFormat="1">
      <c r="G40252" s="3336"/>
      <c r="P40252" s="3337"/>
    </row>
    <row r="40253" spans="7:16" s="1634" customFormat="1">
      <c r="G40253" s="3336"/>
      <c r="P40253" s="3337"/>
    </row>
    <row r="40254" spans="7:16" s="1634" customFormat="1">
      <c r="G40254" s="3336"/>
      <c r="P40254" s="3337"/>
    </row>
    <row r="40255" spans="7:16" s="1634" customFormat="1">
      <c r="G40255" s="3336"/>
      <c r="P40255" s="3337"/>
    </row>
    <row r="40256" spans="7:16" s="1634" customFormat="1">
      <c r="G40256" s="3336"/>
      <c r="P40256" s="3337"/>
    </row>
    <row r="40257" spans="7:16" s="1634" customFormat="1">
      <c r="G40257" s="3336"/>
      <c r="P40257" s="3337"/>
    </row>
    <row r="40258" spans="7:16" s="1634" customFormat="1">
      <c r="G40258" s="3336"/>
      <c r="P40258" s="3337"/>
    </row>
    <row r="40259" spans="7:16" s="1634" customFormat="1">
      <c r="G40259" s="3336"/>
      <c r="P40259" s="3337"/>
    </row>
    <row r="40260" spans="7:16" s="1634" customFormat="1">
      <c r="G40260" s="3336"/>
      <c r="P40260" s="3337"/>
    </row>
    <row r="40261" spans="7:16" s="1634" customFormat="1">
      <c r="G40261" s="3336"/>
      <c r="P40261" s="3337"/>
    </row>
    <row r="40262" spans="7:16" s="1634" customFormat="1">
      <c r="G40262" s="3336"/>
      <c r="P40262" s="3337"/>
    </row>
    <row r="40263" spans="7:16" s="1634" customFormat="1">
      <c r="G40263" s="3336"/>
      <c r="P40263" s="3337"/>
    </row>
    <row r="40264" spans="7:16" s="1634" customFormat="1">
      <c r="G40264" s="3336"/>
      <c r="P40264" s="3337"/>
    </row>
    <row r="40265" spans="7:16" s="1634" customFormat="1">
      <c r="G40265" s="3336"/>
      <c r="P40265" s="3337"/>
    </row>
    <row r="40266" spans="7:16" s="1634" customFormat="1">
      <c r="G40266" s="3336"/>
      <c r="P40266" s="3337"/>
    </row>
    <row r="40267" spans="7:16" s="1634" customFormat="1">
      <c r="G40267" s="3336"/>
      <c r="P40267" s="3337"/>
    </row>
    <row r="40268" spans="7:16" s="1634" customFormat="1">
      <c r="G40268" s="3336"/>
      <c r="P40268" s="3337"/>
    </row>
    <row r="40269" spans="7:16" s="1634" customFormat="1">
      <c r="G40269" s="3336"/>
      <c r="P40269" s="3337"/>
    </row>
    <row r="40270" spans="7:16" s="1634" customFormat="1">
      <c r="G40270" s="3336"/>
      <c r="P40270" s="3337"/>
    </row>
    <row r="40271" spans="7:16" s="1634" customFormat="1">
      <c r="G40271" s="3336"/>
      <c r="P40271" s="3337"/>
    </row>
    <row r="40272" spans="7:16" s="1634" customFormat="1">
      <c r="G40272" s="3336"/>
      <c r="P40272" s="3337"/>
    </row>
    <row r="40273" spans="7:16" s="1634" customFormat="1">
      <c r="G40273" s="3336"/>
      <c r="P40273" s="3337"/>
    </row>
    <row r="40274" spans="7:16" s="1634" customFormat="1">
      <c r="G40274" s="3336"/>
      <c r="P40274" s="3337"/>
    </row>
    <row r="40275" spans="7:16" s="1634" customFormat="1">
      <c r="G40275" s="3336"/>
      <c r="P40275" s="3337"/>
    </row>
    <row r="40276" spans="7:16" s="1634" customFormat="1">
      <c r="G40276" s="3336"/>
      <c r="P40276" s="3337"/>
    </row>
    <row r="40277" spans="7:16" s="1634" customFormat="1">
      <c r="G40277" s="3336"/>
      <c r="P40277" s="3337"/>
    </row>
    <row r="40278" spans="7:16" s="1634" customFormat="1">
      <c r="G40278" s="3336"/>
      <c r="P40278" s="3337"/>
    </row>
    <row r="40279" spans="7:16" s="1634" customFormat="1">
      <c r="G40279" s="3336"/>
      <c r="P40279" s="3337"/>
    </row>
    <row r="40280" spans="7:16" s="1634" customFormat="1">
      <c r="G40280" s="3336"/>
      <c r="P40280" s="3337"/>
    </row>
    <row r="40281" spans="7:16" s="1634" customFormat="1">
      <c r="G40281" s="3336"/>
      <c r="P40281" s="3337"/>
    </row>
    <row r="40282" spans="7:16" s="1634" customFormat="1">
      <c r="G40282" s="3336"/>
      <c r="P40282" s="3337"/>
    </row>
    <row r="40283" spans="7:16" s="1634" customFormat="1">
      <c r="G40283" s="3336"/>
      <c r="P40283" s="3337"/>
    </row>
    <row r="40284" spans="7:16" s="1634" customFormat="1">
      <c r="G40284" s="3336"/>
      <c r="P40284" s="3337"/>
    </row>
    <row r="40285" spans="7:16" s="1634" customFormat="1">
      <c r="G40285" s="3336"/>
      <c r="P40285" s="3337"/>
    </row>
    <row r="40286" spans="7:16" s="1634" customFormat="1">
      <c r="G40286" s="3336"/>
      <c r="P40286" s="3337"/>
    </row>
    <row r="40287" spans="7:16" s="1634" customFormat="1">
      <c r="G40287" s="3336"/>
      <c r="P40287" s="3337"/>
    </row>
    <row r="40288" spans="7:16" s="1634" customFormat="1">
      <c r="G40288" s="3336"/>
      <c r="P40288" s="3337"/>
    </row>
    <row r="40289" spans="7:16" s="1634" customFormat="1">
      <c r="G40289" s="3336"/>
      <c r="P40289" s="3337"/>
    </row>
    <row r="40290" spans="7:16" s="1634" customFormat="1">
      <c r="G40290" s="3336"/>
      <c r="P40290" s="3337"/>
    </row>
    <row r="40291" spans="7:16" s="1634" customFormat="1">
      <c r="G40291" s="3336"/>
      <c r="P40291" s="3337"/>
    </row>
    <row r="40292" spans="7:16" s="1634" customFormat="1">
      <c r="G40292" s="3336"/>
      <c r="P40292" s="3337"/>
    </row>
    <row r="40293" spans="7:16" s="1634" customFormat="1">
      <c r="G40293" s="3336"/>
      <c r="P40293" s="3337"/>
    </row>
    <row r="40294" spans="7:16" s="1634" customFormat="1">
      <c r="G40294" s="3336"/>
      <c r="P40294" s="3337"/>
    </row>
    <row r="40295" spans="7:16" s="1634" customFormat="1">
      <c r="G40295" s="3336"/>
      <c r="P40295" s="3337"/>
    </row>
    <row r="40296" spans="7:16" s="1634" customFormat="1">
      <c r="G40296" s="3336"/>
      <c r="P40296" s="3337"/>
    </row>
    <row r="40297" spans="7:16" s="1634" customFormat="1">
      <c r="G40297" s="3336"/>
      <c r="P40297" s="3337"/>
    </row>
    <row r="40298" spans="7:16" s="1634" customFormat="1">
      <c r="G40298" s="3336"/>
      <c r="P40298" s="3337"/>
    </row>
    <row r="40299" spans="7:16" s="1634" customFormat="1">
      <c r="G40299" s="3336"/>
      <c r="P40299" s="3337"/>
    </row>
    <row r="40300" spans="7:16" s="1634" customFormat="1">
      <c r="G40300" s="3336"/>
      <c r="P40300" s="3337"/>
    </row>
    <row r="40301" spans="7:16" s="1634" customFormat="1">
      <c r="G40301" s="3336"/>
      <c r="P40301" s="3337"/>
    </row>
    <row r="40302" spans="7:16" s="1634" customFormat="1">
      <c r="G40302" s="3336"/>
      <c r="P40302" s="3337"/>
    </row>
    <row r="40303" spans="7:16" s="1634" customFormat="1">
      <c r="G40303" s="3336"/>
      <c r="P40303" s="3337"/>
    </row>
    <row r="40304" spans="7:16" s="1634" customFormat="1">
      <c r="G40304" s="3336"/>
      <c r="P40304" s="3337"/>
    </row>
    <row r="40305" spans="7:16" s="1634" customFormat="1">
      <c r="G40305" s="3336"/>
      <c r="P40305" s="3337"/>
    </row>
    <row r="40306" spans="7:16" s="1634" customFormat="1">
      <c r="G40306" s="3336"/>
      <c r="P40306" s="3337"/>
    </row>
    <row r="40307" spans="7:16" s="1634" customFormat="1">
      <c r="G40307" s="3336"/>
      <c r="P40307" s="3337"/>
    </row>
    <row r="40308" spans="7:16" s="1634" customFormat="1">
      <c r="G40308" s="3336"/>
      <c r="P40308" s="3337"/>
    </row>
    <row r="40309" spans="7:16" s="1634" customFormat="1">
      <c r="G40309" s="3336"/>
      <c r="P40309" s="3337"/>
    </row>
    <row r="40310" spans="7:16" s="1634" customFormat="1">
      <c r="G40310" s="3336"/>
      <c r="P40310" s="3337"/>
    </row>
    <row r="40311" spans="7:16" s="1634" customFormat="1">
      <c r="G40311" s="3336"/>
      <c r="P40311" s="3337"/>
    </row>
    <row r="40312" spans="7:16" s="1634" customFormat="1">
      <c r="G40312" s="3336"/>
      <c r="P40312" s="3337"/>
    </row>
    <row r="40313" spans="7:16" s="1634" customFormat="1">
      <c r="G40313" s="3336"/>
      <c r="P40313" s="3337"/>
    </row>
    <row r="40314" spans="7:16" s="1634" customFormat="1">
      <c r="G40314" s="3336"/>
      <c r="P40314" s="3337"/>
    </row>
    <row r="40315" spans="7:16" s="1634" customFormat="1">
      <c r="G40315" s="3336"/>
      <c r="P40315" s="3337"/>
    </row>
    <row r="40316" spans="7:16" s="1634" customFormat="1">
      <c r="G40316" s="3336"/>
      <c r="P40316" s="3337"/>
    </row>
    <row r="40317" spans="7:16" s="1634" customFormat="1">
      <c r="G40317" s="3336"/>
      <c r="P40317" s="3337"/>
    </row>
    <row r="40318" spans="7:16" s="1634" customFormat="1">
      <c r="G40318" s="3336"/>
      <c r="P40318" s="3337"/>
    </row>
    <row r="40319" spans="7:16" s="1634" customFormat="1">
      <c r="G40319" s="3336"/>
      <c r="P40319" s="3337"/>
    </row>
    <row r="40320" spans="7:16" s="1634" customFormat="1">
      <c r="G40320" s="3336"/>
      <c r="P40320" s="3337"/>
    </row>
    <row r="40321" spans="7:16" s="1634" customFormat="1">
      <c r="G40321" s="3336"/>
      <c r="P40321" s="3337"/>
    </row>
    <row r="40322" spans="7:16" s="1634" customFormat="1">
      <c r="G40322" s="3336"/>
      <c r="P40322" s="3337"/>
    </row>
    <row r="40323" spans="7:16" s="1634" customFormat="1">
      <c r="G40323" s="3336"/>
      <c r="P40323" s="3337"/>
    </row>
    <row r="40324" spans="7:16" s="1634" customFormat="1">
      <c r="G40324" s="3336"/>
      <c r="P40324" s="3337"/>
    </row>
    <row r="40325" spans="7:16" s="1634" customFormat="1">
      <c r="G40325" s="3336"/>
      <c r="P40325" s="3337"/>
    </row>
    <row r="40326" spans="7:16" s="1634" customFormat="1">
      <c r="G40326" s="3336"/>
      <c r="P40326" s="3337"/>
    </row>
    <row r="40327" spans="7:16" s="1634" customFormat="1">
      <c r="G40327" s="3336"/>
      <c r="P40327" s="3337"/>
    </row>
    <row r="40328" spans="7:16" s="1634" customFormat="1">
      <c r="G40328" s="3336"/>
      <c r="P40328" s="3337"/>
    </row>
    <row r="40329" spans="7:16" s="1634" customFormat="1">
      <c r="G40329" s="3336"/>
      <c r="P40329" s="3337"/>
    </row>
    <row r="40330" spans="7:16" s="1634" customFormat="1">
      <c r="G40330" s="3336"/>
      <c r="P40330" s="3337"/>
    </row>
    <row r="40331" spans="7:16" s="1634" customFormat="1">
      <c r="G40331" s="3336"/>
      <c r="P40331" s="3337"/>
    </row>
    <row r="40332" spans="7:16" s="1634" customFormat="1">
      <c r="G40332" s="3336"/>
      <c r="P40332" s="3337"/>
    </row>
    <row r="40333" spans="7:16" s="1634" customFormat="1">
      <c r="G40333" s="3336"/>
      <c r="P40333" s="3337"/>
    </row>
    <row r="40334" spans="7:16" s="1634" customFormat="1">
      <c r="G40334" s="3336"/>
      <c r="P40334" s="3337"/>
    </row>
    <row r="40335" spans="7:16" s="1634" customFormat="1">
      <c r="G40335" s="3336"/>
      <c r="P40335" s="3337"/>
    </row>
    <row r="40336" spans="7:16" s="1634" customFormat="1">
      <c r="G40336" s="3336"/>
      <c r="P40336" s="3337"/>
    </row>
    <row r="40337" spans="7:16" s="1634" customFormat="1">
      <c r="G40337" s="3336"/>
      <c r="P40337" s="3337"/>
    </row>
    <row r="40338" spans="7:16" s="1634" customFormat="1">
      <c r="G40338" s="3336"/>
      <c r="P40338" s="3337"/>
    </row>
    <row r="40339" spans="7:16" s="1634" customFormat="1">
      <c r="G40339" s="3336"/>
      <c r="P40339" s="3337"/>
    </row>
    <row r="40340" spans="7:16" s="1634" customFormat="1">
      <c r="G40340" s="3336"/>
      <c r="P40340" s="3337"/>
    </row>
    <row r="40341" spans="7:16" s="1634" customFormat="1">
      <c r="G40341" s="3336"/>
      <c r="P40341" s="3337"/>
    </row>
    <row r="40342" spans="7:16" s="1634" customFormat="1">
      <c r="G40342" s="3336"/>
      <c r="P40342" s="3337"/>
    </row>
    <row r="40343" spans="7:16" s="1634" customFormat="1">
      <c r="G40343" s="3336"/>
      <c r="P40343" s="3337"/>
    </row>
    <row r="40344" spans="7:16" s="1634" customFormat="1">
      <c r="G40344" s="3336"/>
      <c r="P40344" s="3337"/>
    </row>
    <row r="40345" spans="7:16" s="1634" customFormat="1">
      <c r="G40345" s="3336"/>
      <c r="P40345" s="3337"/>
    </row>
    <row r="40346" spans="7:16" s="1634" customFormat="1">
      <c r="G40346" s="3336"/>
      <c r="P40346" s="3337"/>
    </row>
    <row r="40347" spans="7:16" s="1634" customFormat="1">
      <c r="G40347" s="3336"/>
      <c r="P40347" s="3337"/>
    </row>
    <row r="40348" spans="7:16" s="1634" customFormat="1">
      <c r="G40348" s="3336"/>
      <c r="P40348" s="3337"/>
    </row>
    <row r="40349" spans="7:16" s="1634" customFormat="1">
      <c r="G40349" s="3336"/>
      <c r="P40349" s="3337"/>
    </row>
    <row r="40350" spans="7:16" s="1634" customFormat="1">
      <c r="G40350" s="3336"/>
      <c r="P40350" s="3337"/>
    </row>
    <row r="40351" spans="7:16" s="1634" customFormat="1">
      <c r="G40351" s="3336"/>
      <c r="P40351" s="3337"/>
    </row>
    <row r="40352" spans="7:16" s="1634" customFormat="1">
      <c r="G40352" s="3336"/>
      <c r="P40352" s="3337"/>
    </row>
    <row r="40353" spans="7:16" s="1634" customFormat="1">
      <c r="G40353" s="3336"/>
      <c r="P40353" s="3337"/>
    </row>
    <row r="40354" spans="7:16" s="1634" customFormat="1">
      <c r="G40354" s="3336"/>
      <c r="P40354" s="3337"/>
    </row>
    <row r="40355" spans="7:16" s="1634" customFormat="1">
      <c r="G40355" s="3336"/>
      <c r="P40355" s="3337"/>
    </row>
    <row r="40356" spans="7:16" s="1634" customFormat="1">
      <c r="G40356" s="3336"/>
      <c r="P40356" s="3337"/>
    </row>
    <row r="40357" spans="7:16" s="1634" customFormat="1">
      <c r="G40357" s="3336"/>
      <c r="P40357" s="3337"/>
    </row>
    <row r="40358" spans="7:16" s="1634" customFormat="1">
      <c r="G40358" s="3336"/>
      <c r="P40358" s="3337"/>
    </row>
    <row r="40359" spans="7:16" s="1634" customFormat="1">
      <c r="G40359" s="3336"/>
      <c r="P40359" s="3337"/>
    </row>
    <row r="40360" spans="7:16" s="1634" customFormat="1">
      <c r="G40360" s="3336"/>
      <c r="P40360" s="3337"/>
    </row>
    <row r="40361" spans="7:16" s="1634" customFormat="1">
      <c r="G40361" s="3336"/>
      <c r="P40361" s="3337"/>
    </row>
    <row r="40362" spans="7:16" s="1634" customFormat="1">
      <c r="G40362" s="3336"/>
      <c r="P40362" s="3337"/>
    </row>
    <row r="40363" spans="7:16" s="1634" customFormat="1">
      <c r="G40363" s="3336"/>
      <c r="P40363" s="3337"/>
    </row>
    <row r="40364" spans="7:16" s="1634" customFormat="1">
      <c r="G40364" s="3336"/>
      <c r="P40364" s="3337"/>
    </row>
    <row r="40365" spans="7:16" s="1634" customFormat="1">
      <c r="G40365" s="3336"/>
      <c r="P40365" s="3337"/>
    </row>
    <row r="40366" spans="7:16" s="1634" customFormat="1">
      <c r="G40366" s="3336"/>
      <c r="P40366" s="3337"/>
    </row>
    <row r="40367" spans="7:16" s="1634" customFormat="1">
      <c r="G40367" s="3336"/>
      <c r="P40367" s="3337"/>
    </row>
    <row r="40368" spans="7:16" s="1634" customFormat="1">
      <c r="G40368" s="3336"/>
      <c r="P40368" s="3337"/>
    </row>
    <row r="40369" spans="7:16" s="1634" customFormat="1">
      <c r="G40369" s="3336"/>
      <c r="P40369" s="3337"/>
    </row>
    <row r="40370" spans="7:16" s="1634" customFormat="1">
      <c r="G40370" s="3336"/>
      <c r="P40370" s="3337"/>
    </row>
    <row r="40371" spans="7:16" s="1634" customFormat="1">
      <c r="G40371" s="3336"/>
      <c r="P40371" s="3337"/>
    </row>
    <row r="40372" spans="7:16" s="1634" customFormat="1">
      <c r="G40372" s="3336"/>
      <c r="P40372" s="3337"/>
    </row>
    <row r="40373" spans="7:16" s="1634" customFormat="1">
      <c r="G40373" s="3336"/>
      <c r="P40373" s="3337"/>
    </row>
    <row r="40374" spans="7:16" s="1634" customFormat="1">
      <c r="G40374" s="3336"/>
      <c r="P40374" s="3337"/>
    </row>
    <row r="40375" spans="7:16" s="1634" customFormat="1">
      <c r="G40375" s="3336"/>
      <c r="P40375" s="3337"/>
    </row>
    <row r="40376" spans="7:16" s="1634" customFormat="1">
      <c r="G40376" s="3336"/>
      <c r="P40376" s="3337"/>
    </row>
    <row r="40377" spans="7:16" s="1634" customFormat="1">
      <c r="G40377" s="3336"/>
      <c r="P40377" s="3337"/>
    </row>
    <row r="40378" spans="7:16" s="1634" customFormat="1">
      <c r="G40378" s="3336"/>
      <c r="P40378" s="3337"/>
    </row>
    <row r="40379" spans="7:16" s="1634" customFormat="1">
      <c r="G40379" s="3336"/>
      <c r="P40379" s="3337"/>
    </row>
    <row r="40380" spans="7:16" s="1634" customFormat="1">
      <c r="G40380" s="3336"/>
      <c r="P40380" s="3337"/>
    </row>
    <row r="40381" spans="7:16" s="1634" customFormat="1">
      <c r="G40381" s="3336"/>
      <c r="P40381" s="3337"/>
    </row>
    <row r="40382" spans="7:16" s="1634" customFormat="1">
      <c r="G40382" s="3336"/>
      <c r="P40382" s="3337"/>
    </row>
    <row r="40383" spans="7:16" s="1634" customFormat="1">
      <c r="G40383" s="3336"/>
      <c r="P40383" s="3337"/>
    </row>
    <row r="40384" spans="7:16" s="1634" customFormat="1">
      <c r="G40384" s="3336"/>
      <c r="P40384" s="3337"/>
    </row>
    <row r="40385" spans="7:16" s="1634" customFormat="1">
      <c r="G40385" s="3336"/>
      <c r="P40385" s="3337"/>
    </row>
    <row r="40386" spans="7:16" s="1634" customFormat="1">
      <c r="G40386" s="3336"/>
      <c r="P40386" s="3337"/>
    </row>
    <row r="40387" spans="7:16" s="1634" customFormat="1">
      <c r="G40387" s="3336"/>
      <c r="P40387" s="3337"/>
    </row>
    <row r="40388" spans="7:16" s="1634" customFormat="1">
      <c r="G40388" s="3336"/>
      <c r="P40388" s="3337"/>
    </row>
    <row r="40389" spans="7:16" s="1634" customFormat="1">
      <c r="G40389" s="3336"/>
      <c r="P40389" s="3337"/>
    </row>
    <row r="40390" spans="7:16" s="1634" customFormat="1">
      <c r="G40390" s="3336"/>
      <c r="P40390" s="3337"/>
    </row>
    <row r="40391" spans="7:16" s="1634" customFormat="1">
      <c r="G40391" s="3336"/>
      <c r="P40391" s="3337"/>
    </row>
    <row r="40392" spans="7:16" s="1634" customFormat="1">
      <c r="G40392" s="3336"/>
      <c r="P40392" s="3337"/>
    </row>
    <row r="40393" spans="7:16" s="1634" customFormat="1">
      <c r="G40393" s="3336"/>
      <c r="P40393" s="3337"/>
    </row>
    <row r="40394" spans="7:16" s="1634" customFormat="1">
      <c r="G40394" s="3336"/>
      <c r="P40394" s="3337"/>
    </row>
    <row r="40395" spans="7:16" s="1634" customFormat="1">
      <c r="G40395" s="3336"/>
      <c r="P40395" s="3337"/>
    </row>
    <row r="40396" spans="7:16" s="1634" customFormat="1">
      <c r="G40396" s="3336"/>
      <c r="P40396" s="3337"/>
    </row>
    <row r="40397" spans="7:16" s="1634" customFormat="1">
      <c r="G40397" s="3336"/>
      <c r="P40397" s="3337"/>
    </row>
    <row r="40398" spans="7:16" s="1634" customFormat="1">
      <c r="G40398" s="3336"/>
      <c r="P40398" s="3337"/>
    </row>
    <row r="40399" spans="7:16" s="1634" customFormat="1">
      <c r="G40399" s="3336"/>
      <c r="P40399" s="3337"/>
    </row>
    <row r="40400" spans="7:16" s="1634" customFormat="1">
      <c r="G40400" s="3336"/>
      <c r="P40400" s="3337"/>
    </row>
    <row r="40401" spans="7:16" s="1634" customFormat="1">
      <c r="G40401" s="3336"/>
      <c r="P40401" s="3337"/>
    </row>
    <row r="40402" spans="7:16" s="1634" customFormat="1">
      <c r="G40402" s="3336"/>
      <c r="P40402" s="3337"/>
    </row>
    <row r="40403" spans="7:16" s="1634" customFormat="1">
      <c r="G40403" s="3336"/>
      <c r="P40403" s="3337"/>
    </row>
    <row r="40404" spans="7:16" s="1634" customFormat="1">
      <c r="G40404" s="3336"/>
      <c r="P40404" s="3337"/>
    </row>
    <row r="40405" spans="7:16" s="1634" customFormat="1">
      <c r="G40405" s="3336"/>
      <c r="P40405" s="3337"/>
    </row>
    <row r="40406" spans="7:16" s="1634" customFormat="1">
      <c r="G40406" s="3336"/>
      <c r="P40406" s="3337"/>
    </row>
    <row r="40407" spans="7:16" s="1634" customFormat="1">
      <c r="G40407" s="3336"/>
      <c r="P40407" s="3337"/>
    </row>
    <row r="40408" spans="7:16" s="1634" customFormat="1">
      <c r="G40408" s="3336"/>
      <c r="P40408" s="3337"/>
    </row>
    <row r="40409" spans="7:16" s="1634" customFormat="1">
      <c r="G40409" s="3336"/>
      <c r="P40409" s="3337"/>
    </row>
    <row r="40410" spans="7:16" s="1634" customFormat="1">
      <c r="G40410" s="3336"/>
      <c r="P40410" s="3337"/>
    </row>
    <row r="40411" spans="7:16" s="1634" customFormat="1">
      <c r="G40411" s="3336"/>
      <c r="P40411" s="3337"/>
    </row>
    <row r="40412" spans="7:16" s="1634" customFormat="1">
      <c r="G40412" s="3336"/>
      <c r="P40412" s="3337"/>
    </row>
    <row r="40413" spans="7:16" s="1634" customFormat="1">
      <c r="G40413" s="3336"/>
      <c r="P40413" s="3337"/>
    </row>
    <row r="40414" spans="7:16" s="1634" customFormat="1">
      <c r="G40414" s="3336"/>
      <c r="P40414" s="3337"/>
    </row>
    <row r="40415" spans="7:16" s="1634" customFormat="1">
      <c r="G40415" s="3336"/>
      <c r="P40415" s="3337"/>
    </row>
    <row r="40416" spans="7:16" s="1634" customFormat="1">
      <c r="G40416" s="3336"/>
      <c r="P40416" s="3337"/>
    </row>
    <row r="40417" spans="7:16" s="1634" customFormat="1">
      <c r="G40417" s="3336"/>
      <c r="P40417" s="3337"/>
    </row>
    <row r="40418" spans="7:16" s="1634" customFormat="1">
      <c r="G40418" s="3336"/>
      <c r="P40418" s="3337"/>
    </row>
    <row r="40419" spans="7:16" s="1634" customFormat="1">
      <c r="G40419" s="3336"/>
      <c r="P40419" s="3337"/>
    </row>
    <row r="40420" spans="7:16" s="1634" customFormat="1">
      <c r="G40420" s="3336"/>
      <c r="P40420" s="3337"/>
    </row>
    <row r="40421" spans="7:16" s="1634" customFormat="1">
      <c r="G40421" s="3336"/>
      <c r="P40421" s="3337"/>
    </row>
    <row r="40422" spans="7:16" s="1634" customFormat="1">
      <c r="G40422" s="3336"/>
      <c r="P40422" s="3337"/>
    </row>
    <row r="40423" spans="7:16" s="1634" customFormat="1">
      <c r="G40423" s="3336"/>
      <c r="P40423" s="3337"/>
    </row>
    <row r="40424" spans="7:16" s="1634" customFormat="1">
      <c r="G40424" s="3336"/>
      <c r="P40424" s="3337"/>
    </row>
    <row r="40425" spans="7:16" s="1634" customFormat="1">
      <c r="G40425" s="3336"/>
      <c r="P40425" s="3337"/>
    </row>
    <row r="40426" spans="7:16" s="1634" customFormat="1">
      <c r="G40426" s="3336"/>
      <c r="P40426" s="3337"/>
    </row>
    <row r="40427" spans="7:16" s="1634" customFormat="1">
      <c r="G40427" s="3336"/>
      <c r="P40427" s="3337"/>
    </row>
    <row r="40428" spans="7:16" s="1634" customFormat="1">
      <c r="G40428" s="3336"/>
      <c r="P40428" s="3337"/>
    </row>
    <row r="40429" spans="7:16" s="1634" customFormat="1">
      <c r="G40429" s="3336"/>
      <c r="P40429" s="3337"/>
    </row>
    <row r="40430" spans="7:16" s="1634" customFormat="1">
      <c r="G40430" s="3336"/>
      <c r="P40430" s="3337"/>
    </row>
    <row r="40431" spans="7:16" s="1634" customFormat="1">
      <c r="G40431" s="3336"/>
      <c r="P40431" s="3337"/>
    </row>
    <row r="40432" spans="7:16" s="1634" customFormat="1">
      <c r="G40432" s="3336"/>
      <c r="P40432" s="3337"/>
    </row>
    <row r="40433" spans="7:16" s="1634" customFormat="1">
      <c r="G40433" s="3336"/>
      <c r="P40433" s="3337"/>
    </row>
    <row r="40434" spans="7:16" s="1634" customFormat="1">
      <c r="G40434" s="3336"/>
      <c r="P40434" s="3337"/>
    </row>
    <row r="40435" spans="7:16" s="1634" customFormat="1">
      <c r="G40435" s="3336"/>
      <c r="P40435" s="3337"/>
    </row>
    <row r="40436" spans="7:16" s="1634" customFormat="1">
      <c r="G40436" s="3336"/>
      <c r="P40436" s="3337"/>
    </row>
    <row r="40437" spans="7:16" s="1634" customFormat="1">
      <c r="G40437" s="3336"/>
      <c r="P40437" s="3337"/>
    </row>
    <row r="40438" spans="7:16" s="1634" customFormat="1">
      <c r="G40438" s="3336"/>
      <c r="P40438" s="3337"/>
    </row>
    <row r="40439" spans="7:16" s="1634" customFormat="1">
      <c r="G40439" s="3336"/>
      <c r="P40439" s="3337"/>
    </row>
    <row r="40440" spans="7:16" s="1634" customFormat="1">
      <c r="G40440" s="3336"/>
      <c r="P40440" s="3337"/>
    </row>
    <row r="40441" spans="7:16" s="1634" customFormat="1">
      <c r="G40441" s="3336"/>
      <c r="P40441" s="3337"/>
    </row>
    <row r="40442" spans="7:16" s="1634" customFormat="1">
      <c r="G40442" s="3336"/>
      <c r="P40442" s="3337"/>
    </row>
    <row r="40443" spans="7:16" s="1634" customFormat="1">
      <c r="G40443" s="3336"/>
      <c r="P40443" s="3337"/>
    </row>
    <row r="40444" spans="7:16" s="1634" customFormat="1">
      <c r="G40444" s="3336"/>
      <c r="P40444" s="3337"/>
    </row>
    <row r="40445" spans="7:16" s="1634" customFormat="1">
      <c r="G40445" s="3336"/>
      <c r="P40445" s="3337"/>
    </row>
    <row r="40446" spans="7:16" s="1634" customFormat="1">
      <c r="G40446" s="3336"/>
      <c r="P40446" s="3337"/>
    </row>
    <row r="40447" spans="7:16" s="1634" customFormat="1">
      <c r="G40447" s="3336"/>
      <c r="P40447" s="3337"/>
    </row>
    <row r="40448" spans="7:16" s="1634" customFormat="1">
      <c r="G40448" s="3336"/>
      <c r="P40448" s="3337"/>
    </row>
    <row r="40449" spans="7:16" s="1634" customFormat="1">
      <c r="G40449" s="3336"/>
      <c r="P40449" s="3337"/>
    </row>
    <row r="40450" spans="7:16" s="1634" customFormat="1">
      <c r="G40450" s="3336"/>
      <c r="P40450" s="3337"/>
    </row>
    <row r="40451" spans="7:16" s="1634" customFormat="1">
      <c r="G40451" s="3336"/>
      <c r="P40451" s="3337"/>
    </row>
    <row r="40452" spans="7:16" s="1634" customFormat="1">
      <c r="G40452" s="3336"/>
      <c r="P40452" s="3337"/>
    </row>
    <row r="40453" spans="7:16" s="1634" customFormat="1">
      <c r="G40453" s="3336"/>
      <c r="P40453" s="3337"/>
    </row>
    <row r="40454" spans="7:16" s="1634" customFormat="1">
      <c r="G40454" s="3336"/>
      <c r="P40454" s="3337"/>
    </row>
    <row r="40455" spans="7:16" s="1634" customFormat="1">
      <c r="G40455" s="3336"/>
      <c r="P40455" s="3337"/>
    </row>
    <row r="40456" spans="7:16" s="1634" customFormat="1">
      <c r="G40456" s="3336"/>
      <c r="P40456" s="3337"/>
    </row>
    <row r="40457" spans="7:16" s="1634" customFormat="1">
      <c r="G40457" s="3336"/>
      <c r="P40457" s="3337"/>
    </row>
    <row r="40458" spans="7:16" s="1634" customFormat="1">
      <c r="G40458" s="3336"/>
      <c r="P40458" s="3337"/>
    </row>
    <row r="40459" spans="7:16" s="1634" customFormat="1">
      <c r="G40459" s="3336"/>
      <c r="P40459" s="3337"/>
    </row>
    <row r="40460" spans="7:16" s="1634" customFormat="1">
      <c r="G40460" s="3336"/>
      <c r="P40460" s="3337"/>
    </row>
    <row r="40461" spans="7:16" s="1634" customFormat="1">
      <c r="G40461" s="3336"/>
      <c r="P40461" s="3337"/>
    </row>
    <row r="40462" spans="7:16" s="1634" customFormat="1">
      <c r="G40462" s="3336"/>
      <c r="P40462" s="3337"/>
    </row>
    <row r="40463" spans="7:16" s="1634" customFormat="1">
      <c r="G40463" s="3336"/>
      <c r="P40463" s="3337"/>
    </row>
    <row r="40464" spans="7:16" s="1634" customFormat="1">
      <c r="G40464" s="3336"/>
      <c r="P40464" s="3337"/>
    </row>
    <row r="40465" spans="7:16" s="1634" customFormat="1">
      <c r="G40465" s="3336"/>
      <c r="P40465" s="3337"/>
    </row>
    <row r="40466" spans="7:16" s="1634" customFormat="1">
      <c r="G40466" s="3336"/>
      <c r="P40466" s="3337"/>
    </row>
    <row r="40467" spans="7:16" s="1634" customFormat="1">
      <c r="G40467" s="3336"/>
      <c r="P40467" s="3337"/>
    </row>
    <row r="40468" spans="7:16" s="1634" customFormat="1">
      <c r="G40468" s="3336"/>
      <c r="P40468" s="3337"/>
    </row>
    <row r="40469" spans="7:16" s="1634" customFormat="1">
      <c r="G40469" s="3336"/>
      <c r="P40469" s="3337"/>
    </row>
    <row r="40470" spans="7:16" s="1634" customFormat="1">
      <c r="G40470" s="3336"/>
      <c r="P40470" s="3337"/>
    </row>
    <row r="40471" spans="7:16" s="1634" customFormat="1">
      <c r="G40471" s="3336"/>
      <c r="P40471" s="3337"/>
    </row>
    <row r="40472" spans="7:16" s="1634" customFormat="1">
      <c r="G40472" s="3336"/>
      <c r="P40472" s="3337"/>
    </row>
    <row r="40473" spans="7:16" s="1634" customFormat="1">
      <c r="G40473" s="3336"/>
      <c r="P40473" s="3337"/>
    </row>
    <row r="40474" spans="7:16" s="1634" customFormat="1">
      <c r="G40474" s="3336"/>
      <c r="P40474" s="3337"/>
    </row>
    <row r="40475" spans="7:16" s="1634" customFormat="1">
      <c r="G40475" s="3336"/>
      <c r="P40475" s="3337"/>
    </row>
    <row r="40476" spans="7:16" s="1634" customFormat="1">
      <c r="G40476" s="3336"/>
      <c r="P40476" s="3337"/>
    </row>
    <row r="40477" spans="7:16" s="1634" customFormat="1">
      <c r="G40477" s="3336"/>
      <c r="P40477" s="3337"/>
    </row>
    <row r="40478" spans="7:16" s="1634" customFormat="1">
      <c r="G40478" s="3336"/>
      <c r="P40478" s="3337"/>
    </row>
    <row r="40479" spans="7:16" s="1634" customFormat="1">
      <c r="G40479" s="3336"/>
      <c r="P40479" s="3337"/>
    </row>
    <row r="40480" spans="7:16" s="1634" customFormat="1">
      <c r="G40480" s="3336"/>
      <c r="P40480" s="3337"/>
    </row>
    <row r="40481" spans="7:16" s="1634" customFormat="1">
      <c r="G40481" s="3336"/>
      <c r="P40481" s="3337"/>
    </row>
    <row r="40482" spans="7:16" s="1634" customFormat="1">
      <c r="G40482" s="3336"/>
      <c r="P40482" s="3337"/>
    </row>
    <row r="40483" spans="7:16" s="1634" customFormat="1">
      <c r="G40483" s="3336"/>
      <c r="P40483" s="3337"/>
    </row>
    <row r="40484" spans="7:16" s="1634" customFormat="1">
      <c r="G40484" s="3336"/>
      <c r="P40484" s="3337"/>
    </row>
    <row r="40485" spans="7:16" s="1634" customFormat="1">
      <c r="G40485" s="3336"/>
      <c r="P40485" s="3337"/>
    </row>
    <row r="40486" spans="7:16" s="1634" customFormat="1">
      <c r="G40486" s="3336"/>
      <c r="P40486" s="3337"/>
    </row>
    <row r="40487" spans="7:16" s="1634" customFormat="1">
      <c r="G40487" s="3336"/>
      <c r="P40487" s="3337"/>
    </row>
    <row r="40488" spans="7:16" s="1634" customFormat="1">
      <c r="G40488" s="3336"/>
      <c r="P40488" s="3337"/>
    </row>
    <row r="40489" spans="7:16" s="1634" customFormat="1">
      <c r="G40489" s="3336"/>
      <c r="P40489" s="3337"/>
    </row>
    <row r="40490" spans="7:16" s="1634" customFormat="1">
      <c r="G40490" s="3336"/>
      <c r="P40490" s="3337"/>
    </row>
    <row r="40491" spans="7:16" s="1634" customFormat="1">
      <c r="G40491" s="3336"/>
      <c r="P40491" s="3337"/>
    </row>
    <row r="40492" spans="7:16" s="1634" customFormat="1">
      <c r="G40492" s="3336"/>
      <c r="P40492" s="3337"/>
    </row>
    <row r="40493" spans="7:16" s="1634" customFormat="1">
      <c r="G40493" s="3336"/>
      <c r="P40493" s="3337"/>
    </row>
    <row r="40494" spans="7:16" s="1634" customFormat="1">
      <c r="G40494" s="3336"/>
      <c r="P40494" s="3337"/>
    </row>
    <row r="40495" spans="7:16" s="1634" customFormat="1">
      <c r="G40495" s="3336"/>
      <c r="P40495" s="3337"/>
    </row>
    <row r="40496" spans="7:16" s="1634" customFormat="1">
      <c r="G40496" s="3336"/>
      <c r="P40496" s="3337"/>
    </row>
    <row r="40497" spans="7:16" s="1634" customFormat="1">
      <c r="G40497" s="3336"/>
      <c r="P40497" s="3337"/>
    </row>
    <row r="40498" spans="7:16" s="1634" customFormat="1">
      <c r="G40498" s="3336"/>
      <c r="P40498" s="3337"/>
    </row>
    <row r="40499" spans="7:16" s="1634" customFormat="1">
      <c r="G40499" s="3336"/>
      <c r="P40499" s="3337"/>
    </row>
    <row r="40500" spans="7:16" s="1634" customFormat="1">
      <c r="G40500" s="3336"/>
      <c r="P40500" s="3337"/>
    </row>
    <row r="40501" spans="7:16" s="1634" customFormat="1">
      <c r="G40501" s="3336"/>
      <c r="P40501" s="3337"/>
    </row>
    <row r="40502" spans="7:16" s="1634" customFormat="1">
      <c r="G40502" s="3336"/>
      <c r="P40502" s="3337"/>
    </row>
    <row r="40503" spans="7:16" s="1634" customFormat="1">
      <c r="G40503" s="3336"/>
      <c r="P40503" s="3337"/>
    </row>
    <row r="40504" spans="7:16" s="1634" customFormat="1">
      <c r="G40504" s="3336"/>
      <c r="P40504" s="3337"/>
    </row>
    <row r="40505" spans="7:16" s="1634" customFormat="1">
      <c r="G40505" s="3336"/>
      <c r="P40505" s="3337"/>
    </row>
    <row r="40506" spans="7:16" s="1634" customFormat="1">
      <c r="G40506" s="3336"/>
      <c r="P40506" s="3337"/>
    </row>
    <row r="40507" spans="7:16" s="1634" customFormat="1">
      <c r="G40507" s="3336"/>
      <c r="P40507" s="3337"/>
    </row>
    <row r="40508" spans="7:16" s="1634" customFormat="1">
      <c r="G40508" s="3336"/>
      <c r="P40508" s="3337"/>
    </row>
    <row r="40509" spans="7:16" s="1634" customFormat="1">
      <c r="G40509" s="3336"/>
      <c r="P40509" s="3337"/>
    </row>
    <row r="40510" spans="7:16" s="1634" customFormat="1">
      <c r="G40510" s="3336"/>
      <c r="P40510" s="3337"/>
    </row>
    <row r="40511" spans="7:16" s="1634" customFormat="1">
      <c r="G40511" s="3336"/>
      <c r="P40511" s="3337"/>
    </row>
    <row r="40512" spans="7:16" s="1634" customFormat="1">
      <c r="G40512" s="3336"/>
      <c r="P40512" s="3337"/>
    </row>
    <row r="40513" spans="7:16" s="1634" customFormat="1">
      <c r="G40513" s="3336"/>
      <c r="P40513" s="3337"/>
    </row>
    <row r="40514" spans="7:16" s="1634" customFormat="1">
      <c r="G40514" s="3336"/>
      <c r="P40514" s="3337"/>
    </row>
    <row r="40515" spans="7:16" s="1634" customFormat="1">
      <c r="G40515" s="3336"/>
      <c r="P40515" s="3337"/>
    </row>
    <row r="40516" spans="7:16" s="1634" customFormat="1">
      <c r="G40516" s="3336"/>
      <c r="P40516" s="3337"/>
    </row>
    <row r="40517" spans="7:16" s="1634" customFormat="1">
      <c r="G40517" s="3336"/>
      <c r="P40517" s="3337"/>
    </row>
    <row r="40518" spans="7:16" s="1634" customFormat="1">
      <c r="G40518" s="3336"/>
      <c r="P40518" s="3337"/>
    </row>
    <row r="40519" spans="7:16" s="1634" customFormat="1">
      <c r="G40519" s="3336"/>
      <c r="P40519" s="3337"/>
    </row>
    <row r="40520" spans="7:16" s="1634" customFormat="1">
      <c r="G40520" s="3336"/>
      <c r="P40520" s="3337"/>
    </row>
    <row r="40521" spans="7:16" s="1634" customFormat="1">
      <c r="G40521" s="3336"/>
      <c r="P40521" s="3337"/>
    </row>
    <row r="40522" spans="7:16" s="1634" customFormat="1">
      <c r="G40522" s="3336"/>
      <c r="P40522" s="3337"/>
    </row>
    <row r="40523" spans="7:16" s="1634" customFormat="1">
      <c r="G40523" s="3336"/>
      <c r="P40523" s="3337"/>
    </row>
    <row r="40524" spans="7:16" s="1634" customFormat="1">
      <c r="G40524" s="3336"/>
      <c r="P40524" s="3337"/>
    </row>
    <row r="40525" spans="7:16" s="1634" customFormat="1">
      <c r="G40525" s="3336"/>
      <c r="P40525" s="3337"/>
    </row>
    <row r="40526" spans="7:16" s="1634" customFormat="1">
      <c r="G40526" s="3336"/>
      <c r="P40526" s="3337"/>
    </row>
    <row r="40527" spans="7:16" s="1634" customFormat="1">
      <c r="G40527" s="3336"/>
      <c r="P40527" s="3337"/>
    </row>
    <row r="40528" spans="7:16" s="1634" customFormat="1">
      <c r="G40528" s="3336"/>
      <c r="P40528" s="3337"/>
    </row>
    <row r="40529" spans="7:16" s="1634" customFormat="1">
      <c r="G40529" s="3336"/>
      <c r="P40529" s="3337"/>
    </row>
    <row r="40530" spans="7:16" s="1634" customFormat="1">
      <c r="G40530" s="3336"/>
      <c r="P40530" s="3337"/>
    </row>
    <row r="40531" spans="7:16" s="1634" customFormat="1">
      <c r="G40531" s="3336"/>
      <c r="P40531" s="3337"/>
    </row>
    <row r="40532" spans="7:16" s="1634" customFormat="1">
      <c r="G40532" s="3336"/>
      <c r="P40532" s="3337"/>
    </row>
    <row r="40533" spans="7:16" s="1634" customFormat="1">
      <c r="G40533" s="3336"/>
      <c r="P40533" s="3337"/>
    </row>
    <row r="40534" spans="7:16" s="1634" customFormat="1">
      <c r="G40534" s="3336"/>
      <c r="P40534" s="3337"/>
    </row>
    <row r="40535" spans="7:16" s="1634" customFormat="1">
      <c r="G40535" s="3336"/>
      <c r="P40535" s="3337"/>
    </row>
    <row r="40536" spans="7:16" s="1634" customFormat="1">
      <c r="G40536" s="3336"/>
      <c r="P40536" s="3337"/>
    </row>
    <row r="40537" spans="7:16" s="1634" customFormat="1">
      <c r="G40537" s="3336"/>
      <c r="P40537" s="3337"/>
    </row>
    <row r="40538" spans="7:16" s="1634" customFormat="1">
      <c r="G40538" s="3336"/>
      <c r="P40538" s="3337"/>
    </row>
    <row r="40539" spans="7:16" s="1634" customFormat="1">
      <c r="G40539" s="3336"/>
      <c r="P40539" s="3337"/>
    </row>
    <row r="40540" spans="7:16" s="1634" customFormat="1">
      <c r="G40540" s="3336"/>
      <c r="P40540" s="3337"/>
    </row>
    <row r="40541" spans="7:16" s="1634" customFormat="1">
      <c r="G40541" s="3336"/>
      <c r="P40541" s="3337"/>
    </row>
    <row r="40542" spans="7:16" s="1634" customFormat="1">
      <c r="G40542" s="3336"/>
      <c r="P40542" s="3337"/>
    </row>
    <row r="40543" spans="7:16" s="1634" customFormat="1">
      <c r="G40543" s="3336"/>
      <c r="P40543" s="3337"/>
    </row>
    <row r="40544" spans="7:16" s="1634" customFormat="1">
      <c r="G40544" s="3336"/>
      <c r="P40544" s="3337"/>
    </row>
    <row r="40545" spans="7:16" s="1634" customFormat="1">
      <c r="G40545" s="3336"/>
      <c r="P40545" s="3337"/>
    </row>
    <row r="40546" spans="7:16" s="1634" customFormat="1">
      <c r="G40546" s="3336"/>
      <c r="P40546" s="3337"/>
    </row>
    <row r="40547" spans="7:16" s="1634" customFormat="1">
      <c r="G40547" s="3336"/>
      <c r="P40547" s="3337"/>
    </row>
    <row r="40548" spans="7:16" s="1634" customFormat="1">
      <c r="G40548" s="3336"/>
      <c r="P40548" s="3337"/>
    </row>
    <row r="40549" spans="7:16" s="1634" customFormat="1">
      <c r="G40549" s="3336"/>
      <c r="P40549" s="3337"/>
    </row>
    <row r="40550" spans="7:16" s="1634" customFormat="1">
      <c r="G40550" s="3336"/>
      <c r="P40550" s="3337"/>
    </row>
    <row r="40551" spans="7:16" s="1634" customFormat="1">
      <c r="G40551" s="3336"/>
      <c r="P40551" s="3337"/>
    </row>
    <row r="40552" spans="7:16" s="1634" customFormat="1">
      <c r="G40552" s="3336"/>
      <c r="P40552" s="3337"/>
    </row>
    <row r="40553" spans="7:16" s="1634" customFormat="1">
      <c r="G40553" s="3336"/>
      <c r="P40553" s="3337"/>
    </row>
    <row r="40554" spans="7:16" s="1634" customFormat="1">
      <c r="G40554" s="3336"/>
      <c r="P40554" s="3337"/>
    </row>
    <row r="40555" spans="7:16" s="1634" customFormat="1">
      <c r="G40555" s="3336"/>
      <c r="P40555" s="3337"/>
    </row>
    <row r="40556" spans="7:16" s="1634" customFormat="1">
      <c r="G40556" s="3336"/>
      <c r="P40556" s="3337"/>
    </row>
    <row r="40557" spans="7:16" s="1634" customFormat="1">
      <c r="G40557" s="3336"/>
      <c r="P40557" s="3337"/>
    </row>
    <row r="40558" spans="7:16" s="1634" customFormat="1">
      <c r="G40558" s="3336"/>
      <c r="P40558" s="3337"/>
    </row>
    <row r="40559" spans="7:16" s="1634" customFormat="1">
      <c r="G40559" s="3336"/>
      <c r="P40559" s="3337"/>
    </row>
    <row r="40560" spans="7:16" s="1634" customFormat="1">
      <c r="G40560" s="3336"/>
      <c r="P40560" s="3337"/>
    </row>
    <row r="40561" spans="7:16" s="1634" customFormat="1">
      <c r="G40561" s="3336"/>
      <c r="P40561" s="3337"/>
    </row>
    <row r="40562" spans="7:16" s="1634" customFormat="1">
      <c r="G40562" s="3336"/>
      <c r="P40562" s="3337"/>
    </row>
    <row r="40563" spans="7:16" s="1634" customFormat="1">
      <c r="G40563" s="3336"/>
      <c r="P40563" s="3337"/>
    </row>
    <row r="40564" spans="7:16" s="1634" customFormat="1">
      <c r="G40564" s="3336"/>
      <c r="P40564" s="3337"/>
    </row>
    <row r="40565" spans="7:16" s="1634" customFormat="1">
      <c r="G40565" s="3336"/>
      <c r="P40565" s="3337"/>
    </row>
    <row r="40566" spans="7:16" s="1634" customFormat="1">
      <c r="G40566" s="3336"/>
      <c r="P40566" s="3337"/>
    </row>
    <row r="40567" spans="7:16" s="1634" customFormat="1">
      <c r="G40567" s="3336"/>
      <c r="P40567" s="3337"/>
    </row>
    <row r="40568" spans="7:16" s="1634" customFormat="1">
      <c r="G40568" s="3336"/>
      <c r="P40568" s="3337"/>
    </row>
    <row r="40569" spans="7:16" s="1634" customFormat="1">
      <c r="G40569" s="3336"/>
      <c r="P40569" s="3337"/>
    </row>
    <row r="40570" spans="7:16" s="1634" customFormat="1">
      <c r="G40570" s="3336"/>
      <c r="P40570" s="3337"/>
    </row>
    <row r="40571" spans="7:16" s="1634" customFormat="1">
      <c r="G40571" s="3336"/>
      <c r="P40571" s="3337"/>
    </row>
    <row r="40572" spans="7:16" s="1634" customFormat="1">
      <c r="G40572" s="3336"/>
      <c r="P40572" s="3337"/>
    </row>
    <row r="40573" spans="7:16" s="1634" customFormat="1">
      <c r="G40573" s="3336"/>
      <c r="P40573" s="3337"/>
    </row>
    <row r="40574" spans="7:16" s="1634" customFormat="1">
      <c r="G40574" s="3336"/>
      <c r="P40574" s="3337"/>
    </row>
    <row r="40575" spans="7:16" s="1634" customFormat="1">
      <c r="G40575" s="3336"/>
      <c r="P40575" s="3337"/>
    </row>
    <row r="40576" spans="7:16" s="1634" customFormat="1">
      <c r="G40576" s="3336"/>
      <c r="P40576" s="3337"/>
    </row>
    <row r="40577" spans="7:16" s="1634" customFormat="1">
      <c r="G40577" s="3336"/>
      <c r="P40577" s="3337"/>
    </row>
    <row r="40578" spans="7:16" s="1634" customFormat="1">
      <c r="G40578" s="3336"/>
      <c r="P40578" s="3337"/>
    </row>
    <row r="40579" spans="7:16" s="1634" customFormat="1">
      <c r="G40579" s="3336"/>
      <c r="P40579" s="3337"/>
    </row>
    <row r="40580" spans="7:16" s="1634" customFormat="1">
      <c r="G40580" s="3336"/>
      <c r="P40580" s="3337"/>
    </row>
    <row r="40581" spans="7:16" s="1634" customFormat="1">
      <c r="G40581" s="3336"/>
      <c r="P40581" s="3337"/>
    </row>
    <row r="40582" spans="7:16" s="1634" customFormat="1">
      <c r="G40582" s="3336"/>
      <c r="P40582" s="3337"/>
    </row>
    <row r="40583" spans="7:16" s="1634" customFormat="1">
      <c r="G40583" s="3336"/>
      <c r="P40583" s="3337"/>
    </row>
    <row r="40584" spans="7:16" s="1634" customFormat="1">
      <c r="G40584" s="3336"/>
      <c r="P40584" s="3337"/>
    </row>
    <row r="40585" spans="7:16" s="1634" customFormat="1">
      <c r="G40585" s="3336"/>
      <c r="P40585" s="3337"/>
    </row>
    <row r="40586" spans="7:16" s="1634" customFormat="1">
      <c r="G40586" s="3336"/>
      <c r="P40586" s="3337"/>
    </row>
    <row r="40587" spans="7:16" s="1634" customFormat="1">
      <c r="G40587" s="3336"/>
      <c r="P40587" s="3337"/>
    </row>
    <row r="40588" spans="7:16" s="1634" customFormat="1">
      <c r="G40588" s="3336"/>
      <c r="P40588" s="3337"/>
    </row>
    <row r="40589" spans="7:16" s="1634" customFormat="1">
      <c r="G40589" s="3336"/>
      <c r="P40589" s="3337"/>
    </row>
    <row r="40590" spans="7:16" s="1634" customFormat="1">
      <c r="G40590" s="3336"/>
      <c r="P40590" s="3337"/>
    </row>
    <row r="40591" spans="7:16" s="1634" customFormat="1">
      <c r="G40591" s="3336"/>
      <c r="P40591" s="3337"/>
    </row>
    <row r="40592" spans="7:16" s="1634" customFormat="1">
      <c r="G40592" s="3336"/>
      <c r="P40592" s="3337"/>
    </row>
    <row r="40593" spans="7:16" s="1634" customFormat="1">
      <c r="G40593" s="3336"/>
      <c r="P40593" s="3337"/>
    </row>
    <row r="40594" spans="7:16" s="1634" customFormat="1">
      <c r="G40594" s="3336"/>
      <c r="P40594" s="3337"/>
    </row>
    <row r="40595" spans="7:16" s="1634" customFormat="1">
      <c r="G40595" s="3336"/>
      <c r="P40595" s="3337"/>
    </row>
    <row r="40596" spans="7:16" s="1634" customFormat="1">
      <c r="G40596" s="3336"/>
      <c r="P40596" s="3337"/>
    </row>
    <row r="40597" spans="7:16" s="1634" customFormat="1">
      <c r="G40597" s="3336"/>
      <c r="P40597" s="3337"/>
    </row>
    <row r="40598" spans="7:16" s="1634" customFormat="1">
      <c r="G40598" s="3336"/>
      <c r="P40598" s="3337"/>
    </row>
    <row r="40599" spans="7:16" s="1634" customFormat="1">
      <c r="G40599" s="3336"/>
      <c r="P40599" s="3337"/>
    </row>
    <row r="40600" spans="7:16" s="1634" customFormat="1">
      <c r="G40600" s="3336"/>
      <c r="P40600" s="3337"/>
    </row>
    <row r="40601" spans="7:16" s="1634" customFormat="1">
      <c r="G40601" s="3336"/>
      <c r="P40601" s="3337"/>
    </row>
    <row r="40602" spans="7:16" s="1634" customFormat="1">
      <c r="G40602" s="3336"/>
      <c r="P40602" s="3337"/>
    </row>
    <row r="40603" spans="7:16" s="1634" customFormat="1">
      <c r="G40603" s="3336"/>
      <c r="P40603" s="3337"/>
    </row>
    <row r="40604" spans="7:16" s="1634" customFormat="1">
      <c r="G40604" s="3336"/>
      <c r="P40604" s="3337"/>
    </row>
    <row r="40605" spans="7:16" s="1634" customFormat="1">
      <c r="G40605" s="3336"/>
      <c r="P40605" s="3337"/>
    </row>
    <row r="40606" spans="7:16" s="1634" customFormat="1">
      <c r="G40606" s="3336"/>
      <c r="P40606" s="3337"/>
    </row>
    <row r="40607" spans="7:16" s="1634" customFormat="1">
      <c r="G40607" s="3336"/>
      <c r="P40607" s="3337"/>
    </row>
    <row r="40608" spans="7:16" s="1634" customFormat="1">
      <c r="G40608" s="3336"/>
      <c r="P40608" s="3337"/>
    </row>
    <row r="40609" spans="7:16" s="1634" customFormat="1">
      <c r="G40609" s="3336"/>
      <c r="P40609" s="3337"/>
    </row>
    <row r="40610" spans="7:16" s="1634" customFormat="1">
      <c r="G40610" s="3336"/>
      <c r="P40610" s="3337"/>
    </row>
    <row r="40611" spans="7:16" s="1634" customFormat="1">
      <c r="G40611" s="3336"/>
      <c r="P40611" s="3337"/>
    </row>
    <row r="40612" spans="7:16" s="1634" customFormat="1">
      <c r="G40612" s="3336"/>
      <c r="P40612" s="3337"/>
    </row>
    <row r="40613" spans="7:16" s="1634" customFormat="1">
      <c r="G40613" s="3336"/>
      <c r="P40613" s="3337"/>
    </row>
    <row r="40614" spans="7:16" s="1634" customFormat="1">
      <c r="G40614" s="3336"/>
      <c r="P40614" s="3337"/>
    </row>
    <row r="40615" spans="7:16" s="1634" customFormat="1">
      <c r="G40615" s="3336"/>
      <c r="P40615" s="3337"/>
    </row>
    <row r="40616" spans="7:16" s="1634" customFormat="1">
      <c r="G40616" s="3336"/>
      <c r="P40616" s="3337"/>
    </row>
    <row r="40617" spans="7:16" s="1634" customFormat="1">
      <c r="G40617" s="3336"/>
      <c r="P40617" s="3337"/>
    </row>
    <row r="40618" spans="7:16" s="1634" customFormat="1">
      <c r="G40618" s="3336"/>
      <c r="P40618" s="3337"/>
    </row>
    <row r="40619" spans="7:16" s="1634" customFormat="1">
      <c r="G40619" s="3336"/>
      <c r="P40619" s="3337"/>
    </row>
    <row r="40620" spans="7:16" s="1634" customFormat="1">
      <c r="G40620" s="3336"/>
      <c r="P40620" s="3337"/>
    </row>
    <row r="40621" spans="7:16" s="1634" customFormat="1">
      <c r="G40621" s="3336"/>
      <c r="P40621" s="3337"/>
    </row>
    <row r="40622" spans="7:16" s="1634" customFormat="1">
      <c r="G40622" s="3336"/>
      <c r="P40622" s="3337"/>
    </row>
    <row r="40623" spans="7:16" s="1634" customFormat="1">
      <c r="G40623" s="3336"/>
      <c r="P40623" s="3337"/>
    </row>
    <row r="40624" spans="7:16" s="1634" customFormat="1">
      <c r="G40624" s="3336"/>
      <c r="P40624" s="3337"/>
    </row>
    <row r="40625" spans="7:16" s="1634" customFormat="1">
      <c r="G40625" s="3336"/>
      <c r="P40625" s="3337"/>
    </row>
    <row r="40626" spans="7:16" s="1634" customFormat="1">
      <c r="G40626" s="3336"/>
      <c r="P40626" s="3337"/>
    </row>
    <row r="40627" spans="7:16" s="1634" customFormat="1">
      <c r="G40627" s="3336"/>
      <c r="P40627" s="3337"/>
    </row>
    <row r="40628" spans="7:16" s="1634" customFormat="1">
      <c r="G40628" s="3336"/>
      <c r="P40628" s="3337"/>
    </row>
    <row r="40629" spans="7:16" s="1634" customFormat="1">
      <c r="G40629" s="3336"/>
      <c r="P40629" s="3337"/>
    </row>
    <row r="40630" spans="7:16" s="1634" customFormat="1">
      <c r="G40630" s="3336"/>
      <c r="P40630" s="3337"/>
    </row>
    <row r="40631" spans="7:16" s="1634" customFormat="1">
      <c r="G40631" s="3336"/>
      <c r="P40631" s="3337"/>
    </row>
    <row r="40632" spans="7:16" s="1634" customFormat="1">
      <c r="G40632" s="3336"/>
      <c r="P40632" s="3337"/>
    </row>
    <row r="40633" spans="7:16" s="1634" customFormat="1">
      <c r="G40633" s="3336"/>
      <c r="P40633" s="3337"/>
    </row>
    <row r="40634" spans="7:16" s="1634" customFormat="1">
      <c r="G40634" s="3336"/>
      <c r="P40634" s="3337"/>
    </row>
    <row r="40635" spans="7:16" s="1634" customFormat="1">
      <c r="G40635" s="3336"/>
      <c r="P40635" s="3337"/>
    </row>
    <row r="40636" spans="7:16" s="1634" customFormat="1">
      <c r="G40636" s="3336"/>
      <c r="P40636" s="3337"/>
    </row>
    <row r="40637" spans="7:16" s="1634" customFormat="1">
      <c r="G40637" s="3336"/>
      <c r="P40637" s="3337"/>
    </row>
    <row r="40638" spans="7:16" s="1634" customFormat="1">
      <c r="G40638" s="3336"/>
      <c r="P40638" s="3337"/>
    </row>
    <row r="40639" spans="7:16" s="1634" customFormat="1">
      <c r="G40639" s="3336"/>
      <c r="P40639" s="3337"/>
    </row>
    <row r="40640" spans="7:16" s="1634" customFormat="1">
      <c r="G40640" s="3336"/>
      <c r="P40640" s="3337"/>
    </row>
    <row r="40641" spans="7:16" s="1634" customFormat="1">
      <c r="G40641" s="3336"/>
      <c r="P40641" s="3337"/>
    </row>
    <row r="40642" spans="7:16" s="1634" customFormat="1">
      <c r="G40642" s="3336"/>
      <c r="P40642" s="3337"/>
    </row>
    <row r="40643" spans="7:16" s="1634" customFormat="1">
      <c r="G40643" s="3336"/>
      <c r="P40643" s="3337"/>
    </row>
    <row r="40644" spans="7:16" s="1634" customFormat="1">
      <c r="G40644" s="3336"/>
      <c r="P40644" s="3337"/>
    </row>
    <row r="40645" spans="7:16" s="1634" customFormat="1">
      <c r="G40645" s="3336"/>
      <c r="P40645" s="3337"/>
    </row>
    <row r="40646" spans="7:16" s="1634" customFormat="1">
      <c r="G40646" s="3336"/>
      <c r="P40646" s="3337"/>
    </row>
    <row r="40647" spans="7:16" s="1634" customFormat="1">
      <c r="G40647" s="3336"/>
      <c r="P40647" s="3337"/>
    </row>
    <row r="40648" spans="7:16" s="1634" customFormat="1">
      <c r="G40648" s="3336"/>
      <c r="P40648" s="3337"/>
    </row>
    <row r="40649" spans="7:16" s="1634" customFormat="1">
      <c r="G40649" s="3336"/>
      <c r="P40649" s="3337"/>
    </row>
    <row r="40650" spans="7:16" s="1634" customFormat="1">
      <c r="G40650" s="3336"/>
      <c r="P40650" s="3337"/>
    </row>
    <row r="40651" spans="7:16" s="1634" customFormat="1">
      <c r="G40651" s="3336"/>
      <c r="P40651" s="3337"/>
    </row>
    <row r="40652" spans="7:16" s="1634" customFormat="1">
      <c r="G40652" s="3336"/>
      <c r="P40652" s="3337"/>
    </row>
    <row r="40653" spans="7:16" s="1634" customFormat="1">
      <c r="G40653" s="3336"/>
      <c r="P40653" s="3337"/>
    </row>
    <row r="40654" spans="7:16" s="1634" customFormat="1">
      <c r="G40654" s="3336"/>
      <c r="P40654" s="3337"/>
    </row>
    <row r="40655" spans="7:16" s="1634" customFormat="1">
      <c r="G40655" s="3336"/>
      <c r="P40655" s="3337"/>
    </row>
    <row r="40656" spans="7:16" s="1634" customFormat="1">
      <c r="G40656" s="3336"/>
      <c r="P40656" s="3337"/>
    </row>
    <row r="40657" spans="7:16" s="1634" customFormat="1">
      <c r="G40657" s="3336"/>
      <c r="P40657" s="3337"/>
    </row>
    <row r="40658" spans="7:16" s="1634" customFormat="1">
      <c r="G40658" s="3336"/>
      <c r="P40658" s="3337"/>
    </row>
    <row r="40659" spans="7:16" s="1634" customFormat="1">
      <c r="G40659" s="3336"/>
      <c r="P40659" s="3337"/>
    </row>
    <row r="40660" spans="7:16" s="1634" customFormat="1">
      <c r="G40660" s="3336"/>
      <c r="P40660" s="3337"/>
    </row>
    <row r="40661" spans="7:16" s="1634" customFormat="1">
      <c r="G40661" s="3336"/>
      <c r="P40661" s="3337"/>
    </row>
    <row r="40662" spans="7:16" s="1634" customFormat="1">
      <c r="G40662" s="3336"/>
      <c r="P40662" s="3337"/>
    </row>
    <row r="40663" spans="7:16" s="1634" customFormat="1">
      <c r="G40663" s="3336"/>
      <c r="P40663" s="3337"/>
    </row>
    <row r="40664" spans="7:16" s="1634" customFormat="1">
      <c r="G40664" s="3336"/>
      <c r="P40664" s="3337"/>
    </row>
    <row r="40665" spans="7:16" s="1634" customFormat="1">
      <c r="G40665" s="3336"/>
      <c r="P40665" s="3337"/>
    </row>
    <row r="40666" spans="7:16" s="1634" customFormat="1">
      <c r="G40666" s="3336"/>
      <c r="P40666" s="3337"/>
    </row>
    <row r="40667" spans="7:16" s="1634" customFormat="1">
      <c r="G40667" s="3336"/>
      <c r="P40667" s="3337"/>
    </row>
    <row r="40668" spans="7:16" s="1634" customFormat="1">
      <c r="G40668" s="3336"/>
      <c r="P40668" s="3337"/>
    </row>
    <row r="40669" spans="7:16" s="1634" customFormat="1">
      <c r="G40669" s="3336"/>
      <c r="P40669" s="3337"/>
    </row>
    <row r="40670" spans="7:16" s="1634" customFormat="1">
      <c r="G40670" s="3336"/>
      <c r="P40670" s="3337"/>
    </row>
    <row r="40671" spans="7:16" s="1634" customFormat="1">
      <c r="G40671" s="3336"/>
      <c r="P40671" s="3337"/>
    </row>
    <row r="40672" spans="7:16" s="1634" customFormat="1">
      <c r="G40672" s="3336"/>
      <c r="P40672" s="3337"/>
    </row>
    <row r="40673" spans="7:16" s="1634" customFormat="1">
      <c r="G40673" s="3336"/>
      <c r="P40673" s="3337"/>
    </row>
    <row r="40674" spans="7:16" s="1634" customFormat="1">
      <c r="G40674" s="3336"/>
      <c r="P40674" s="3337"/>
    </row>
    <row r="40675" spans="7:16" s="1634" customFormat="1">
      <c r="G40675" s="3336"/>
      <c r="P40675" s="3337"/>
    </row>
    <row r="40676" spans="7:16" s="1634" customFormat="1">
      <c r="G40676" s="3336"/>
      <c r="P40676" s="3337"/>
    </row>
    <row r="40677" spans="7:16" s="1634" customFormat="1">
      <c r="G40677" s="3336"/>
      <c r="P40677" s="3337"/>
    </row>
    <row r="40678" spans="7:16" s="1634" customFormat="1">
      <c r="G40678" s="3336"/>
      <c r="P40678" s="3337"/>
    </row>
    <row r="40679" spans="7:16" s="1634" customFormat="1">
      <c r="G40679" s="3336"/>
      <c r="P40679" s="3337"/>
    </row>
    <row r="40680" spans="7:16" s="1634" customFormat="1">
      <c r="G40680" s="3336"/>
      <c r="P40680" s="3337"/>
    </row>
    <row r="40681" spans="7:16" s="1634" customFormat="1">
      <c r="G40681" s="3336"/>
      <c r="P40681" s="3337"/>
    </row>
    <row r="40682" spans="7:16" s="1634" customFormat="1">
      <c r="G40682" s="3336"/>
      <c r="P40682" s="3337"/>
    </row>
    <row r="40683" spans="7:16" s="1634" customFormat="1">
      <c r="G40683" s="3336"/>
      <c r="P40683" s="3337"/>
    </row>
    <row r="40684" spans="7:16" s="1634" customFormat="1">
      <c r="G40684" s="3336"/>
      <c r="P40684" s="3337"/>
    </row>
    <row r="40685" spans="7:16" s="1634" customFormat="1">
      <c r="G40685" s="3336"/>
      <c r="P40685" s="3337"/>
    </row>
    <row r="40686" spans="7:16" s="1634" customFormat="1">
      <c r="G40686" s="3336"/>
      <c r="P40686" s="3337"/>
    </row>
    <row r="40687" spans="7:16" s="1634" customFormat="1">
      <c r="G40687" s="3336"/>
      <c r="P40687" s="3337"/>
    </row>
    <row r="40688" spans="7:16" s="1634" customFormat="1">
      <c r="G40688" s="3336"/>
      <c r="P40688" s="3337"/>
    </row>
    <row r="40689" spans="7:16" s="1634" customFormat="1">
      <c r="G40689" s="3336"/>
      <c r="P40689" s="3337"/>
    </row>
    <row r="40690" spans="7:16" s="1634" customFormat="1">
      <c r="G40690" s="3336"/>
      <c r="P40690" s="3337"/>
    </row>
    <row r="40691" spans="7:16" s="1634" customFormat="1">
      <c r="G40691" s="3336"/>
      <c r="P40691" s="3337"/>
    </row>
    <row r="40692" spans="7:16" s="1634" customFormat="1">
      <c r="G40692" s="3336"/>
      <c r="P40692" s="3337"/>
    </row>
    <row r="40693" spans="7:16" s="1634" customFormat="1">
      <c r="G40693" s="3336"/>
      <c r="P40693" s="3337"/>
    </row>
    <row r="40694" spans="7:16" s="1634" customFormat="1">
      <c r="G40694" s="3336"/>
      <c r="P40694" s="3337"/>
    </row>
    <row r="40695" spans="7:16" s="1634" customFormat="1">
      <c r="G40695" s="3336"/>
      <c r="P40695" s="3337"/>
    </row>
    <row r="40696" spans="7:16" s="1634" customFormat="1">
      <c r="G40696" s="3336"/>
      <c r="P40696" s="3337"/>
    </row>
    <row r="40697" spans="7:16" s="1634" customFormat="1">
      <c r="G40697" s="3336"/>
      <c r="P40697" s="3337"/>
    </row>
    <row r="40698" spans="7:16" s="1634" customFormat="1">
      <c r="G40698" s="3336"/>
      <c r="P40698" s="3337"/>
    </row>
    <row r="40699" spans="7:16" s="1634" customFormat="1">
      <c r="G40699" s="3336"/>
      <c r="P40699" s="3337"/>
    </row>
    <row r="40700" spans="7:16" s="1634" customFormat="1">
      <c r="G40700" s="3336"/>
      <c r="P40700" s="3337"/>
    </row>
    <row r="40701" spans="7:16" s="1634" customFormat="1">
      <c r="G40701" s="3336"/>
      <c r="P40701" s="3337"/>
    </row>
    <row r="40702" spans="7:16" s="1634" customFormat="1">
      <c r="G40702" s="3336"/>
      <c r="P40702" s="3337"/>
    </row>
    <row r="40703" spans="7:16" s="1634" customFormat="1">
      <c r="G40703" s="3336"/>
      <c r="P40703" s="3337"/>
    </row>
    <row r="40704" spans="7:16" s="1634" customFormat="1">
      <c r="G40704" s="3336"/>
      <c r="P40704" s="3337"/>
    </row>
    <row r="40705" spans="7:16" s="1634" customFormat="1">
      <c r="G40705" s="3336"/>
      <c r="P40705" s="3337"/>
    </row>
    <row r="40706" spans="7:16" s="1634" customFormat="1">
      <c r="G40706" s="3336"/>
      <c r="P40706" s="3337"/>
    </row>
    <row r="40707" spans="7:16" s="1634" customFormat="1">
      <c r="G40707" s="3336"/>
      <c r="P40707" s="3337"/>
    </row>
    <row r="40708" spans="7:16" s="1634" customFormat="1">
      <c r="G40708" s="3336"/>
      <c r="P40708" s="3337"/>
    </row>
    <row r="40709" spans="7:16" s="1634" customFormat="1">
      <c r="G40709" s="3336"/>
      <c r="P40709" s="3337"/>
    </row>
    <row r="40710" spans="7:16" s="1634" customFormat="1">
      <c r="G40710" s="3336"/>
      <c r="P40710" s="3337"/>
    </row>
    <row r="40711" spans="7:16" s="1634" customFormat="1">
      <c r="G40711" s="3336"/>
      <c r="P40711" s="3337"/>
    </row>
    <row r="40712" spans="7:16" s="1634" customFormat="1">
      <c r="G40712" s="3336"/>
      <c r="P40712" s="3337"/>
    </row>
    <row r="40713" spans="7:16" s="1634" customFormat="1">
      <c r="G40713" s="3336"/>
      <c r="P40713" s="3337"/>
    </row>
    <row r="40714" spans="7:16" s="1634" customFormat="1">
      <c r="G40714" s="3336"/>
      <c r="P40714" s="3337"/>
    </row>
    <row r="40715" spans="7:16" s="1634" customFormat="1">
      <c r="G40715" s="3336"/>
      <c r="P40715" s="3337"/>
    </row>
    <row r="40716" spans="7:16" s="1634" customFormat="1">
      <c r="G40716" s="3336"/>
      <c r="P40716" s="3337"/>
    </row>
    <row r="40717" spans="7:16" s="1634" customFormat="1">
      <c r="G40717" s="3336"/>
      <c r="P40717" s="3337"/>
    </row>
    <row r="40718" spans="7:16" s="1634" customFormat="1">
      <c r="G40718" s="3336"/>
      <c r="P40718" s="3337"/>
    </row>
    <row r="40719" spans="7:16" s="1634" customFormat="1">
      <c r="G40719" s="3336"/>
      <c r="P40719" s="3337"/>
    </row>
    <row r="40720" spans="7:16" s="1634" customFormat="1">
      <c r="G40720" s="3336"/>
      <c r="P40720" s="3337"/>
    </row>
    <row r="40721" spans="7:16" s="1634" customFormat="1">
      <c r="G40721" s="3336"/>
      <c r="P40721" s="3337"/>
    </row>
    <row r="40722" spans="7:16" s="1634" customFormat="1">
      <c r="G40722" s="3336"/>
      <c r="P40722" s="3337"/>
    </row>
    <row r="40723" spans="7:16" s="1634" customFormat="1">
      <c r="G40723" s="3336"/>
      <c r="P40723" s="3337"/>
    </row>
    <row r="40724" spans="7:16" s="1634" customFormat="1">
      <c r="G40724" s="3336"/>
      <c r="P40724" s="3337"/>
    </row>
    <row r="40725" spans="7:16" s="1634" customFormat="1">
      <c r="G40725" s="3336"/>
      <c r="P40725" s="3337"/>
    </row>
    <row r="40726" spans="7:16" s="1634" customFormat="1">
      <c r="G40726" s="3336"/>
      <c r="P40726" s="3337"/>
    </row>
    <row r="40727" spans="7:16" s="1634" customFormat="1">
      <c r="G40727" s="3336"/>
      <c r="P40727" s="3337"/>
    </row>
    <row r="40728" spans="7:16" s="1634" customFormat="1">
      <c r="G40728" s="3336"/>
      <c r="P40728" s="3337"/>
    </row>
    <row r="40729" spans="7:16" s="1634" customFormat="1">
      <c r="G40729" s="3336"/>
      <c r="P40729" s="3337"/>
    </row>
    <row r="40730" spans="7:16" s="1634" customFormat="1">
      <c r="G40730" s="3336"/>
      <c r="P40730" s="3337"/>
    </row>
    <row r="40731" spans="7:16" s="1634" customFormat="1">
      <c r="G40731" s="3336"/>
      <c r="P40731" s="3337"/>
    </row>
    <row r="40732" spans="7:16" s="1634" customFormat="1">
      <c r="G40732" s="3336"/>
      <c r="P40732" s="3337"/>
    </row>
    <row r="40733" spans="7:16" s="1634" customFormat="1">
      <c r="G40733" s="3336"/>
      <c r="P40733" s="3337"/>
    </row>
    <row r="40734" spans="7:16" s="1634" customFormat="1">
      <c r="G40734" s="3336"/>
      <c r="P40734" s="3337"/>
    </row>
    <row r="40735" spans="7:16" s="1634" customFormat="1">
      <c r="G40735" s="3336"/>
      <c r="P40735" s="3337"/>
    </row>
    <row r="40736" spans="7:16" s="1634" customFormat="1">
      <c r="G40736" s="3336"/>
      <c r="P40736" s="3337"/>
    </row>
    <row r="40737" spans="7:16" s="1634" customFormat="1">
      <c r="G40737" s="3336"/>
      <c r="P40737" s="3337"/>
    </row>
    <row r="40738" spans="7:16" s="1634" customFormat="1">
      <c r="G40738" s="3336"/>
      <c r="P40738" s="3337"/>
    </row>
    <row r="40739" spans="7:16" s="1634" customFormat="1">
      <c r="G40739" s="3336"/>
      <c r="P40739" s="3337"/>
    </row>
    <row r="40740" spans="7:16" s="1634" customFormat="1">
      <c r="G40740" s="3336"/>
      <c r="P40740" s="3337"/>
    </row>
    <row r="40741" spans="7:16" s="1634" customFormat="1">
      <c r="G40741" s="3336"/>
      <c r="P40741" s="3337"/>
    </row>
    <row r="40742" spans="7:16" s="1634" customFormat="1">
      <c r="G40742" s="3336"/>
      <c r="P40742" s="3337"/>
    </row>
    <row r="40743" spans="7:16" s="1634" customFormat="1">
      <c r="G40743" s="3336"/>
      <c r="P40743" s="3337"/>
    </row>
    <row r="40744" spans="7:16" s="1634" customFormat="1">
      <c r="G40744" s="3336"/>
      <c r="P40744" s="3337"/>
    </row>
    <row r="40745" spans="7:16" s="1634" customFormat="1">
      <c r="G40745" s="3336"/>
      <c r="P40745" s="3337"/>
    </row>
    <row r="40746" spans="7:16" s="1634" customFormat="1">
      <c r="G40746" s="3336"/>
      <c r="P40746" s="3337"/>
    </row>
    <row r="40747" spans="7:16" s="1634" customFormat="1">
      <c r="G40747" s="3336"/>
      <c r="P40747" s="3337"/>
    </row>
    <row r="40748" spans="7:16" s="1634" customFormat="1">
      <c r="G40748" s="3336"/>
      <c r="P40748" s="3337"/>
    </row>
    <row r="40749" spans="7:16" s="1634" customFormat="1">
      <c r="G40749" s="3336"/>
      <c r="P40749" s="3337"/>
    </row>
    <row r="40750" spans="7:16" s="1634" customFormat="1">
      <c r="G40750" s="3336"/>
      <c r="P40750" s="3337"/>
    </row>
    <row r="40751" spans="7:16" s="1634" customFormat="1">
      <c r="G40751" s="3336"/>
      <c r="P40751" s="3337"/>
    </row>
    <row r="40752" spans="7:16" s="1634" customFormat="1">
      <c r="G40752" s="3336"/>
      <c r="P40752" s="3337"/>
    </row>
    <row r="40753" spans="7:16" s="1634" customFormat="1">
      <c r="G40753" s="3336"/>
      <c r="P40753" s="3337"/>
    </row>
    <row r="40754" spans="7:16" s="1634" customFormat="1">
      <c r="G40754" s="3336"/>
      <c r="P40754" s="3337"/>
    </row>
    <row r="40755" spans="7:16" s="1634" customFormat="1">
      <c r="G40755" s="3336"/>
      <c r="P40755" s="3337"/>
    </row>
    <row r="40756" spans="7:16" s="1634" customFormat="1">
      <c r="G40756" s="3336"/>
      <c r="P40756" s="3337"/>
    </row>
    <row r="40757" spans="7:16" s="1634" customFormat="1">
      <c r="G40757" s="3336"/>
      <c r="P40757" s="3337"/>
    </row>
    <row r="40758" spans="7:16" s="1634" customFormat="1">
      <c r="G40758" s="3336"/>
      <c r="P40758" s="3337"/>
    </row>
    <row r="40759" spans="7:16" s="1634" customFormat="1">
      <c r="G40759" s="3336"/>
      <c r="P40759" s="3337"/>
    </row>
    <row r="40760" spans="7:16" s="1634" customFormat="1">
      <c r="G40760" s="3336"/>
      <c r="P40760" s="3337"/>
    </row>
    <row r="40761" spans="7:16" s="1634" customFormat="1">
      <c r="G40761" s="3336"/>
      <c r="P40761" s="3337"/>
    </row>
    <row r="40762" spans="7:16" s="1634" customFormat="1">
      <c r="G40762" s="3336"/>
      <c r="P40762" s="3337"/>
    </row>
    <row r="40763" spans="7:16" s="1634" customFormat="1">
      <c r="G40763" s="3336"/>
      <c r="P40763" s="3337"/>
    </row>
    <row r="40764" spans="7:16" s="1634" customFormat="1">
      <c r="G40764" s="3336"/>
      <c r="P40764" s="3337"/>
    </row>
    <row r="40765" spans="7:16" s="1634" customFormat="1">
      <c r="G40765" s="3336"/>
      <c r="P40765" s="3337"/>
    </row>
    <row r="40766" spans="7:16" s="1634" customFormat="1">
      <c r="G40766" s="3336"/>
      <c r="P40766" s="3337"/>
    </row>
    <row r="40767" spans="7:16" s="1634" customFormat="1">
      <c r="G40767" s="3336"/>
      <c r="P40767" s="3337"/>
    </row>
    <row r="40768" spans="7:16" s="1634" customFormat="1">
      <c r="G40768" s="3336"/>
      <c r="P40768" s="3337"/>
    </row>
    <row r="40769" spans="7:16" s="1634" customFormat="1">
      <c r="G40769" s="3336"/>
      <c r="P40769" s="3337"/>
    </row>
    <row r="40770" spans="7:16" s="1634" customFormat="1">
      <c r="G40770" s="3336"/>
      <c r="P40770" s="3337"/>
    </row>
    <row r="40771" spans="7:16" s="1634" customFormat="1">
      <c r="G40771" s="3336"/>
      <c r="P40771" s="3337"/>
    </row>
    <row r="40772" spans="7:16" s="1634" customFormat="1">
      <c r="G40772" s="3336"/>
      <c r="P40772" s="3337"/>
    </row>
    <row r="40773" spans="7:16" s="1634" customFormat="1">
      <c r="G40773" s="3336"/>
      <c r="P40773" s="3337"/>
    </row>
    <row r="40774" spans="7:16" s="1634" customFormat="1">
      <c r="G40774" s="3336"/>
      <c r="P40774" s="3337"/>
    </row>
    <row r="40775" spans="7:16" s="1634" customFormat="1">
      <c r="G40775" s="3336"/>
      <c r="P40775" s="3337"/>
    </row>
    <row r="40776" spans="7:16" s="1634" customFormat="1">
      <c r="G40776" s="3336"/>
      <c r="P40776" s="3337"/>
    </row>
    <row r="40777" spans="7:16" s="1634" customFormat="1">
      <c r="G40777" s="3336"/>
      <c r="P40777" s="3337"/>
    </row>
    <row r="40778" spans="7:16" s="1634" customFormat="1">
      <c r="G40778" s="3336"/>
      <c r="P40778" s="3337"/>
    </row>
    <row r="40779" spans="7:16" s="1634" customFormat="1">
      <c r="G40779" s="3336"/>
      <c r="P40779" s="3337"/>
    </row>
    <row r="40780" spans="7:16" s="1634" customFormat="1">
      <c r="G40780" s="3336"/>
      <c r="P40780" s="3337"/>
    </row>
    <row r="40781" spans="7:16" s="1634" customFormat="1">
      <c r="G40781" s="3336"/>
      <c r="P40781" s="3337"/>
    </row>
    <row r="40782" spans="7:16" s="1634" customFormat="1">
      <c r="G40782" s="3336"/>
      <c r="P40782" s="3337"/>
    </row>
    <row r="40783" spans="7:16" s="1634" customFormat="1">
      <c r="G40783" s="3336"/>
      <c r="P40783" s="3337"/>
    </row>
    <row r="40784" spans="7:16" s="1634" customFormat="1">
      <c r="G40784" s="3336"/>
      <c r="P40784" s="3337"/>
    </row>
    <row r="40785" spans="7:16" s="1634" customFormat="1">
      <c r="G40785" s="3336"/>
      <c r="P40785" s="3337"/>
    </row>
    <row r="40786" spans="7:16" s="1634" customFormat="1">
      <c r="G40786" s="3336"/>
      <c r="P40786" s="3337"/>
    </row>
    <row r="40787" spans="7:16" s="1634" customFormat="1">
      <c r="G40787" s="3336"/>
      <c r="P40787" s="3337"/>
    </row>
    <row r="40788" spans="7:16" s="1634" customFormat="1">
      <c r="G40788" s="3336"/>
      <c r="P40788" s="3337"/>
    </row>
    <row r="40789" spans="7:16" s="1634" customFormat="1">
      <c r="G40789" s="3336"/>
      <c r="P40789" s="3337"/>
    </row>
    <row r="40790" spans="7:16" s="1634" customFormat="1">
      <c r="G40790" s="3336"/>
      <c r="P40790" s="3337"/>
    </row>
    <row r="40791" spans="7:16" s="1634" customFormat="1">
      <c r="G40791" s="3336"/>
      <c r="P40791" s="3337"/>
    </row>
    <row r="40792" spans="7:16" s="1634" customFormat="1">
      <c r="G40792" s="3336"/>
      <c r="P40792" s="3337"/>
    </row>
    <row r="40793" spans="7:16" s="1634" customFormat="1">
      <c r="G40793" s="3336"/>
      <c r="P40793" s="3337"/>
    </row>
    <row r="40794" spans="7:16" s="1634" customFormat="1">
      <c r="G40794" s="3336"/>
      <c r="P40794" s="3337"/>
    </row>
    <row r="40795" spans="7:16" s="1634" customFormat="1">
      <c r="G40795" s="3336"/>
      <c r="P40795" s="3337"/>
    </row>
    <row r="40796" spans="7:16" s="1634" customFormat="1">
      <c r="G40796" s="3336"/>
      <c r="P40796" s="3337"/>
    </row>
    <row r="40797" spans="7:16" s="1634" customFormat="1">
      <c r="G40797" s="3336"/>
      <c r="P40797" s="3337"/>
    </row>
    <row r="40798" spans="7:16" s="1634" customFormat="1">
      <c r="G40798" s="3336"/>
      <c r="P40798" s="3337"/>
    </row>
    <row r="40799" spans="7:16" s="1634" customFormat="1">
      <c r="G40799" s="3336"/>
      <c r="P40799" s="3337"/>
    </row>
    <row r="40800" spans="7:16" s="1634" customFormat="1">
      <c r="G40800" s="3336"/>
      <c r="P40800" s="3337"/>
    </row>
    <row r="40801" spans="7:16" s="1634" customFormat="1">
      <c r="G40801" s="3336"/>
      <c r="P40801" s="3337"/>
    </row>
    <row r="40802" spans="7:16" s="1634" customFormat="1">
      <c r="G40802" s="3336"/>
      <c r="P40802" s="3337"/>
    </row>
    <row r="40803" spans="7:16" s="1634" customFormat="1">
      <c r="G40803" s="3336"/>
      <c r="P40803" s="3337"/>
    </row>
    <row r="40804" spans="7:16" s="1634" customFormat="1">
      <c r="G40804" s="3336"/>
      <c r="P40804" s="3337"/>
    </row>
    <row r="40805" spans="7:16" s="1634" customFormat="1">
      <c r="G40805" s="3336"/>
      <c r="P40805" s="3337"/>
    </row>
    <row r="40806" spans="7:16" s="1634" customFormat="1">
      <c r="G40806" s="3336"/>
      <c r="P40806" s="3337"/>
    </row>
    <row r="40807" spans="7:16" s="1634" customFormat="1">
      <c r="G40807" s="3336"/>
      <c r="P40807" s="3337"/>
    </row>
    <row r="40808" spans="7:16" s="1634" customFormat="1">
      <c r="G40808" s="3336"/>
      <c r="P40808" s="3337"/>
    </row>
    <row r="40809" spans="7:16" s="1634" customFormat="1">
      <c r="G40809" s="3336"/>
      <c r="P40809" s="3337"/>
    </row>
    <row r="40810" spans="7:16" s="1634" customFormat="1">
      <c r="G40810" s="3336"/>
      <c r="P40810" s="3337"/>
    </row>
    <row r="40811" spans="7:16" s="1634" customFormat="1">
      <c r="G40811" s="3336"/>
      <c r="P40811" s="3337"/>
    </row>
    <row r="40812" spans="7:16" s="1634" customFormat="1">
      <c r="G40812" s="3336"/>
      <c r="P40812" s="3337"/>
    </row>
    <row r="40813" spans="7:16" s="1634" customFormat="1">
      <c r="G40813" s="3336"/>
      <c r="P40813" s="3337"/>
    </row>
    <row r="40814" spans="7:16" s="1634" customFormat="1">
      <c r="G40814" s="3336"/>
      <c r="P40814" s="3337"/>
    </row>
    <row r="40815" spans="7:16" s="1634" customFormat="1">
      <c r="G40815" s="3336"/>
      <c r="P40815" s="3337"/>
    </row>
    <row r="40816" spans="7:16" s="1634" customFormat="1">
      <c r="G40816" s="3336"/>
      <c r="P40816" s="3337"/>
    </row>
    <row r="40817" spans="7:16" s="1634" customFormat="1">
      <c r="G40817" s="3336"/>
      <c r="P40817" s="3337"/>
    </row>
    <row r="40818" spans="7:16" s="1634" customFormat="1">
      <c r="G40818" s="3336"/>
      <c r="P40818" s="3337"/>
    </row>
    <row r="40819" spans="7:16" s="1634" customFormat="1">
      <c r="G40819" s="3336"/>
      <c r="P40819" s="3337"/>
    </row>
    <row r="40820" spans="7:16" s="1634" customFormat="1">
      <c r="G40820" s="3336"/>
      <c r="P40820" s="3337"/>
    </row>
    <row r="40821" spans="7:16" s="1634" customFormat="1">
      <c r="G40821" s="3336"/>
      <c r="P40821" s="3337"/>
    </row>
    <row r="40822" spans="7:16" s="1634" customFormat="1">
      <c r="G40822" s="3336"/>
      <c r="P40822" s="3337"/>
    </row>
    <row r="40823" spans="7:16" s="1634" customFormat="1">
      <c r="G40823" s="3336"/>
      <c r="P40823" s="3337"/>
    </row>
    <row r="40824" spans="7:16" s="1634" customFormat="1">
      <c r="G40824" s="3336"/>
      <c r="P40824" s="3337"/>
    </row>
    <row r="40825" spans="7:16" s="1634" customFormat="1">
      <c r="G40825" s="3336"/>
      <c r="P40825" s="3337"/>
    </row>
    <row r="40826" spans="7:16" s="1634" customFormat="1">
      <c r="G40826" s="3336"/>
      <c r="P40826" s="3337"/>
    </row>
    <row r="40827" spans="7:16" s="1634" customFormat="1">
      <c r="G40827" s="3336"/>
      <c r="P40827" s="3337"/>
    </row>
    <row r="40828" spans="7:16" s="1634" customFormat="1">
      <c r="G40828" s="3336"/>
      <c r="P40828" s="3337"/>
    </row>
    <row r="40829" spans="7:16" s="1634" customFormat="1">
      <c r="G40829" s="3336"/>
      <c r="P40829" s="3337"/>
    </row>
    <row r="40830" spans="7:16" s="1634" customFormat="1">
      <c r="G40830" s="3336"/>
      <c r="P40830" s="3337"/>
    </row>
    <row r="40831" spans="7:16" s="1634" customFormat="1">
      <c r="G40831" s="3336"/>
      <c r="P40831" s="3337"/>
    </row>
    <row r="40832" spans="7:16" s="1634" customFormat="1">
      <c r="G40832" s="3336"/>
      <c r="P40832" s="3337"/>
    </row>
    <row r="40833" spans="7:16" s="1634" customFormat="1">
      <c r="G40833" s="3336"/>
      <c r="P40833" s="3337"/>
    </row>
    <row r="40834" spans="7:16" s="1634" customFormat="1">
      <c r="G40834" s="3336"/>
      <c r="P40834" s="3337"/>
    </row>
    <row r="40835" spans="7:16" s="1634" customFormat="1">
      <c r="G40835" s="3336"/>
      <c r="P40835" s="3337"/>
    </row>
    <row r="40836" spans="7:16" s="1634" customFormat="1">
      <c r="G40836" s="3336"/>
      <c r="P40836" s="3337"/>
    </row>
    <row r="40837" spans="7:16" s="1634" customFormat="1">
      <c r="G40837" s="3336"/>
      <c r="P40837" s="3337"/>
    </row>
    <row r="40838" spans="7:16" s="1634" customFormat="1">
      <c r="G40838" s="3336"/>
      <c r="P40838" s="3337"/>
    </row>
    <row r="40839" spans="7:16" s="1634" customFormat="1">
      <c r="G40839" s="3336"/>
      <c r="P40839" s="3337"/>
    </row>
    <row r="40840" spans="7:16" s="1634" customFormat="1">
      <c r="G40840" s="3336"/>
      <c r="P40840" s="3337"/>
    </row>
    <row r="40841" spans="7:16" s="1634" customFormat="1">
      <c r="G40841" s="3336"/>
      <c r="P40841" s="3337"/>
    </row>
    <row r="40842" spans="7:16" s="1634" customFormat="1">
      <c r="G40842" s="3336"/>
      <c r="P40842" s="3337"/>
    </row>
    <row r="40843" spans="7:16" s="1634" customFormat="1">
      <c r="G40843" s="3336"/>
      <c r="P40843" s="3337"/>
    </row>
    <row r="40844" spans="7:16" s="1634" customFormat="1">
      <c r="G40844" s="3336"/>
      <c r="P40844" s="3337"/>
    </row>
    <row r="40845" spans="7:16" s="1634" customFormat="1">
      <c r="G40845" s="3336"/>
      <c r="P40845" s="3337"/>
    </row>
    <row r="40846" spans="7:16" s="1634" customFormat="1">
      <c r="G40846" s="3336"/>
      <c r="P40846" s="3337"/>
    </row>
    <row r="40847" spans="7:16" s="1634" customFormat="1">
      <c r="G40847" s="3336"/>
      <c r="P40847" s="3337"/>
    </row>
    <row r="40848" spans="7:16" s="1634" customFormat="1">
      <c r="G40848" s="3336"/>
      <c r="P40848" s="3337"/>
    </row>
    <row r="40849" spans="7:16" s="1634" customFormat="1">
      <c r="G40849" s="3336"/>
      <c r="P40849" s="3337"/>
    </row>
    <row r="40850" spans="7:16" s="1634" customFormat="1">
      <c r="G40850" s="3336"/>
      <c r="P40850" s="3337"/>
    </row>
    <row r="40851" spans="7:16" s="1634" customFormat="1">
      <c r="G40851" s="3336"/>
      <c r="P40851" s="3337"/>
    </row>
    <row r="40852" spans="7:16" s="1634" customFormat="1">
      <c r="G40852" s="3336"/>
      <c r="P40852" s="3337"/>
    </row>
    <row r="40853" spans="7:16" s="1634" customFormat="1">
      <c r="G40853" s="3336"/>
      <c r="P40853" s="3337"/>
    </row>
    <row r="40854" spans="7:16" s="1634" customFormat="1">
      <c r="G40854" s="3336"/>
      <c r="P40854" s="3337"/>
    </row>
    <row r="40855" spans="7:16" s="1634" customFormat="1">
      <c r="G40855" s="3336"/>
      <c r="P40855" s="3337"/>
    </row>
    <row r="40856" spans="7:16" s="1634" customFormat="1">
      <c r="G40856" s="3336"/>
      <c r="P40856" s="3337"/>
    </row>
    <row r="40857" spans="7:16" s="1634" customFormat="1">
      <c r="G40857" s="3336"/>
      <c r="P40857" s="3337"/>
    </row>
    <row r="40858" spans="7:16" s="1634" customFormat="1">
      <c r="G40858" s="3336"/>
      <c r="P40858" s="3337"/>
    </row>
    <row r="40859" spans="7:16" s="1634" customFormat="1">
      <c r="G40859" s="3336"/>
      <c r="P40859" s="3337"/>
    </row>
    <row r="40860" spans="7:16" s="1634" customFormat="1">
      <c r="G40860" s="3336"/>
      <c r="P40860" s="3337"/>
    </row>
    <row r="40861" spans="7:16" s="1634" customFormat="1">
      <c r="G40861" s="3336"/>
      <c r="P40861" s="3337"/>
    </row>
    <row r="40862" spans="7:16" s="1634" customFormat="1">
      <c r="G40862" s="3336"/>
      <c r="P40862" s="3337"/>
    </row>
    <row r="40863" spans="7:16" s="1634" customFormat="1">
      <c r="G40863" s="3336"/>
      <c r="P40863" s="3337"/>
    </row>
    <row r="40864" spans="7:16" s="1634" customFormat="1">
      <c r="G40864" s="3336"/>
      <c r="P40864" s="3337"/>
    </row>
    <row r="40865" spans="7:16" s="1634" customFormat="1">
      <c r="G40865" s="3336"/>
      <c r="P40865" s="3337"/>
    </row>
    <row r="40866" spans="7:16" s="1634" customFormat="1">
      <c r="G40866" s="3336"/>
      <c r="P40866" s="3337"/>
    </row>
    <row r="40867" spans="7:16" s="1634" customFormat="1">
      <c r="G40867" s="3336"/>
      <c r="P40867" s="3337"/>
    </row>
    <row r="40868" spans="7:16" s="1634" customFormat="1">
      <c r="G40868" s="3336"/>
      <c r="P40868" s="3337"/>
    </row>
    <row r="40869" spans="7:16" s="1634" customFormat="1">
      <c r="G40869" s="3336"/>
      <c r="P40869" s="3337"/>
    </row>
    <row r="40870" spans="7:16" s="1634" customFormat="1">
      <c r="G40870" s="3336"/>
      <c r="P40870" s="3337"/>
    </row>
    <row r="40871" spans="7:16" s="1634" customFormat="1">
      <c r="G40871" s="3336"/>
      <c r="P40871" s="3337"/>
    </row>
    <row r="40872" spans="7:16" s="1634" customFormat="1">
      <c r="G40872" s="3336"/>
      <c r="P40872" s="3337"/>
    </row>
    <row r="40873" spans="7:16" s="1634" customFormat="1">
      <c r="G40873" s="3336"/>
      <c r="P40873" s="3337"/>
    </row>
    <row r="40874" spans="7:16" s="1634" customFormat="1">
      <c r="G40874" s="3336"/>
      <c r="P40874" s="3337"/>
    </row>
    <row r="40875" spans="7:16" s="1634" customFormat="1">
      <c r="G40875" s="3336"/>
      <c r="P40875" s="3337"/>
    </row>
    <row r="40876" spans="7:16" s="1634" customFormat="1">
      <c r="G40876" s="3336"/>
      <c r="P40876" s="3337"/>
    </row>
    <row r="40877" spans="7:16" s="1634" customFormat="1">
      <c r="G40877" s="3336"/>
      <c r="P40877" s="3337"/>
    </row>
    <row r="40878" spans="7:16" s="1634" customFormat="1">
      <c r="G40878" s="3336"/>
      <c r="P40878" s="3337"/>
    </row>
    <row r="40879" spans="7:16" s="1634" customFormat="1">
      <c r="G40879" s="3336"/>
      <c r="P40879" s="3337"/>
    </row>
    <row r="40880" spans="7:16" s="1634" customFormat="1">
      <c r="G40880" s="3336"/>
      <c r="P40880" s="3337"/>
    </row>
    <row r="40881" spans="7:16" s="1634" customFormat="1">
      <c r="G40881" s="3336"/>
      <c r="P40881" s="3337"/>
    </row>
    <row r="40882" spans="7:16" s="1634" customFormat="1">
      <c r="G40882" s="3336"/>
      <c r="P40882" s="3337"/>
    </row>
    <row r="40883" spans="7:16" s="1634" customFormat="1">
      <c r="G40883" s="3336"/>
      <c r="P40883" s="3337"/>
    </row>
    <row r="40884" spans="7:16" s="1634" customFormat="1">
      <c r="G40884" s="3336"/>
      <c r="P40884" s="3337"/>
    </row>
    <row r="40885" spans="7:16" s="1634" customFormat="1">
      <c r="G40885" s="3336"/>
      <c r="P40885" s="3337"/>
    </row>
    <row r="40886" spans="7:16" s="1634" customFormat="1">
      <c r="G40886" s="3336"/>
      <c r="P40886" s="3337"/>
    </row>
    <row r="40887" spans="7:16" s="1634" customFormat="1">
      <c r="G40887" s="3336"/>
      <c r="P40887" s="3337"/>
    </row>
    <row r="40888" spans="7:16" s="1634" customFormat="1">
      <c r="G40888" s="3336"/>
      <c r="P40888" s="3337"/>
    </row>
    <row r="40889" spans="7:16" s="1634" customFormat="1">
      <c r="G40889" s="3336"/>
      <c r="P40889" s="3337"/>
    </row>
    <row r="40890" spans="7:16" s="1634" customFormat="1">
      <c r="G40890" s="3336"/>
      <c r="P40890" s="3337"/>
    </row>
    <row r="40891" spans="7:16" s="1634" customFormat="1">
      <c r="G40891" s="3336"/>
      <c r="P40891" s="3337"/>
    </row>
    <row r="40892" spans="7:16" s="1634" customFormat="1">
      <c r="G40892" s="3336"/>
      <c r="P40892" s="3337"/>
    </row>
    <row r="40893" spans="7:16" s="1634" customFormat="1">
      <c r="G40893" s="3336"/>
      <c r="P40893" s="3337"/>
    </row>
    <row r="40894" spans="7:16" s="1634" customFormat="1">
      <c r="G40894" s="3336"/>
      <c r="P40894" s="3337"/>
    </row>
    <row r="40895" spans="7:16" s="1634" customFormat="1">
      <c r="G40895" s="3336"/>
      <c r="P40895" s="3337"/>
    </row>
    <row r="40896" spans="7:16" s="1634" customFormat="1">
      <c r="G40896" s="3336"/>
      <c r="P40896" s="3337"/>
    </row>
    <row r="40897" spans="7:16" s="1634" customFormat="1">
      <c r="G40897" s="3336"/>
      <c r="P40897" s="3337"/>
    </row>
    <row r="40898" spans="7:16" s="1634" customFormat="1">
      <c r="G40898" s="3336"/>
      <c r="P40898" s="3337"/>
    </row>
    <row r="40899" spans="7:16" s="1634" customFormat="1">
      <c r="G40899" s="3336"/>
      <c r="P40899" s="3337"/>
    </row>
    <row r="40900" spans="7:16" s="1634" customFormat="1">
      <c r="G40900" s="3336"/>
      <c r="P40900" s="3337"/>
    </row>
    <row r="40901" spans="7:16" s="1634" customFormat="1">
      <c r="G40901" s="3336"/>
      <c r="P40901" s="3337"/>
    </row>
    <row r="40902" spans="7:16" s="1634" customFormat="1">
      <c r="G40902" s="3336"/>
      <c r="P40902" s="3337"/>
    </row>
    <row r="40903" spans="7:16" s="1634" customFormat="1">
      <c r="G40903" s="3336"/>
      <c r="P40903" s="3337"/>
    </row>
    <row r="40904" spans="7:16" s="1634" customFormat="1">
      <c r="G40904" s="3336"/>
      <c r="P40904" s="3337"/>
    </row>
    <row r="40905" spans="7:16" s="1634" customFormat="1">
      <c r="G40905" s="3336"/>
      <c r="P40905" s="3337"/>
    </row>
    <row r="40906" spans="7:16" s="1634" customFormat="1">
      <c r="G40906" s="3336"/>
      <c r="P40906" s="3337"/>
    </row>
    <row r="40907" spans="7:16" s="1634" customFormat="1">
      <c r="G40907" s="3336"/>
      <c r="P40907" s="3337"/>
    </row>
    <row r="40908" spans="7:16" s="1634" customFormat="1">
      <c r="G40908" s="3336"/>
      <c r="P40908" s="3337"/>
    </row>
    <row r="40909" spans="7:16" s="1634" customFormat="1">
      <c r="G40909" s="3336"/>
      <c r="P40909" s="3337"/>
    </row>
    <row r="40910" spans="7:16" s="1634" customFormat="1">
      <c r="G40910" s="3336"/>
      <c r="P40910" s="3337"/>
    </row>
    <row r="40911" spans="7:16" s="1634" customFormat="1">
      <c r="G40911" s="3336"/>
      <c r="P40911" s="3337"/>
    </row>
    <row r="40912" spans="7:16" s="1634" customFormat="1">
      <c r="G40912" s="3336"/>
      <c r="P40912" s="3337"/>
    </row>
    <row r="40913" spans="7:16" s="1634" customFormat="1">
      <c r="G40913" s="3336"/>
      <c r="P40913" s="3337"/>
    </row>
    <row r="40914" spans="7:16" s="1634" customFormat="1">
      <c r="G40914" s="3336"/>
      <c r="P40914" s="3337"/>
    </row>
    <row r="40915" spans="7:16" s="1634" customFormat="1">
      <c r="G40915" s="3336"/>
      <c r="P40915" s="3337"/>
    </row>
    <row r="40916" spans="7:16" s="1634" customFormat="1">
      <c r="G40916" s="3336"/>
      <c r="P40916" s="3337"/>
    </row>
    <row r="40917" spans="7:16" s="1634" customFormat="1">
      <c r="G40917" s="3336"/>
      <c r="P40917" s="3337"/>
    </row>
    <row r="40918" spans="7:16" s="1634" customFormat="1">
      <c r="G40918" s="3336"/>
      <c r="P40918" s="3337"/>
    </row>
    <row r="40919" spans="7:16" s="1634" customFormat="1">
      <c r="G40919" s="3336"/>
      <c r="P40919" s="3337"/>
    </row>
    <row r="40920" spans="7:16" s="1634" customFormat="1">
      <c r="G40920" s="3336"/>
      <c r="P40920" s="3337"/>
    </row>
    <row r="40921" spans="7:16" s="1634" customFormat="1">
      <c r="G40921" s="3336"/>
      <c r="P40921" s="3337"/>
    </row>
    <row r="40922" spans="7:16" s="1634" customFormat="1">
      <c r="G40922" s="3336"/>
      <c r="P40922" s="3337"/>
    </row>
    <row r="40923" spans="7:16" s="1634" customFormat="1">
      <c r="G40923" s="3336"/>
      <c r="P40923" s="3337"/>
    </row>
    <row r="40924" spans="7:16" s="1634" customFormat="1">
      <c r="G40924" s="3336"/>
      <c r="P40924" s="3337"/>
    </row>
    <row r="40925" spans="7:16" s="1634" customFormat="1">
      <c r="G40925" s="3336"/>
      <c r="P40925" s="3337"/>
    </row>
    <row r="40926" spans="7:16" s="1634" customFormat="1">
      <c r="G40926" s="3336"/>
      <c r="P40926" s="3337"/>
    </row>
    <row r="40927" spans="7:16" s="1634" customFormat="1">
      <c r="G40927" s="3336"/>
      <c r="P40927" s="3337"/>
    </row>
    <row r="40928" spans="7:16" s="1634" customFormat="1">
      <c r="G40928" s="3336"/>
      <c r="P40928" s="3337"/>
    </row>
    <row r="40929" spans="7:16" s="1634" customFormat="1">
      <c r="G40929" s="3336"/>
      <c r="P40929" s="3337"/>
    </row>
    <row r="40930" spans="7:16" s="1634" customFormat="1">
      <c r="G40930" s="3336"/>
      <c r="P40930" s="3337"/>
    </row>
    <row r="40931" spans="7:16" s="1634" customFormat="1">
      <c r="G40931" s="3336"/>
      <c r="P40931" s="3337"/>
    </row>
    <row r="40932" spans="7:16" s="1634" customFormat="1">
      <c r="G40932" s="3336"/>
      <c r="P40932" s="3337"/>
    </row>
    <row r="40933" spans="7:16" s="1634" customFormat="1">
      <c r="G40933" s="3336"/>
      <c r="P40933" s="3337"/>
    </row>
    <row r="40934" spans="7:16" s="1634" customFormat="1">
      <c r="G40934" s="3336"/>
      <c r="P40934" s="3337"/>
    </row>
    <row r="40935" spans="7:16" s="1634" customFormat="1">
      <c r="G40935" s="3336"/>
      <c r="P40935" s="3337"/>
    </row>
    <row r="40936" spans="7:16" s="1634" customFormat="1">
      <c r="G40936" s="3336"/>
      <c r="P40936" s="3337"/>
    </row>
    <row r="40937" spans="7:16" s="1634" customFormat="1">
      <c r="G40937" s="3336"/>
      <c r="P40937" s="3337"/>
    </row>
    <row r="40938" spans="7:16" s="1634" customFormat="1">
      <c r="G40938" s="3336"/>
      <c r="P40938" s="3337"/>
    </row>
    <row r="40939" spans="7:16" s="1634" customFormat="1">
      <c r="G40939" s="3336"/>
      <c r="P40939" s="3337"/>
    </row>
    <row r="40940" spans="7:16" s="1634" customFormat="1">
      <c r="G40940" s="3336"/>
      <c r="P40940" s="3337"/>
    </row>
    <row r="40941" spans="7:16" s="1634" customFormat="1">
      <c r="G40941" s="3336"/>
      <c r="P40941" s="3337"/>
    </row>
    <row r="40942" spans="7:16" s="1634" customFormat="1">
      <c r="G40942" s="3336"/>
      <c r="P40942" s="3337"/>
    </row>
    <row r="40943" spans="7:16" s="1634" customFormat="1">
      <c r="G40943" s="3336"/>
      <c r="P40943" s="3337"/>
    </row>
    <row r="40944" spans="7:16" s="1634" customFormat="1">
      <c r="G40944" s="3336"/>
      <c r="P40944" s="3337"/>
    </row>
    <row r="40945" spans="7:16" s="1634" customFormat="1">
      <c r="G40945" s="3336"/>
      <c r="P40945" s="3337"/>
    </row>
    <row r="40946" spans="7:16" s="1634" customFormat="1">
      <c r="G40946" s="3336"/>
      <c r="P40946" s="3337"/>
    </row>
    <row r="40947" spans="7:16" s="1634" customFormat="1">
      <c r="G40947" s="3336"/>
      <c r="P40947" s="3337"/>
    </row>
    <row r="40948" spans="7:16" s="1634" customFormat="1">
      <c r="G40948" s="3336"/>
      <c r="P40948" s="3337"/>
    </row>
    <row r="40949" spans="7:16" s="1634" customFormat="1">
      <c r="G40949" s="3336"/>
      <c r="P40949" s="3337"/>
    </row>
    <row r="40950" spans="7:16" s="1634" customFormat="1">
      <c r="G40950" s="3336"/>
      <c r="P40950" s="3337"/>
    </row>
    <row r="40951" spans="7:16" s="1634" customFormat="1">
      <c r="G40951" s="3336"/>
      <c r="P40951" s="3337"/>
    </row>
    <row r="40952" spans="7:16" s="1634" customFormat="1">
      <c r="G40952" s="3336"/>
      <c r="P40952" s="3337"/>
    </row>
    <row r="40953" spans="7:16" s="1634" customFormat="1">
      <c r="G40953" s="3336"/>
      <c r="P40953" s="3337"/>
    </row>
    <row r="40954" spans="7:16" s="1634" customFormat="1">
      <c r="G40954" s="3336"/>
      <c r="P40954" s="3337"/>
    </row>
    <row r="40955" spans="7:16" s="1634" customFormat="1">
      <c r="G40955" s="3336"/>
      <c r="P40955" s="3337"/>
    </row>
    <row r="40956" spans="7:16" s="1634" customFormat="1">
      <c r="G40956" s="3336"/>
      <c r="P40956" s="3337"/>
    </row>
    <row r="40957" spans="7:16" s="1634" customFormat="1">
      <c r="G40957" s="3336"/>
      <c r="P40957" s="3337"/>
    </row>
    <row r="40958" spans="7:16" s="1634" customFormat="1">
      <c r="G40958" s="3336"/>
      <c r="P40958" s="3337"/>
    </row>
    <row r="40959" spans="7:16" s="1634" customFormat="1">
      <c r="G40959" s="3336"/>
      <c r="P40959" s="3337"/>
    </row>
    <row r="40960" spans="7:16" s="1634" customFormat="1">
      <c r="G40960" s="3336"/>
      <c r="P40960" s="3337"/>
    </row>
    <row r="40961" spans="7:16" s="1634" customFormat="1">
      <c r="G40961" s="3336"/>
      <c r="P40961" s="3337"/>
    </row>
    <row r="40962" spans="7:16" s="1634" customFormat="1">
      <c r="G40962" s="3336"/>
      <c r="P40962" s="3337"/>
    </row>
    <row r="40963" spans="7:16" s="1634" customFormat="1">
      <c r="G40963" s="3336"/>
      <c r="P40963" s="3337"/>
    </row>
    <row r="40964" spans="7:16" s="1634" customFormat="1">
      <c r="G40964" s="3336"/>
      <c r="P40964" s="3337"/>
    </row>
    <row r="40965" spans="7:16" s="1634" customFormat="1">
      <c r="G40965" s="3336"/>
      <c r="P40965" s="3337"/>
    </row>
    <row r="40966" spans="7:16" s="1634" customFormat="1">
      <c r="G40966" s="3336"/>
      <c r="P40966" s="3337"/>
    </row>
    <row r="40967" spans="7:16" s="1634" customFormat="1">
      <c r="G40967" s="3336"/>
      <c r="P40967" s="3337"/>
    </row>
    <row r="40968" spans="7:16" s="1634" customFormat="1">
      <c r="G40968" s="3336"/>
      <c r="P40968" s="3337"/>
    </row>
    <row r="40969" spans="7:16" s="1634" customFormat="1">
      <c r="G40969" s="3336"/>
      <c r="P40969" s="3337"/>
    </row>
    <row r="40970" spans="7:16" s="1634" customFormat="1">
      <c r="G40970" s="3336"/>
      <c r="P40970" s="3337"/>
    </row>
    <row r="40971" spans="7:16" s="1634" customFormat="1">
      <c r="G40971" s="3336"/>
      <c r="P40971" s="3337"/>
    </row>
    <row r="40972" spans="7:16" s="1634" customFormat="1">
      <c r="G40972" s="3336"/>
      <c r="P40972" s="3337"/>
    </row>
    <row r="40973" spans="7:16" s="1634" customFormat="1">
      <c r="G40973" s="3336"/>
      <c r="P40973" s="3337"/>
    </row>
    <row r="40974" spans="7:16" s="1634" customFormat="1">
      <c r="G40974" s="3336"/>
      <c r="P40974" s="3337"/>
    </row>
    <row r="40975" spans="7:16" s="1634" customFormat="1">
      <c r="G40975" s="3336"/>
      <c r="P40975" s="3337"/>
    </row>
    <row r="40976" spans="7:16" s="1634" customFormat="1">
      <c r="G40976" s="3336"/>
      <c r="P40976" s="3337"/>
    </row>
    <row r="40977" spans="7:16" s="1634" customFormat="1">
      <c r="G40977" s="3336"/>
      <c r="P40977" s="3337"/>
    </row>
    <row r="40978" spans="7:16" s="1634" customFormat="1">
      <c r="G40978" s="3336"/>
      <c r="P40978" s="3337"/>
    </row>
    <row r="40979" spans="7:16" s="1634" customFormat="1">
      <c r="G40979" s="3336"/>
      <c r="P40979" s="3337"/>
    </row>
    <row r="40980" spans="7:16" s="1634" customFormat="1">
      <c r="G40980" s="3336"/>
      <c r="P40980" s="3337"/>
    </row>
    <row r="40981" spans="7:16" s="1634" customFormat="1">
      <c r="G40981" s="3336"/>
      <c r="P40981" s="3337"/>
    </row>
    <row r="40982" spans="7:16" s="1634" customFormat="1">
      <c r="G40982" s="3336"/>
      <c r="P40982" s="3337"/>
    </row>
    <row r="40983" spans="7:16" s="1634" customFormat="1">
      <c r="G40983" s="3336"/>
      <c r="P40983" s="3337"/>
    </row>
    <row r="40984" spans="7:16" s="1634" customFormat="1">
      <c r="G40984" s="3336"/>
      <c r="P40984" s="3337"/>
    </row>
    <row r="40985" spans="7:16" s="1634" customFormat="1">
      <c r="G40985" s="3336"/>
      <c r="P40985" s="3337"/>
    </row>
    <row r="40986" spans="7:16" s="1634" customFormat="1">
      <c r="G40986" s="3336"/>
      <c r="P40986" s="3337"/>
    </row>
    <row r="40987" spans="7:16" s="1634" customFormat="1">
      <c r="G40987" s="3336"/>
      <c r="P40987" s="3337"/>
    </row>
    <row r="40988" spans="7:16" s="1634" customFormat="1">
      <c r="G40988" s="3336"/>
      <c r="P40988" s="3337"/>
    </row>
    <row r="40989" spans="7:16" s="1634" customFormat="1">
      <c r="G40989" s="3336"/>
      <c r="P40989" s="3337"/>
    </row>
    <row r="40990" spans="7:16" s="1634" customFormat="1">
      <c r="G40990" s="3336"/>
      <c r="P40990" s="3337"/>
    </row>
    <row r="40991" spans="7:16" s="1634" customFormat="1">
      <c r="G40991" s="3336"/>
      <c r="P40991" s="3337"/>
    </row>
    <row r="40992" spans="7:16" s="1634" customFormat="1">
      <c r="G40992" s="3336"/>
      <c r="P40992" s="3337"/>
    </row>
    <row r="40993" spans="7:16" s="1634" customFormat="1">
      <c r="G40993" s="3336"/>
      <c r="P40993" s="3337"/>
    </row>
    <row r="40994" spans="7:16" s="1634" customFormat="1">
      <c r="G40994" s="3336"/>
      <c r="P40994" s="3337"/>
    </row>
    <row r="40995" spans="7:16" s="1634" customFormat="1">
      <c r="G40995" s="3336"/>
      <c r="P40995" s="3337"/>
    </row>
    <row r="40996" spans="7:16" s="1634" customFormat="1">
      <c r="G40996" s="3336"/>
      <c r="P40996" s="3337"/>
    </row>
    <row r="40997" spans="7:16" s="1634" customFormat="1">
      <c r="G40997" s="3336"/>
      <c r="P40997" s="3337"/>
    </row>
    <row r="40998" spans="7:16" s="1634" customFormat="1">
      <c r="G40998" s="3336"/>
      <c r="P40998" s="3337"/>
    </row>
    <row r="40999" spans="7:16" s="1634" customFormat="1">
      <c r="G40999" s="3336"/>
      <c r="P40999" s="3337"/>
    </row>
    <row r="41000" spans="7:16" s="1634" customFormat="1">
      <c r="G41000" s="3336"/>
      <c r="P41000" s="3337"/>
    </row>
    <row r="41001" spans="7:16" s="1634" customFormat="1">
      <c r="G41001" s="3336"/>
      <c r="P41001" s="3337"/>
    </row>
    <row r="41002" spans="7:16" s="1634" customFormat="1">
      <c r="G41002" s="3336"/>
      <c r="P41002" s="3337"/>
    </row>
    <row r="41003" spans="7:16" s="1634" customFormat="1">
      <c r="G41003" s="3336"/>
      <c r="P41003" s="3337"/>
    </row>
    <row r="41004" spans="7:16" s="1634" customFormat="1">
      <c r="G41004" s="3336"/>
      <c r="P41004" s="3337"/>
    </row>
    <row r="41005" spans="7:16" s="1634" customFormat="1">
      <c r="G41005" s="3336"/>
      <c r="P41005" s="3337"/>
    </row>
    <row r="41006" spans="7:16" s="1634" customFormat="1">
      <c r="G41006" s="3336"/>
      <c r="P41006" s="3337"/>
    </row>
    <row r="41007" spans="7:16" s="1634" customFormat="1">
      <c r="G41007" s="3336"/>
      <c r="P41007" s="3337"/>
    </row>
    <row r="41008" spans="7:16" s="1634" customFormat="1">
      <c r="G41008" s="3336"/>
      <c r="P41008" s="3337"/>
    </row>
    <row r="41009" spans="7:16" s="1634" customFormat="1">
      <c r="G41009" s="3336"/>
      <c r="P41009" s="3337"/>
    </row>
    <row r="41010" spans="7:16" s="1634" customFormat="1">
      <c r="G41010" s="3336"/>
      <c r="P41010" s="3337"/>
    </row>
    <row r="41011" spans="7:16" s="1634" customFormat="1">
      <c r="G41011" s="3336"/>
      <c r="P41011" s="3337"/>
    </row>
    <row r="41012" spans="7:16" s="1634" customFormat="1">
      <c r="G41012" s="3336"/>
      <c r="P41012" s="3337"/>
    </row>
    <row r="41013" spans="7:16" s="1634" customFormat="1">
      <c r="G41013" s="3336"/>
      <c r="P41013" s="3337"/>
    </row>
    <row r="41014" spans="7:16" s="1634" customFormat="1">
      <c r="G41014" s="3336"/>
      <c r="P41014" s="3337"/>
    </row>
    <row r="41015" spans="7:16" s="1634" customFormat="1">
      <c r="G41015" s="3336"/>
      <c r="P41015" s="3337"/>
    </row>
    <row r="41016" spans="7:16" s="1634" customFormat="1">
      <c r="G41016" s="3336"/>
      <c r="P41016" s="3337"/>
    </row>
    <row r="41017" spans="7:16" s="1634" customFormat="1">
      <c r="G41017" s="3336"/>
      <c r="P41017" s="3337"/>
    </row>
    <row r="41018" spans="7:16" s="1634" customFormat="1">
      <c r="G41018" s="3336"/>
      <c r="P41018" s="3337"/>
    </row>
    <row r="41019" spans="7:16" s="1634" customFormat="1">
      <c r="G41019" s="3336"/>
      <c r="P41019" s="3337"/>
    </row>
    <row r="41020" spans="7:16" s="1634" customFormat="1">
      <c r="G41020" s="3336"/>
      <c r="P41020" s="3337"/>
    </row>
    <row r="41021" spans="7:16" s="1634" customFormat="1">
      <c r="G41021" s="3336"/>
      <c r="P41021" s="3337"/>
    </row>
    <row r="41022" spans="7:16" s="1634" customFormat="1">
      <c r="G41022" s="3336"/>
      <c r="P41022" s="3337"/>
    </row>
    <row r="41023" spans="7:16" s="1634" customFormat="1">
      <c r="G41023" s="3336"/>
      <c r="P41023" s="3337"/>
    </row>
    <row r="41024" spans="7:16" s="1634" customFormat="1">
      <c r="G41024" s="3336"/>
      <c r="P41024" s="3337"/>
    </row>
    <row r="41025" spans="7:16" s="1634" customFormat="1">
      <c r="G41025" s="3336"/>
      <c r="P41025" s="3337"/>
    </row>
    <row r="41026" spans="7:16" s="1634" customFormat="1">
      <c r="G41026" s="3336"/>
      <c r="P41026" s="3337"/>
    </row>
    <row r="41027" spans="7:16" s="1634" customFormat="1">
      <c r="G41027" s="3336"/>
      <c r="P41027" s="3337"/>
    </row>
    <row r="41028" spans="7:16" s="1634" customFormat="1">
      <c r="G41028" s="3336"/>
      <c r="P41028" s="3337"/>
    </row>
    <row r="41029" spans="7:16" s="1634" customFormat="1">
      <c r="G41029" s="3336"/>
      <c r="P41029" s="3337"/>
    </row>
    <row r="41030" spans="7:16" s="1634" customFormat="1">
      <c r="G41030" s="3336"/>
      <c r="P41030" s="3337"/>
    </row>
    <row r="41031" spans="7:16" s="1634" customFormat="1">
      <c r="G41031" s="3336"/>
      <c r="P41031" s="3337"/>
    </row>
    <row r="41032" spans="7:16" s="1634" customFormat="1">
      <c r="G41032" s="3336"/>
      <c r="P41032" s="3337"/>
    </row>
    <row r="41033" spans="7:16" s="1634" customFormat="1">
      <c r="G41033" s="3336"/>
      <c r="P41033" s="3337"/>
    </row>
    <row r="41034" spans="7:16" s="1634" customFormat="1">
      <c r="G41034" s="3336"/>
      <c r="P41034" s="3337"/>
    </row>
    <row r="41035" spans="7:16" s="1634" customFormat="1">
      <c r="G41035" s="3336"/>
      <c r="P41035" s="3337"/>
    </row>
    <row r="41036" spans="7:16" s="1634" customFormat="1">
      <c r="G41036" s="3336"/>
      <c r="P41036" s="3337"/>
    </row>
    <row r="41037" spans="7:16" s="1634" customFormat="1">
      <c r="G41037" s="3336"/>
      <c r="P41037" s="3337"/>
    </row>
    <row r="41038" spans="7:16" s="1634" customFormat="1">
      <c r="G41038" s="3336"/>
      <c r="P41038" s="3337"/>
    </row>
    <row r="41039" spans="7:16" s="1634" customFormat="1">
      <c r="G41039" s="3336"/>
      <c r="P41039" s="3337"/>
    </row>
    <row r="41040" spans="7:16" s="1634" customFormat="1">
      <c r="G41040" s="3336"/>
      <c r="P41040" s="3337"/>
    </row>
    <row r="41041" spans="7:16" s="1634" customFormat="1">
      <c r="G41041" s="3336"/>
      <c r="P41041" s="3337"/>
    </row>
    <row r="41042" spans="7:16" s="1634" customFormat="1">
      <c r="G41042" s="3336"/>
      <c r="P41042" s="3337"/>
    </row>
    <row r="41043" spans="7:16" s="1634" customFormat="1">
      <c r="G41043" s="3336"/>
      <c r="P41043" s="3337"/>
    </row>
    <row r="41044" spans="7:16" s="1634" customFormat="1">
      <c r="G41044" s="3336"/>
      <c r="P41044" s="3337"/>
    </row>
    <row r="41045" spans="7:16" s="1634" customFormat="1">
      <c r="G41045" s="3336"/>
      <c r="P41045" s="3337"/>
    </row>
    <row r="41046" spans="7:16" s="1634" customFormat="1">
      <c r="G41046" s="3336"/>
      <c r="P41046" s="3337"/>
    </row>
    <row r="41047" spans="7:16" s="1634" customFormat="1">
      <c r="G41047" s="3336"/>
      <c r="P41047" s="3337"/>
    </row>
    <row r="41048" spans="7:16" s="1634" customFormat="1">
      <c r="G41048" s="3336"/>
      <c r="P41048" s="3337"/>
    </row>
    <row r="41049" spans="7:16" s="1634" customFormat="1">
      <c r="G41049" s="3336"/>
      <c r="P41049" s="3337"/>
    </row>
    <row r="41050" spans="7:16" s="1634" customFormat="1">
      <c r="G41050" s="3336"/>
      <c r="P41050" s="3337"/>
    </row>
    <row r="41051" spans="7:16" s="1634" customFormat="1">
      <c r="G41051" s="3336"/>
      <c r="P41051" s="3337"/>
    </row>
    <row r="41052" spans="7:16" s="1634" customFormat="1">
      <c r="G41052" s="3336"/>
      <c r="P41052" s="3337"/>
    </row>
    <row r="41053" spans="7:16" s="1634" customFormat="1">
      <c r="G41053" s="3336"/>
      <c r="P41053" s="3337"/>
    </row>
    <row r="41054" spans="7:16" s="1634" customFormat="1">
      <c r="G41054" s="3336"/>
      <c r="P41054" s="3337"/>
    </row>
    <row r="41055" spans="7:16" s="1634" customFormat="1">
      <c r="G41055" s="3336"/>
      <c r="P41055" s="3337"/>
    </row>
    <row r="41056" spans="7:16" s="1634" customFormat="1">
      <c r="G41056" s="3336"/>
      <c r="P41056" s="3337"/>
    </row>
    <row r="41057" spans="7:16" s="1634" customFormat="1">
      <c r="G41057" s="3336"/>
      <c r="P41057" s="3337"/>
    </row>
    <row r="41058" spans="7:16" s="1634" customFormat="1">
      <c r="G41058" s="3336"/>
      <c r="P41058" s="3337"/>
    </row>
    <row r="41059" spans="7:16" s="1634" customFormat="1">
      <c r="G41059" s="3336"/>
      <c r="P41059" s="3337"/>
    </row>
    <row r="41060" spans="7:16" s="1634" customFormat="1">
      <c r="G41060" s="3336"/>
      <c r="P41060" s="3337"/>
    </row>
    <row r="41061" spans="7:16" s="1634" customFormat="1">
      <c r="G41061" s="3336"/>
      <c r="P41061" s="3337"/>
    </row>
    <row r="41062" spans="7:16" s="1634" customFormat="1">
      <c r="G41062" s="3336"/>
      <c r="P41062" s="3337"/>
    </row>
    <row r="41063" spans="7:16" s="1634" customFormat="1">
      <c r="G41063" s="3336"/>
      <c r="P41063" s="3337"/>
    </row>
    <row r="41064" spans="7:16" s="1634" customFormat="1">
      <c r="G41064" s="3336"/>
      <c r="P41064" s="3337"/>
    </row>
    <row r="41065" spans="7:16" s="1634" customFormat="1">
      <c r="G41065" s="3336"/>
      <c r="P41065" s="3337"/>
    </row>
    <row r="41066" spans="7:16" s="1634" customFormat="1">
      <c r="G41066" s="3336"/>
      <c r="P41066" s="3337"/>
    </row>
    <row r="41067" spans="7:16" s="1634" customFormat="1">
      <c r="G41067" s="3336"/>
      <c r="P41067" s="3337"/>
    </row>
    <row r="41068" spans="7:16" s="1634" customFormat="1">
      <c r="G41068" s="3336"/>
      <c r="P41068" s="3337"/>
    </row>
    <row r="41069" spans="7:16" s="1634" customFormat="1">
      <c r="G41069" s="3336"/>
      <c r="P41069" s="3337"/>
    </row>
    <row r="41070" spans="7:16" s="1634" customFormat="1">
      <c r="G41070" s="3336"/>
      <c r="P41070" s="3337"/>
    </row>
    <row r="41071" spans="7:16" s="1634" customFormat="1">
      <c r="G41071" s="3336"/>
      <c r="P41071" s="3337"/>
    </row>
    <row r="41072" spans="7:16" s="1634" customFormat="1">
      <c r="G41072" s="3336"/>
      <c r="P41072" s="3337"/>
    </row>
    <row r="41073" spans="7:16" s="1634" customFormat="1">
      <c r="G41073" s="3336"/>
      <c r="P41073" s="3337"/>
    </row>
    <row r="41074" spans="7:16" s="1634" customFormat="1">
      <c r="G41074" s="3336"/>
      <c r="P41074" s="3337"/>
    </row>
    <row r="41075" spans="7:16" s="1634" customFormat="1">
      <c r="G41075" s="3336"/>
      <c r="P41075" s="3337"/>
    </row>
    <row r="41076" spans="7:16" s="1634" customFormat="1">
      <c r="G41076" s="3336"/>
      <c r="P41076" s="3337"/>
    </row>
    <row r="41077" spans="7:16" s="1634" customFormat="1">
      <c r="G41077" s="3336"/>
      <c r="P41077" s="3337"/>
    </row>
    <row r="41078" spans="7:16" s="1634" customFormat="1">
      <c r="G41078" s="3336"/>
      <c r="P41078" s="3337"/>
    </row>
    <row r="41079" spans="7:16" s="1634" customFormat="1">
      <c r="G41079" s="3336"/>
      <c r="P41079" s="3337"/>
    </row>
    <row r="41080" spans="7:16" s="1634" customFormat="1">
      <c r="G41080" s="3336"/>
      <c r="P41080" s="3337"/>
    </row>
    <row r="41081" spans="7:16" s="1634" customFormat="1">
      <c r="G41081" s="3336"/>
      <c r="P41081" s="3337"/>
    </row>
    <row r="41082" spans="7:16" s="1634" customFormat="1">
      <c r="G41082" s="3336"/>
      <c r="P41082" s="3337"/>
    </row>
    <row r="41083" spans="7:16" s="1634" customFormat="1">
      <c r="G41083" s="3336"/>
      <c r="P41083" s="3337"/>
    </row>
    <row r="41084" spans="7:16" s="1634" customFormat="1">
      <c r="G41084" s="3336"/>
      <c r="P41084" s="3337"/>
    </row>
    <row r="41085" spans="7:16" s="1634" customFormat="1">
      <c r="G41085" s="3336"/>
      <c r="P41085" s="3337"/>
    </row>
    <row r="41086" spans="7:16" s="1634" customFormat="1">
      <c r="G41086" s="3336"/>
      <c r="P41086" s="3337"/>
    </row>
    <row r="41087" spans="7:16" s="1634" customFormat="1">
      <c r="G41087" s="3336"/>
      <c r="P41087" s="3337"/>
    </row>
    <row r="41088" spans="7:16" s="1634" customFormat="1">
      <c r="G41088" s="3336"/>
      <c r="P41088" s="3337"/>
    </row>
    <row r="41089" spans="7:16" s="1634" customFormat="1">
      <c r="G41089" s="3336"/>
      <c r="P41089" s="3337"/>
    </row>
    <row r="41090" spans="7:16" s="1634" customFormat="1">
      <c r="G41090" s="3336"/>
      <c r="P41090" s="3337"/>
    </row>
    <row r="41091" spans="7:16" s="1634" customFormat="1">
      <c r="G41091" s="3336"/>
      <c r="P41091" s="3337"/>
    </row>
    <row r="41092" spans="7:16" s="1634" customFormat="1">
      <c r="G41092" s="3336"/>
      <c r="P41092" s="3337"/>
    </row>
    <row r="41093" spans="7:16" s="1634" customFormat="1">
      <c r="G41093" s="3336"/>
      <c r="P41093" s="3337"/>
    </row>
    <row r="41094" spans="7:16" s="1634" customFormat="1">
      <c r="G41094" s="3336"/>
      <c r="P41094" s="3337"/>
    </row>
    <row r="41095" spans="7:16" s="1634" customFormat="1">
      <c r="G41095" s="3336"/>
      <c r="P41095" s="3337"/>
    </row>
    <row r="41096" spans="7:16" s="1634" customFormat="1">
      <c r="G41096" s="3336"/>
      <c r="P41096" s="3337"/>
    </row>
    <row r="41097" spans="7:16" s="1634" customFormat="1">
      <c r="G41097" s="3336"/>
      <c r="P41097" s="3337"/>
    </row>
    <row r="41098" spans="7:16" s="1634" customFormat="1">
      <c r="G41098" s="3336"/>
      <c r="P41098" s="3337"/>
    </row>
    <row r="41099" spans="7:16" s="1634" customFormat="1">
      <c r="G41099" s="3336"/>
      <c r="P41099" s="3337"/>
    </row>
    <row r="41100" spans="7:16" s="1634" customFormat="1">
      <c r="G41100" s="3336"/>
      <c r="P41100" s="3337"/>
    </row>
    <row r="41101" spans="7:16" s="1634" customFormat="1">
      <c r="G41101" s="3336"/>
      <c r="P41101" s="3337"/>
    </row>
    <row r="41102" spans="7:16" s="1634" customFormat="1">
      <c r="G41102" s="3336"/>
      <c r="P41102" s="3337"/>
    </row>
    <row r="41103" spans="7:16" s="1634" customFormat="1">
      <c r="G41103" s="3336"/>
      <c r="P41103" s="3337"/>
    </row>
    <row r="41104" spans="7:16" s="1634" customFormat="1">
      <c r="G41104" s="3336"/>
      <c r="P41104" s="3337"/>
    </row>
    <row r="41105" spans="7:16" s="1634" customFormat="1">
      <c r="G41105" s="3336"/>
      <c r="P41105" s="3337"/>
    </row>
    <row r="41106" spans="7:16" s="1634" customFormat="1">
      <c r="G41106" s="3336"/>
      <c r="P41106" s="3337"/>
    </row>
    <row r="41107" spans="7:16" s="1634" customFormat="1">
      <c r="G41107" s="3336"/>
      <c r="P41107" s="3337"/>
    </row>
    <row r="41108" spans="7:16" s="1634" customFormat="1">
      <c r="G41108" s="3336"/>
      <c r="P41108" s="3337"/>
    </row>
    <row r="41109" spans="7:16" s="1634" customFormat="1">
      <c r="G41109" s="3336"/>
      <c r="P41109" s="3337"/>
    </row>
    <row r="41110" spans="7:16" s="1634" customFormat="1">
      <c r="G41110" s="3336"/>
      <c r="P41110" s="3337"/>
    </row>
    <row r="41111" spans="7:16" s="1634" customFormat="1">
      <c r="G41111" s="3336"/>
      <c r="P41111" s="3337"/>
    </row>
    <row r="41112" spans="7:16" s="1634" customFormat="1">
      <c r="G41112" s="3336"/>
      <c r="P41112" s="3337"/>
    </row>
    <row r="41113" spans="7:16" s="1634" customFormat="1">
      <c r="G41113" s="3336"/>
      <c r="P41113" s="3337"/>
    </row>
    <row r="41114" spans="7:16" s="1634" customFormat="1">
      <c r="G41114" s="3336"/>
      <c r="P41114" s="3337"/>
    </row>
    <row r="41115" spans="7:16" s="1634" customFormat="1">
      <c r="G41115" s="3336"/>
      <c r="P41115" s="3337"/>
    </row>
    <row r="41116" spans="7:16" s="1634" customFormat="1">
      <c r="G41116" s="3336"/>
      <c r="P41116" s="3337"/>
    </row>
    <row r="41117" spans="7:16" s="1634" customFormat="1">
      <c r="G41117" s="3336"/>
      <c r="P41117" s="3337"/>
    </row>
    <row r="41118" spans="7:16" s="1634" customFormat="1">
      <c r="G41118" s="3336"/>
      <c r="P41118" s="3337"/>
    </row>
    <row r="41119" spans="7:16" s="1634" customFormat="1">
      <c r="G41119" s="3336"/>
      <c r="P41119" s="3337"/>
    </row>
    <row r="41120" spans="7:16" s="1634" customFormat="1">
      <c r="G41120" s="3336"/>
      <c r="P41120" s="3337"/>
    </row>
    <row r="41121" spans="7:16" s="1634" customFormat="1">
      <c r="G41121" s="3336"/>
      <c r="P41121" s="3337"/>
    </row>
    <row r="41122" spans="7:16" s="1634" customFormat="1">
      <c r="G41122" s="3336"/>
      <c r="P41122" s="3337"/>
    </row>
    <row r="41123" spans="7:16" s="1634" customFormat="1">
      <c r="G41123" s="3336"/>
      <c r="P41123" s="3337"/>
    </row>
    <row r="41124" spans="7:16" s="1634" customFormat="1">
      <c r="G41124" s="3336"/>
      <c r="P41124" s="3337"/>
    </row>
    <row r="41125" spans="7:16" s="1634" customFormat="1">
      <c r="G41125" s="3336"/>
      <c r="P41125" s="3337"/>
    </row>
    <row r="41126" spans="7:16" s="1634" customFormat="1">
      <c r="G41126" s="3336"/>
      <c r="P41126" s="3337"/>
    </row>
    <row r="41127" spans="7:16" s="1634" customFormat="1">
      <c r="G41127" s="3336"/>
      <c r="P41127" s="3337"/>
    </row>
    <row r="41128" spans="7:16" s="1634" customFormat="1">
      <c r="G41128" s="3336"/>
      <c r="P41128" s="3337"/>
    </row>
    <row r="41129" spans="7:16" s="1634" customFormat="1">
      <c r="G41129" s="3336"/>
      <c r="P41129" s="3337"/>
    </row>
    <row r="41130" spans="7:16" s="1634" customFormat="1">
      <c r="G41130" s="3336"/>
      <c r="P41130" s="3337"/>
    </row>
    <row r="41131" spans="7:16" s="1634" customFormat="1">
      <c r="G41131" s="3336"/>
      <c r="P41131" s="3337"/>
    </row>
    <row r="41132" spans="7:16" s="1634" customFormat="1">
      <c r="G41132" s="3336"/>
      <c r="P41132" s="3337"/>
    </row>
    <row r="41133" spans="7:16" s="1634" customFormat="1">
      <c r="G41133" s="3336"/>
      <c r="P41133" s="3337"/>
    </row>
    <row r="41134" spans="7:16" s="1634" customFormat="1">
      <c r="G41134" s="3336"/>
      <c r="P41134" s="3337"/>
    </row>
    <row r="41135" spans="7:16" s="1634" customFormat="1">
      <c r="G41135" s="3336"/>
      <c r="P41135" s="3337"/>
    </row>
    <row r="41136" spans="7:16" s="1634" customFormat="1">
      <c r="G41136" s="3336"/>
      <c r="P41136" s="3337"/>
    </row>
    <row r="41137" spans="7:16" s="1634" customFormat="1">
      <c r="G41137" s="3336"/>
      <c r="P41137" s="3337"/>
    </row>
    <row r="41138" spans="7:16" s="1634" customFormat="1">
      <c r="G41138" s="3336"/>
      <c r="P41138" s="3337"/>
    </row>
    <row r="41139" spans="7:16" s="1634" customFormat="1">
      <c r="G41139" s="3336"/>
      <c r="P41139" s="3337"/>
    </row>
    <row r="41140" spans="7:16" s="1634" customFormat="1">
      <c r="G41140" s="3336"/>
      <c r="P41140" s="3337"/>
    </row>
    <row r="41141" spans="7:16" s="1634" customFormat="1">
      <c r="G41141" s="3336"/>
      <c r="P41141" s="3337"/>
    </row>
    <row r="41142" spans="7:16" s="1634" customFormat="1">
      <c r="G41142" s="3336"/>
      <c r="P41142" s="3337"/>
    </row>
    <row r="41143" spans="7:16" s="1634" customFormat="1">
      <c r="G41143" s="3336"/>
      <c r="P41143" s="3337"/>
    </row>
    <row r="41144" spans="7:16" s="1634" customFormat="1">
      <c r="G41144" s="3336"/>
      <c r="P41144" s="3337"/>
    </row>
    <row r="41145" spans="7:16" s="1634" customFormat="1">
      <c r="G41145" s="3336"/>
      <c r="P41145" s="3337"/>
    </row>
    <row r="41146" spans="7:16" s="1634" customFormat="1">
      <c r="G41146" s="3336"/>
      <c r="P41146" s="3337"/>
    </row>
    <row r="41147" spans="7:16" s="1634" customFormat="1">
      <c r="G41147" s="3336"/>
      <c r="P41147" s="3337"/>
    </row>
    <row r="41148" spans="7:16" s="1634" customFormat="1">
      <c r="G41148" s="3336"/>
      <c r="P41148" s="3337"/>
    </row>
    <row r="41149" spans="7:16" s="1634" customFormat="1">
      <c r="G41149" s="3336"/>
      <c r="P41149" s="3337"/>
    </row>
    <row r="41150" spans="7:16" s="1634" customFormat="1">
      <c r="G41150" s="3336"/>
      <c r="P41150" s="3337"/>
    </row>
    <row r="41151" spans="7:16" s="1634" customFormat="1">
      <c r="G41151" s="3336"/>
      <c r="P41151" s="3337"/>
    </row>
    <row r="41152" spans="7:16" s="1634" customFormat="1">
      <c r="G41152" s="3336"/>
      <c r="P41152" s="3337"/>
    </row>
    <row r="41153" spans="7:16" s="1634" customFormat="1">
      <c r="G41153" s="3336"/>
      <c r="P41153" s="3337"/>
    </row>
    <row r="41154" spans="7:16" s="1634" customFormat="1">
      <c r="G41154" s="3336"/>
      <c r="P41154" s="3337"/>
    </row>
    <row r="41155" spans="7:16" s="1634" customFormat="1">
      <c r="G41155" s="3336"/>
      <c r="P41155" s="3337"/>
    </row>
    <row r="41156" spans="7:16" s="1634" customFormat="1">
      <c r="G41156" s="3336"/>
      <c r="P41156" s="3337"/>
    </row>
    <row r="41157" spans="7:16" s="1634" customFormat="1">
      <c r="G41157" s="3336"/>
      <c r="P41157" s="3337"/>
    </row>
    <row r="41158" spans="7:16" s="1634" customFormat="1">
      <c r="G41158" s="3336"/>
      <c r="P41158" s="3337"/>
    </row>
    <row r="41159" spans="7:16" s="1634" customFormat="1">
      <c r="G41159" s="3336"/>
      <c r="P41159" s="3337"/>
    </row>
    <row r="41160" spans="7:16" s="1634" customFormat="1">
      <c r="G41160" s="3336"/>
      <c r="P41160" s="3337"/>
    </row>
    <row r="41161" spans="7:16" s="1634" customFormat="1">
      <c r="G41161" s="3336"/>
      <c r="P41161" s="3337"/>
    </row>
    <row r="41162" spans="7:16" s="1634" customFormat="1">
      <c r="G41162" s="3336"/>
      <c r="P41162" s="3337"/>
    </row>
    <row r="41163" spans="7:16" s="1634" customFormat="1">
      <c r="G41163" s="3336"/>
      <c r="P41163" s="3337"/>
    </row>
    <row r="41164" spans="7:16" s="1634" customFormat="1">
      <c r="G41164" s="3336"/>
      <c r="P41164" s="3337"/>
    </row>
    <row r="41165" spans="7:16" s="1634" customFormat="1">
      <c r="G41165" s="3336"/>
      <c r="P41165" s="3337"/>
    </row>
    <row r="41166" spans="7:16" s="1634" customFormat="1">
      <c r="G41166" s="3336"/>
      <c r="P41166" s="3337"/>
    </row>
    <row r="41167" spans="7:16" s="1634" customFormat="1">
      <c r="G41167" s="3336"/>
      <c r="P41167" s="3337"/>
    </row>
    <row r="41168" spans="7:16" s="1634" customFormat="1">
      <c r="G41168" s="3336"/>
      <c r="P41168" s="3337"/>
    </row>
    <row r="41169" spans="7:16" s="1634" customFormat="1">
      <c r="G41169" s="3336"/>
      <c r="P41169" s="3337"/>
    </row>
    <row r="41170" spans="7:16" s="1634" customFormat="1">
      <c r="G41170" s="3336"/>
      <c r="P41170" s="3337"/>
    </row>
    <row r="41171" spans="7:16" s="1634" customFormat="1">
      <c r="G41171" s="3336"/>
      <c r="P41171" s="3337"/>
    </row>
    <row r="41172" spans="7:16" s="1634" customFormat="1">
      <c r="G41172" s="3336"/>
      <c r="P41172" s="3337"/>
    </row>
    <row r="41173" spans="7:16" s="1634" customFormat="1">
      <c r="G41173" s="3336"/>
      <c r="P41173" s="3337"/>
    </row>
    <row r="41174" spans="7:16" s="1634" customFormat="1">
      <c r="G41174" s="3336"/>
      <c r="P41174" s="3337"/>
    </row>
    <row r="41175" spans="7:16" s="1634" customFormat="1">
      <c r="G41175" s="3336"/>
      <c r="P41175" s="3337"/>
    </row>
    <row r="41176" spans="7:16" s="1634" customFormat="1">
      <c r="G41176" s="3336"/>
      <c r="P41176" s="3337"/>
    </row>
    <row r="41177" spans="7:16" s="1634" customFormat="1">
      <c r="G41177" s="3336"/>
      <c r="P41177" s="3337"/>
    </row>
    <row r="41178" spans="7:16" s="1634" customFormat="1">
      <c r="G41178" s="3336"/>
      <c r="P41178" s="3337"/>
    </row>
    <row r="41179" spans="7:16" s="1634" customFormat="1">
      <c r="G41179" s="3336"/>
      <c r="P41179" s="3337"/>
    </row>
    <row r="41180" spans="7:16" s="1634" customFormat="1">
      <c r="G41180" s="3336"/>
      <c r="P41180" s="3337"/>
    </row>
    <row r="41181" spans="7:16" s="1634" customFormat="1">
      <c r="G41181" s="3336"/>
      <c r="P41181" s="3337"/>
    </row>
    <row r="41182" spans="7:16" s="1634" customFormat="1">
      <c r="G41182" s="3336"/>
      <c r="P41182" s="3337"/>
    </row>
    <row r="41183" spans="7:16" s="1634" customFormat="1">
      <c r="G41183" s="3336"/>
      <c r="P41183" s="3337"/>
    </row>
    <row r="41184" spans="7:16" s="1634" customFormat="1">
      <c r="G41184" s="3336"/>
      <c r="P41184" s="3337"/>
    </row>
    <row r="41185" spans="7:16" s="1634" customFormat="1">
      <c r="G41185" s="3336"/>
      <c r="P41185" s="3337"/>
    </row>
    <row r="41186" spans="7:16" s="1634" customFormat="1">
      <c r="G41186" s="3336"/>
      <c r="P41186" s="3337"/>
    </row>
    <row r="41187" spans="7:16" s="1634" customFormat="1">
      <c r="G41187" s="3336"/>
      <c r="P41187" s="3337"/>
    </row>
    <row r="41188" spans="7:16" s="1634" customFormat="1">
      <c r="G41188" s="3336"/>
      <c r="P41188" s="3337"/>
    </row>
    <row r="41189" spans="7:16" s="1634" customFormat="1">
      <c r="G41189" s="3336"/>
      <c r="P41189" s="3337"/>
    </row>
    <row r="41190" spans="7:16" s="1634" customFormat="1">
      <c r="G41190" s="3336"/>
      <c r="P41190" s="3337"/>
    </row>
    <row r="41191" spans="7:16" s="1634" customFormat="1">
      <c r="G41191" s="3336"/>
      <c r="P41191" s="3337"/>
    </row>
    <row r="41192" spans="7:16" s="1634" customFormat="1">
      <c r="G41192" s="3336"/>
      <c r="P41192" s="3337"/>
    </row>
    <row r="41193" spans="7:16" s="1634" customFormat="1">
      <c r="G41193" s="3336"/>
      <c r="P41193" s="3337"/>
    </row>
    <row r="41194" spans="7:16" s="1634" customFormat="1">
      <c r="G41194" s="3336"/>
      <c r="P41194" s="3337"/>
    </row>
    <row r="41195" spans="7:16" s="1634" customFormat="1">
      <c r="G41195" s="3336"/>
      <c r="P41195" s="3337"/>
    </row>
    <row r="41196" spans="7:16" s="1634" customFormat="1">
      <c r="G41196" s="3336"/>
      <c r="P41196" s="3337"/>
    </row>
    <row r="41197" spans="7:16" s="1634" customFormat="1">
      <c r="G41197" s="3336"/>
      <c r="P41197" s="3337"/>
    </row>
    <row r="41198" spans="7:16" s="1634" customFormat="1">
      <c r="G41198" s="3336"/>
      <c r="P41198" s="3337"/>
    </row>
    <row r="41199" spans="7:16" s="1634" customFormat="1">
      <c r="G41199" s="3336"/>
      <c r="P41199" s="3337"/>
    </row>
    <row r="41200" spans="7:16" s="1634" customFormat="1">
      <c r="G41200" s="3336"/>
      <c r="P41200" s="3337"/>
    </row>
    <row r="41201" spans="7:16" s="1634" customFormat="1">
      <c r="G41201" s="3336"/>
      <c r="P41201" s="3337"/>
    </row>
    <row r="41202" spans="7:16" s="1634" customFormat="1">
      <c r="G41202" s="3336"/>
      <c r="P41202" s="3337"/>
    </row>
    <row r="41203" spans="7:16" s="1634" customFormat="1">
      <c r="G41203" s="3336"/>
      <c r="P41203" s="3337"/>
    </row>
    <row r="41204" spans="7:16" s="1634" customFormat="1">
      <c r="G41204" s="3336"/>
      <c r="P41204" s="3337"/>
    </row>
    <row r="41205" spans="7:16" s="1634" customFormat="1">
      <c r="G41205" s="3336"/>
      <c r="P41205" s="3337"/>
    </row>
    <row r="41206" spans="7:16" s="1634" customFormat="1">
      <c r="G41206" s="3336"/>
      <c r="P41206" s="3337"/>
    </row>
    <row r="41207" spans="7:16" s="1634" customFormat="1">
      <c r="G41207" s="3336"/>
      <c r="P41207" s="3337"/>
    </row>
    <row r="41208" spans="7:16" s="1634" customFormat="1">
      <c r="G41208" s="3336"/>
      <c r="P41208" s="3337"/>
    </row>
    <row r="41209" spans="7:16" s="1634" customFormat="1">
      <c r="G41209" s="3336"/>
      <c r="P41209" s="3337"/>
    </row>
    <row r="41210" spans="7:16" s="1634" customFormat="1">
      <c r="G41210" s="3336"/>
      <c r="P41210" s="3337"/>
    </row>
    <row r="41211" spans="7:16" s="1634" customFormat="1">
      <c r="G41211" s="3336"/>
      <c r="P41211" s="3337"/>
    </row>
    <row r="41212" spans="7:16" s="1634" customFormat="1">
      <c r="G41212" s="3336"/>
      <c r="P41212" s="3337"/>
    </row>
    <row r="41213" spans="7:16" s="1634" customFormat="1">
      <c r="G41213" s="3336"/>
      <c r="P41213" s="3337"/>
    </row>
    <row r="41214" spans="7:16" s="1634" customFormat="1">
      <c r="G41214" s="3336"/>
      <c r="P41214" s="3337"/>
    </row>
    <row r="41215" spans="7:16" s="1634" customFormat="1">
      <c r="G41215" s="3336"/>
      <c r="P41215" s="3337"/>
    </row>
    <row r="41216" spans="7:16" s="1634" customFormat="1">
      <c r="G41216" s="3336"/>
      <c r="P41216" s="3337"/>
    </row>
    <row r="41217" spans="7:16" s="1634" customFormat="1">
      <c r="G41217" s="3336"/>
      <c r="P41217" s="3337"/>
    </row>
    <row r="41218" spans="7:16" s="1634" customFormat="1">
      <c r="G41218" s="3336"/>
      <c r="P41218" s="3337"/>
    </row>
    <row r="41219" spans="7:16" s="1634" customFormat="1">
      <c r="G41219" s="3336"/>
      <c r="P41219" s="3337"/>
    </row>
    <row r="41220" spans="7:16" s="1634" customFormat="1">
      <c r="G41220" s="3336"/>
      <c r="P41220" s="3337"/>
    </row>
    <row r="41221" spans="7:16" s="1634" customFormat="1">
      <c r="G41221" s="3336"/>
      <c r="P41221" s="3337"/>
    </row>
    <row r="41222" spans="7:16" s="1634" customFormat="1">
      <c r="G41222" s="3336"/>
      <c r="P41222" s="3337"/>
    </row>
    <row r="41223" spans="7:16" s="1634" customFormat="1">
      <c r="G41223" s="3336"/>
      <c r="P41223" s="3337"/>
    </row>
    <row r="41224" spans="7:16" s="1634" customFormat="1">
      <c r="G41224" s="3336"/>
      <c r="P41224" s="3337"/>
    </row>
    <row r="41225" spans="7:16" s="1634" customFormat="1">
      <c r="G41225" s="3336"/>
      <c r="P41225" s="3337"/>
    </row>
    <row r="41226" spans="7:16" s="1634" customFormat="1">
      <c r="G41226" s="3336"/>
      <c r="P41226" s="3337"/>
    </row>
    <row r="41227" spans="7:16" s="1634" customFormat="1">
      <c r="G41227" s="3336"/>
      <c r="P41227" s="3337"/>
    </row>
    <row r="41228" spans="7:16" s="1634" customFormat="1">
      <c r="G41228" s="3336"/>
      <c r="P41228" s="3337"/>
    </row>
    <row r="41229" spans="7:16" s="1634" customFormat="1">
      <c r="G41229" s="3336"/>
      <c r="P41229" s="3337"/>
    </row>
    <row r="41230" spans="7:16" s="1634" customFormat="1">
      <c r="G41230" s="3336"/>
      <c r="P41230" s="3337"/>
    </row>
    <row r="41231" spans="7:16" s="1634" customFormat="1">
      <c r="G41231" s="3336"/>
      <c r="P41231" s="3337"/>
    </row>
    <row r="41232" spans="7:16" s="1634" customFormat="1">
      <c r="G41232" s="3336"/>
      <c r="P41232" s="3337"/>
    </row>
    <row r="41233" spans="7:16" s="1634" customFormat="1">
      <c r="G41233" s="3336"/>
      <c r="P41233" s="3337"/>
    </row>
    <row r="41234" spans="7:16" s="1634" customFormat="1">
      <c r="G41234" s="3336"/>
      <c r="P41234" s="3337"/>
    </row>
    <row r="41235" spans="7:16" s="1634" customFormat="1">
      <c r="G41235" s="3336"/>
      <c r="P41235" s="3337"/>
    </row>
    <row r="41236" spans="7:16" s="1634" customFormat="1">
      <c r="G41236" s="3336"/>
      <c r="P41236" s="3337"/>
    </row>
    <row r="41237" spans="7:16" s="1634" customFormat="1">
      <c r="G41237" s="3336"/>
      <c r="P41237" s="3337"/>
    </row>
    <row r="41238" spans="7:16" s="1634" customFormat="1">
      <c r="G41238" s="3336"/>
      <c r="P41238" s="3337"/>
    </row>
    <row r="41239" spans="7:16" s="1634" customFormat="1">
      <c r="G41239" s="3336"/>
      <c r="P41239" s="3337"/>
    </row>
    <row r="41240" spans="7:16" s="1634" customFormat="1">
      <c r="G41240" s="3336"/>
      <c r="P41240" s="3337"/>
    </row>
    <row r="41241" spans="7:16" s="1634" customFormat="1">
      <c r="G41241" s="3336"/>
      <c r="P41241" s="3337"/>
    </row>
    <row r="41242" spans="7:16" s="1634" customFormat="1">
      <c r="G41242" s="3336"/>
      <c r="P41242" s="3337"/>
    </row>
    <row r="41243" spans="7:16" s="1634" customFormat="1">
      <c r="G41243" s="3336"/>
      <c r="P41243" s="3337"/>
    </row>
    <row r="41244" spans="7:16" s="1634" customFormat="1">
      <c r="G41244" s="3336"/>
      <c r="P41244" s="3337"/>
    </row>
    <row r="41245" spans="7:16" s="1634" customFormat="1">
      <c r="G41245" s="3336"/>
      <c r="P41245" s="3337"/>
    </row>
    <row r="41246" spans="7:16" s="1634" customFormat="1">
      <c r="G41246" s="3336"/>
      <c r="P41246" s="3337"/>
    </row>
    <row r="41247" spans="7:16" s="1634" customFormat="1">
      <c r="G41247" s="3336"/>
      <c r="P41247" s="3337"/>
    </row>
    <row r="41248" spans="7:16" s="1634" customFormat="1">
      <c r="G41248" s="3336"/>
      <c r="P41248" s="3337"/>
    </row>
    <row r="41249" spans="7:16" s="1634" customFormat="1">
      <c r="G41249" s="3336"/>
      <c r="P41249" s="3337"/>
    </row>
    <row r="41250" spans="7:16" s="1634" customFormat="1">
      <c r="G41250" s="3336"/>
      <c r="P41250" s="3337"/>
    </row>
    <row r="41251" spans="7:16" s="1634" customFormat="1">
      <c r="G41251" s="3336"/>
      <c r="P41251" s="3337"/>
    </row>
    <row r="41252" spans="7:16" s="1634" customFormat="1">
      <c r="G41252" s="3336"/>
      <c r="P41252" s="3337"/>
    </row>
    <row r="41253" spans="7:16" s="1634" customFormat="1">
      <c r="G41253" s="3336"/>
      <c r="P41253" s="3337"/>
    </row>
    <row r="41254" spans="7:16" s="1634" customFormat="1">
      <c r="G41254" s="3336"/>
      <c r="P41254" s="3337"/>
    </row>
    <row r="41255" spans="7:16" s="1634" customFormat="1">
      <c r="G41255" s="3336"/>
      <c r="P41255" s="3337"/>
    </row>
    <row r="41256" spans="7:16" s="1634" customFormat="1">
      <c r="G41256" s="3336"/>
      <c r="P41256" s="3337"/>
    </row>
    <row r="41257" spans="7:16" s="1634" customFormat="1">
      <c r="G41257" s="3336"/>
      <c r="P41257" s="3337"/>
    </row>
    <row r="41258" spans="7:16" s="1634" customFormat="1">
      <c r="G41258" s="3336"/>
      <c r="P41258" s="3337"/>
    </row>
    <row r="41259" spans="7:16" s="1634" customFormat="1">
      <c r="G41259" s="3336"/>
      <c r="P41259" s="3337"/>
    </row>
    <row r="41260" spans="7:16" s="1634" customFormat="1">
      <c r="G41260" s="3336"/>
      <c r="P41260" s="3337"/>
    </row>
    <row r="41261" spans="7:16" s="1634" customFormat="1">
      <c r="G41261" s="3336"/>
      <c r="P41261" s="3337"/>
    </row>
    <row r="41262" spans="7:16" s="1634" customFormat="1">
      <c r="G41262" s="3336"/>
      <c r="P41262" s="3337"/>
    </row>
    <row r="41263" spans="7:16" s="1634" customFormat="1">
      <c r="G41263" s="3336"/>
      <c r="P41263" s="3337"/>
    </row>
    <row r="41264" spans="7:16" s="1634" customFormat="1">
      <c r="G41264" s="3336"/>
      <c r="P41264" s="3337"/>
    </row>
    <row r="41265" spans="7:16" s="1634" customFormat="1">
      <c r="G41265" s="3336"/>
      <c r="P41265" s="3337"/>
    </row>
    <row r="41266" spans="7:16" s="1634" customFormat="1">
      <c r="G41266" s="3336"/>
      <c r="P41266" s="3337"/>
    </row>
    <row r="41267" spans="7:16" s="1634" customFormat="1">
      <c r="G41267" s="3336"/>
      <c r="P41267" s="3337"/>
    </row>
    <row r="41268" spans="7:16" s="1634" customFormat="1">
      <c r="G41268" s="3336"/>
      <c r="P41268" s="3337"/>
    </row>
    <row r="41269" spans="7:16" s="1634" customFormat="1">
      <c r="G41269" s="3336"/>
      <c r="P41269" s="3337"/>
    </row>
    <row r="41270" spans="7:16" s="1634" customFormat="1">
      <c r="G41270" s="3336"/>
      <c r="P41270" s="3337"/>
    </row>
    <row r="41271" spans="7:16" s="1634" customFormat="1">
      <c r="G41271" s="3336"/>
      <c r="P41271" s="3337"/>
    </row>
    <row r="41272" spans="7:16" s="1634" customFormat="1">
      <c r="G41272" s="3336"/>
      <c r="P41272" s="3337"/>
    </row>
    <row r="41273" spans="7:16" s="1634" customFormat="1">
      <c r="G41273" s="3336"/>
      <c r="P41273" s="3337"/>
    </row>
    <row r="41274" spans="7:16" s="1634" customFormat="1">
      <c r="G41274" s="3336"/>
      <c r="P41274" s="3337"/>
    </row>
    <row r="41275" spans="7:16" s="1634" customFormat="1">
      <c r="G41275" s="3336"/>
      <c r="P41275" s="3337"/>
    </row>
    <row r="41276" spans="7:16" s="1634" customFormat="1">
      <c r="G41276" s="3336"/>
      <c r="P41276" s="3337"/>
    </row>
    <row r="41277" spans="7:16" s="1634" customFormat="1">
      <c r="G41277" s="3336"/>
      <c r="P41277" s="3337"/>
    </row>
    <row r="41278" spans="7:16" s="1634" customFormat="1">
      <c r="G41278" s="3336"/>
      <c r="P41278" s="3337"/>
    </row>
    <row r="41279" spans="7:16" s="1634" customFormat="1">
      <c r="G41279" s="3336"/>
      <c r="P41279" s="3337"/>
    </row>
    <row r="41280" spans="7:16" s="1634" customFormat="1">
      <c r="G41280" s="3336"/>
      <c r="P41280" s="3337"/>
    </row>
    <row r="41281" spans="7:16" s="1634" customFormat="1">
      <c r="G41281" s="3336"/>
      <c r="P41281" s="3337"/>
    </row>
    <row r="41282" spans="7:16" s="1634" customFormat="1">
      <c r="G41282" s="3336"/>
      <c r="P41282" s="3337"/>
    </row>
    <row r="41283" spans="7:16" s="1634" customFormat="1">
      <c r="G41283" s="3336"/>
      <c r="P41283" s="3337"/>
    </row>
    <row r="41284" spans="7:16" s="1634" customFormat="1">
      <c r="G41284" s="3336"/>
      <c r="P41284" s="3337"/>
    </row>
    <row r="41285" spans="7:16" s="1634" customFormat="1">
      <c r="G41285" s="3336"/>
      <c r="P41285" s="3337"/>
    </row>
    <row r="41286" spans="7:16" s="1634" customFormat="1">
      <c r="G41286" s="3336"/>
      <c r="P41286" s="3337"/>
    </row>
    <row r="41287" spans="7:16" s="1634" customFormat="1">
      <c r="G41287" s="3336"/>
      <c r="P41287" s="3337"/>
    </row>
    <row r="41288" spans="7:16" s="1634" customFormat="1">
      <c r="G41288" s="3336"/>
      <c r="P41288" s="3337"/>
    </row>
    <row r="41289" spans="7:16" s="1634" customFormat="1">
      <c r="G41289" s="3336"/>
      <c r="P41289" s="3337"/>
    </row>
    <row r="41290" spans="7:16" s="1634" customFormat="1">
      <c r="G41290" s="3336"/>
      <c r="P41290" s="3337"/>
    </row>
    <row r="41291" spans="7:16" s="1634" customFormat="1">
      <c r="G41291" s="3336"/>
      <c r="P41291" s="3337"/>
    </row>
    <row r="41292" spans="7:16" s="1634" customFormat="1">
      <c r="G41292" s="3336"/>
      <c r="P41292" s="3337"/>
    </row>
    <row r="41293" spans="7:16" s="1634" customFormat="1">
      <c r="G41293" s="3336"/>
      <c r="P41293" s="3337"/>
    </row>
    <row r="41294" spans="7:16" s="1634" customFormat="1">
      <c r="G41294" s="3336"/>
      <c r="P41294" s="3337"/>
    </row>
    <row r="41295" spans="7:16" s="1634" customFormat="1">
      <c r="G41295" s="3336"/>
      <c r="P41295" s="3337"/>
    </row>
    <row r="41296" spans="7:16" s="1634" customFormat="1">
      <c r="G41296" s="3336"/>
      <c r="P41296" s="3337"/>
    </row>
    <row r="41297" spans="7:16" s="1634" customFormat="1">
      <c r="G41297" s="3336"/>
      <c r="P41297" s="3337"/>
    </row>
    <row r="41298" spans="7:16" s="1634" customFormat="1">
      <c r="G41298" s="3336"/>
      <c r="P41298" s="3337"/>
    </row>
    <row r="41299" spans="7:16" s="1634" customFormat="1">
      <c r="G41299" s="3336"/>
      <c r="P41299" s="3337"/>
    </row>
    <row r="41300" spans="7:16" s="1634" customFormat="1">
      <c r="G41300" s="3336"/>
      <c r="P41300" s="3337"/>
    </row>
    <row r="41301" spans="7:16" s="1634" customFormat="1">
      <c r="G41301" s="3336"/>
      <c r="P41301" s="3337"/>
    </row>
    <row r="41302" spans="7:16" s="1634" customFormat="1">
      <c r="G41302" s="3336"/>
      <c r="P41302" s="3337"/>
    </row>
    <row r="41303" spans="7:16" s="1634" customFormat="1">
      <c r="G41303" s="3336"/>
      <c r="P41303" s="3337"/>
    </row>
    <row r="41304" spans="7:16" s="1634" customFormat="1">
      <c r="G41304" s="3336"/>
      <c r="P41304" s="3337"/>
    </row>
    <row r="41305" spans="7:16" s="1634" customFormat="1">
      <c r="G41305" s="3336"/>
      <c r="P41305" s="3337"/>
    </row>
    <row r="41306" spans="7:16" s="1634" customFormat="1">
      <c r="G41306" s="3336"/>
      <c r="P41306" s="3337"/>
    </row>
    <row r="41307" spans="7:16" s="1634" customFormat="1">
      <c r="G41307" s="3336"/>
      <c r="P41307" s="3337"/>
    </row>
    <row r="41308" spans="7:16" s="1634" customFormat="1">
      <c r="G41308" s="3336"/>
      <c r="P41308" s="3337"/>
    </row>
    <row r="41309" spans="7:16" s="1634" customFormat="1">
      <c r="G41309" s="3336"/>
      <c r="P41309" s="3337"/>
    </row>
    <row r="41310" spans="7:16" s="1634" customFormat="1">
      <c r="G41310" s="3336"/>
      <c r="P41310" s="3337"/>
    </row>
    <row r="41311" spans="7:16" s="1634" customFormat="1">
      <c r="G41311" s="3336"/>
      <c r="P41311" s="3337"/>
    </row>
    <row r="41312" spans="7:16" s="1634" customFormat="1">
      <c r="G41312" s="3336"/>
      <c r="P41312" s="3337"/>
    </row>
    <row r="41313" spans="7:16" s="1634" customFormat="1">
      <c r="G41313" s="3336"/>
      <c r="P41313" s="3337"/>
    </row>
    <row r="41314" spans="7:16" s="1634" customFormat="1">
      <c r="G41314" s="3336"/>
      <c r="P41314" s="3337"/>
    </row>
    <row r="41315" spans="7:16" s="1634" customFormat="1">
      <c r="G41315" s="3336"/>
      <c r="P41315" s="3337"/>
    </row>
    <row r="41316" spans="7:16" s="1634" customFormat="1">
      <c r="G41316" s="3336"/>
      <c r="P41316" s="3337"/>
    </row>
    <row r="41317" spans="7:16" s="1634" customFormat="1">
      <c r="G41317" s="3336"/>
      <c r="P41317" s="3337"/>
    </row>
    <row r="41318" spans="7:16" s="1634" customFormat="1">
      <c r="G41318" s="3336"/>
      <c r="P41318" s="3337"/>
    </row>
    <row r="41319" spans="7:16" s="1634" customFormat="1">
      <c r="G41319" s="3336"/>
      <c r="P41319" s="3337"/>
    </row>
    <row r="41320" spans="7:16" s="1634" customFormat="1">
      <c r="G41320" s="3336"/>
      <c r="P41320" s="3337"/>
    </row>
    <row r="41321" spans="7:16" s="1634" customFormat="1">
      <c r="G41321" s="3336"/>
      <c r="P41321" s="3337"/>
    </row>
    <row r="41322" spans="7:16" s="1634" customFormat="1">
      <c r="G41322" s="3336"/>
      <c r="P41322" s="3337"/>
    </row>
    <row r="41323" spans="7:16" s="1634" customFormat="1">
      <c r="G41323" s="3336"/>
      <c r="P41323" s="3337"/>
    </row>
    <row r="41324" spans="7:16" s="1634" customFormat="1">
      <c r="G41324" s="3336"/>
      <c r="P41324" s="3337"/>
    </row>
    <row r="41325" spans="7:16" s="1634" customFormat="1">
      <c r="G41325" s="3336"/>
      <c r="P41325" s="3337"/>
    </row>
    <row r="41326" spans="7:16" s="1634" customFormat="1">
      <c r="G41326" s="3336"/>
      <c r="P41326" s="3337"/>
    </row>
    <row r="41327" spans="7:16" s="1634" customFormat="1">
      <c r="G41327" s="3336"/>
      <c r="P41327" s="3337"/>
    </row>
    <row r="41328" spans="7:16" s="1634" customFormat="1">
      <c r="G41328" s="3336"/>
      <c r="P41328" s="3337"/>
    </row>
    <row r="41329" spans="7:16" s="1634" customFormat="1">
      <c r="G41329" s="3336"/>
      <c r="P41329" s="3337"/>
    </row>
    <row r="41330" spans="7:16" s="1634" customFormat="1">
      <c r="G41330" s="3336"/>
      <c r="P41330" s="3337"/>
    </row>
    <row r="41331" spans="7:16" s="1634" customFormat="1">
      <c r="G41331" s="3336"/>
      <c r="P41331" s="3337"/>
    </row>
    <row r="41332" spans="7:16" s="1634" customFormat="1">
      <c r="G41332" s="3336"/>
      <c r="P41332" s="3337"/>
    </row>
    <row r="41333" spans="7:16" s="1634" customFormat="1">
      <c r="G41333" s="3336"/>
      <c r="P41333" s="3337"/>
    </row>
    <row r="41334" spans="7:16" s="1634" customFormat="1">
      <c r="G41334" s="3336"/>
      <c r="P41334" s="3337"/>
    </row>
    <row r="41335" spans="7:16" s="1634" customFormat="1">
      <c r="G41335" s="3336"/>
      <c r="P41335" s="3337"/>
    </row>
    <row r="41336" spans="7:16" s="1634" customFormat="1">
      <c r="G41336" s="3336"/>
      <c r="P41336" s="3337"/>
    </row>
    <row r="41337" spans="7:16" s="1634" customFormat="1">
      <c r="G41337" s="3336"/>
      <c r="P41337" s="3337"/>
    </row>
    <row r="41338" spans="7:16" s="1634" customFormat="1">
      <c r="G41338" s="3336"/>
      <c r="P41338" s="3337"/>
    </row>
    <row r="41339" spans="7:16" s="1634" customFormat="1">
      <c r="G41339" s="3336"/>
      <c r="P41339" s="3337"/>
    </row>
    <row r="41340" spans="7:16" s="1634" customFormat="1">
      <c r="G41340" s="3336"/>
      <c r="P41340" s="3337"/>
    </row>
    <row r="41341" spans="7:16" s="1634" customFormat="1">
      <c r="G41341" s="3336"/>
      <c r="P41341" s="3337"/>
    </row>
    <row r="41342" spans="7:16" s="1634" customFormat="1">
      <c r="G41342" s="3336"/>
      <c r="P41342" s="3337"/>
    </row>
    <row r="41343" spans="7:16" s="1634" customFormat="1">
      <c r="G41343" s="3336"/>
      <c r="P41343" s="3337"/>
    </row>
    <row r="41344" spans="7:16" s="1634" customFormat="1">
      <c r="G41344" s="3336"/>
      <c r="P41344" s="3337"/>
    </row>
    <row r="41345" spans="7:16" s="1634" customFormat="1">
      <c r="G41345" s="3336"/>
      <c r="P41345" s="3337"/>
    </row>
    <row r="41346" spans="7:16" s="1634" customFormat="1">
      <c r="G41346" s="3336"/>
      <c r="P41346" s="3337"/>
    </row>
    <row r="41347" spans="7:16" s="1634" customFormat="1">
      <c r="G41347" s="3336"/>
      <c r="P41347" s="3337"/>
    </row>
    <row r="41348" spans="7:16" s="1634" customFormat="1">
      <c r="G41348" s="3336"/>
      <c r="P41348" s="3337"/>
    </row>
    <row r="41349" spans="7:16" s="1634" customFormat="1">
      <c r="G41349" s="3336"/>
      <c r="P41349" s="3337"/>
    </row>
    <row r="41350" spans="7:16" s="1634" customFormat="1">
      <c r="G41350" s="3336"/>
      <c r="P41350" s="3337"/>
    </row>
    <row r="41351" spans="7:16" s="1634" customFormat="1">
      <c r="G41351" s="3336"/>
      <c r="P41351" s="3337"/>
    </row>
    <row r="41352" spans="7:16" s="1634" customFormat="1">
      <c r="G41352" s="3336"/>
      <c r="P41352" s="3337"/>
    </row>
    <row r="41353" spans="7:16" s="1634" customFormat="1">
      <c r="G41353" s="3336"/>
      <c r="P41353" s="3337"/>
    </row>
    <row r="41354" spans="7:16" s="1634" customFormat="1">
      <c r="G41354" s="3336"/>
      <c r="P41354" s="3337"/>
    </row>
    <row r="41355" spans="7:16" s="1634" customFormat="1">
      <c r="G41355" s="3336"/>
      <c r="P41355" s="3337"/>
    </row>
    <row r="41356" spans="7:16" s="1634" customFormat="1">
      <c r="G41356" s="3336"/>
      <c r="P41356" s="3337"/>
    </row>
    <row r="41357" spans="7:16" s="1634" customFormat="1">
      <c r="G41357" s="3336"/>
      <c r="P41357" s="3337"/>
    </row>
    <row r="41358" spans="7:16" s="1634" customFormat="1">
      <c r="G41358" s="3336"/>
      <c r="P41358" s="3337"/>
    </row>
    <row r="41359" spans="7:16" s="1634" customFormat="1">
      <c r="G41359" s="3336"/>
      <c r="P41359" s="3337"/>
    </row>
    <row r="41360" spans="7:16" s="1634" customFormat="1">
      <c r="G41360" s="3336"/>
      <c r="P41360" s="3337"/>
    </row>
    <row r="41361" spans="7:16" s="1634" customFormat="1">
      <c r="G41361" s="3336"/>
      <c r="P41361" s="3337"/>
    </row>
    <row r="41362" spans="7:16" s="1634" customFormat="1">
      <c r="G41362" s="3336"/>
      <c r="P41362" s="3337"/>
    </row>
    <row r="41363" spans="7:16" s="1634" customFormat="1">
      <c r="G41363" s="3336"/>
      <c r="P41363" s="3337"/>
    </row>
    <row r="41364" spans="7:16" s="1634" customFormat="1">
      <c r="G41364" s="3336"/>
      <c r="P41364" s="3337"/>
    </row>
    <row r="41365" spans="7:16" s="1634" customFormat="1">
      <c r="G41365" s="3336"/>
      <c r="P41365" s="3337"/>
    </row>
    <row r="41366" spans="7:16" s="1634" customFormat="1">
      <c r="G41366" s="3336"/>
      <c r="P41366" s="3337"/>
    </row>
    <row r="41367" spans="7:16" s="1634" customFormat="1">
      <c r="G41367" s="3336"/>
      <c r="P41367" s="3337"/>
    </row>
    <row r="41368" spans="7:16" s="1634" customFormat="1">
      <c r="G41368" s="3336"/>
      <c r="P41368" s="3337"/>
    </row>
    <row r="41369" spans="7:16" s="1634" customFormat="1">
      <c r="G41369" s="3336"/>
      <c r="P41369" s="3337"/>
    </row>
    <row r="41370" spans="7:16" s="1634" customFormat="1">
      <c r="G41370" s="3336"/>
      <c r="P41370" s="3337"/>
    </row>
    <row r="41371" spans="7:16" s="1634" customFormat="1">
      <c r="G41371" s="3336"/>
      <c r="P41371" s="3337"/>
    </row>
    <row r="41372" spans="7:16" s="1634" customFormat="1">
      <c r="G41372" s="3336"/>
      <c r="P41372" s="3337"/>
    </row>
    <row r="41373" spans="7:16" s="1634" customFormat="1">
      <c r="G41373" s="3336"/>
      <c r="P41373" s="3337"/>
    </row>
    <row r="41374" spans="7:16" s="1634" customFormat="1">
      <c r="G41374" s="3336"/>
      <c r="P41374" s="3337"/>
    </row>
    <row r="41375" spans="7:16" s="1634" customFormat="1">
      <c r="G41375" s="3336"/>
      <c r="P41375" s="3337"/>
    </row>
    <row r="41376" spans="7:16" s="1634" customFormat="1">
      <c r="G41376" s="3336"/>
      <c r="P41376" s="3337"/>
    </row>
    <row r="41377" spans="7:16" s="1634" customFormat="1">
      <c r="G41377" s="3336"/>
      <c r="P41377" s="3337"/>
    </row>
    <row r="41378" spans="7:16" s="1634" customFormat="1">
      <c r="G41378" s="3336"/>
      <c r="P41378" s="3337"/>
    </row>
    <row r="41379" spans="7:16" s="1634" customFormat="1">
      <c r="G41379" s="3336"/>
      <c r="P41379" s="3337"/>
    </row>
    <row r="41380" spans="7:16" s="1634" customFormat="1">
      <c r="G41380" s="3336"/>
      <c r="P41380" s="3337"/>
    </row>
    <row r="41381" spans="7:16" s="1634" customFormat="1">
      <c r="G41381" s="3336"/>
      <c r="P41381" s="3337"/>
    </row>
    <row r="41382" spans="7:16" s="1634" customFormat="1">
      <c r="G41382" s="3336"/>
      <c r="P41382" s="3337"/>
    </row>
    <row r="41383" spans="7:16" s="1634" customFormat="1">
      <c r="G41383" s="3336"/>
      <c r="P41383" s="3337"/>
    </row>
    <row r="41384" spans="7:16" s="1634" customFormat="1">
      <c r="G41384" s="3336"/>
      <c r="P41384" s="3337"/>
    </row>
    <row r="41385" spans="7:16" s="1634" customFormat="1">
      <c r="G41385" s="3336"/>
      <c r="P41385" s="3337"/>
    </row>
    <row r="41386" spans="7:16" s="1634" customFormat="1">
      <c r="G41386" s="3336"/>
      <c r="P41386" s="3337"/>
    </row>
    <row r="41387" spans="7:16" s="1634" customFormat="1">
      <c r="G41387" s="3336"/>
      <c r="P41387" s="3337"/>
    </row>
    <row r="41388" spans="7:16" s="1634" customFormat="1">
      <c r="G41388" s="3336"/>
      <c r="P41388" s="3337"/>
    </row>
    <row r="41389" spans="7:16" s="1634" customFormat="1">
      <c r="G41389" s="3336"/>
      <c r="P41389" s="3337"/>
    </row>
    <row r="41390" spans="7:16" s="1634" customFormat="1">
      <c r="G41390" s="3336"/>
      <c r="P41390" s="3337"/>
    </row>
    <row r="41391" spans="7:16" s="1634" customFormat="1">
      <c r="G41391" s="3336"/>
      <c r="P41391" s="3337"/>
    </row>
    <row r="41392" spans="7:16" s="1634" customFormat="1">
      <c r="G41392" s="3336"/>
      <c r="P41392" s="3337"/>
    </row>
    <row r="41393" spans="7:16" s="1634" customFormat="1">
      <c r="G41393" s="3336"/>
      <c r="P41393" s="3337"/>
    </row>
    <row r="41394" spans="7:16" s="1634" customFormat="1">
      <c r="G41394" s="3336"/>
      <c r="P41394" s="3337"/>
    </row>
    <row r="41395" spans="7:16" s="1634" customFormat="1">
      <c r="G41395" s="3336"/>
      <c r="P41395" s="3337"/>
    </row>
    <row r="41396" spans="7:16" s="1634" customFormat="1">
      <c r="G41396" s="3336"/>
      <c r="P41396" s="3337"/>
    </row>
    <row r="41397" spans="7:16" s="1634" customFormat="1">
      <c r="G41397" s="3336"/>
      <c r="P41397" s="3337"/>
    </row>
    <row r="41398" spans="7:16" s="1634" customFormat="1">
      <c r="G41398" s="3336"/>
      <c r="P41398" s="3337"/>
    </row>
    <row r="41399" spans="7:16" s="1634" customFormat="1">
      <c r="G41399" s="3336"/>
      <c r="P41399" s="3337"/>
    </row>
    <row r="41400" spans="7:16" s="1634" customFormat="1">
      <c r="G41400" s="3336"/>
      <c r="P41400" s="3337"/>
    </row>
    <row r="41401" spans="7:16" s="1634" customFormat="1">
      <c r="G41401" s="3336"/>
      <c r="P41401" s="3337"/>
    </row>
    <row r="41402" spans="7:16" s="1634" customFormat="1">
      <c r="G41402" s="3336"/>
      <c r="P41402" s="3337"/>
    </row>
    <row r="41403" spans="7:16" s="1634" customFormat="1">
      <c r="G41403" s="3336"/>
      <c r="P41403" s="3337"/>
    </row>
    <row r="41404" spans="7:16" s="1634" customFormat="1">
      <c r="G41404" s="3336"/>
      <c r="P41404" s="3337"/>
    </row>
    <row r="41405" spans="7:16" s="1634" customFormat="1">
      <c r="G41405" s="3336"/>
      <c r="P41405" s="3337"/>
    </row>
    <row r="41406" spans="7:16" s="1634" customFormat="1">
      <c r="G41406" s="3336"/>
      <c r="P41406" s="3337"/>
    </row>
    <row r="41407" spans="7:16" s="1634" customFormat="1">
      <c r="G41407" s="3336"/>
      <c r="P41407" s="3337"/>
    </row>
    <row r="41408" spans="7:16" s="1634" customFormat="1">
      <c r="G41408" s="3336"/>
      <c r="P41408" s="3337"/>
    </row>
    <row r="41409" spans="7:16" s="1634" customFormat="1">
      <c r="G41409" s="3336"/>
      <c r="P41409" s="3337"/>
    </row>
    <row r="41410" spans="7:16" s="1634" customFormat="1">
      <c r="G41410" s="3336"/>
      <c r="P41410" s="3337"/>
    </row>
    <row r="41411" spans="7:16" s="1634" customFormat="1">
      <c r="G41411" s="3336"/>
      <c r="P41411" s="3337"/>
    </row>
    <row r="41412" spans="7:16" s="1634" customFormat="1">
      <c r="G41412" s="3336"/>
      <c r="P41412" s="3337"/>
    </row>
    <row r="41413" spans="7:16" s="1634" customFormat="1">
      <c r="G41413" s="3336"/>
      <c r="P41413" s="3337"/>
    </row>
    <row r="41414" spans="7:16" s="1634" customFormat="1">
      <c r="G41414" s="3336"/>
      <c r="P41414" s="3337"/>
    </row>
    <row r="41415" spans="7:16" s="1634" customFormat="1">
      <c r="G41415" s="3336"/>
      <c r="P41415" s="3337"/>
    </row>
    <row r="41416" spans="7:16" s="1634" customFormat="1">
      <c r="G41416" s="3336"/>
      <c r="P41416" s="3337"/>
    </row>
    <row r="41417" spans="7:16" s="1634" customFormat="1">
      <c r="G41417" s="3336"/>
      <c r="P41417" s="3337"/>
    </row>
    <row r="41418" spans="7:16" s="1634" customFormat="1">
      <c r="G41418" s="3336"/>
      <c r="P41418" s="3337"/>
    </row>
    <row r="41419" spans="7:16" s="1634" customFormat="1">
      <c r="G41419" s="3336"/>
      <c r="P41419" s="3337"/>
    </row>
    <row r="41420" spans="7:16" s="1634" customFormat="1">
      <c r="G41420" s="3336"/>
      <c r="P41420" s="3337"/>
    </row>
    <row r="41421" spans="7:16" s="1634" customFormat="1">
      <c r="G41421" s="3336"/>
      <c r="P41421" s="3337"/>
    </row>
    <row r="41422" spans="7:16" s="1634" customFormat="1">
      <c r="G41422" s="3336"/>
      <c r="P41422" s="3337"/>
    </row>
    <row r="41423" spans="7:16" s="1634" customFormat="1">
      <c r="G41423" s="3336"/>
      <c r="P41423" s="3337"/>
    </row>
    <row r="41424" spans="7:16" s="1634" customFormat="1">
      <c r="G41424" s="3336"/>
      <c r="P41424" s="3337"/>
    </row>
    <row r="41425" spans="7:16" s="1634" customFormat="1">
      <c r="G41425" s="3336"/>
      <c r="P41425" s="3337"/>
    </row>
    <row r="41426" spans="7:16" s="1634" customFormat="1">
      <c r="G41426" s="3336"/>
      <c r="P41426" s="3337"/>
    </row>
    <row r="41427" spans="7:16" s="1634" customFormat="1">
      <c r="G41427" s="3336"/>
      <c r="P41427" s="3337"/>
    </row>
    <row r="41428" spans="7:16" s="1634" customFormat="1">
      <c r="G41428" s="3336"/>
      <c r="P41428" s="3337"/>
    </row>
    <row r="41429" spans="7:16" s="1634" customFormat="1">
      <c r="G41429" s="3336"/>
      <c r="P41429" s="3337"/>
    </row>
    <row r="41430" spans="7:16" s="1634" customFormat="1">
      <c r="G41430" s="3336"/>
      <c r="P41430" s="3337"/>
    </row>
    <row r="41431" spans="7:16" s="1634" customFormat="1">
      <c r="G41431" s="3336"/>
      <c r="P41431" s="3337"/>
    </row>
    <row r="41432" spans="7:16" s="1634" customFormat="1">
      <c r="G41432" s="3336"/>
      <c r="P41432" s="3337"/>
    </row>
    <row r="41433" spans="7:16" s="1634" customFormat="1">
      <c r="G41433" s="3336"/>
      <c r="P41433" s="3337"/>
    </row>
    <row r="41434" spans="7:16" s="1634" customFormat="1">
      <c r="G41434" s="3336"/>
      <c r="P41434" s="3337"/>
    </row>
    <row r="41435" spans="7:16" s="1634" customFormat="1">
      <c r="G41435" s="3336"/>
      <c r="P41435" s="3337"/>
    </row>
    <row r="41436" spans="7:16" s="1634" customFormat="1">
      <c r="G41436" s="3336"/>
      <c r="P41436" s="3337"/>
    </row>
    <row r="41437" spans="7:16" s="1634" customFormat="1">
      <c r="G41437" s="3336"/>
      <c r="P41437" s="3337"/>
    </row>
    <row r="41438" spans="7:16" s="1634" customFormat="1">
      <c r="G41438" s="3336"/>
      <c r="P41438" s="3337"/>
    </row>
    <row r="41439" spans="7:16" s="1634" customFormat="1">
      <c r="G41439" s="3336"/>
      <c r="P41439" s="3337"/>
    </row>
    <row r="41440" spans="7:16" s="1634" customFormat="1">
      <c r="G41440" s="3336"/>
      <c r="P41440" s="3337"/>
    </row>
    <row r="41441" spans="7:16" s="1634" customFormat="1">
      <c r="G41441" s="3336"/>
      <c r="P41441" s="3337"/>
    </row>
    <row r="41442" spans="7:16" s="1634" customFormat="1">
      <c r="G41442" s="3336"/>
      <c r="P41442" s="3337"/>
    </row>
    <row r="41443" spans="7:16" s="1634" customFormat="1">
      <c r="G41443" s="3336"/>
      <c r="P41443" s="3337"/>
    </row>
    <row r="41444" spans="7:16" s="1634" customFormat="1">
      <c r="G41444" s="3336"/>
      <c r="P41444" s="3337"/>
    </row>
    <row r="41445" spans="7:16" s="1634" customFormat="1">
      <c r="G41445" s="3336"/>
      <c r="P41445" s="3337"/>
    </row>
    <row r="41446" spans="7:16" s="1634" customFormat="1">
      <c r="G41446" s="3336"/>
      <c r="P41446" s="3337"/>
    </row>
    <row r="41447" spans="7:16" s="1634" customFormat="1">
      <c r="G41447" s="3336"/>
      <c r="P41447" s="3337"/>
    </row>
    <row r="41448" spans="7:16" s="1634" customFormat="1">
      <c r="G41448" s="3336"/>
      <c r="P41448" s="3337"/>
    </row>
    <row r="41449" spans="7:16" s="1634" customFormat="1">
      <c r="G41449" s="3336"/>
      <c r="P41449" s="3337"/>
    </row>
    <row r="41450" spans="7:16" s="1634" customFormat="1">
      <c r="G41450" s="3336"/>
      <c r="P41450" s="3337"/>
    </row>
    <row r="41451" spans="7:16" s="1634" customFormat="1">
      <c r="G41451" s="3336"/>
      <c r="P41451" s="3337"/>
    </row>
    <row r="41452" spans="7:16" s="1634" customFormat="1">
      <c r="G41452" s="3336"/>
      <c r="P41452" s="3337"/>
    </row>
    <row r="41453" spans="7:16" s="1634" customFormat="1">
      <c r="G41453" s="3336"/>
      <c r="P41453" s="3337"/>
    </row>
    <row r="41454" spans="7:16" s="1634" customFormat="1">
      <c r="G41454" s="3336"/>
      <c r="P41454" s="3337"/>
    </row>
    <row r="41455" spans="7:16" s="1634" customFormat="1">
      <c r="G41455" s="3336"/>
      <c r="P41455" s="3337"/>
    </row>
    <row r="41456" spans="7:16" s="1634" customFormat="1">
      <c r="G41456" s="3336"/>
      <c r="P41456" s="3337"/>
    </row>
    <row r="41457" spans="7:16" s="1634" customFormat="1">
      <c r="G41457" s="3336"/>
      <c r="P41457" s="3337"/>
    </row>
    <row r="41458" spans="7:16" s="1634" customFormat="1">
      <c r="G41458" s="3336"/>
      <c r="P41458" s="3337"/>
    </row>
    <row r="41459" spans="7:16" s="1634" customFormat="1">
      <c r="G41459" s="3336"/>
      <c r="P41459" s="3337"/>
    </row>
    <row r="41460" spans="7:16" s="1634" customFormat="1">
      <c r="G41460" s="3336"/>
      <c r="P41460" s="3337"/>
    </row>
    <row r="41461" spans="7:16" s="1634" customFormat="1">
      <c r="G41461" s="3336"/>
      <c r="P41461" s="3337"/>
    </row>
    <row r="41462" spans="7:16" s="1634" customFormat="1">
      <c r="G41462" s="3336"/>
      <c r="P41462" s="3337"/>
    </row>
    <row r="41463" spans="7:16" s="1634" customFormat="1">
      <c r="G41463" s="3336"/>
      <c r="P41463" s="3337"/>
    </row>
    <row r="41464" spans="7:16" s="1634" customFormat="1">
      <c r="G41464" s="3336"/>
      <c r="P41464" s="3337"/>
    </row>
    <row r="41465" spans="7:16" s="1634" customFormat="1">
      <c r="G41465" s="3336"/>
      <c r="P41465" s="3337"/>
    </row>
    <row r="41466" spans="7:16" s="1634" customFormat="1">
      <c r="G41466" s="3336"/>
      <c r="P41466" s="3337"/>
    </row>
    <row r="41467" spans="7:16" s="1634" customFormat="1">
      <c r="G41467" s="3336"/>
      <c r="P41467" s="3337"/>
    </row>
    <row r="41468" spans="7:16" s="1634" customFormat="1">
      <c r="G41468" s="3336"/>
      <c r="P41468" s="3337"/>
    </row>
    <row r="41469" spans="7:16" s="1634" customFormat="1">
      <c r="G41469" s="3336"/>
      <c r="P41469" s="3337"/>
    </row>
    <row r="41470" spans="7:16" s="1634" customFormat="1">
      <c r="G41470" s="3336"/>
      <c r="P41470" s="3337"/>
    </row>
    <row r="41471" spans="7:16" s="1634" customFormat="1">
      <c r="G41471" s="3336"/>
      <c r="P41471" s="3337"/>
    </row>
    <row r="41472" spans="7:16" s="1634" customFormat="1">
      <c r="G41472" s="3336"/>
      <c r="P41472" s="3337"/>
    </row>
    <row r="41473" spans="7:16" s="1634" customFormat="1">
      <c r="G41473" s="3336"/>
      <c r="P41473" s="3337"/>
    </row>
    <row r="41474" spans="7:16" s="1634" customFormat="1">
      <c r="G41474" s="3336"/>
      <c r="P41474" s="3337"/>
    </row>
    <row r="41475" spans="7:16" s="1634" customFormat="1">
      <c r="G41475" s="3336"/>
      <c r="P41475" s="3337"/>
    </row>
    <row r="41476" spans="7:16" s="1634" customFormat="1">
      <c r="G41476" s="3336"/>
      <c r="P41476" s="3337"/>
    </row>
    <row r="41477" spans="7:16" s="1634" customFormat="1">
      <c r="G41477" s="3336"/>
      <c r="P41477" s="3337"/>
    </row>
    <row r="41478" spans="7:16" s="1634" customFormat="1">
      <c r="G41478" s="3336"/>
      <c r="P41478" s="3337"/>
    </row>
    <row r="41479" spans="7:16" s="1634" customFormat="1">
      <c r="G41479" s="3336"/>
      <c r="P41479" s="3337"/>
    </row>
    <row r="41480" spans="7:16" s="1634" customFormat="1">
      <c r="G41480" s="3336"/>
      <c r="P41480" s="3337"/>
    </row>
    <row r="41481" spans="7:16" s="1634" customFormat="1">
      <c r="G41481" s="3336"/>
      <c r="P41481" s="3337"/>
    </row>
    <row r="41482" spans="7:16" s="1634" customFormat="1">
      <c r="G41482" s="3336"/>
      <c r="P41482" s="3337"/>
    </row>
    <row r="41483" spans="7:16" s="1634" customFormat="1">
      <c r="G41483" s="3336"/>
      <c r="P41483" s="3337"/>
    </row>
    <row r="41484" spans="7:16" s="1634" customFormat="1">
      <c r="G41484" s="3336"/>
      <c r="P41484" s="3337"/>
    </row>
    <row r="41485" spans="7:16" s="1634" customFormat="1">
      <c r="G41485" s="3336"/>
      <c r="P41485" s="3337"/>
    </row>
    <row r="41486" spans="7:16" s="1634" customFormat="1">
      <c r="G41486" s="3336"/>
      <c r="P41486" s="3337"/>
    </row>
    <row r="41487" spans="7:16" s="1634" customFormat="1">
      <c r="G41487" s="3336"/>
      <c r="P41487" s="3337"/>
    </row>
    <row r="41488" spans="7:16" s="1634" customFormat="1">
      <c r="G41488" s="3336"/>
      <c r="P41488" s="3337"/>
    </row>
    <row r="41489" spans="7:16" s="1634" customFormat="1">
      <c r="G41489" s="3336"/>
      <c r="P41489" s="3337"/>
    </row>
    <row r="41490" spans="7:16" s="1634" customFormat="1">
      <c r="G41490" s="3336"/>
      <c r="P41490" s="3337"/>
    </row>
    <row r="41491" spans="7:16" s="1634" customFormat="1">
      <c r="G41491" s="3336"/>
      <c r="P41491" s="3337"/>
    </row>
    <row r="41492" spans="7:16" s="1634" customFormat="1">
      <c r="G41492" s="3336"/>
      <c r="P41492" s="3337"/>
    </row>
    <row r="41493" spans="7:16" s="1634" customFormat="1">
      <c r="G41493" s="3336"/>
      <c r="P41493" s="3337"/>
    </row>
    <row r="41494" spans="7:16" s="1634" customFormat="1">
      <c r="G41494" s="3336"/>
      <c r="P41494" s="3337"/>
    </row>
    <row r="41495" spans="7:16" s="1634" customFormat="1">
      <c r="G41495" s="3336"/>
      <c r="P41495" s="3337"/>
    </row>
    <row r="41496" spans="7:16" s="1634" customFormat="1">
      <c r="G41496" s="3336"/>
      <c r="P41496" s="3337"/>
    </row>
    <row r="41497" spans="7:16" s="1634" customFormat="1">
      <c r="G41497" s="3336"/>
      <c r="P41497" s="3337"/>
    </row>
    <row r="41498" spans="7:16" s="1634" customFormat="1">
      <c r="G41498" s="3336"/>
      <c r="P41498" s="3337"/>
    </row>
    <row r="41499" spans="7:16" s="1634" customFormat="1">
      <c r="G41499" s="3336"/>
      <c r="P41499" s="3337"/>
    </row>
    <row r="41500" spans="7:16" s="1634" customFormat="1">
      <c r="G41500" s="3336"/>
      <c r="P41500" s="3337"/>
    </row>
    <row r="41501" spans="7:16" s="1634" customFormat="1">
      <c r="G41501" s="3336"/>
      <c r="P41501" s="3337"/>
    </row>
    <row r="41502" spans="7:16" s="1634" customFormat="1">
      <c r="G41502" s="3336"/>
      <c r="P41502" s="3337"/>
    </row>
    <row r="41503" spans="7:16" s="1634" customFormat="1">
      <c r="G41503" s="3336"/>
      <c r="P41503" s="3337"/>
    </row>
    <row r="41504" spans="7:16" s="1634" customFormat="1">
      <c r="G41504" s="3336"/>
      <c r="P41504" s="3337"/>
    </row>
    <row r="41505" spans="7:16" s="1634" customFormat="1">
      <c r="G41505" s="3336"/>
      <c r="P41505" s="3337"/>
    </row>
    <row r="41506" spans="7:16" s="1634" customFormat="1">
      <c r="G41506" s="3336"/>
      <c r="P41506" s="3337"/>
    </row>
    <row r="41507" spans="7:16" s="1634" customFormat="1">
      <c r="G41507" s="3336"/>
      <c r="P41507" s="3337"/>
    </row>
    <row r="41508" spans="7:16" s="1634" customFormat="1">
      <c r="G41508" s="3336"/>
      <c r="P41508" s="3337"/>
    </row>
    <row r="41509" spans="7:16" s="1634" customFormat="1">
      <c r="G41509" s="3336"/>
      <c r="P41509" s="3337"/>
    </row>
    <row r="41510" spans="7:16" s="1634" customFormat="1">
      <c r="G41510" s="3336"/>
      <c r="P41510" s="3337"/>
    </row>
    <row r="41511" spans="7:16" s="1634" customFormat="1">
      <c r="G41511" s="3336"/>
      <c r="P41511" s="3337"/>
    </row>
    <row r="41512" spans="7:16" s="1634" customFormat="1">
      <c r="G41512" s="3336"/>
      <c r="P41512" s="3337"/>
    </row>
    <row r="41513" spans="7:16" s="1634" customFormat="1">
      <c r="G41513" s="3336"/>
      <c r="P41513" s="3337"/>
    </row>
    <row r="41514" spans="7:16" s="1634" customFormat="1">
      <c r="G41514" s="3336"/>
      <c r="P41514" s="3337"/>
    </row>
    <row r="41515" spans="7:16" s="1634" customFormat="1">
      <c r="G41515" s="3336"/>
      <c r="P41515" s="3337"/>
    </row>
    <row r="41516" spans="7:16" s="1634" customFormat="1">
      <c r="G41516" s="3336"/>
      <c r="P41516" s="3337"/>
    </row>
    <row r="41517" spans="7:16" s="1634" customFormat="1">
      <c r="G41517" s="3336"/>
      <c r="P41517" s="3337"/>
    </row>
    <row r="41518" spans="7:16" s="1634" customFormat="1">
      <c r="G41518" s="3336"/>
      <c r="P41518" s="3337"/>
    </row>
    <row r="41519" spans="7:16" s="1634" customFormat="1">
      <c r="G41519" s="3336"/>
      <c r="P41519" s="3337"/>
    </row>
    <row r="41520" spans="7:16" s="1634" customFormat="1">
      <c r="G41520" s="3336"/>
      <c r="P41520" s="3337"/>
    </row>
    <row r="41521" spans="7:16" s="1634" customFormat="1">
      <c r="G41521" s="3336"/>
      <c r="P41521" s="3337"/>
    </row>
    <row r="41522" spans="7:16" s="1634" customFormat="1">
      <c r="G41522" s="3336"/>
      <c r="P41522" s="3337"/>
    </row>
    <row r="41523" spans="7:16" s="1634" customFormat="1">
      <c r="G41523" s="3336"/>
      <c r="P41523" s="3337"/>
    </row>
    <row r="41524" spans="7:16" s="1634" customFormat="1">
      <c r="G41524" s="3336"/>
      <c r="P41524" s="3337"/>
    </row>
    <row r="41525" spans="7:16" s="1634" customFormat="1">
      <c r="G41525" s="3336"/>
      <c r="P41525" s="3337"/>
    </row>
    <row r="41526" spans="7:16" s="1634" customFormat="1">
      <c r="G41526" s="3336"/>
      <c r="P41526" s="3337"/>
    </row>
    <row r="41527" spans="7:16" s="1634" customFormat="1">
      <c r="G41527" s="3336"/>
      <c r="P41527" s="3337"/>
    </row>
    <row r="41528" spans="7:16" s="1634" customFormat="1">
      <c r="G41528" s="3336"/>
      <c r="P41528" s="3337"/>
    </row>
    <row r="41529" spans="7:16" s="1634" customFormat="1">
      <c r="G41529" s="3336"/>
      <c r="P41529" s="3337"/>
    </row>
    <row r="41530" spans="7:16" s="1634" customFormat="1">
      <c r="G41530" s="3336"/>
      <c r="P41530" s="3337"/>
    </row>
    <row r="41531" spans="7:16" s="1634" customFormat="1">
      <c r="G41531" s="3336"/>
      <c r="P41531" s="3337"/>
    </row>
    <row r="41532" spans="7:16" s="1634" customFormat="1">
      <c r="G41532" s="3336"/>
      <c r="P41532" s="3337"/>
    </row>
    <row r="41533" spans="7:16" s="1634" customFormat="1">
      <c r="G41533" s="3336"/>
      <c r="P41533" s="3337"/>
    </row>
    <row r="41534" spans="7:16" s="1634" customFormat="1">
      <c r="G41534" s="3336"/>
      <c r="P41534" s="3337"/>
    </row>
    <row r="41535" spans="7:16" s="1634" customFormat="1">
      <c r="G41535" s="3336"/>
      <c r="P41535" s="3337"/>
    </row>
    <row r="41536" spans="7:16" s="1634" customFormat="1">
      <c r="G41536" s="3336"/>
      <c r="P41536" s="3337"/>
    </row>
    <row r="41537" spans="7:16" s="1634" customFormat="1">
      <c r="G41537" s="3336"/>
      <c r="P41537" s="3337"/>
    </row>
    <row r="41538" spans="7:16" s="1634" customFormat="1">
      <c r="G41538" s="3336"/>
      <c r="P41538" s="3337"/>
    </row>
    <row r="41539" spans="7:16" s="1634" customFormat="1">
      <c r="G41539" s="3336"/>
      <c r="P41539" s="3337"/>
    </row>
    <row r="41540" spans="7:16" s="1634" customFormat="1">
      <c r="G41540" s="3336"/>
      <c r="P41540" s="3337"/>
    </row>
    <row r="41541" spans="7:16" s="1634" customFormat="1">
      <c r="G41541" s="3336"/>
      <c r="P41541" s="3337"/>
    </row>
    <row r="41542" spans="7:16" s="1634" customFormat="1">
      <c r="G41542" s="3336"/>
      <c r="P41542" s="3337"/>
    </row>
    <row r="41543" spans="7:16" s="1634" customFormat="1">
      <c r="G41543" s="3336"/>
      <c r="P41543" s="3337"/>
    </row>
    <row r="41544" spans="7:16" s="1634" customFormat="1">
      <c r="G41544" s="3336"/>
      <c r="P41544" s="3337"/>
    </row>
    <row r="41545" spans="7:16" s="1634" customFormat="1">
      <c r="G41545" s="3336"/>
      <c r="P41545" s="3337"/>
    </row>
    <row r="41546" spans="7:16" s="1634" customFormat="1">
      <c r="G41546" s="3336"/>
      <c r="P41546" s="3337"/>
    </row>
    <row r="41547" spans="7:16" s="1634" customFormat="1">
      <c r="G41547" s="3336"/>
      <c r="P41547" s="3337"/>
    </row>
    <row r="41548" spans="7:16" s="1634" customFormat="1">
      <c r="G41548" s="3336"/>
      <c r="P41548" s="3337"/>
    </row>
    <row r="41549" spans="7:16" s="1634" customFormat="1">
      <c r="G41549" s="3336"/>
      <c r="P41549" s="3337"/>
    </row>
    <row r="41550" spans="7:16" s="1634" customFormat="1">
      <c r="G41550" s="3336"/>
      <c r="P41550" s="3337"/>
    </row>
    <row r="41551" spans="7:16" s="1634" customFormat="1">
      <c r="G41551" s="3336"/>
      <c r="P41551" s="3337"/>
    </row>
    <row r="41552" spans="7:16" s="1634" customFormat="1">
      <c r="G41552" s="3336"/>
      <c r="P41552" s="3337"/>
    </row>
    <row r="41553" spans="7:16" s="1634" customFormat="1">
      <c r="G41553" s="3336"/>
      <c r="P41553" s="3337"/>
    </row>
    <row r="41554" spans="7:16" s="1634" customFormat="1">
      <c r="G41554" s="3336"/>
      <c r="P41554" s="3337"/>
    </row>
    <row r="41555" spans="7:16" s="1634" customFormat="1">
      <c r="G41555" s="3336"/>
      <c r="P41555" s="3337"/>
    </row>
    <row r="41556" spans="7:16" s="1634" customFormat="1">
      <c r="G41556" s="3336"/>
      <c r="P41556" s="3337"/>
    </row>
    <row r="41557" spans="7:16" s="1634" customFormat="1">
      <c r="G41557" s="3336"/>
      <c r="P41557" s="3337"/>
    </row>
    <row r="41558" spans="7:16" s="1634" customFormat="1">
      <c r="G41558" s="3336"/>
      <c r="P41558" s="3337"/>
    </row>
    <row r="41559" spans="7:16" s="1634" customFormat="1">
      <c r="G41559" s="3336"/>
      <c r="P41559" s="3337"/>
    </row>
    <row r="41560" spans="7:16" s="1634" customFormat="1">
      <c r="G41560" s="3336"/>
      <c r="P41560" s="3337"/>
    </row>
    <row r="41561" spans="7:16" s="1634" customFormat="1">
      <c r="G41561" s="3336"/>
      <c r="P41561" s="3337"/>
    </row>
    <row r="41562" spans="7:16" s="1634" customFormat="1">
      <c r="G41562" s="3336"/>
      <c r="P41562" s="3337"/>
    </row>
    <row r="41563" spans="7:16" s="1634" customFormat="1">
      <c r="G41563" s="3336"/>
      <c r="P41563" s="3337"/>
    </row>
    <row r="41564" spans="7:16" s="1634" customFormat="1">
      <c r="G41564" s="3336"/>
      <c r="P41564" s="3337"/>
    </row>
    <row r="41565" spans="7:16" s="1634" customFormat="1">
      <c r="G41565" s="3336"/>
      <c r="P41565" s="3337"/>
    </row>
    <row r="41566" spans="7:16" s="1634" customFormat="1">
      <c r="G41566" s="3336"/>
      <c r="P41566" s="3337"/>
    </row>
    <row r="41567" spans="7:16" s="1634" customFormat="1">
      <c r="G41567" s="3336"/>
      <c r="P41567" s="3337"/>
    </row>
    <row r="41568" spans="7:16" s="1634" customFormat="1">
      <c r="G41568" s="3336"/>
      <c r="P41568" s="3337"/>
    </row>
    <row r="41569" spans="7:16" s="1634" customFormat="1">
      <c r="G41569" s="3336"/>
      <c r="P41569" s="3337"/>
    </row>
    <row r="41570" spans="7:16" s="1634" customFormat="1">
      <c r="G41570" s="3336"/>
      <c r="P41570" s="3337"/>
    </row>
    <row r="41571" spans="7:16" s="1634" customFormat="1">
      <c r="G41571" s="3336"/>
      <c r="P41571" s="3337"/>
    </row>
    <row r="41572" spans="7:16" s="1634" customFormat="1">
      <c r="G41572" s="3336"/>
      <c r="P41572" s="3337"/>
    </row>
    <row r="41573" spans="7:16" s="1634" customFormat="1">
      <c r="G41573" s="3336"/>
      <c r="P41573" s="3337"/>
    </row>
    <row r="41574" spans="7:16" s="1634" customFormat="1">
      <c r="G41574" s="3336"/>
      <c r="P41574" s="3337"/>
    </row>
    <row r="41575" spans="7:16" s="1634" customFormat="1">
      <c r="G41575" s="3336"/>
      <c r="P41575" s="3337"/>
    </row>
    <row r="41576" spans="7:16" s="1634" customFormat="1">
      <c r="G41576" s="3336"/>
      <c r="P41576" s="3337"/>
    </row>
    <row r="41577" spans="7:16" s="1634" customFormat="1">
      <c r="G41577" s="3336"/>
      <c r="P41577" s="3337"/>
    </row>
    <row r="41578" spans="7:16" s="1634" customFormat="1">
      <c r="G41578" s="3336"/>
      <c r="P41578" s="3337"/>
    </row>
    <row r="41579" spans="7:16" s="1634" customFormat="1">
      <c r="G41579" s="3336"/>
      <c r="P41579" s="3337"/>
    </row>
    <row r="41580" spans="7:16" s="1634" customFormat="1">
      <c r="G41580" s="3336"/>
      <c r="P41580" s="3337"/>
    </row>
    <row r="41581" spans="7:16" s="1634" customFormat="1">
      <c r="G41581" s="3336"/>
      <c r="P41581" s="3337"/>
    </row>
    <row r="41582" spans="7:16" s="1634" customFormat="1">
      <c r="G41582" s="3336"/>
      <c r="P41582" s="3337"/>
    </row>
    <row r="41583" spans="7:16" s="1634" customFormat="1">
      <c r="G41583" s="3336"/>
      <c r="P41583" s="3337"/>
    </row>
    <row r="41584" spans="7:16" s="1634" customFormat="1">
      <c r="G41584" s="3336"/>
      <c r="P41584" s="3337"/>
    </row>
    <row r="41585" spans="7:16" s="1634" customFormat="1">
      <c r="G41585" s="3336"/>
      <c r="P41585" s="3337"/>
    </row>
    <row r="41586" spans="7:16" s="1634" customFormat="1">
      <c r="G41586" s="3336"/>
      <c r="P41586" s="3337"/>
    </row>
    <row r="41587" spans="7:16" s="1634" customFormat="1">
      <c r="G41587" s="3336"/>
      <c r="P41587" s="3337"/>
    </row>
    <row r="41588" spans="7:16" s="1634" customFormat="1">
      <c r="G41588" s="3336"/>
      <c r="P41588" s="3337"/>
    </row>
    <row r="41589" spans="7:16" s="1634" customFormat="1">
      <c r="G41589" s="3336"/>
      <c r="P41589" s="3337"/>
    </row>
    <row r="41590" spans="7:16" s="1634" customFormat="1">
      <c r="G41590" s="3336"/>
      <c r="P41590" s="3337"/>
    </row>
    <row r="41591" spans="7:16" s="1634" customFormat="1">
      <c r="G41591" s="3336"/>
      <c r="P41591" s="3337"/>
    </row>
    <row r="41592" spans="7:16" s="1634" customFormat="1">
      <c r="G41592" s="3336"/>
      <c r="P41592" s="3337"/>
    </row>
    <row r="41593" spans="7:16" s="1634" customFormat="1">
      <c r="G41593" s="3336"/>
      <c r="P41593" s="3337"/>
    </row>
    <row r="41594" spans="7:16" s="1634" customFormat="1">
      <c r="G41594" s="3336"/>
      <c r="P41594" s="3337"/>
    </row>
    <row r="41595" spans="7:16" s="1634" customFormat="1">
      <c r="G41595" s="3336"/>
      <c r="P41595" s="3337"/>
    </row>
    <row r="41596" spans="7:16" s="1634" customFormat="1">
      <c r="G41596" s="3336"/>
      <c r="P41596" s="3337"/>
    </row>
    <row r="41597" spans="7:16" s="1634" customFormat="1">
      <c r="G41597" s="3336"/>
      <c r="P41597" s="3337"/>
    </row>
    <row r="41598" spans="7:16" s="1634" customFormat="1">
      <c r="G41598" s="3336"/>
      <c r="P41598" s="3337"/>
    </row>
    <row r="41599" spans="7:16" s="1634" customFormat="1">
      <c r="G41599" s="3336"/>
      <c r="P41599" s="3337"/>
    </row>
    <row r="41600" spans="7:16" s="1634" customFormat="1">
      <c r="G41600" s="3336"/>
      <c r="P41600" s="3337"/>
    </row>
    <row r="41601" spans="7:16" s="1634" customFormat="1">
      <c r="G41601" s="3336"/>
      <c r="P41601" s="3337"/>
    </row>
    <row r="41602" spans="7:16" s="1634" customFormat="1">
      <c r="G41602" s="3336"/>
      <c r="P41602" s="3337"/>
    </row>
    <row r="41603" spans="7:16" s="1634" customFormat="1">
      <c r="G41603" s="3336"/>
      <c r="P41603" s="3337"/>
    </row>
    <row r="41604" spans="7:16" s="1634" customFormat="1">
      <c r="G41604" s="3336"/>
      <c r="P41604" s="3337"/>
    </row>
    <row r="41605" spans="7:16" s="1634" customFormat="1">
      <c r="G41605" s="3336"/>
      <c r="P41605" s="3337"/>
    </row>
    <row r="41606" spans="7:16" s="1634" customFormat="1">
      <c r="G41606" s="3336"/>
      <c r="P41606" s="3337"/>
    </row>
    <row r="41607" spans="7:16" s="1634" customFormat="1">
      <c r="G41607" s="3336"/>
      <c r="P41607" s="3337"/>
    </row>
    <row r="41608" spans="7:16" s="1634" customFormat="1">
      <c r="G41608" s="3336"/>
      <c r="P41608" s="3337"/>
    </row>
    <row r="41609" spans="7:16" s="1634" customFormat="1">
      <c r="G41609" s="3336"/>
      <c r="P41609" s="3337"/>
    </row>
    <row r="41610" spans="7:16" s="1634" customFormat="1">
      <c r="G41610" s="3336"/>
      <c r="P41610" s="3337"/>
    </row>
    <row r="41611" spans="7:16" s="1634" customFormat="1">
      <c r="G41611" s="3336"/>
      <c r="P41611" s="3337"/>
    </row>
    <row r="41612" spans="7:16" s="1634" customFormat="1">
      <c r="G41612" s="3336"/>
      <c r="P41612" s="3337"/>
    </row>
    <row r="41613" spans="7:16" s="1634" customFormat="1">
      <c r="G41613" s="3336"/>
      <c r="P41613" s="3337"/>
    </row>
    <row r="41614" spans="7:16" s="1634" customFormat="1">
      <c r="G41614" s="3336"/>
      <c r="P41614" s="3337"/>
    </row>
    <row r="41615" spans="7:16" s="1634" customFormat="1">
      <c r="G41615" s="3336"/>
      <c r="P41615" s="3337"/>
    </row>
    <row r="41616" spans="7:16" s="1634" customFormat="1">
      <c r="G41616" s="3336"/>
      <c r="P41616" s="3337"/>
    </row>
    <row r="41617" spans="7:16" s="1634" customFormat="1">
      <c r="G41617" s="3336"/>
      <c r="P41617" s="3337"/>
    </row>
    <row r="41618" spans="7:16" s="1634" customFormat="1">
      <c r="G41618" s="3336"/>
      <c r="P41618" s="3337"/>
    </row>
    <row r="41619" spans="7:16" s="1634" customFormat="1">
      <c r="G41619" s="3336"/>
      <c r="P41619" s="3337"/>
    </row>
    <row r="41620" spans="7:16" s="1634" customFormat="1">
      <c r="G41620" s="3336"/>
      <c r="P41620" s="3337"/>
    </row>
    <row r="41621" spans="7:16" s="1634" customFormat="1">
      <c r="G41621" s="3336"/>
      <c r="P41621" s="3337"/>
    </row>
    <row r="41622" spans="7:16" s="1634" customFormat="1">
      <c r="G41622" s="3336"/>
      <c r="P41622" s="3337"/>
    </row>
    <row r="41623" spans="7:16" s="1634" customFormat="1">
      <c r="G41623" s="3336"/>
      <c r="P41623" s="3337"/>
    </row>
    <row r="41624" spans="7:16" s="1634" customFormat="1">
      <c r="G41624" s="3336"/>
      <c r="P41624" s="3337"/>
    </row>
    <row r="41625" spans="7:16" s="1634" customFormat="1">
      <c r="G41625" s="3336"/>
      <c r="P41625" s="3337"/>
    </row>
    <row r="41626" spans="7:16" s="1634" customFormat="1">
      <c r="G41626" s="3336"/>
      <c r="P41626" s="3337"/>
    </row>
    <row r="41627" spans="7:16" s="1634" customFormat="1">
      <c r="G41627" s="3336"/>
      <c r="P41627" s="3337"/>
    </row>
    <row r="41628" spans="7:16" s="1634" customFormat="1">
      <c r="G41628" s="3336"/>
      <c r="P41628" s="3337"/>
    </row>
    <row r="41629" spans="7:16" s="1634" customFormat="1">
      <c r="G41629" s="3336"/>
      <c r="P41629" s="3337"/>
    </row>
    <row r="41630" spans="7:16" s="1634" customFormat="1">
      <c r="G41630" s="3336"/>
      <c r="P41630" s="3337"/>
    </row>
    <row r="41631" spans="7:16" s="1634" customFormat="1">
      <c r="G41631" s="3336"/>
      <c r="P41631" s="3337"/>
    </row>
    <row r="41632" spans="7:16" s="1634" customFormat="1">
      <c r="G41632" s="3336"/>
      <c r="P41632" s="3337"/>
    </row>
    <row r="41633" spans="7:16" s="1634" customFormat="1">
      <c r="G41633" s="3336"/>
      <c r="P41633" s="3337"/>
    </row>
    <row r="41634" spans="7:16" s="1634" customFormat="1">
      <c r="G41634" s="3336"/>
      <c r="P41634" s="3337"/>
    </row>
    <row r="41635" spans="7:16" s="1634" customFormat="1">
      <c r="G41635" s="3336"/>
      <c r="P41635" s="3337"/>
    </row>
    <row r="41636" spans="7:16" s="1634" customFormat="1">
      <c r="G41636" s="3336"/>
      <c r="P41636" s="3337"/>
    </row>
    <row r="41637" spans="7:16" s="1634" customFormat="1">
      <c r="G41637" s="3336"/>
      <c r="P41637" s="3337"/>
    </row>
    <row r="41638" spans="7:16" s="1634" customFormat="1">
      <c r="G41638" s="3336"/>
      <c r="P41638" s="3337"/>
    </row>
    <row r="41639" spans="7:16" s="1634" customFormat="1">
      <c r="G41639" s="3336"/>
      <c r="P41639" s="3337"/>
    </row>
    <row r="41640" spans="7:16" s="1634" customFormat="1">
      <c r="G41640" s="3336"/>
      <c r="P41640" s="3337"/>
    </row>
    <row r="41641" spans="7:16" s="1634" customFormat="1">
      <c r="G41641" s="3336"/>
      <c r="P41641" s="3337"/>
    </row>
    <row r="41642" spans="7:16" s="1634" customFormat="1">
      <c r="G41642" s="3336"/>
      <c r="P41642" s="3337"/>
    </row>
    <row r="41643" spans="7:16" s="1634" customFormat="1">
      <c r="G41643" s="3336"/>
      <c r="P41643" s="3337"/>
    </row>
    <row r="41644" spans="7:16" s="1634" customFormat="1">
      <c r="G41644" s="3336"/>
      <c r="P41644" s="3337"/>
    </row>
    <row r="41645" spans="7:16" s="1634" customFormat="1">
      <c r="G41645" s="3336"/>
      <c r="P41645" s="3337"/>
    </row>
    <row r="41646" spans="7:16" s="1634" customFormat="1">
      <c r="G41646" s="3336"/>
      <c r="P41646" s="3337"/>
    </row>
    <row r="41647" spans="7:16" s="1634" customFormat="1">
      <c r="G41647" s="3336"/>
      <c r="P41647" s="3337"/>
    </row>
    <row r="41648" spans="7:16" s="1634" customFormat="1">
      <c r="G41648" s="3336"/>
      <c r="P41648" s="3337"/>
    </row>
    <row r="41649" spans="7:16" s="1634" customFormat="1">
      <c r="G41649" s="3336"/>
      <c r="P41649" s="3337"/>
    </row>
    <row r="41650" spans="7:16" s="1634" customFormat="1">
      <c r="G41650" s="3336"/>
      <c r="P41650" s="3337"/>
    </row>
    <row r="41651" spans="7:16" s="1634" customFormat="1">
      <c r="G41651" s="3336"/>
      <c r="P41651" s="3337"/>
    </row>
    <row r="41652" spans="7:16" s="1634" customFormat="1">
      <c r="G41652" s="3336"/>
      <c r="P41652" s="3337"/>
    </row>
    <row r="41653" spans="7:16" s="1634" customFormat="1">
      <c r="G41653" s="3336"/>
      <c r="P41653" s="3337"/>
    </row>
    <row r="41654" spans="7:16" s="1634" customFormat="1">
      <c r="G41654" s="3336"/>
      <c r="P41654" s="3337"/>
    </row>
    <row r="41655" spans="7:16" s="1634" customFormat="1">
      <c r="G41655" s="3336"/>
      <c r="P41655" s="3337"/>
    </row>
    <row r="41656" spans="7:16" s="1634" customFormat="1">
      <c r="G41656" s="3336"/>
      <c r="P41656" s="3337"/>
    </row>
    <row r="41657" spans="7:16" s="1634" customFormat="1">
      <c r="G41657" s="3336"/>
      <c r="P41657" s="3337"/>
    </row>
    <row r="41658" spans="7:16" s="1634" customFormat="1">
      <c r="G41658" s="3336"/>
      <c r="P41658" s="3337"/>
    </row>
    <row r="41659" spans="7:16" s="1634" customFormat="1">
      <c r="G41659" s="3336"/>
      <c r="P41659" s="3337"/>
    </row>
    <row r="41660" spans="7:16" s="1634" customFormat="1">
      <c r="G41660" s="3336"/>
      <c r="P41660" s="3337"/>
    </row>
    <row r="41661" spans="7:16" s="1634" customFormat="1">
      <c r="G41661" s="3336"/>
      <c r="P41661" s="3337"/>
    </row>
    <row r="41662" spans="7:16" s="1634" customFormat="1">
      <c r="G41662" s="3336"/>
      <c r="P41662" s="3337"/>
    </row>
    <row r="41663" spans="7:16" s="1634" customFormat="1">
      <c r="G41663" s="3336"/>
      <c r="P41663" s="3337"/>
    </row>
    <row r="41664" spans="7:16" s="1634" customFormat="1">
      <c r="G41664" s="3336"/>
      <c r="P41664" s="3337"/>
    </row>
    <row r="41665" spans="7:16" s="1634" customFormat="1">
      <c r="G41665" s="3336"/>
      <c r="P41665" s="3337"/>
    </row>
    <row r="41666" spans="7:16" s="1634" customFormat="1">
      <c r="G41666" s="3336"/>
      <c r="P41666" s="3337"/>
    </row>
    <row r="41667" spans="7:16" s="1634" customFormat="1">
      <c r="G41667" s="3336"/>
      <c r="P41667" s="3337"/>
    </row>
    <row r="41668" spans="7:16" s="1634" customFormat="1">
      <c r="G41668" s="3336"/>
      <c r="P41668" s="3337"/>
    </row>
    <row r="41669" spans="7:16" s="1634" customFormat="1">
      <c r="G41669" s="3336"/>
      <c r="P41669" s="3337"/>
    </row>
    <row r="41670" spans="7:16" s="1634" customFormat="1">
      <c r="G41670" s="3336"/>
      <c r="P41670" s="3337"/>
    </row>
    <row r="41671" spans="7:16" s="1634" customFormat="1">
      <c r="G41671" s="3336"/>
      <c r="P41671" s="3337"/>
    </row>
    <row r="41672" spans="7:16" s="1634" customFormat="1">
      <c r="G41672" s="3336"/>
      <c r="P41672" s="3337"/>
    </row>
    <row r="41673" spans="7:16" s="1634" customFormat="1">
      <c r="G41673" s="3336"/>
      <c r="P41673" s="3337"/>
    </row>
    <row r="41674" spans="7:16" s="1634" customFormat="1">
      <c r="G41674" s="3336"/>
      <c r="P41674" s="3337"/>
    </row>
    <row r="41675" spans="7:16" s="1634" customFormat="1">
      <c r="G41675" s="3336"/>
      <c r="P41675" s="3337"/>
    </row>
    <row r="41676" spans="7:16" s="1634" customFormat="1">
      <c r="G41676" s="3336"/>
      <c r="P41676" s="3337"/>
    </row>
    <row r="41677" spans="7:16" s="1634" customFormat="1">
      <c r="G41677" s="3336"/>
      <c r="P41677" s="3337"/>
    </row>
    <row r="41678" spans="7:16" s="1634" customFormat="1">
      <c r="G41678" s="3336"/>
      <c r="P41678" s="3337"/>
    </row>
    <row r="41679" spans="7:16" s="1634" customFormat="1">
      <c r="G41679" s="3336"/>
      <c r="P41679" s="3337"/>
    </row>
    <row r="41680" spans="7:16" s="1634" customFormat="1">
      <c r="G41680" s="3336"/>
      <c r="P41680" s="3337"/>
    </row>
    <row r="41681" spans="7:16" s="1634" customFormat="1">
      <c r="G41681" s="3336"/>
      <c r="P41681" s="3337"/>
    </row>
    <row r="41682" spans="7:16" s="1634" customFormat="1">
      <c r="G41682" s="3336"/>
      <c r="P41682" s="3337"/>
    </row>
    <row r="41683" spans="7:16" s="1634" customFormat="1">
      <c r="G41683" s="3336"/>
      <c r="P41683" s="3337"/>
    </row>
    <row r="41684" spans="7:16" s="1634" customFormat="1">
      <c r="G41684" s="3336"/>
      <c r="P41684" s="3337"/>
    </row>
    <row r="41685" spans="7:16" s="1634" customFormat="1">
      <c r="G41685" s="3336"/>
      <c r="P41685" s="3337"/>
    </row>
    <row r="41686" spans="7:16" s="1634" customFormat="1">
      <c r="G41686" s="3336"/>
      <c r="P41686" s="3337"/>
    </row>
    <row r="41687" spans="7:16" s="1634" customFormat="1">
      <c r="G41687" s="3336"/>
      <c r="P41687" s="3337"/>
    </row>
    <row r="41688" spans="7:16" s="1634" customFormat="1">
      <c r="G41688" s="3336"/>
      <c r="P41688" s="3337"/>
    </row>
    <row r="41689" spans="7:16" s="1634" customFormat="1">
      <c r="G41689" s="3336"/>
      <c r="P41689" s="3337"/>
    </row>
    <row r="41690" spans="7:16" s="1634" customFormat="1">
      <c r="G41690" s="3336"/>
      <c r="P41690" s="3337"/>
    </row>
    <row r="41691" spans="7:16" s="1634" customFormat="1">
      <c r="G41691" s="3336"/>
      <c r="P41691" s="3337"/>
    </row>
    <row r="41692" spans="7:16" s="1634" customFormat="1">
      <c r="G41692" s="3336"/>
      <c r="P41692" s="3337"/>
    </row>
    <row r="41693" spans="7:16" s="1634" customFormat="1">
      <c r="G41693" s="3336"/>
      <c r="P41693" s="3337"/>
    </row>
    <row r="41694" spans="7:16" s="1634" customFormat="1">
      <c r="G41694" s="3336"/>
      <c r="P41694" s="3337"/>
    </row>
    <row r="41695" spans="7:16" s="1634" customFormat="1">
      <c r="G41695" s="3336"/>
      <c r="P41695" s="3337"/>
    </row>
    <row r="41696" spans="7:16" s="1634" customFormat="1">
      <c r="G41696" s="3336"/>
      <c r="P41696" s="3337"/>
    </row>
    <row r="41697" spans="7:16" s="1634" customFormat="1">
      <c r="G41697" s="3336"/>
      <c r="P41697" s="3337"/>
    </row>
    <row r="41698" spans="7:16" s="1634" customFormat="1">
      <c r="G41698" s="3336"/>
      <c r="P41698" s="3337"/>
    </row>
    <row r="41699" spans="7:16" s="1634" customFormat="1">
      <c r="G41699" s="3336"/>
      <c r="P41699" s="3337"/>
    </row>
    <row r="41700" spans="7:16" s="1634" customFormat="1">
      <c r="G41700" s="3336"/>
      <c r="P41700" s="3337"/>
    </row>
    <row r="41701" spans="7:16" s="1634" customFormat="1">
      <c r="G41701" s="3336"/>
      <c r="P41701" s="3337"/>
    </row>
    <row r="41702" spans="7:16" s="1634" customFormat="1">
      <c r="G41702" s="3336"/>
      <c r="P41702" s="3337"/>
    </row>
    <row r="41703" spans="7:16" s="1634" customFormat="1">
      <c r="G41703" s="3336"/>
      <c r="P41703" s="3337"/>
    </row>
    <row r="41704" spans="7:16" s="1634" customFormat="1">
      <c r="G41704" s="3336"/>
      <c r="P41704" s="3337"/>
    </row>
    <row r="41705" spans="7:16" s="1634" customFormat="1">
      <c r="G41705" s="3336"/>
      <c r="P41705" s="3337"/>
    </row>
    <row r="41706" spans="7:16" s="1634" customFormat="1">
      <c r="G41706" s="3336"/>
      <c r="P41706" s="3337"/>
    </row>
    <row r="41707" spans="7:16" s="1634" customFormat="1">
      <c r="G41707" s="3336"/>
      <c r="P41707" s="3337"/>
    </row>
    <row r="41708" spans="7:16" s="1634" customFormat="1">
      <c r="G41708" s="3336"/>
      <c r="P41708" s="3337"/>
    </row>
    <row r="41709" spans="7:16" s="1634" customFormat="1">
      <c r="G41709" s="3336"/>
      <c r="P41709" s="3337"/>
    </row>
    <row r="41710" spans="7:16" s="1634" customFormat="1">
      <c r="G41710" s="3336"/>
      <c r="P41710" s="3337"/>
    </row>
    <row r="41711" spans="7:16" s="1634" customFormat="1">
      <c r="G41711" s="3336"/>
      <c r="P41711" s="3337"/>
    </row>
    <row r="41712" spans="7:16" s="1634" customFormat="1">
      <c r="G41712" s="3336"/>
      <c r="P41712" s="3337"/>
    </row>
    <row r="41713" spans="7:16" s="1634" customFormat="1">
      <c r="G41713" s="3336"/>
      <c r="P41713" s="3337"/>
    </row>
    <row r="41714" spans="7:16" s="1634" customFormat="1">
      <c r="G41714" s="3336"/>
      <c r="P41714" s="3337"/>
    </row>
    <row r="41715" spans="7:16" s="1634" customFormat="1">
      <c r="G41715" s="3336"/>
      <c r="P41715" s="3337"/>
    </row>
    <row r="41716" spans="7:16" s="1634" customFormat="1">
      <c r="G41716" s="3336"/>
      <c r="P41716" s="3337"/>
    </row>
    <row r="41717" spans="7:16" s="1634" customFormat="1">
      <c r="G41717" s="3336"/>
      <c r="P41717" s="3337"/>
    </row>
    <row r="41718" spans="7:16" s="1634" customFormat="1">
      <c r="G41718" s="3336"/>
      <c r="P41718" s="3337"/>
    </row>
    <row r="41719" spans="7:16" s="1634" customFormat="1">
      <c r="G41719" s="3336"/>
      <c r="P41719" s="3337"/>
    </row>
    <row r="41720" spans="7:16" s="1634" customFormat="1">
      <c r="G41720" s="3336"/>
      <c r="P41720" s="3337"/>
    </row>
    <row r="41721" spans="7:16" s="1634" customFormat="1">
      <c r="G41721" s="3336"/>
      <c r="P41721" s="3337"/>
    </row>
    <row r="41722" spans="7:16" s="1634" customFormat="1">
      <c r="G41722" s="3336"/>
      <c r="P41722" s="3337"/>
    </row>
    <row r="41723" spans="7:16" s="1634" customFormat="1">
      <c r="G41723" s="3336"/>
      <c r="P41723" s="3337"/>
    </row>
    <row r="41724" spans="7:16" s="1634" customFormat="1">
      <c r="G41724" s="3336"/>
      <c r="P41724" s="3337"/>
    </row>
    <row r="41725" spans="7:16" s="1634" customFormat="1">
      <c r="G41725" s="3336"/>
      <c r="P41725" s="3337"/>
    </row>
    <row r="41726" spans="7:16" s="1634" customFormat="1">
      <c r="G41726" s="3336"/>
      <c r="P41726" s="3337"/>
    </row>
    <row r="41727" spans="7:16" s="1634" customFormat="1">
      <c r="G41727" s="3336"/>
      <c r="P41727" s="3337"/>
    </row>
    <row r="41728" spans="7:16" s="1634" customFormat="1">
      <c r="G41728" s="3336"/>
      <c r="P41728" s="3337"/>
    </row>
    <row r="41729" spans="7:16" s="1634" customFormat="1">
      <c r="G41729" s="3336"/>
      <c r="P41729" s="3337"/>
    </row>
    <row r="41730" spans="7:16" s="1634" customFormat="1">
      <c r="G41730" s="3336"/>
      <c r="P41730" s="3337"/>
    </row>
    <row r="41731" spans="7:16" s="1634" customFormat="1">
      <c r="G41731" s="3336"/>
      <c r="P41731" s="3337"/>
    </row>
    <row r="41732" spans="7:16" s="1634" customFormat="1">
      <c r="G41732" s="3336"/>
      <c r="P41732" s="3337"/>
    </row>
    <row r="41733" spans="7:16" s="1634" customFormat="1">
      <c r="G41733" s="3336"/>
      <c r="P41733" s="3337"/>
    </row>
    <row r="41734" spans="7:16" s="1634" customFormat="1">
      <c r="G41734" s="3336"/>
      <c r="P41734" s="3337"/>
    </row>
    <row r="41735" spans="7:16" s="1634" customFormat="1">
      <c r="G41735" s="3336"/>
      <c r="P41735" s="3337"/>
    </row>
    <row r="41736" spans="7:16" s="1634" customFormat="1">
      <c r="G41736" s="3336"/>
      <c r="P41736" s="3337"/>
    </row>
    <row r="41737" spans="7:16" s="1634" customFormat="1">
      <c r="G41737" s="3336"/>
      <c r="P41737" s="3337"/>
    </row>
    <row r="41738" spans="7:16" s="1634" customFormat="1">
      <c r="G41738" s="3336"/>
      <c r="P41738" s="3337"/>
    </row>
    <row r="41739" spans="7:16" s="1634" customFormat="1">
      <c r="G41739" s="3336"/>
      <c r="P41739" s="3337"/>
    </row>
    <row r="41740" spans="7:16" s="1634" customFormat="1">
      <c r="G41740" s="3336"/>
      <c r="P41740" s="3337"/>
    </row>
    <row r="41741" spans="7:16" s="1634" customFormat="1">
      <c r="G41741" s="3336"/>
      <c r="P41741" s="3337"/>
    </row>
    <row r="41742" spans="7:16" s="1634" customFormat="1">
      <c r="G41742" s="3336"/>
      <c r="P41742" s="3337"/>
    </row>
    <row r="41743" spans="7:16" s="1634" customFormat="1">
      <c r="G41743" s="3336"/>
      <c r="P41743" s="3337"/>
    </row>
    <row r="41744" spans="7:16" s="1634" customFormat="1">
      <c r="G41744" s="3336"/>
      <c r="P41744" s="3337"/>
    </row>
    <row r="41745" spans="7:16" s="1634" customFormat="1">
      <c r="G41745" s="3336"/>
      <c r="P41745" s="3337"/>
    </row>
    <row r="41746" spans="7:16" s="1634" customFormat="1">
      <c r="G41746" s="3336"/>
      <c r="P41746" s="3337"/>
    </row>
    <row r="41747" spans="7:16" s="1634" customFormat="1">
      <c r="G41747" s="3336"/>
      <c r="P41747" s="3337"/>
    </row>
    <row r="41748" spans="7:16" s="1634" customFormat="1">
      <c r="G41748" s="3336"/>
      <c r="P41748" s="3337"/>
    </row>
    <row r="41749" spans="7:16" s="1634" customFormat="1">
      <c r="G41749" s="3336"/>
      <c r="P41749" s="3337"/>
    </row>
    <row r="41750" spans="7:16" s="1634" customFormat="1">
      <c r="G41750" s="3336"/>
      <c r="P41750" s="3337"/>
    </row>
    <row r="41751" spans="7:16" s="1634" customFormat="1">
      <c r="G41751" s="3336"/>
      <c r="P41751" s="3337"/>
    </row>
    <row r="41752" spans="7:16" s="1634" customFormat="1">
      <c r="G41752" s="3336"/>
      <c r="P41752" s="3337"/>
    </row>
    <row r="41753" spans="7:16" s="1634" customFormat="1">
      <c r="G41753" s="3336"/>
      <c r="P41753" s="3337"/>
    </row>
    <row r="41754" spans="7:16" s="1634" customFormat="1">
      <c r="G41754" s="3336"/>
      <c r="P41754" s="3337"/>
    </row>
    <row r="41755" spans="7:16" s="1634" customFormat="1">
      <c r="G41755" s="3336"/>
      <c r="P41755" s="3337"/>
    </row>
    <row r="41756" spans="7:16" s="1634" customFormat="1">
      <c r="G41756" s="3336"/>
      <c r="P41756" s="3337"/>
    </row>
    <row r="41757" spans="7:16" s="1634" customFormat="1">
      <c r="G41757" s="3336"/>
      <c r="P41757" s="3337"/>
    </row>
    <row r="41758" spans="7:16" s="1634" customFormat="1">
      <c r="G41758" s="3336"/>
      <c r="P41758" s="3337"/>
    </row>
    <row r="41759" spans="7:16" s="1634" customFormat="1">
      <c r="G41759" s="3336"/>
      <c r="P41759" s="3337"/>
    </row>
    <row r="41760" spans="7:16" s="1634" customFormat="1">
      <c r="G41760" s="3336"/>
      <c r="P41760" s="3337"/>
    </row>
    <row r="41761" spans="7:16" s="1634" customFormat="1">
      <c r="G41761" s="3336"/>
      <c r="P41761" s="3337"/>
    </row>
    <row r="41762" spans="7:16" s="1634" customFormat="1">
      <c r="G41762" s="3336"/>
      <c r="P41762" s="3337"/>
    </row>
    <row r="41763" spans="7:16" s="1634" customFormat="1">
      <c r="G41763" s="3336"/>
      <c r="P41763" s="3337"/>
    </row>
    <row r="41764" spans="7:16" s="1634" customFormat="1">
      <c r="G41764" s="3336"/>
      <c r="P41764" s="3337"/>
    </row>
    <row r="41765" spans="7:16" s="1634" customFormat="1">
      <c r="G41765" s="3336"/>
      <c r="P41765" s="3337"/>
    </row>
    <row r="41766" spans="7:16" s="1634" customFormat="1">
      <c r="G41766" s="3336"/>
      <c r="P41766" s="3337"/>
    </row>
    <row r="41767" spans="7:16" s="1634" customFormat="1">
      <c r="G41767" s="3336"/>
      <c r="P41767" s="3337"/>
    </row>
    <row r="41768" spans="7:16" s="1634" customFormat="1">
      <c r="G41768" s="3336"/>
      <c r="P41768" s="3337"/>
    </row>
    <row r="41769" spans="7:16" s="1634" customFormat="1">
      <c r="G41769" s="3336"/>
      <c r="P41769" s="3337"/>
    </row>
    <row r="41770" spans="7:16" s="1634" customFormat="1">
      <c r="G41770" s="3336"/>
      <c r="P41770" s="3337"/>
    </row>
    <row r="41771" spans="7:16" s="1634" customFormat="1">
      <c r="G41771" s="3336"/>
      <c r="P41771" s="3337"/>
    </row>
    <row r="41772" spans="7:16" s="1634" customFormat="1">
      <c r="G41772" s="3336"/>
      <c r="P41772" s="3337"/>
    </row>
    <row r="41773" spans="7:16" s="1634" customFormat="1">
      <c r="G41773" s="3336"/>
      <c r="P41773" s="3337"/>
    </row>
    <row r="41774" spans="7:16" s="1634" customFormat="1">
      <c r="G41774" s="3336"/>
      <c r="P41774" s="3337"/>
    </row>
    <row r="41775" spans="7:16" s="1634" customFormat="1">
      <c r="G41775" s="3336"/>
      <c r="P41775" s="3337"/>
    </row>
    <row r="41776" spans="7:16" s="1634" customFormat="1">
      <c r="G41776" s="3336"/>
      <c r="P41776" s="3337"/>
    </row>
    <row r="41777" spans="7:16" s="1634" customFormat="1">
      <c r="G41777" s="3336"/>
      <c r="P41777" s="3337"/>
    </row>
    <row r="41778" spans="7:16" s="1634" customFormat="1">
      <c r="G41778" s="3336"/>
      <c r="P41778" s="3337"/>
    </row>
    <row r="41779" spans="7:16" s="1634" customFormat="1">
      <c r="G41779" s="3336"/>
      <c r="P41779" s="3337"/>
    </row>
    <row r="41780" spans="7:16" s="1634" customFormat="1">
      <c r="G41780" s="3336"/>
      <c r="P41780" s="3337"/>
    </row>
    <row r="41781" spans="7:16" s="1634" customFormat="1">
      <c r="G41781" s="3336"/>
      <c r="P41781" s="3337"/>
    </row>
    <row r="41782" spans="7:16" s="1634" customFormat="1">
      <c r="G41782" s="3336"/>
      <c r="P41782" s="3337"/>
    </row>
    <row r="41783" spans="7:16" s="1634" customFormat="1">
      <c r="G41783" s="3336"/>
      <c r="P41783" s="3337"/>
    </row>
    <row r="41784" spans="7:16" s="1634" customFormat="1">
      <c r="G41784" s="3336"/>
      <c r="P41784" s="3337"/>
    </row>
    <row r="41785" spans="7:16" s="1634" customFormat="1">
      <c r="G41785" s="3336"/>
      <c r="P41785" s="3337"/>
    </row>
    <row r="41786" spans="7:16" s="1634" customFormat="1">
      <c r="G41786" s="3336"/>
      <c r="P41786" s="3337"/>
    </row>
    <row r="41787" spans="7:16" s="1634" customFormat="1">
      <c r="G41787" s="3336"/>
      <c r="P41787" s="3337"/>
    </row>
    <row r="41788" spans="7:16" s="1634" customFormat="1">
      <c r="G41788" s="3336"/>
      <c r="P41788" s="3337"/>
    </row>
    <row r="41789" spans="7:16" s="1634" customFormat="1">
      <c r="G41789" s="3336"/>
      <c r="P41789" s="3337"/>
    </row>
    <row r="41790" spans="7:16" s="1634" customFormat="1">
      <c r="G41790" s="3336"/>
      <c r="P41790" s="3337"/>
    </row>
    <row r="41791" spans="7:16" s="1634" customFormat="1">
      <c r="G41791" s="3336"/>
      <c r="P41791" s="3337"/>
    </row>
    <row r="41792" spans="7:16" s="1634" customFormat="1">
      <c r="G41792" s="3336"/>
      <c r="P41792" s="3337"/>
    </row>
    <row r="41793" spans="7:16" s="1634" customFormat="1">
      <c r="G41793" s="3336"/>
      <c r="P41793" s="3337"/>
    </row>
    <row r="41794" spans="7:16" s="1634" customFormat="1">
      <c r="G41794" s="3336"/>
      <c r="P41794" s="3337"/>
    </row>
    <row r="41795" spans="7:16" s="1634" customFormat="1">
      <c r="G41795" s="3336"/>
      <c r="P41795" s="3337"/>
    </row>
    <row r="41796" spans="7:16" s="1634" customFormat="1">
      <c r="G41796" s="3336"/>
      <c r="P41796" s="3337"/>
    </row>
    <row r="41797" spans="7:16" s="1634" customFormat="1">
      <c r="G41797" s="3336"/>
      <c r="P41797" s="3337"/>
    </row>
    <row r="41798" spans="7:16" s="1634" customFormat="1">
      <c r="G41798" s="3336"/>
      <c r="P41798" s="3337"/>
    </row>
    <row r="41799" spans="7:16" s="1634" customFormat="1">
      <c r="G41799" s="3336"/>
      <c r="P41799" s="3337"/>
    </row>
    <row r="41800" spans="7:16" s="1634" customFormat="1">
      <c r="G41800" s="3336"/>
      <c r="P41800" s="3337"/>
    </row>
    <row r="41801" spans="7:16" s="1634" customFormat="1">
      <c r="G41801" s="3336"/>
      <c r="P41801" s="3337"/>
    </row>
    <row r="41802" spans="7:16" s="1634" customFormat="1">
      <c r="G41802" s="3336"/>
      <c r="P41802" s="3337"/>
    </row>
    <row r="41803" spans="7:16" s="1634" customFormat="1">
      <c r="G41803" s="3336"/>
      <c r="P41803" s="3337"/>
    </row>
    <row r="41804" spans="7:16" s="1634" customFormat="1">
      <c r="G41804" s="3336"/>
      <c r="P41804" s="3337"/>
    </row>
    <row r="41805" spans="7:16" s="1634" customFormat="1">
      <c r="G41805" s="3336"/>
      <c r="P41805" s="3337"/>
    </row>
    <row r="41806" spans="7:16" s="1634" customFormat="1">
      <c r="G41806" s="3336"/>
      <c r="P41806" s="3337"/>
    </row>
    <row r="41807" spans="7:16" s="1634" customFormat="1">
      <c r="G41807" s="3336"/>
      <c r="P41807" s="3337"/>
    </row>
    <row r="41808" spans="7:16" s="1634" customFormat="1">
      <c r="G41808" s="3336"/>
      <c r="P41808" s="3337"/>
    </row>
    <row r="41809" spans="7:16" s="1634" customFormat="1">
      <c r="G41809" s="3336"/>
      <c r="P41809" s="3337"/>
    </row>
    <row r="41810" spans="7:16" s="1634" customFormat="1">
      <c r="G41810" s="3336"/>
      <c r="P41810" s="3337"/>
    </row>
    <row r="41811" spans="7:16" s="1634" customFormat="1">
      <c r="G41811" s="3336"/>
      <c r="P41811" s="3337"/>
    </row>
    <row r="41812" spans="7:16" s="1634" customFormat="1">
      <c r="G41812" s="3336"/>
      <c r="P41812" s="3337"/>
    </row>
    <row r="41813" spans="7:16" s="1634" customFormat="1">
      <c r="G41813" s="3336"/>
      <c r="P41813" s="3337"/>
    </row>
    <row r="41814" spans="7:16" s="1634" customFormat="1">
      <c r="G41814" s="3336"/>
      <c r="P41814" s="3337"/>
    </row>
    <row r="41815" spans="7:16" s="1634" customFormat="1">
      <c r="G41815" s="3336"/>
      <c r="P41815" s="3337"/>
    </row>
    <row r="41816" spans="7:16" s="1634" customFormat="1">
      <c r="G41816" s="3336"/>
      <c r="P41816" s="3337"/>
    </row>
    <row r="41817" spans="7:16" s="1634" customFormat="1">
      <c r="G41817" s="3336"/>
      <c r="P41817" s="3337"/>
    </row>
    <row r="41818" spans="7:16" s="1634" customFormat="1">
      <c r="G41818" s="3336"/>
      <c r="P41818" s="3337"/>
    </row>
    <row r="41819" spans="7:16" s="1634" customFormat="1">
      <c r="G41819" s="3336"/>
      <c r="P41819" s="3337"/>
    </row>
    <row r="41820" spans="7:16" s="1634" customFormat="1">
      <c r="G41820" s="3336"/>
      <c r="P41820" s="3337"/>
    </row>
    <row r="41821" spans="7:16" s="1634" customFormat="1">
      <c r="G41821" s="3336"/>
      <c r="P41821" s="3337"/>
    </row>
    <row r="41822" spans="7:16" s="1634" customFormat="1">
      <c r="G41822" s="3336"/>
      <c r="P41822" s="3337"/>
    </row>
    <row r="41823" spans="7:16" s="1634" customFormat="1">
      <c r="G41823" s="3336"/>
      <c r="P41823" s="3337"/>
    </row>
    <row r="41824" spans="7:16" s="1634" customFormat="1">
      <c r="G41824" s="3336"/>
      <c r="P41824" s="3337"/>
    </row>
    <row r="41825" spans="7:16" s="1634" customFormat="1">
      <c r="G41825" s="3336"/>
      <c r="P41825" s="3337"/>
    </row>
    <row r="41826" spans="7:16" s="1634" customFormat="1">
      <c r="G41826" s="3336"/>
      <c r="P41826" s="3337"/>
    </row>
    <row r="41827" spans="7:16" s="1634" customFormat="1">
      <c r="G41827" s="3336"/>
      <c r="P41827" s="3337"/>
    </row>
    <row r="41828" spans="7:16" s="1634" customFormat="1">
      <c r="G41828" s="3336"/>
      <c r="P41828" s="3337"/>
    </row>
    <row r="41829" spans="7:16" s="1634" customFormat="1">
      <c r="G41829" s="3336"/>
      <c r="P41829" s="3337"/>
    </row>
    <row r="41830" spans="7:16" s="1634" customFormat="1">
      <c r="G41830" s="3336"/>
      <c r="P41830" s="3337"/>
    </row>
    <row r="41831" spans="7:16" s="1634" customFormat="1">
      <c r="G41831" s="3336"/>
      <c r="P41831" s="3337"/>
    </row>
    <row r="41832" spans="7:16" s="1634" customFormat="1">
      <c r="G41832" s="3336"/>
      <c r="P41832" s="3337"/>
    </row>
    <row r="41833" spans="7:16" s="1634" customFormat="1">
      <c r="G41833" s="3336"/>
      <c r="P41833" s="3337"/>
    </row>
    <row r="41834" spans="7:16" s="1634" customFormat="1">
      <c r="G41834" s="3336"/>
      <c r="P41834" s="3337"/>
    </row>
    <row r="41835" spans="7:16" s="1634" customFormat="1">
      <c r="G41835" s="3336"/>
      <c r="P41835" s="3337"/>
    </row>
    <row r="41836" spans="7:16" s="1634" customFormat="1">
      <c r="G41836" s="3336"/>
      <c r="P41836" s="3337"/>
    </row>
    <row r="41837" spans="7:16" s="1634" customFormat="1">
      <c r="G41837" s="3336"/>
      <c r="P41837" s="3337"/>
    </row>
    <row r="41838" spans="7:16" s="1634" customFormat="1">
      <c r="G41838" s="3336"/>
      <c r="P41838" s="3337"/>
    </row>
    <row r="41839" spans="7:16" s="1634" customFormat="1">
      <c r="G41839" s="3336"/>
      <c r="P41839" s="3337"/>
    </row>
    <row r="41840" spans="7:16" s="1634" customFormat="1">
      <c r="G41840" s="3336"/>
      <c r="P41840" s="3337"/>
    </row>
    <row r="41841" spans="7:16" s="1634" customFormat="1">
      <c r="G41841" s="3336"/>
      <c r="P41841" s="3337"/>
    </row>
    <row r="41842" spans="7:16" s="1634" customFormat="1">
      <c r="G41842" s="3336"/>
      <c r="P41842" s="3337"/>
    </row>
    <row r="41843" spans="7:16" s="1634" customFormat="1">
      <c r="G41843" s="3336"/>
      <c r="P41843" s="3337"/>
    </row>
    <row r="41844" spans="7:16" s="1634" customFormat="1">
      <c r="G41844" s="3336"/>
      <c r="P41844" s="3337"/>
    </row>
    <row r="41845" spans="7:16" s="1634" customFormat="1">
      <c r="G41845" s="3336"/>
      <c r="P41845" s="3337"/>
    </row>
    <row r="41846" spans="7:16" s="1634" customFormat="1">
      <c r="G41846" s="3336"/>
      <c r="P41846" s="3337"/>
    </row>
    <row r="41847" spans="7:16" s="1634" customFormat="1">
      <c r="G41847" s="3336"/>
      <c r="P41847" s="3337"/>
    </row>
    <row r="41848" spans="7:16" s="1634" customFormat="1">
      <c r="G41848" s="3336"/>
      <c r="P41848" s="3337"/>
    </row>
    <row r="41849" spans="7:16" s="1634" customFormat="1">
      <c r="G41849" s="3336"/>
      <c r="P41849" s="3337"/>
    </row>
    <row r="41850" spans="7:16" s="1634" customFormat="1">
      <c r="G41850" s="3336"/>
      <c r="P41850" s="3337"/>
    </row>
    <row r="41851" spans="7:16" s="1634" customFormat="1">
      <c r="G41851" s="3336"/>
      <c r="P41851" s="3337"/>
    </row>
    <row r="41852" spans="7:16" s="1634" customFormat="1">
      <c r="G41852" s="3336"/>
      <c r="P41852" s="3337"/>
    </row>
    <row r="41853" spans="7:16" s="1634" customFormat="1">
      <c r="G41853" s="3336"/>
      <c r="P41853" s="3337"/>
    </row>
    <row r="41854" spans="7:16" s="1634" customFormat="1">
      <c r="G41854" s="3336"/>
      <c r="P41854" s="3337"/>
    </row>
    <row r="41855" spans="7:16" s="1634" customFormat="1">
      <c r="G41855" s="3336"/>
      <c r="P41855" s="3337"/>
    </row>
    <row r="41856" spans="7:16" s="1634" customFormat="1">
      <c r="G41856" s="3336"/>
      <c r="P41856" s="3337"/>
    </row>
    <row r="41857" spans="7:16" s="1634" customFormat="1">
      <c r="G41857" s="3336"/>
      <c r="P41857" s="3337"/>
    </row>
    <row r="41858" spans="7:16" s="1634" customFormat="1">
      <c r="G41858" s="3336"/>
      <c r="P41858" s="3337"/>
    </row>
    <row r="41859" spans="7:16" s="1634" customFormat="1">
      <c r="G41859" s="3336"/>
      <c r="P41859" s="3337"/>
    </row>
    <row r="41860" spans="7:16" s="1634" customFormat="1">
      <c r="G41860" s="3336"/>
      <c r="P41860" s="3337"/>
    </row>
    <row r="41861" spans="7:16" s="1634" customFormat="1">
      <c r="G41861" s="3336"/>
      <c r="P41861" s="3337"/>
    </row>
    <row r="41862" spans="7:16" s="1634" customFormat="1">
      <c r="G41862" s="3336"/>
      <c r="P41862" s="3337"/>
    </row>
    <row r="41863" spans="7:16" s="1634" customFormat="1">
      <c r="G41863" s="3336"/>
      <c r="P41863" s="3337"/>
    </row>
    <row r="41864" spans="7:16" s="1634" customFormat="1">
      <c r="G41864" s="3336"/>
      <c r="P41864" s="3337"/>
    </row>
    <row r="41865" spans="7:16" s="1634" customFormat="1">
      <c r="G41865" s="3336"/>
      <c r="P41865" s="3337"/>
    </row>
    <row r="41866" spans="7:16" s="1634" customFormat="1">
      <c r="G41866" s="3336"/>
      <c r="P41866" s="3337"/>
    </row>
    <row r="41867" spans="7:16" s="1634" customFormat="1">
      <c r="G41867" s="3336"/>
      <c r="P41867" s="3337"/>
    </row>
    <row r="41868" spans="7:16" s="1634" customFormat="1">
      <c r="G41868" s="3336"/>
      <c r="P41868" s="3337"/>
    </row>
    <row r="41869" spans="7:16" s="1634" customFormat="1">
      <c r="G41869" s="3336"/>
      <c r="P41869" s="3337"/>
    </row>
    <row r="41870" spans="7:16" s="1634" customFormat="1">
      <c r="G41870" s="3336"/>
      <c r="P41870" s="3337"/>
    </row>
    <row r="41871" spans="7:16" s="1634" customFormat="1">
      <c r="G41871" s="3336"/>
      <c r="P41871" s="3337"/>
    </row>
    <row r="41872" spans="7:16" s="1634" customFormat="1">
      <c r="G41872" s="3336"/>
      <c r="P41872" s="3337"/>
    </row>
    <row r="41873" spans="7:16" s="1634" customFormat="1">
      <c r="G41873" s="3336"/>
      <c r="P41873" s="3337"/>
    </row>
    <row r="41874" spans="7:16" s="1634" customFormat="1">
      <c r="G41874" s="3336"/>
      <c r="P41874" s="3337"/>
    </row>
    <row r="41875" spans="7:16" s="1634" customFormat="1">
      <c r="G41875" s="3336"/>
      <c r="P41875" s="3337"/>
    </row>
    <row r="41876" spans="7:16" s="1634" customFormat="1">
      <c r="G41876" s="3336"/>
      <c r="P41876" s="3337"/>
    </row>
    <row r="41877" spans="7:16" s="1634" customFormat="1">
      <c r="G41877" s="3336"/>
      <c r="P41877" s="3337"/>
    </row>
    <row r="41878" spans="7:16" s="1634" customFormat="1">
      <c r="G41878" s="3336"/>
      <c r="P41878" s="3337"/>
    </row>
    <row r="41879" spans="7:16" s="1634" customFormat="1">
      <c r="G41879" s="3336"/>
      <c r="P41879" s="3337"/>
    </row>
    <row r="41880" spans="7:16" s="1634" customFormat="1">
      <c r="G41880" s="3336"/>
      <c r="P41880" s="3337"/>
    </row>
    <row r="41881" spans="7:16" s="1634" customFormat="1">
      <c r="G41881" s="3336"/>
      <c r="P41881" s="3337"/>
    </row>
    <row r="41882" spans="7:16" s="1634" customFormat="1">
      <c r="G41882" s="3336"/>
      <c r="P41882" s="3337"/>
    </row>
    <row r="41883" spans="7:16" s="1634" customFormat="1">
      <c r="G41883" s="3336"/>
      <c r="P41883" s="3337"/>
    </row>
    <row r="41884" spans="7:16" s="1634" customFormat="1">
      <c r="G41884" s="3336"/>
      <c r="P41884" s="3337"/>
    </row>
    <row r="41885" spans="7:16" s="1634" customFormat="1">
      <c r="G41885" s="3336"/>
      <c r="P41885" s="3337"/>
    </row>
    <row r="41886" spans="7:16" s="1634" customFormat="1">
      <c r="G41886" s="3336"/>
      <c r="P41886" s="3337"/>
    </row>
    <row r="41887" spans="7:16" s="1634" customFormat="1">
      <c r="G41887" s="3336"/>
      <c r="P41887" s="3337"/>
    </row>
    <row r="41888" spans="7:16" s="1634" customFormat="1">
      <c r="G41888" s="3336"/>
      <c r="P41888" s="3337"/>
    </row>
    <row r="41889" spans="7:16" s="1634" customFormat="1">
      <c r="G41889" s="3336"/>
      <c r="P41889" s="3337"/>
    </row>
    <row r="41890" spans="7:16" s="1634" customFormat="1">
      <c r="G41890" s="3336"/>
      <c r="P41890" s="3337"/>
    </row>
    <row r="41891" spans="7:16" s="1634" customFormat="1">
      <c r="G41891" s="3336"/>
      <c r="P41891" s="3337"/>
    </row>
    <row r="41892" spans="7:16" s="1634" customFormat="1">
      <c r="G41892" s="3336"/>
      <c r="P41892" s="3337"/>
    </row>
    <row r="41893" spans="7:16" s="1634" customFormat="1">
      <c r="G41893" s="3336"/>
      <c r="P41893" s="3337"/>
    </row>
    <row r="41894" spans="7:16" s="1634" customFormat="1">
      <c r="G41894" s="3336"/>
      <c r="P41894" s="3337"/>
    </row>
    <row r="41895" spans="7:16" s="1634" customFormat="1">
      <c r="G41895" s="3336"/>
      <c r="P41895" s="3337"/>
    </row>
    <row r="41896" spans="7:16" s="1634" customFormat="1">
      <c r="G41896" s="3336"/>
      <c r="P41896" s="3337"/>
    </row>
    <row r="41897" spans="7:16" s="1634" customFormat="1">
      <c r="G41897" s="3336"/>
      <c r="P41897" s="3337"/>
    </row>
    <row r="41898" spans="7:16" s="1634" customFormat="1">
      <c r="G41898" s="3336"/>
      <c r="P41898" s="3337"/>
    </row>
    <row r="41899" spans="7:16" s="1634" customFormat="1">
      <c r="G41899" s="3336"/>
      <c r="P41899" s="3337"/>
    </row>
    <row r="41900" spans="7:16" s="1634" customFormat="1">
      <c r="G41900" s="3336"/>
      <c r="P41900" s="3337"/>
    </row>
    <row r="41901" spans="7:16" s="1634" customFormat="1">
      <c r="G41901" s="3336"/>
      <c r="P41901" s="3337"/>
    </row>
    <row r="41902" spans="7:16" s="1634" customFormat="1">
      <c r="G41902" s="3336"/>
      <c r="P41902" s="3337"/>
    </row>
    <row r="41903" spans="7:16" s="1634" customFormat="1">
      <c r="G41903" s="3336"/>
      <c r="P41903" s="3337"/>
    </row>
    <row r="41904" spans="7:16" s="1634" customFormat="1">
      <c r="G41904" s="3336"/>
      <c r="P41904" s="3337"/>
    </row>
    <row r="41905" spans="7:16" s="1634" customFormat="1">
      <c r="G41905" s="3336"/>
      <c r="P41905" s="3337"/>
    </row>
    <row r="41906" spans="7:16" s="1634" customFormat="1">
      <c r="G41906" s="3336"/>
      <c r="P41906" s="3337"/>
    </row>
    <row r="41907" spans="7:16" s="1634" customFormat="1">
      <c r="G41907" s="3336"/>
      <c r="P41907" s="3337"/>
    </row>
    <row r="41908" spans="7:16" s="1634" customFormat="1">
      <c r="G41908" s="3336"/>
      <c r="P41908" s="3337"/>
    </row>
    <row r="41909" spans="7:16" s="1634" customFormat="1">
      <c r="G41909" s="3336"/>
      <c r="P41909" s="3337"/>
    </row>
    <row r="41910" spans="7:16" s="1634" customFormat="1">
      <c r="G41910" s="3336"/>
      <c r="P41910" s="3337"/>
    </row>
    <row r="41911" spans="7:16" s="1634" customFormat="1">
      <c r="G41911" s="3336"/>
      <c r="P41911" s="3337"/>
    </row>
    <row r="41912" spans="7:16" s="1634" customFormat="1">
      <c r="G41912" s="3336"/>
      <c r="P41912" s="3337"/>
    </row>
    <row r="41913" spans="7:16" s="1634" customFormat="1">
      <c r="G41913" s="3336"/>
      <c r="P41913" s="3337"/>
    </row>
    <row r="41914" spans="7:16" s="1634" customFormat="1">
      <c r="G41914" s="3336"/>
      <c r="P41914" s="3337"/>
    </row>
    <row r="41915" spans="7:16" s="1634" customFormat="1">
      <c r="G41915" s="3336"/>
      <c r="P41915" s="3337"/>
    </row>
    <row r="41916" spans="7:16" s="1634" customFormat="1">
      <c r="G41916" s="3336"/>
      <c r="P41916" s="3337"/>
    </row>
    <row r="41917" spans="7:16" s="1634" customFormat="1">
      <c r="G41917" s="3336"/>
      <c r="P41917" s="3337"/>
    </row>
    <row r="41918" spans="7:16" s="1634" customFormat="1">
      <c r="G41918" s="3336"/>
      <c r="P41918" s="3337"/>
    </row>
    <row r="41919" spans="7:16" s="1634" customFormat="1">
      <c r="G41919" s="3336"/>
      <c r="P41919" s="3337"/>
    </row>
    <row r="41920" spans="7:16" s="1634" customFormat="1">
      <c r="G41920" s="3336"/>
      <c r="P41920" s="3337"/>
    </row>
    <row r="41921" spans="7:16" s="1634" customFormat="1">
      <c r="G41921" s="3336"/>
      <c r="P41921" s="3337"/>
    </row>
    <row r="41922" spans="7:16" s="1634" customFormat="1">
      <c r="G41922" s="3336"/>
      <c r="P41922" s="3337"/>
    </row>
    <row r="41923" spans="7:16" s="1634" customFormat="1">
      <c r="G41923" s="3336"/>
      <c r="P41923" s="3337"/>
    </row>
    <row r="41924" spans="7:16" s="1634" customFormat="1">
      <c r="G41924" s="3336"/>
      <c r="P41924" s="3337"/>
    </row>
    <row r="41925" spans="7:16" s="1634" customFormat="1">
      <c r="G41925" s="3336"/>
      <c r="P41925" s="3337"/>
    </row>
    <row r="41926" spans="7:16" s="1634" customFormat="1">
      <c r="G41926" s="3336"/>
      <c r="P41926" s="3337"/>
    </row>
    <row r="41927" spans="7:16" s="1634" customFormat="1">
      <c r="G41927" s="3336"/>
      <c r="P41927" s="3337"/>
    </row>
    <row r="41928" spans="7:16" s="1634" customFormat="1">
      <c r="G41928" s="3336"/>
      <c r="P41928" s="3337"/>
    </row>
    <row r="41929" spans="7:16" s="1634" customFormat="1">
      <c r="G41929" s="3336"/>
      <c r="P41929" s="3337"/>
    </row>
    <row r="41930" spans="7:16" s="1634" customFormat="1">
      <c r="G41930" s="3336"/>
      <c r="P41930" s="3337"/>
    </row>
    <row r="41931" spans="7:16" s="1634" customFormat="1">
      <c r="G41931" s="3336"/>
      <c r="P41931" s="3337"/>
    </row>
    <row r="41932" spans="7:16" s="1634" customFormat="1">
      <c r="G41932" s="3336"/>
      <c r="P41932" s="3337"/>
    </row>
    <row r="41933" spans="7:16" s="1634" customFormat="1">
      <c r="G41933" s="3336"/>
      <c r="P41933" s="3337"/>
    </row>
    <row r="41934" spans="7:16" s="1634" customFormat="1">
      <c r="G41934" s="3336"/>
      <c r="P41934" s="3337"/>
    </row>
    <row r="41935" spans="7:16" s="1634" customFormat="1">
      <c r="G41935" s="3336"/>
      <c r="P41935" s="3337"/>
    </row>
    <row r="41936" spans="7:16" s="1634" customFormat="1">
      <c r="G41936" s="3336"/>
      <c r="P41936" s="3337"/>
    </row>
    <row r="41937" spans="7:16" s="1634" customFormat="1">
      <c r="G41937" s="3336"/>
      <c r="P41937" s="3337"/>
    </row>
    <row r="41938" spans="7:16" s="1634" customFormat="1">
      <c r="G41938" s="3336"/>
      <c r="P41938" s="3337"/>
    </row>
    <row r="41939" spans="7:16" s="1634" customFormat="1">
      <c r="G41939" s="3336"/>
      <c r="P41939" s="3337"/>
    </row>
    <row r="41940" spans="7:16" s="1634" customFormat="1">
      <c r="G41940" s="3336"/>
      <c r="P41940" s="3337"/>
    </row>
    <row r="41941" spans="7:16" s="1634" customFormat="1">
      <c r="G41941" s="3336"/>
      <c r="P41941" s="3337"/>
    </row>
    <row r="41942" spans="7:16" s="1634" customFormat="1">
      <c r="G41942" s="3336"/>
      <c r="P41942" s="3337"/>
    </row>
    <row r="41943" spans="7:16" s="1634" customFormat="1">
      <c r="G41943" s="3336"/>
      <c r="P41943" s="3337"/>
    </row>
    <row r="41944" spans="7:16" s="1634" customFormat="1">
      <c r="G41944" s="3336"/>
      <c r="P41944" s="3337"/>
    </row>
    <row r="41945" spans="7:16" s="1634" customFormat="1">
      <c r="G41945" s="3336"/>
      <c r="P41945" s="3337"/>
    </row>
    <row r="41946" spans="7:16" s="1634" customFormat="1">
      <c r="G41946" s="3336"/>
      <c r="P41946" s="3337"/>
    </row>
    <row r="41947" spans="7:16" s="1634" customFormat="1">
      <c r="G41947" s="3336"/>
      <c r="P41947" s="3337"/>
    </row>
    <row r="41948" spans="7:16" s="1634" customFormat="1">
      <c r="G41948" s="3336"/>
      <c r="P41948" s="3337"/>
    </row>
    <row r="41949" spans="7:16" s="1634" customFormat="1">
      <c r="G41949" s="3336"/>
      <c r="P41949" s="3337"/>
    </row>
    <row r="41950" spans="7:16" s="1634" customFormat="1">
      <c r="G41950" s="3336"/>
      <c r="P41950" s="3337"/>
    </row>
    <row r="41951" spans="7:16" s="1634" customFormat="1">
      <c r="G41951" s="3336"/>
      <c r="P41951" s="3337"/>
    </row>
    <row r="41952" spans="7:16" s="1634" customFormat="1">
      <c r="G41952" s="3336"/>
      <c r="P41952" s="3337"/>
    </row>
    <row r="41953" spans="7:16" s="1634" customFormat="1">
      <c r="G41953" s="3336"/>
      <c r="P41953" s="3337"/>
    </row>
    <row r="41954" spans="7:16" s="1634" customFormat="1">
      <c r="G41954" s="3336"/>
      <c r="P41954" s="3337"/>
    </row>
    <row r="41955" spans="7:16" s="1634" customFormat="1">
      <c r="G41955" s="3336"/>
      <c r="P41955" s="3337"/>
    </row>
    <row r="41956" spans="7:16" s="1634" customFormat="1">
      <c r="G41956" s="3336"/>
      <c r="P41956" s="3337"/>
    </row>
    <row r="41957" spans="7:16" s="1634" customFormat="1">
      <c r="G41957" s="3336"/>
      <c r="P41957" s="3337"/>
    </row>
    <row r="41958" spans="7:16" s="1634" customFormat="1">
      <c r="G41958" s="3336"/>
      <c r="P41958" s="3337"/>
    </row>
    <row r="41959" spans="7:16" s="1634" customFormat="1">
      <c r="G41959" s="3336"/>
      <c r="P41959" s="3337"/>
    </row>
    <row r="41960" spans="7:16" s="1634" customFormat="1">
      <c r="G41960" s="3336"/>
      <c r="P41960" s="3337"/>
    </row>
    <row r="41961" spans="7:16" s="1634" customFormat="1">
      <c r="G41961" s="3336"/>
      <c r="P41961" s="3337"/>
    </row>
    <row r="41962" spans="7:16" s="1634" customFormat="1">
      <c r="G41962" s="3336"/>
      <c r="P41962" s="3337"/>
    </row>
    <row r="41963" spans="7:16" s="1634" customFormat="1">
      <c r="G41963" s="3336"/>
      <c r="P41963" s="3337"/>
    </row>
    <row r="41964" spans="7:16" s="1634" customFormat="1">
      <c r="G41964" s="3336"/>
      <c r="P41964" s="3337"/>
    </row>
    <row r="41965" spans="7:16" s="1634" customFormat="1">
      <c r="G41965" s="3336"/>
      <c r="P41965" s="3337"/>
    </row>
    <row r="41966" spans="7:16" s="1634" customFormat="1">
      <c r="G41966" s="3336"/>
      <c r="P41966" s="3337"/>
    </row>
    <row r="41967" spans="7:16" s="1634" customFormat="1">
      <c r="G41967" s="3336"/>
      <c r="P41967" s="3337"/>
    </row>
    <row r="41968" spans="7:16" s="1634" customFormat="1">
      <c r="G41968" s="3336"/>
      <c r="P41968" s="3337"/>
    </row>
    <row r="41969" spans="7:16" s="1634" customFormat="1">
      <c r="G41969" s="3336"/>
      <c r="P41969" s="3337"/>
    </row>
    <row r="41970" spans="7:16" s="1634" customFormat="1">
      <c r="G41970" s="3336"/>
      <c r="P41970" s="3337"/>
    </row>
    <row r="41971" spans="7:16" s="1634" customFormat="1">
      <c r="G41971" s="3336"/>
      <c r="P41971" s="3337"/>
    </row>
    <row r="41972" spans="7:16" s="1634" customFormat="1">
      <c r="G41972" s="3336"/>
      <c r="P41972" s="3337"/>
    </row>
    <row r="41973" spans="7:16" s="1634" customFormat="1">
      <c r="G41973" s="3336"/>
      <c r="P41973" s="3337"/>
    </row>
    <row r="41974" spans="7:16" s="1634" customFormat="1">
      <c r="G41974" s="3336"/>
      <c r="P41974" s="3337"/>
    </row>
    <row r="41975" spans="7:16" s="1634" customFormat="1">
      <c r="G41975" s="3336"/>
      <c r="P41975" s="3337"/>
    </row>
    <row r="41976" spans="7:16" s="1634" customFormat="1">
      <c r="G41976" s="3336"/>
      <c r="P41976" s="3337"/>
    </row>
    <row r="41977" spans="7:16" s="1634" customFormat="1">
      <c r="G41977" s="3336"/>
      <c r="P41977" s="3337"/>
    </row>
    <row r="41978" spans="7:16" s="1634" customFormat="1">
      <c r="G41978" s="3336"/>
      <c r="P41978" s="3337"/>
    </row>
    <row r="41979" spans="7:16" s="1634" customFormat="1">
      <c r="G41979" s="3336"/>
      <c r="P41979" s="3337"/>
    </row>
    <row r="41980" spans="7:16" s="1634" customFormat="1">
      <c r="G41980" s="3336"/>
      <c r="P41980" s="3337"/>
    </row>
    <row r="41981" spans="7:16" s="1634" customFormat="1">
      <c r="G41981" s="3336"/>
      <c r="P41981" s="3337"/>
    </row>
    <row r="41982" spans="7:16" s="1634" customFormat="1">
      <c r="G41982" s="3336"/>
      <c r="P41982" s="3337"/>
    </row>
    <row r="41983" spans="7:16" s="1634" customFormat="1">
      <c r="G41983" s="3336"/>
      <c r="P41983" s="3337"/>
    </row>
    <row r="41984" spans="7:16" s="1634" customFormat="1">
      <c r="G41984" s="3336"/>
      <c r="P41984" s="3337"/>
    </row>
    <row r="41985" spans="7:16" s="1634" customFormat="1">
      <c r="G41985" s="3336"/>
      <c r="P41985" s="3337"/>
    </row>
    <row r="41986" spans="7:16" s="1634" customFormat="1">
      <c r="G41986" s="3336"/>
      <c r="P41986" s="3337"/>
    </row>
    <row r="41987" spans="7:16" s="1634" customFormat="1">
      <c r="G41987" s="3336"/>
      <c r="P41987" s="3337"/>
    </row>
    <row r="41988" spans="7:16" s="1634" customFormat="1">
      <c r="G41988" s="3336"/>
      <c r="P41988" s="3337"/>
    </row>
    <row r="41989" spans="7:16" s="1634" customFormat="1">
      <c r="G41989" s="3336"/>
      <c r="P41989" s="3337"/>
    </row>
    <row r="41990" spans="7:16" s="1634" customFormat="1">
      <c r="G41990" s="3336"/>
      <c r="P41990" s="3337"/>
    </row>
    <row r="41991" spans="7:16" s="1634" customFormat="1">
      <c r="G41991" s="3336"/>
      <c r="P41991" s="3337"/>
    </row>
    <row r="41992" spans="7:16" s="1634" customFormat="1">
      <c r="G41992" s="3336"/>
      <c r="P41992" s="3337"/>
    </row>
    <row r="41993" spans="7:16" s="1634" customFormat="1">
      <c r="G41993" s="3336"/>
      <c r="P41993" s="3337"/>
    </row>
    <row r="41994" spans="7:16" s="1634" customFormat="1">
      <c r="G41994" s="3336"/>
      <c r="P41994" s="3337"/>
    </row>
    <row r="41995" spans="7:16" s="1634" customFormat="1">
      <c r="G41995" s="3336"/>
      <c r="P41995" s="3337"/>
    </row>
    <row r="41996" spans="7:16" s="1634" customFormat="1">
      <c r="G41996" s="3336"/>
      <c r="P41996" s="3337"/>
    </row>
    <row r="41997" spans="7:16" s="1634" customFormat="1">
      <c r="G41997" s="3336"/>
      <c r="P41997" s="3337"/>
    </row>
    <row r="41998" spans="7:16" s="1634" customFormat="1">
      <c r="G41998" s="3336"/>
      <c r="P41998" s="3337"/>
    </row>
    <row r="41999" spans="7:16" s="1634" customFormat="1">
      <c r="G41999" s="3336"/>
      <c r="P41999" s="3337"/>
    </row>
    <row r="42000" spans="7:16" s="1634" customFormat="1">
      <c r="G42000" s="3336"/>
      <c r="P42000" s="3337"/>
    </row>
    <row r="42001" spans="7:16" s="1634" customFormat="1">
      <c r="G42001" s="3336"/>
      <c r="P42001" s="3337"/>
    </row>
    <row r="42002" spans="7:16" s="1634" customFormat="1">
      <c r="G42002" s="3336"/>
      <c r="P42002" s="3337"/>
    </row>
    <row r="42003" spans="7:16" s="1634" customFormat="1">
      <c r="G42003" s="3336"/>
      <c r="P42003" s="3337"/>
    </row>
    <row r="42004" spans="7:16" s="1634" customFormat="1">
      <c r="G42004" s="3336"/>
      <c r="P42004" s="3337"/>
    </row>
    <row r="42005" spans="7:16" s="1634" customFormat="1">
      <c r="G42005" s="3336"/>
      <c r="P42005" s="3337"/>
    </row>
    <row r="42006" spans="7:16" s="1634" customFormat="1">
      <c r="G42006" s="3336"/>
      <c r="P42006" s="3337"/>
    </row>
    <row r="42007" spans="7:16" s="1634" customFormat="1">
      <c r="G42007" s="3336"/>
      <c r="P42007" s="3337"/>
    </row>
    <row r="42008" spans="7:16" s="1634" customFormat="1">
      <c r="G42008" s="3336"/>
      <c r="P42008" s="3337"/>
    </row>
    <row r="42009" spans="7:16" s="1634" customFormat="1">
      <c r="G42009" s="3336"/>
      <c r="P42009" s="3337"/>
    </row>
    <row r="42010" spans="7:16" s="1634" customFormat="1">
      <c r="G42010" s="3336"/>
      <c r="P42010" s="3337"/>
    </row>
    <row r="42011" spans="7:16" s="1634" customFormat="1">
      <c r="G42011" s="3336"/>
      <c r="P42011" s="3337"/>
    </row>
    <row r="42012" spans="7:16" s="1634" customFormat="1">
      <c r="G42012" s="3336"/>
      <c r="P42012" s="3337"/>
    </row>
    <row r="42013" spans="7:16" s="1634" customFormat="1">
      <c r="G42013" s="3336"/>
      <c r="P42013" s="3337"/>
    </row>
    <row r="42014" spans="7:16" s="1634" customFormat="1">
      <c r="G42014" s="3336"/>
      <c r="P42014" s="3337"/>
    </row>
    <row r="42015" spans="7:16" s="1634" customFormat="1">
      <c r="G42015" s="3336"/>
      <c r="P42015" s="3337"/>
    </row>
    <row r="42016" spans="7:16" s="1634" customFormat="1">
      <c r="G42016" s="3336"/>
      <c r="P42016" s="3337"/>
    </row>
    <row r="42017" spans="7:16" s="1634" customFormat="1">
      <c r="G42017" s="3336"/>
      <c r="P42017" s="3337"/>
    </row>
    <row r="42018" spans="7:16" s="1634" customFormat="1">
      <c r="G42018" s="3336"/>
      <c r="P42018" s="3337"/>
    </row>
    <row r="42019" spans="7:16" s="1634" customFormat="1">
      <c r="G42019" s="3336"/>
      <c r="P42019" s="3337"/>
    </row>
    <row r="42020" spans="7:16" s="1634" customFormat="1">
      <c r="G42020" s="3336"/>
      <c r="P42020" s="3337"/>
    </row>
    <row r="42021" spans="7:16" s="1634" customFormat="1">
      <c r="G42021" s="3336"/>
      <c r="P42021" s="3337"/>
    </row>
    <row r="42022" spans="7:16" s="1634" customFormat="1">
      <c r="G42022" s="3336"/>
      <c r="P42022" s="3337"/>
    </row>
    <row r="42023" spans="7:16" s="1634" customFormat="1">
      <c r="G42023" s="3336"/>
      <c r="P42023" s="3337"/>
    </row>
    <row r="42024" spans="7:16" s="1634" customFormat="1">
      <c r="G42024" s="3336"/>
      <c r="P42024" s="3337"/>
    </row>
    <row r="42025" spans="7:16" s="1634" customFormat="1">
      <c r="G42025" s="3336"/>
      <c r="P42025" s="3337"/>
    </row>
    <row r="42026" spans="7:16" s="1634" customFormat="1">
      <c r="G42026" s="3336"/>
      <c r="P42026" s="3337"/>
    </row>
    <row r="42027" spans="7:16" s="1634" customFormat="1">
      <c r="G42027" s="3336"/>
      <c r="P42027" s="3337"/>
    </row>
    <row r="42028" spans="7:16" s="1634" customFormat="1">
      <c r="G42028" s="3336"/>
      <c r="P42028" s="3337"/>
    </row>
    <row r="42029" spans="7:16" s="1634" customFormat="1">
      <c r="G42029" s="3336"/>
      <c r="P42029" s="3337"/>
    </row>
    <row r="42030" spans="7:16" s="1634" customFormat="1">
      <c r="G42030" s="3336"/>
      <c r="P42030" s="3337"/>
    </row>
    <row r="42031" spans="7:16" s="1634" customFormat="1">
      <c r="G42031" s="3336"/>
      <c r="P42031" s="3337"/>
    </row>
    <row r="42032" spans="7:16" s="1634" customFormat="1">
      <c r="G42032" s="3336"/>
      <c r="P42032" s="3337"/>
    </row>
    <row r="42033" spans="7:16" s="1634" customFormat="1">
      <c r="G42033" s="3336"/>
      <c r="P42033" s="3337"/>
    </row>
    <row r="42034" spans="7:16" s="1634" customFormat="1">
      <c r="G42034" s="3336"/>
      <c r="P42034" s="3337"/>
    </row>
    <row r="42035" spans="7:16" s="1634" customFormat="1">
      <c r="G42035" s="3336"/>
      <c r="P42035" s="3337"/>
    </row>
    <row r="42036" spans="7:16" s="1634" customFormat="1">
      <c r="G42036" s="3336"/>
      <c r="P42036" s="3337"/>
    </row>
    <row r="42037" spans="7:16" s="1634" customFormat="1">
      <c r="G42037" s="3336"/>
      <c r="P42037" s="3337"/>
    </row>
    <row r="42038" spans="7:16" s="1634" customFormat="1">
      <c r="G42038" s="3336"/>
      <c r="P42038" s="3337"/>
    </row>
    <row r="42039" spans="7:16" s="1634" customFormat="1">
      <c r="G42039" s="3336"/>
      <c r="P42039" s="3337"/>
    </row>
    <row r="42040" spans="7:16" s="1634" customFormat="1">
      <c r="G42040" s="3336"/>
      <c r="P42040" s="3337"/>
    </row>
    <row r="42041" spans="7:16" s="1634" customFormat="1">
      <c r="G42041" s="3336"/>
      <c r="P42041" s="3337"/>
    </row>
    <row r="42042" spans="7:16" s="1634" customFormat="1">
      <c r="G42042" s="3336"/>
      <c r="P42042" s="3337"/>
    </row>
    <row r="42043" spans="7:16" s="1634" customFormat="1">
      <c r="G42043" s="3336"/>
      <c r="P42043" s="3337"/>
    </row>
    <row r="42044" spans="7:16" s="1634" customFormat="1">
      <c r="G42044" s="3336"/>
      <c r="P42044" s="3337"/>
    </row>
    <row r="42045" spans="7:16" s="1634" customFormat="1">
      <c r="G42045" s="3336"/>
      <c r="P42045" s="3337"/>
    </row>
    <row r="42046" spans="7:16" s="1634" customFormat="1">
      <c r="G42046" s="3336"/>
      <c r="P42046" s="3337"/>
    </row>
    <row r="42047" spans="7:16" s="1634" customFormat="1">
      <c r="G42047" s="3336"/>
      <c r="P42047" s="3337"/>
    </row>
    <row r="42048" spans="7:16" s="1634" customFormat="1">
      <c r="G42048" s="3336"/>
      <c r="P42048" s="3337"/>
    </row>
    <row r="42049" spans="7:16" s="1634" customFormat="1">
      <c r="G42049" s="3336"/>
      <c r="P42049" s="3337"/>
    </row>
    <row r="42050" spans="7:16" s="1634" customFormat="1">
      <c r="G42050" s="3336"/>
      <c r="P42050" s="3337"/>
    </row>
    <row r="42051" spans="7:16" s="1634" customFormat="1">
      <c r="G42051" s="3336"/>
      <c r="P42051" s="3337"/>
    </row>
    <row r="42052" spans="7:16" s="1634" customFormat="1">
      <c r="G42052" s="3336"/>
      <c r="P42052" s="3337"/>
    </row>
    <row r="42053" spans="7:16" s="1634" customFormat="1">
      <c r="G42053" s="3336"/>
      <c r="P42053" s="3337"/>
    </row>
    <row r="42054" spans="7:16" s="1634" customFormat="1">
      <c r="G42054" s="3336"/>
      <c r="P42054" s="3337"/>
    </row>
    <row r="42055" spans="7:16" s="1634" customFormat="1">
      <c r="G42055" s="3336"/>
      <c r="P42055" s="3337"/>
    </row>
    <row r="42056" spans="7:16" s="1634" customFormat="1">
      <c r="G42056" s="3336"/>
      <c r="P42056" s="3337"/>
    </row>
    <row r="42057" spans="7:16" s="1634" customFormat="1">
      <c r="G42057" s="3336"/>
      <c r="P42057" s="3337"/>
    </row>
    <row r="42058" spans="7:16" s="1634" customFormat="1">
      <c r="G42058" s="3336"/>
      <c r="P42058" s="3337"/>
    </row>
    <row r="42059" spans="7:16" s="1634" customFormat="1">
      <c r="G42059" s="3336"/>
      <c r="P42059" s="3337"/>
    </row>
    <row r="42060" spans="7:16" s="1634" customFormat="1">
      <c r="G42060" s="3336"/>
      <c r="P42060" s="3337"/>
    </row>
    <row r="42061" spans="7:16" s="1634" customFormat="1">
      <c r="G42061" s="3336"/>
      <c r="P42061" s="3337"/>
    </row>
    <row r="42062" spans="7:16" s="1634" customFormat="1">
      <c r="G42062" s="3336"/>
      <c r="P42062" s="3337"/>
    </row>
    <row r="42063" spans="7:16" s="1634" customFormat="1">
      <c r="G42063" s="3336"/>
      <c r="P42063" s="3337"/>
    </row>
    <row r="42064" spans="7:16" s="1634" customFormat="1">
      <c r="G42064" s="3336"/>
      <c r="P42064" s="3337"/>
    </row>
    <row r="42065" spans="7:16" s="1634" customFormat="1">
      <c r="G42065" s="3336"/>
      <c r="P42065" s="3337"/>
    </row>
    <row r="42066" spans="7:16" s="1634" customFormat="1">
      <c r="G42066" s="3336"/>
      <c r="P42066" s="3337"/>
    </row>
    <row r="42067" spans="7:16" s="1634" customFormat="1">
      <c r="G42067" s="3336"/>
      <c r="P42067" s="3337"/>
    </row>
    <row r="42068" spans="7:16" s="1634" customFormat="1">
      <c r="G42068" s="3336"/>
      <c r="P42068" s="3337"/>
    </row>
    <row r="42069" spans="7:16" s="1634" customFormat="1">
      <c r="G42069" s="3336"/>
      <c r="P42069" s="3337"/>
    </row>
    <row r="42070" spans="7:16" s="1634" customFormat="1">
      <c r="G42070" s="3336"/>
      <c r="P42070" s="3337"/>
    </row>
    <row r="42071" spans="7:16" s="1634" customFormat="1">
      <c r="G42071" s="3336"/>
      <c r="P42071" s="3337"/>
    </row>
    <row r="42072" spans="7:16" s="1634" customFormat="1">
      <c r="G42072" s="3336"/>
      <c r="P42072" s="3337"/>
    </row>
    <row r="42073" spans="7:16" s="1634" customFormat="1">
      <c r="G42073" s="3336"/>
      <c r="P42073" s="3337"/>
    </row>
    <row r="42074" spans="7:16" s="1634" customFormat="1">
      <c r="G42074" s="3336"/>
      <c r="P42074" s="3337"/>
    </row>
    <row r="42075" spans="7:16" s="1634" customFormat="1">
      <c r="G42075" s="3336"/>
      <c r="P42075" s="3337"/>
    </row>
    <row r="42076" spans="7:16" s="1634" customFormat="1">
      <c r="G42076" s="3336"/>
      <c r="P42076" s="3337"/>
    </row>
    <row r="42077" spans="7:16" s="1634" customFormat="1">
      <c r="G42077" s="3336"/>
      <c r="P42077" s="3337"/>
    </row>
    <row r="42078" spans="7:16" s="1634" customFormat="1">
      <c r="G42078" s="3336"/>
      <c r="P42078" s="3337"/>
    </row>
    <row r="42079" spans="7:16" s="1634" customFormat="1">
      <c r="G42079" s="3336"/>
      <c r="P42079" s="3337"/>
    </row>
    <row r="42080" spans="7:16" s="1634" customFormat="1">
      <c r="G42080" s="3336"/>
      <c r="P42080" s="3337"/>
    </row>
    <row r="42081" spans="7:16" s="1634" customFormat="1">
      <c r="G42081" s="3336"/>
      <c r="P42081" s="3337"/>
    </row>
    <row r="42082" spans="7:16" s="1634" customFormat="1">
      <c r="G42082" s="3336"/>
      <c r="P42082" s="3337"/>
    </row>
    <row r="42083" spans="7:16" s="1634" customFormat="1">
      <c r="G42083" s="3336"/>
      <c r="P42083" s="3337"/>
    </row>
    <row r="42084" spans="7:16" s="1634" customFormat="1">
      <c r="G42084" s="3336"/>
      <c r="P42084" s="3337"/>
    </row>
    <row r="42085" spans="7:16" s="1634" customFormat="1">
      <c r="G42085" s="3336"/>
      <c r="P42085" s="3337"/>
    </row>
    <row r="42086" spans="7:16" s="1634" customFormat="1">
      <c r="G42086" s="3336"/>
      <c r="P42086" s="3337"/>
    </row>
    <row r="42087" spans="7:16" s="1634" customFormat="1">
      <c r="G42087" s="3336"/>
      <c r="P42087" s="3337"/>
    </row>
    <row r="42088" spans="7:16" s="1634" customFormat="1">
      <c r="G42088" s="3336"/>
      <c r="P42088" s="3337"/>
    </row>
    <row r="42089" spans="7:16" s="1634" customFormat="1">
      <c r="G42089" s="3336"/>
      <c r="P42089" s="3337"/>
    </row>
    <row r="42090" spans="7:16" s="1634" customFormat="1">
      <c r="G42090" s="3336"/>
      <c r="P42090" s="3337"/>
    </row>
    <row r="42091" spans="7:16" s="1634" customFormat="1">
      <c r="G42091" s="3336"/>
      <c r="P42091" s="3337"/>
    </row>
    <row r="42092" spans="7:16" s="1634" customFormat="1">
      <c r="G42092" s="3336"/>
      <c r="P42092" s="3337"/>
    </row>
    <row r="42093" spans="7:16" s="1634" customFormat="1">
      <c r="G42093" s="3336"/>
      <c r="P42093" s="3337"/>
    </row>
    <row r="42094" spans="7:16" s="1634" customFormat="1">
      <c r="G42094" s="3336"/>
      <c r="P42094" s="3337"/>
    </row>
    <row r="42095" spans="7:16" s="1634" customFormat="1">
      <c r="G42095" s="3336"/>
      <c r="P42095" s="3337"/>
    </row>
    <row r="42096" spans="7:16" s="1634" customFormat="1">
      <c r="G42096" s="3336"/>
      <c r="P42096" s="3337"/>
    </row>
    <row r="42097" spans="7:16" s="1634" customFormat="1">
      <c r="G42097" s="3336"/>
      <c r="P42097" s="3337"/>
    </row>
    <row r="42098" spans="7:16" s="1634" customFormat="1">
      <c r="G42098" s="3336"/>
      <c r="P42098" s="3337"/>
    </row>
    <row r="42099" spans="7:16" s="1634" customFormat="1">
      <c r="G42099" s="3336"/>
      <c r="P42099" s="3337"/>
    </row>
    <row r="42100" spans="7:16" s="1634" customFormat="1">
      <c r="G42100" s="3336"/>
      <c r="P42100" s="3337"/>
    </row>
    <row r="42101" spans="7:16" s="1634" customFormat="1">
      <c r="G42101" s="3336"/>
      <c r="P42101" s="3337"/>
    </row>
    <row r="42102" spans="7:16" s="1634" customFormat="1">
      <c r="G42102" s="3336"/>
      <c r="P42102" s="3337"/>
    </row>
    <row r="42103" spans="7:16" s="1634" customFormat="1">
      <c r="G42103" s="3336"/>
      <c r="P42103" s="3337"/>
    </row>
    <row r="42104" spans="7:16" s="1634" customFormat="1">
      <c r="G42104" s="3336"/>
      <c r="P42104" s="3337"/>
    </row>
    <row r="42105" spans="7:16" s="1634" customFormat="1">
      <c r="G42105" s="3336"/>
      <c r="P42105" s="3337"/>
    </row>
    <row r="42106" spans="7:16" s="1634" customFormat="1">
      <c r="G42106" s="3336"/>
      <c r="P42106" s="3337"/>
    </row>
    <row r="42107" spans="7:16" s="1634" customFormat="1">
      <c r="G42107" s="3336"/>
      <c r="P42107" s="3337"/>
    </row>
    <row r="42108" spans="7:16" s="1634" customFormat="1">
      <c r="G42108" s="3336"/>
      <c r="P42108" s="3337"/>
    </row>
    <row r="42109" spans="7:16" s="1634" customFormat="1">
      <c r="G42109" s="3336"/>
      <c r="P42109" s="3337"/>
    </row>
    <row r="42110" spans="7:16" s="1634" customFormat="1">
      <c r="G42110" s="3336"/>
      <c r="P42110" s="3337"/>
    </row>
    <row r="42111" spans="7:16" s="1634" customFormat="1">
      <c r="G42111" s="3336"/>
      <c r="P42111" s="3337"/>
    </row>
    <row r="42112" spans="7:16" s="1634" customFormat="1">
      <c r="G42112" s="3336"/>
      <c r="P42112" s="3337"/>
    </row>
    <row r="42113" spans="7:16" s="1634" customFormat="1">
      <c r="G42113" s="3336"/>
      <c r="P42113" s="3337"/>
    </row>
    <row r="42114" spans="7:16" s="1634" customFormat="1">
      <c r="G42114" s="3336"/>
      <c r="P42114" s="3337"/>
    </row>
    <row r="42115" spans="7:16" s="1634" customFormat="1">
      <c r="G42115" s="3336"/>
      <c r="P42115" s="3337"/>
    </row>
    <row r="42116" spans="7:16" s="1634" customFormat="1">
      <c r="G42116" s="3336"/>
      <c r="P42116" s="3337"/>
    </row>
    <row r="42117" spans="7:16" s="1634" customFormat="1">
      <c r="G42117" s="3336"/>
      <c r="P42117" s="3337"/>
    </row>
    <row r="42118" spans="7:16" s="1634" customFormat="1">
      <c r="G42118" s="3336"/>
      <c r="P42118" s="3337"/>
    </row>
    <row r="42119" spans="7:16" s="1634" customFormat="1">
      <c r="G42119" s="3336"/>
      <c r="P42119" s="3337"/>
    </row>
    <row r="42120" spans="7:16" s="1634" customFormat="1">
      <c r="G42120" s="3336"/>
      <c r="P42120" s="3337"/>
    </row>
    <row r="42121" spans="7:16" s="1634" customFormat="1">
      <c r="G42121" s="3336"/>
      <c r="P42121" s="3337"/>
    </row>
    <row r="42122" spans="7:16" s="1634" customFormat="1">
      <c r="G42122" s="3336"/>
      <c r="P42122" s="3337"/>
    </row>
    <row r="42123" spans="7:16" s="1634" customFormat="1">
      <c r="G42123" s="3336"/>
      <c r="P42123" s="3337"/>
    </row>
    <row r="42124" spans="7:16" s="1634" customFormat="1">
      <c r="G42124" s="3336"/>
      <c r="P42124" s="3337"/>
    </row>
    <row r="42125" spans="7:16" s="1634" customFormat="1">
      <c r="G42125" s="3336"/>
      <c r="P42125" s="3337"/>
    </row>
    <row r="42126" spans="7:16" s="1634" customFormat="1">
      <c r="G42126" s="3336"/>
      <c r="P42126" s="3337"/>
    </row>
    <row r="42127" spans="7:16" s="1634" customFormat="1">
      <c r="G42127" s="3336"/>
      <c r="P42127" s="3337"/>
    </row>
    <row r="42128" spans="7:16" s="1634" customFormat="1">
      <c r="G42128" s="3336"/>
      <c r="P42128" s="3337"/>
    </row>
    <row r="42129" spans="7:16" s="1634" customFormat="1">
      <c r="G42129" s="3336"/>
      <c r="P42129" s="3337"/>
    </row>
    <row r="42130" spans="7:16" s="1634" customFormat="1">
      <c r="G42130" s="3336"/>
      <c r="P42130" s="3337"/>
    </row>
    <row r="42131" spans="7:16" s="1634" customFormat="1">
      <c r="G42131" s="3336"/>
      <c r="P42131" s="3337"/>
    </row>
    <row r="42132" spans="7:16" s="1634" customFormat="1">
      <c r="G42132" s="3336"/>
      <c r="P42132" s="3337"/>
    </row>
    <row r="42133" spans="7:16" s="1634" customFormat="1">
      <c r="G42133" s="3336"/>
      <c r="P42133" s="3337"/>
    </row>
    <row r="42134" spans="7:16" s="1634" customFormat="1">
      <c r="G42134" s="3336"/>
      <c r="P42134" s="3337"/>
    </row>
    <row r="42135" spans="7:16" s="1634" customFormat="1">
      <c r="G42135" s="3336"/>
      <c r="P42135" s="3337"/>
    </row>
    <row r="42136" spans="7:16" s="1634" customFormat="1">
      <c r="G42136" s="3336"/>
      <c r="P42136" s="3337"/>
    </row>
    <row r="42137" spans="7:16" s="1634" customFormat="1">
      <c r="G42137" s="3336"/>
      <c r="P42137" s="3337"/>
    </row>
    <row r="42138" spans="7:16" s="1634" customFormat="1">
      <c r="G42138" s="3336"/>
      <c r="P42138" s="3337"/>
    </row>
    <row r="42139" spans="7:16" s="1634" customFormat="1">
      <c r="G42139" s="3336"/>
      <c r="P42139" s="3337"/>
    </row>
    <row r="42140" spans="7:16" s="1634" customFormat="1">
      <c r="G42140" s="3336"/>
      <c r="P42140" s="3337"/>
    </row>
    <row r="42141" spans="7:16" s="1634" customFormat="1">
      <c r="G42141" s="3336"/>
      <c r="P42141" s="3337"/>
    </row>
    <row r="42142" spans="7:16" s="1634" customFormat="1">
      <c r="G42142" s="3336"/>
      <c r="P42142" s="3337"/>
    </row>
    <row r="42143" spans="7:16" s="1634" customFormat="1">
      <c r="G42143" s="3336"/>
      <c r="P42143" s="3337"/>
    </row>
    <row r="42144" spans="7:16" s="1634" customFormat="1">
      <c r="G42144" s="3336"/>
      <c r="P42144" s="3337"/>
    </row>
    <row r="42145" spans="7:16" s="1634" customFormat="1">
      <c r="G42145" s="3336"/>
      <c r="P42145" s="3337"/>
    </row>
    <row r="42146" spans="7:16" s="1634" customFormat="1">
      <c r="G42146" s="3336"/>
      <c r="P42146" s="3337"/>
    </row>
    <row r="42147" spans="7:16" s="1634" customFormat="1">
      <c r="G42147" s="3336"/>
      <c r="P42147" s="3337"/>
    </row>
    <row r="42148" spans="7:16" s="1634" customFormat="1">
      <c r="G42148" s="3336"/>
      <c r="P42148" s="3337"/>
    </row>
    <row r="42149" spans="7:16" s="1634" customFormat="1">
      <c r="G42149" s="3336"/>
      <c r="P42149" s="3337"/>
    </row>
    <row r="42150" spans="7:16" s="1634" customFormat="1">
      <c r="G42150" s="3336"/>
      <c r="P42150" s="3337"/>
    </row>
    <row r="42151" spans="7:16" s="1634" customFormat="1">
      <c r="G42151" s="3336"/>
      <c r="P42151" s="3337"/>
    </row>
    <row r="42152" spans="7:16" s="1634" customFormat="1">
      <c r="G42152" s="3336"/>
      <c r="P42152" s="3337"/>
    </row>
    <row r="42153" spans="7:16" s="1634" customFormat="1">
      <c r="G42153" s="3336"/>
      <c r="P42153" s="3337"/>
    </row>
    <row r="42154" spans="7:16" s="1634" customFormat="1">
      <c r="G42154" s="3336"/>
      <c r="P42154" s="3337"/>
    </row>
    <row r="42155" spans="7:16" s="1634" customFormat="1">
      <c r="G42155" s="3336"/>
      <c r="P42155" s="3337"/>
    </row>
    <row r="42156" spans="7:16" s="1634" customFormat="1">
      <c r="G42156" s="3336"/>
      <c r="P42156" s="3337"/>
    </row>
    <row r="42157" spans="7:16" s="1634" customFormat="1">
      <c r="G42157" s="3336"/>
      <c r="P42157" s="3337"/>
    </row>
    <row r="42158" spans="7:16" s="1634" customFormat="1">
      <c r="G42158" s="3336"/>
      <c r="P42158" s="3337"/>
    </row>
    <row r="42159" spans="7:16" s="1634" customFormat="1">
      <c r="G42159" s="3336"/>
      <c r="P42159" s="3337"/>
    </row>
    <row r="42160" spans="7:16" s="1634" customFormat="1">
      <c r="G42160" s="3336"/>
      <c r="P42160" s="3337"/>
    </row>
    <row r="42161" spans="7:16" s="1634" customFormat="1">
      <c r="G42161" s="3336"/>
      <c r="P42161" s="3337"/>
    </row>
    <row r="42162" spans="7:16" s="1634" customFormat="1">
      <c r="G42162" s="3336"/>
      <c r="P42162" s="3337"/>
    </row>
    <row r="42163" spans="7:16" s="1634" customFormat="1">
      <c r="G42163" s="3336"/>
      <c r="P42163" s="3337"/>
    </row>
    <row r="42164" spans="7:16" s="1634" customFormat="1">
      <c r="G42164" s="3336"/>
      <c r="P42164" s="3337"/>
    </row>
    <row r="42165" spans="7:16" s="1634" customFormat="1">
      <c r="G42165" s="3336"/>
      <c r="P42165" s="3337"/>
    </row>
    <row r="42166" spans="7:16" s="1634" customFormat="1">
      <c r="G42166" s="3336"/>
      <c r="P42166" s="3337"/>
    </row>
    <row r="42167" spans="7:16" s="1634" customFormat="1">
      <c r="G42167" s="3336"/>
      <c r="P42167" s="3337"/>
    </row>
    <row r="42168" spans="7:16" s="1634" customFormat="1">
      <c r="G42168" s="3336"/>
      <c r="P42168" s="3337"/>
    </row>
    <row r="42169" spans="7:16" s="1634" customFormat="1">
      <c r="G42169" s="3336"/>
      <c r="P42169" s="3337"/>
    </row>
    <row r="42170" spans="7:16" s="1634" customFormat="1">
      <c r="G42170" s="3336"/>
      <c r="P42170" s="3337"/>
    </row>
    <row r="42171" spans="7:16" s="1634" customFormat="1">
      <c r="G42171" s="3336"/>
      <c r="P42171" s="3337"/>
    </row>
    <row r="42172" spans="7:16" s="1634" customFormat="1">
      <c r="G42172" s="3336"/>
      <c r="P42172" s="3337"/>
    </row>
    <row r="42173" spans="7:16" s="1634" customFormat="1">
      <c r="G42173" s="3336"/>
      <c r="P42173" s="3337"/>
    </row>
    <row r="42174" spans="7:16" s="1634" customFormat="1">
      <c r="G42174" s="3336"/>
      <c r="P42174" s="3337"/>
    </row>
    <row r="42175" spans="7:16" s="1634" customFormat="1">
      <c r="G42175" s="3336"/>
      <c r="P42175" s="3337"/>
    </row>
    <row r="42176" spans="7:16" s="1634" customFormat="1">
      <c r="G42176" s="3336"/>
      <c r="P42176" s="3337"/>
    </row>
    <row r="42177" spans="7:16" s="1634" customFormat="1">
      <c r="G42177" s="3336"/>
      <c r="P42177" s="3337"/>
    </row>
    <row r="42178" spans="7:16" s="1634" customFormat="1">
      <c r="G42178" s="3336"/>
      <c r="P42178" s="3337"/>
    </row>
    <row r="42179" spans="7:16" s="1634" customFormat="1">
      <c r="G42179" s="3336"/>
      <c r="P42179" s="3337"/>
    </row>
    <row r="42180" spans="7:16" s="1634" customFormat="1">
      <c r="G42180" s="3336"/>
      <c r="P42180" s="3337"/>
    </row>
    <row r="42181" spans="7:16" s="1634" customFormat="1">
      <c r="G42181" s="3336"/>
      <c r="P42181" s="3337"/>
    </row>
    <row r="42182" spans="7:16" s="1634" customFormat="1">
      <c r="G42182" s="3336"/>
      <c r="P42182" s="3337"/>
    </row>
    <row r="42183" spans="7:16" s="1634" customFormat="1">
      <c r="G42183" s="3336"/>
      <c r="P42183" s="3337"/>
    </row>
    <row r="42184" spans="7:16" s="1634" customFormat="1">
      <c r="G42184" s="3336"/>
      <c r="P42184" s="3337"/>
    </row>
    <row r="42185" spans="7:16" s="1634" customFormat="1">
      <c r="G42185" s="3336"/>
      <c r="P42185" s="3337"/>
    </row>
    <row r="42186" spans="7:16" s="1634" customFormat="1">
      <c r="G42186" s="3336"/>
      <c r="P42186" s="3337"/>
    </row>
    <row r="42187" spans="7:16" s="1634" customFormat="1">
      <c r="G42187" s="3336"/>
      <c r="P42187" s="3337"/>
    </row>
    <row r="42188" spans="7:16" s="1634" customFormat="1">
      <c r="G42188" s="3336"/>
      <c r="P42188" s="3337"/>
    </row>
    <row r="42189" spans="7:16" s="1634" customFormat="1">
      <c r="G42189" s="3336"/>
      <c r="P42189" s="3337"/>
    </row>
    <row r="42190" spans="7:16" s="1634" customFormat="1">
      <c r="G42190" s="3336"/>
      <c r="P42190" s="3337"/>
    </row>
    <row r="42191" spans="7:16" s="1634" customFormat="1">
      <c r="G42191" s="3336"/>
      <c r="P42191" s="3337"/>
    </row>
    <row r="42192" spans="7:16" s="1634" customFormat="1">
      <c r="G42192" s="3336"/>
      <c r="P42192" s="3337"/>
    </row>
    <row r="42193" spans="7:16" s="1634" customFormat="1">
      <c r="G42193" s="3336"/>
      <c r="P42193" s="3337"/>
    </row>
    <row r="42194" spans="7:16" s="1634" customFormat="1">
      <c r="G42194" s="3336"/>
      <c r="P42194" s="3337"/>
    </row>
    <row r="42195" spans="7:16" s="1634" customFormat="1">
      <c r="G42195" s="3336"/>
      <c r="P42195" s="3337"/>
    </row>
    <row r="42196" spans="7:16" s="1634" customFormat="1">
      <c r="G42196" s="3336"/>
      <c r="P42196" s="3337"/>
    </row>
    <row r="42197" spans="7:16" s="1634" customFormat="1">
      <c r="G42197" s="3336"/>
      <c r="P42197" s="3337"/>
    </row>
    <row r="42198" spans="7:16" s="1634" customFormat="1">
      <c r="G42198" s="3336"/>
      <c r="P42198" s="3337"/>
    </row>
    <row r="42199" spans="7:16" s="1634" customFormat="1">
      <c r="G42199" s="3336"/>
      <c r="P42199" s="3337"/>
    </row>
    <row r="42200" spans="7:16" s="1634" customFormat="1">
      <c r="G42200" s="3336"/>
      <c r="P42200" s="3337"/>
    </row>
    <row r="42201" spans="7:16" s="1634" customFormat="1">
      <c r="G42201" s="3336"/>
      <c r="P42201" s="3337"/>
    </row>
    <row r="42202" spans="7:16" s="1634" customFormat="1">
      <c r="G42202" s="3336"/>
      <c r="P42202" s="3337"/>
    </row>
    <row r="42203" spans="7:16" s="1634" customFormat="1">
      <c r="G42203" s="3336"/>
      <c r="P42203" s="3337"/>
    </row>
    <row r="42204" spans="7:16" s="1634" customFormat="1">
      <c r="G42204" s="3336"/>
      <c r="P42204" s="3337"/>
    </row>
    <row r="42205" spans="7:16" s="1634" customFormat="1">
      <c r="G42205" s="3336"/>
      <c r="P42205" s="3337"/>
    </row>
    <row r="42206" spans="7:16" s="1634" customFormat="1">
      <c r="G42206" s="3336"/>
      <c r="P42206" s="3337"/>
    </row>
    <row r="42207" spans="7:16" s="1634" customFormat="1">
      <c r="G42207" s="3336"/>
      <c r="P42207" s="3337"/>
    </row>
    <row r="42208" spans="7:16" s="1634" customFormat="1">
      <c r="G42208" s="3336"/>
      <c r="P42208" s="3337"/>
    </row>
    <row r="42209" spans="7:16" s="1634" customFormat="1">
      <c r="G42209" s="3336"/>
      <c r="P42209" s="3337"/>
    </row>
    <row r="42210" spans="7:16" s="1634" customFormat="1">
      <c r="G42210" s="3336"/>
      <c r="P42210" s="3337"/>
    </row>
    <row r="42211" spans="7:16" s="1634" customFormat="1">
      <c r="G42211" s="3336"/>
      <c r="P42211" s="3337"/>
    </row>
    <row r="42212" spans="7:16" s="1634" customFormat="1">
      <c r="G42212" s="3336"/>
      <c r="P42212" s="3337"/>
    </row>
    <row r="42213" spans="7:16" s="1634" customFormat="1">
      <c r="G42213" s="3336"/>
      <c r="P42213" s="3337"/>
    </row>
    <row r="42214" spans="7:16" s="1634" customFormat="1">
      <c r="G42214" s="3336"/>
      <c r="P42214" s="3337"/>
    </row>
    <row r="42215" spans="7:16" s="1634" customFormat="1">
      <c r="G42215" s="3336"/>
      <c r="P42215" s="3337"/>
    </row>
    <row r="42216" spans="7:16" s="1634" customFormat="1">
      <c r="G42216" s="3336"/>
      <c r="P42216" s="3337"/>
    </row>
    <row r="42217" spans="7:16" s="1634" customFormat="1">
      <c r="G42217" s="3336"/>
      <c r="P42217" s="3337"/>
    </row>
    <row r="42218" spans="7:16" s="1634" customFormat="1">
      <c r="G42218" s="3336"/>
      <c r="P42218" s="3337"/>
    </row>
    <row r="42219" spans="7:16" s="1634" customFormat="1">
      <c r="G42219" s="3336"/>
      <c r="P42219" s="3337"/>
    </row>
    <row r="42220" spans="7:16" s="1634" customFormat="1">
      <c r="G42220" s="3336"/>
      <c r="P42220" s="3337"/>
    </row>
    <row r="42221" spans="7:16" s="1634" customFormat="1">
      <c r="G42221" s="3336"/>
      <c r="P42221" s="3337"/>
    </row>
    <row r="42222" spans="7:16" s="1634" customFormat="1">
      <c r="G42222" s="3336"/>
      <c r="P42222" s="3337"/>
    </row>
    <row r="42223" spans="7:16" s="1634" customFormat="1">
      <c r="G42223" s="3336"/>
      <c r="P42223" s="3337"/>
    </row>
    <row r="42224" spans="7:16" s="1634" customFormat="1">
      <c r="G42224" s="3336"/>
      <c r="P42224" s="3337"/>
    </row>
    <row r="42225" spans="7:16" s="1634" customFormat="1">
      <c r="G42225" s="3336"/>
      <c r="P42225" s="3337"/>
    </row>
    <row r="42226" spans="7:16" s="1634" customFormat="1">
      <c r="G42226" s="3336"/>
      <c r="P42226" s="3337"/>
    </row>
    <row r="42227" spans="7:16" s="1634" customFormat="1">
      <c r="G42227" s="3336"/>
      <c r="P42227" s="3337"/>
    </row>
    <row r="42228" spans="7:16" s="1634" customFormat="1">
      <c r="G42228" s="3336"/>
      <c r="P42228" s="3337"/>
    </row>
    <row r="42229" spans="7:16" s="1634" customFormat="1">
      <c r="G42229" s="3336"/>
      <c r="P42229" s="3337"/>
    </row>
    <row r="42230" spans="7:16" s="1634" customFormat="1">
      <c r="G42230" s="3336"/>
      <c r="P42230" s="3337"/>
    </row>
    <row r="42231" spans="7:16" s="1634" customFormat="1">
      <c r="G42231" s="3336"/>
      <c r="P42231" s="3337"/>
    </row>
    <row r="42232" spans="7:16" s="1634" customFormat="1">
      <c r="G42232" s="3336"/>
      <c r="P42232" s="3337"/>
    </row>
    <row r="42233" spans="7:16" s="1634" customFormat="1">
      <c r="G42233" s="3336"/>
      <c r="P42233" s="3337"/>
    </row>
    <row r="42234" spans="7:16" s="1634" customFormat="1">
      <c r="G42234" s="3336"/>
      <c r="P42234" s="3337"/>
    </row>
    <row r="42235" spans="7:16" s="1634" customFormat="1">
      <c r="G42235" s="3336"/>
      <c r="P42235" s="3337"/>
    </row>
    <row r="42236" spans="7:16" s="1634" customFormat="1">
      <c r="G42236" s="3336"/>
      <c r="P42236" s="3337"/>
    </row>
    <row r="42237" spans="7:16" s="1634" customFormat="1">
      <c r="G42237" s="3336"/>
      <c r="P42237" s="3337"/>
    </row>
    <row r="42238" spans="7:16" s="1634" customFormat="1">
      <c r="G42238" s="3336"/>
      <c r="P42238" s="3337"/>
    </row>
    <row r="42239" spans="7:16" s="1634" customFormat="1">
      <c r="G42239" s="3336"/>
      <c r="P42239" s="3337"/>
    </row>
    <row r="42240" spans="7:16" s="1634" customFormat="1">
      <c r="G42240" s="3336"/>
      <c r="P42240" s="3337"/>
    </row>
    <row r="42241" spans="7:16" s="1634" customFormat="1">
      <c r="G42241" s="3336"/>
      <c r="P42241" s="3337"/>
    </row>
    <row r="42242" spans="7:16" s="1634" customFormat="1">
      <c r="G42242" s="3336"/>
      <c r="P42242" s="3337"/>
    </row>
    <row r="42243" spans="7:16" s="1634" customFormat="1">
      <c r="G42243" s="3336"/>
      <c r="P42243" s="3337"/>
    </row>
    <row r="42244" spans="7:16" s="1634" customFormat="1">
      <c r="G42244" s="3336"/>
      <c r="P42244" s="3337"/>
    </row>
    <row r="42245" spans="7:16" s="1634" customFormat="1">
      <c r="G42245" s="3336"/>
      <c r="P42245" s="3337"/>
    </row>
    <row r="42246" spans="7:16" s="1634" customFormat="1">
      <c r="G42246" s="3336"/>
      <c r="P42246" s="3337"/>
    </row>
    <row r="42247" spans="7:16" s="1634" customFormat="1">
      <c r="G42247" s="3336"/>
      <c r="P42247" s="3337"/>
    </row>
    <row r="42248" spans="7:16" s="1634" customFormat="1">
      <c r="G42248" s="3336"/>
      <c r="P42248" s="3337"/>
    </row>
    <row r="42249" spans="7:16" s="1634" customFormat="1">
      <c r="G42249" s="3336"/>
      <c r="P42249" s="3337"/>
    </row>
    <row r="42250" spans="7:16" s="1634" customFormat="1">
      <c r="G42250" s="3336"/>
      <c r="P42250" s="3337"/>
    </row>
    <row r="42251" spans="7:16" s="1634" customFormat="1">
      <c r="G42251" s="3336"/>
      <c r="P42251" s="3337"/>
    </row>
    <row r="42252" spans="7:16" s="1634" customFormat="1">
      <c r="G42252" s="3336"/>
      <c r="P42252" s="3337"/>
    </row>
    <row r="42253" spans="7:16" s="1634" customFormat="1">
      <c r="G42253" s="3336"/>
      <c r="P42253" s="3337"/>
    </row>
    <row r="42254" spans="7:16" s="1634" customFormat="1">
      <c r="G42254" s="3336"/>
      <c r="P42254" s="3337"/>
    </row>
    <row r="42255" spans="7:16" s="1634" customFormat="1">
      <c r="G42255" s="3336"/>
      <c r="P42255" s="3337"/>
    </row>
    <row r="42256" spans="7:16" s="1634" customFormat="1">
      <c r="G42256" s="3336"/>
      <c r="P42256" s="3337"/>
    </row>
    <row r="42257" spans="7:16" s="1634" customFormat="1">
      <c r="G42257" s="3336"/>
      <c r="P42257" s="3337"/>
    </row>
    <row r="42258" spans="7:16" s="1634" customFormat="1">
      <c r="G42258" s="3336"/>
      <c r="P42258" s="3337"/>
    </row>
    <row r="42259" spans="7:16" s="1634" customFormat="1">
      <c r="G42259" s="3336"/>
      <c r="P42259" s="3337"/>
    </row>
    <row r="42260" spans="7:16" s="1634" customFormat="1">
      <c r="G42260" s="3336"/>
      <c r="P42260" s="3337"/>
    </row>
    <row r="42261" spans="7:16" s="1634" customFormat="1">
      <c r="G42261" s="3336"/>
      <c r="P42261" s="3337"/>
    </row>
    <row r="42262" spans="7:16" s="1634" customFormat="1">
      <c r="G42262" s="3336"/>
      <c r="P42262" s="3337"/>
    </row>
    <row r="42263" spans="7:16" s="1634" customFormat="1">
      <c r="G42263" s="3336"/>
      <c r="P42263" s="3337"/>
    </row>
    <row r="42264" spans="7:16" s="1634" customFormat="1">
      <c r="G42264" s="3336"/>
      <c r="P42264" s="3337"/>
    </row>
    <row r="42265" spans="7:16" s="1634" customFormat="1">
      <c r="G42265" s="3336"/>
      <c r="P42265" s="3337"/>
    </row>
    <row r="42266" spans="7:16" s="1634" customFormat="1">
      <c r="G42266" s="3336"/>
      <c r="P42266" s="3337"/>
    </row>
    <row r="42267" spans="7:16" s="1634" customFormat="1">
      <c r="G42267" s="3336"/>
      <c r="P42267" s="3337"/>
    </row>
    <row r="42268" spans="7:16" s="1634" customFormat="1">
      <c r="G42268" s="3336"/>
      <c r="P42268" s="3337"/>
    </row>
    <row r="42269" spans="7:16" s="1634" customFormat="1">
      <c r="G42269" s="3336"/>
      <c r="P42269" s="3337"/>
    </row>
    <row r="42270" spans="7:16" s="1634" customFormat="1">
      <c r="G42270" s="3336"/>
      <c r="P42270" s="3337"/>
    </row>
    <row r="42271" spans="7:16" s="1634" customFormat="1">
      <c r="G42271" s="3336"/>
      <c r="P42271" s="3337"/>
    </row>
    <row r="42272" spans="7:16" s="1634" customFormat="1">
      <c r="G42272" s="3336"/>
      <c r="P42272" s="3337"/>
    </row>
    <row r="42273" spans="7:16" s="1634" customFormat="1">
      <c r="G42273" s="3336"/>
      <c r="P42273" s="3337"/>
    </row>
    <row r="42274" spans="7:16" s="1634" customFormat="1">
      <c r="G42274" s="3336"/>
      <c r="P42274" s="3337"/>
    </row>
    <row r="42275" spans="7:16" s="1634" customFormat="1">
      <c r="G42275" s="3336"/>
      <c r="P42275" s="3337"/>
    </row>
    <row r="42276" spans="7:16" s="1634" customFormat="1">
      <c r="G42276" s="3336"/>
      <c r="P42276" s="3337"/>
    </row>
    <row r="42277" spans="7:16" s="1634" customFormat="1">
      <c r="G42277" s="3336"/>
      <c r="P42277" s="3337"/>
    </row>
    <row r="42278" spans="7:16" s="1634" customFormat="1">
      <c r="G42278" s="3336"/>
      <c r="P42278" s="3337"/>
    </row>
    <row r="42279" spans="7:16" s="1634" customFormat="1">
      <c r="G42279" s="3336"/>
      <c r="P42279" s="3337"/>
    </row>
    <row r="42280" spans="7:16" s="1634" customFormat="1">
      <c r="G42280" s="3336"/>
      <c r="P42280" s="3337"/>
    </row>
    <row r="42281" spans="7:16" s="1634" customFormat="1">
      <c r="G42281" s="3336"/>
      <c r="P42281" s="3337"/>
    </row>
    <row r="42282" spans="7:16" s="1634" customFormat="1">
      <c r="G42282" s="3336"/>
      <c r="P42282" s="3337"/>
    </row>
    <row r="42283" spans="7:16" s="1634" customFormat="1">
      <c r="G42283" s="3336"/>
      <c r="P42283" s="3337"/>
    </row>
    <row r="42284" spans="7:16" s="1634" customFormat="1">
      <c r="G42284" s="3336"/>
      <c r="P42284" s="3337"/>
    </row>
    <row r="42285" spans="7:16" s="1634" customFormat="1">
      <c r="G42285" s="3336"/>
      <c r="P42285" s="3337"/>
    </row>
    <row r="42286" spans="7:16" s="1634" customFormat="1">
      <c r="G42286" s="3336"/>
      <c r="P42286" s="3337"/>
    </row>
    <row r="42287" spans="7:16" s="1634" customFormat="1">
      <c r="G42287" s="3336"/>
      <c r="P42287" s="3337"/>
    </row>
    <row r="42288" spans="7:16" s="1634" customFormat="1">
      <c r="G42288" s="3336"/>
      <c r="P42288" s="3337"/>
    </row>
    <row r="42289" spans="7:16" s="1634" customFormat="1">
      <c r="G42289" s="3336"/>
      <c r="P42289" s="3337"/>
    </row>
    <row r="42290" spans="7:16" s="1634" customFormat="1">
      <c r="G42290" s="3336"/>
      <c r="P42290" s="3337"/>
    </row>
    <row r="42291" spans="7:16" s="1634" customFormat="1">
      <c r="G42291" s="3336"/>
      <c r="P42291" s="3337"/>
    </row>
    <row r="42292" spans="7:16" s="1634" customFormat="1">
      <c r="G42292" s="3336"/>
      <c r="P42292" s="3337"/>
    </row>
    <row r="42293" spans="7:16" s="1634" customFormat="1">
      <c r="G42293" s="3336"/>
      <c r="P42293" s="3337"/>
    </row>
    <row r="42294" spans="7:16" s="1634" customFormat="1">
      <c r="G42294" s="3336"/>
      <c r="P42294" s="3337"/>
    </row>
    <row r="42295" spans="7:16" s="1634" customFormat="1">
      <c r="G42295" s="3336"/>
      <c r="P42295" s="3337"/>
    </row>
    <row r="42296" spans="7:16" s="1634" customFormat="1">
      <c r="G42296" s="3336"/>
      <c r="P42296" s="3337"/>
    </row>
    <row r="42297" spans="7:16" s="1634" customFormat="1">
      <c r="G42297" s="3336"/>
      <c r="P42297" s="3337"/>
    </row>
    <row r="42298" spans="7:16" s="1634" customFormat="1">
      <c r="G42298" s="3336"/>
      <c r="P42298" s="3337"/>
    </row>
    <row r="42299" spans="7:16" s="1634" customFormat="1">
      <c r="G42299" s="3336"/>
      <c r="P42299" s="3337"/>
    </row>
    <row r="42300" spans="7:16" s="1634" customFormat="1">
      <c r="G42300" s="3336"/>
      <c r="P42300" s="3337"/>
    </row>
    <row r="42301" spans="7:16" s="1634" customFormat="1">
      <c r="G42301" s="3336"/>
      <c r="P42301" s="3337"/>
    </row>
    <row r="42302" spans="7:16" s="1634" customFormat="1">
      <c r="G42302" s="3336"/>
      <c r="P42302" s="3337"/>
    </row>
    <row r="42303" spans="7:16" s="1634" customFormat="1">
      <c r="G42303" s="3336"/>
      <c r="P42303" s="3337"/>
    </row>
    <row r="42304" spans="7:16" s="1634" customFormat="1">
      <c r="G42304" s="3336"/>
      <c r="P42304" s="3337"/>
    </row>
    <row r="42305" spans="7:16" s="1634" customFormat="1">
      <c r="G42305" s="3336"/>
      <c r="P42305" s="3337"/>
    </row>
    <row r="42306" spans="7:16" s="1634" customFormat="1">
      <c r="G42306" s="3336"/>
      <c r="P42306" s="3337"/>
    </row>
    <row r="42307" spans="7:16" s="1634" customFormat="1">
      <c r="G42307" s="3336"/>
      <c r="P42307" s="3337"/>
    </row>
    <row r="42308" spans="7:16" s="1634" customFormat="1">
      <c r="G42308" s="3336"/>
      <c r="P42308" s="3337"/>
    </row>
    <row r="42309" spans="7:16" s="1634" customFormat="1">
      <c r="G42309" s="3336"/>
      <c r="P42309" s="3337"/>
    </row>
    <row r="42310" spans="7:16" s="1634" customFormat="1">
      <c r="G42310" s="3336"/>
      <c r="P42310" s="3337"/>
    </row>
    <row r="42311" spans="7:16" s="1634" customFormat="1">
      <c r="G42311" s="3336"/>
      <c r="P42311" s="3337"/>
    </row>
    <row r="42312" spans="7:16" s="1634" customFormat="1">
      <c r="G42312" s="3336"/>
      <c r="P42312" s="3337"/>
    </row>
    <row r="42313" spans="7:16" s="1634" customFormat="1">
      <c r="G42313" s="3336"/>
      <c r="P42313" s="3337"/>
    </row>
    <row r="42314" spans="7:16" s="1634" customFormat="1">
      <c r="G42314" s="3336"/>
      <c r="P42314" s="3337"/>
    </row>
    <row r="42315" spans="7:16" s="1634" customFormat="1">
      <c r="G42315" s="3336"/>
      <c r="P42315" s="3337"/>
    </row>
    <row r="42316" spans="7:16" s="1634" customFormat="1">
      <c r="G42316" s="3336"/>
      <c r="P42316" s="3337"/>
    </row>
    <row r="42317" spans="7:16" s="1634" customFormat="1">
      <c r="G42317" s="3336"/>
      <c r="P42317" s="3337"/>
    </row>
    <row r="42318" spans="7:16" s="1634" customFormat="1">
      <c r="G42318" s="3336"/>
      <c r="P42318" s="3337"/>
    </row>
    <row r="42319" spans="7:16" s="1634" customFormat="1">
      <c r="G42319" s="3336"/>
      <c r="P42319" s="3337"/>
    </row>
    <row r="42320" spans="7:16" s="1634" customFormat="1">
      <c r="G42320" s="3336"/>
      <c r="P42320" s="3337"/>
    </row>
    <row r="42321" spans="7:16" s="1634" customFormat="1">
      <c r="G42321" s="3336"/>
      <c r="P42321" s="3337"/>
    </row>
    <row r="42322" spans="7:16" s="1634" customFormat="1">
      <c r="G42322" s="3336"/>
      <c r="P42322" s="3337"/>
    </row>
    <row r="42323" spans="7:16" s="1634" customFormat="1">
      <c r="G42323" s="3336"/>
      <c r="P42323" s="3337"/>
    </row>
    <row r="42324" spans="7:16" s="1634" customFormat="1">
      <c r="G42324" s="3336"/>
      <c r="P42324" s="3337"/>
    </row>
    <row r="42325" spans="7:16" s="1634" customFormat="1">
      <c r="G42325" s="3336"/>
      <c r="P42325" s="3337"/>
    </row>
    <row r="42326" spans="7:16" s="1634" customFormat="1">
      <c r="G42326" s="3336"/>
      <c r="P42326" s="3337"/>
    </row>
    <row r="42327" spans="7:16" s="1634" customFormat="1">
      <c r="G42327" s="3336"/>
      <c r="P42327" s="3337"/>
    </row>
    <row r="42328" spans="7:16" s="1634" customFormat="1">
      <c r="G42328" s="3336"/>
      <c r="P42328" s="3337"/>
    </row>
    <row r="42329" spans="7:16" s="1634" customFormat="1">
      <c r="G42329" s="3336"/>
      <c r="P42329" s="3337"/>
    </row>
    <row r="42330" spans="7:16" s="1634" customFormat="1">
      <c r="G42330" s="3336"/>
      <c r="P42330" s="3337"/>
    </row>
    <row r="42331" spans="7:16" s="1634" customFormat="1">
      <c r="G42331" s="3336"/>
      <c r="P42331" s="3337"/>
    </row>
    <row r="42332" spans="7:16" s="1634" customFormat="1">
      <c r="G42332" s="3336"/>
      <c r="P42332" s="3337"/>
    </row>
    <row r="42333" spans="7:16" s="1634" customFormat="1">
      <c r="G42333" s="3336"/>
      <c r="P42333" s="3337"/>
    </row>
    <row r="42334" spans="7:16" s="1634" customFormat="1">
      <c r="G42334" s="3336"/>
      <c r="P42334" s="3337"/>
    </row>
    <row r="42335" spans="7:16" s="1634" customFormat="1">
      <c r="G42335" s="3336"/>
      <c r="P42335" s="3337"/>
    </row>
    <row r="42336" spans="7:16" s="1634" customFormat="1">
      <c r="G42336" s="3336"/>
      <c r="P42336" s="3337"/>
    </row>
    <row r="42337" spans="7:16" s="1634" customFormat="1">
      <c r="G42337" s="3336"/>
      <c r="P42337" s="3337"/>
    </row>
    <row r="42338" spans="7:16" s="1634" customFormat="1">
      <c r="G42338" s="3336"/>
      <c r="P42338" s="3337"/>
    </row>
    <row r="42339" spans="7:16" s="1634" customFormat="1">
      <c r="G42339" s="3336"/>
      <c r="P42339" s="3337"/>
    </row>
    <row r="42340" spans="7:16" s="1634" customFormat="1">
      <c r="G42340" s="3336"/>
      <c r="P42340" s="3337"/>
    </row>
    <row r="42341" spans="7:16" s="1634" customFormat="1">
      <c r="G42341" s="3336"/>
      <c r="P42341" s="3337"/>
    </row>
    <row r="42342" spans="7:16" s="1634" customFormat="1">
      <c r="G42342" s="3336"/>
      <c r="P42342" s="3337"/>
    </row>
    <row r="42343" spans="7:16" s="1634" customFormat="1">
      <c r="G42343" s="3336"/>
      <c r="P42343" s="3337"/>
    </row>
    <row r="42344" spans="7:16" s="1634" customFormat="1">
      <c r="G42344" s="3336"/>
      <c r="P42344" s="3337"/>
    </row>
    <row r="42345" spans="7:16" s="1634" customFormat="1">
      <c r="G42345" s="3336"/>
      <c r="P42345" s="3337"/>
    </row>
    <row r="42346" spans="7:16" s="1634" customFormat="1">
      <c r="G42346" s="3336"/>
      <c r="P42346" s="3337"/>
    </row>
    <row r="42347" spans="7:16" s="1634" customFormat="1">
      <c r="G42347" s="3336"/>
      <c r="P42347" s="3337"/>
    </row>
    <row r="42348" spans="7:16" s="1634" customFormat="1">
      <c r="G42348" s="3336"/>
      <c r="P42348" s="3337"/>
    </row>
    <row r="42349" spans="7:16" s="1634" customFormat="1">
      <c r="G42349" s="3336"/>
      <c r="P42349" s="3337"/>
    </row>
    <row r="42350" spans="7:16" s="1634" customFormat="1">
      <c r="G42350" s="3336"/>
      <c r="P42350" s="3337"/>
    </row>
    <row r="42351" spans="7:16" s="1634" customFormat="1">
      <c r="G42351" s="3336"/>
      <c r="P42351" s="3337"/>
    </row>
    <row r="42352" spans="7:16" s="1634" customFormat="1">
      <c r="G42352" s="3336"/>
      <c r="P42352" s="3337"/>
    </row>
    <row r="42353" spans="7:16" s="1634" customFormat="1">
      <c r="G42353" s="3336"/>
      <c r="P42353" s="3337"/>
    </row>
    <row r="42354" spans="7:16" s="1634" customFormat="1">
      <c r="G42354" s="3336"/>
      <c r="P42354" s="3337"/>
    </row>
    <row r="42355" spans="7:16" s="1634" customFormat="1">
      <c r="G42355" s="3336"/>
      <c r="P42355" s="3337"/>
    </row>
    <row r="42356" spans="7:16" s="1634" customFormat="1">
      <c r="G42356" s="3336"/>
      <c r="P42356" s="3337"/>
    </row>
    <row r="42357" spans="7:16" s="1634" customFormat="1">
      <c r="G42357" s="3336"/>
      <c r="P42357" s="3337"/>
    </row>
    <row r="42358" spans="7:16" s="1634" customFormat="1">
      <c r="G42358" s="3336"/>
      <c r="P42358" s="3337"/>
    </row>
    <row r="42359" spans="7:16" s="1634" customFormat="1">
      <c r="G42359" s="3336"/>
      <c r="P42359" s="3337"/>
    </row>
    <row r="42360" spans="7:16" s="1634" customFormat="1">
      <c r="G42360" s="3336"/>
      <c r="P42360" s="3337"/>
    </row>
    <row r="42361" spans="7:16" s="1634" customFormat="1">
      <c r="G42361" s="3336"/>
      <c r="P42361" s="3337"/>
    </row>
    <row r="42362" spans="7:16" s="1634" customFormat="1">
      <c r="G42362" s="3336"/>
      <c r="P42362" s="3337"/>
    </row>
    <row r="42363" spans="7:16" s="1634" customFormat="1">
      <c r="G42363" s="3336"/>
      <c r="P42363" s="3337"/>
    </row>
    <row r="42364" spans="7:16" s="1634" customFormat="1">
      <c r="G42364" s="3336"/>
      <c r="P42364" s="3337"/>
    </row>
    <row r="42365" spans="7:16" s="1634" customFormat="1">
      <c r="G42365" s="3336"/>
      <c r="P42365" s="3337"/>
    </row>
    <row r="42366" spans="7:16" s="1634" customFormat="1">
      <c r="G42366" s="3336"/>
      <c r="P42366" s="3337"/>
    </row>
    <row r="42367" spans="7:16" s="1634" customFormat="1">
      <c r="G42367" s="3336"/>
      <c r="P42367" s="3337"/>
    </row>
    <row r="42368" spans="7:16" s="1634" customFormat="1">
      <c r="G42368" s="3336"/>
      <c r="P42368" s="3337"/>
    </row>
    <row r="42369" spans="7:16" s="1634" customFormat="1">
      <c r="G42369" s="3336"/>
      <c r="P42369" s="3337"/>
    </row>
    <row r="42370" spans="7:16" s="1634" customFormat="1">
      <c r="G42370" s="3336"/>
      <c r="P42370" s="3337"/>
    </row>
    <row r="42371" spans="7:16" s="1634" customFormat="1">
      <c r="G42371" s="3336"/>
      <c r="P42371" s="3337"/>
    </row>
    <row r="42372" spans="7:16" s="1634" customFormat="1">
      <c r="G42372" s="3336"/>
      <c r="P42372" s="3337"/>
    </row>
    <row r="42373" spans="7:16" s="1634" customFormat="1">
      <c r="G42373" s="3336"/>
      <c r="P42373" s="3337"/>
    </row>
    <row r="42374" spans="7:16" s="1634" customFormat="1">
      <c r="G42374" s="3336"/>
      <c r="P42374" s="3337"/>
    </row>
    <row r="42375" spans="7:16" s="1634" customFormat="1">
      <c r="G42375" s="3336"/>
      <c r="P42375" s="3337"/>
    </row>
    <row r="42376" spans="7:16" s="1634" customFormat="1">
      <c r="G42376" s="3336"/>
      <c r="P42376" s="3337"/>
    </row>
    <row r="42377" spans="7:16" s="1634" customFormat="1">
      <c r="G42377" s="3336"/>
      <c r="P42377" s="3337"/>
    </row>
    <row r="42378" spans="7:16" s="1634" customFormat="1">
      <c r="G42378" s="3336"/>
      <c r="P42378" s="3337"/>
    </row>
    <row r="42379" spans="7:16" s="1634" customFormat="1">
      <c r="G42379" s="3336"/>
      <c r="P42379" s="3337"/>
    </row>
    <row r="42380" spans="7:16" s="1634" customFormat="1">
      <c r="G42380" s="3336"/>
      <c r="P42380" s="3337"/>
    </row>
    <row r="42381" spans="7:16" s="1634" customFormat="1">
      <c r="G42381" s="3336"/>
      <c r="P42381" s="3337"/>
    </row>
    <row r="42382" spans="7:16" s="1634" customFormat="1">
      <c r="G42382" s="3336"/>
      <c r="P42382" s="3337"/>
    </row>
    <row r="42383" spans="7:16" s="1634" customFormat="1">
      <c r="G42383" s="3336"/>
      <c r="P42383" s="3337"/>
    </row>
    <row r="42384" spans="7:16" s="1634" customFormat="1">
      <c r="G42384" s="3336"/>
      <c r="P42384" s="3337"/>
    </row>
    <row r="42385" spans="7:16" s="1634" customFormat="1">
      <c r="G42385" s="3336"/>
      <c r="P42385" s="3337"/>
    </row>
    <row r="42386" spans="7:16" s="1634" customFormat="1">
      <c r="G42386" s="3336"/>
      <c r="P42386" s="3337"/>
    </row>
    <row r="42387" spans="7:16" s="1634" customFormat="1">
      <c r="G42387" s="3336"/>
      <c r="P42387" s="3337"/>
    </row>
    <row r="42388" spans="7:16" s="1634" customFormat="1">
      <c r="G42388" s="3336"/>
      <c r="P42388" s="3337"/>
    </row>
    <row r="42389" spans="7:16" s="1634" customFormat="1">
      <c r="G42389" s="3336"/>
      <c r="P42389" s="3337"/>
    </row>
    <row r="42390" spans="7:16" s="1634" customFormat="1">
      <c r="G42390" s="3336"/>
      <c r="P42390" s="3337"/>
    </row>
    <row r="42391" spans="7:16" s="1634" customFormat="1">
      <c r="G42391" s="3336"/>
      <c r="P42391" s="3337"/>
    </row>
    <row r="42392" spans="7:16" s="1634" customFormat="1">
      <c r="G42392" s="3336"/>
      <c r="P42392" s="3337"/>
    </row>
    <row r="42393" spans="7:16" s="1634" customFormat="1">
      <c r="G42393" s="3336"/>
      <c r="P42393" s="3337"/>
    </row>
    <row r="42394" spans="7:16" s="1634" customFormat="1">
      <c r="G42394" s="3336"/>
      <c r="P42394" s="3337"/>
    </row>
    <row r="42395" spans="7:16" s="1634" customFormat="1">
      <c r="G42395" s="3336"/>
      <c r="P42395" s="3337"/>
    </row>
    <row r="42396" spans="7:16" s="1634" customFormat="1">
      <c r="G42396" s="3336"/>
      <c r="P42396" s="3337"/>
    </row>
    <row r="42397" spans="7:16" s="1634" customFormat="1">
      <c r="G42397" s="3336"/>
      <c r="P42397" s="3337"/>
    </row>
    <row r="42398" spans="7:16" s="1634" customFormat="1">
      <c r="G42398" s="3336"/>
      <c r="P42398" s="3337"/>
    </row>
    <row r="42399" spans="7:16" s="1634" customFormat="1">
      <c r="G42399" s="3336"/>
      <c r="P42399" s="3337"/>
    </row>
    <row r="42400" spans="7:16" s="1634" customFormat="1">
      <c r="G42400" s="3336"/>
      <c r="P42400" s="3337"/>
    </row>
    <row r="42401" spans="7:16" s="1634" customFormat="1">
      <c r="G42401" s="3336"/>
      <c r="P42401" s="3337"/>
    </row>
    <row r="42402" spans="7:16" s="1634" customFormat="1">
      <c r="G42402" s="3336"/>
      <c r="P42402" s="3337"/>
    </row>
    <row r="42403" spans="7:16" s="1634" customFormat="1">
      <c r="G42403" s="3336"/>
      <c r="P42403" s="3337"/>
    </row>
    <row r="42404" spans="7:16" s="1634" customFormat="1">
      <c r="G42404" s="3336"/>
      <c r="P42404" s="3337"/>
    </row>
    <row r="42405" spans="7:16" s="1634" customFormat="1">
      <c r="G42405" s="3336"/>
      <c r="P42405" s="3337"/>
    </row>
    <row r="42406" spans="7:16" s="1634" customFormat="1">
      <c r="G42406" s="3336"/>
      <c r="P42406" s="3337"/>
    </row>
    <row r="42407" spans="7:16" s="1634" customFormat="1">
      <c r="G42407" s="3336"/>
      <c r="P42407" s="3337"/>
    </row>
    <row r="42408" spans="7:16" s="1634" customFormat="1">
      <c r="G42408" s="3336"/>
      <c r="P42408" s="3337"/>
    </row>
    <row r="42409" spans="7:16" s="1634" customFormat="1">
      <c r="G42409" s="3336"/>
      <c r="P42409" s="3337"/>
    </row>
    <row r="42410" spans="7:16" s="1634" customFormat="1">
      <c r="G42410" s="3336"/>
      <c r="P42410" s="3337"/>
    </row>
    <row r="42411" spans="7:16" s="1634" customFormat="1">
      <c r="G42411" s="3336"/>
      <c r="P42411" s="3337"/>
    </row>
    <row r="42412" spans="7:16" s="1634" customFormat="1">
      <c r="G42412" s="3336"/>
      <c r="P42412" s="3337"/>
    </row>
    <row r="42413" spans="7:16" s="1634" customFormat="1">
      <c r="G42413" s="3336"/>
      <c r="P42413" s="3337"/>
    </row>
    <row r="42414" spans="7:16" s="1634" customFormat="1">
      <c r="G42414" s="3336"/>
      <c r="P42414" s="3337"/>
    </row>
    <row r="42415" spans="7:16" s="1634" customFormat="1">
      <c r="G42415" s="3336"/>
      <c r="P42415" s="3337"/>
    </row>
    <row r="42416" spans="7:16" s="1634" customFormat="1">
      <c r="G42416" s="3336"/>
      <c r="P42416" s="3337"/>
    </row>
    <row r="42417" spans="7:16" s="1634" customFormat="1">
      <c r="G42417" s="3336"/>
      <c r="P42417" s="3337"/>
    </row>
    <row r="42418" spans="7:16" s="1634" customFormat="1">
      <c r="G42418" s="3336"/>
      <c r="P42418" s="3337"/>
    </row>
    <row r="42419" spans="7:16" s="1634" customFormat="1">
      <c r="G42419" s="3336"/>
      <c r="P42419" s="3337"/>
    </row>
    <row r="42420" spans="7:16" s="1634" customFormat="1">
      <c r="G42420" s="3336"/>
      <c r="P42420" s="3337"/>
    </row>
    <row r="42421" spans="7:16" s="1634" customFormat="1">
      <c r="G42421" s="3336"/>
      <c r="P42421" s="3337"/>
    </row>
    <row r="42422" spans="7:16" s="1634" customFormat="1">
      <c r="G42422" s="3336"/>
      <c r="P42422" s="3337"/>
    </row>
    <row r="42423" spans="7:16" s="1634" customFormat="1">
      <c r="G42423" s="3336"/>
      <c r="P42423" s="3337"/>
    </row>
    <row r="42424" spans="7:16" s="1634" customFormat="1">
      <c r="G42424" s="3336"/>
      <c r="P42424" s="3337"/>
    </row>
    <row r="42425" spans="7:16" s="1634" customFormat="1">
      <c r="G42425" s="3336"/>
      <c r="P42425" s="3337"/>
    </row>
    <row r="42426" spans="7:16" s="1634" customFormat="1">
      <c r="G42426" s="3336"/>
      <c r="P42426" s="3337"/>
    </row>
    <row r="42427" spans="7:16" s="1634" customFormat="1">
      <c r="G42427" s="3336"/>
      <c r="P42427" s="3337"/>
    </row>
    <row r="42428" spans="7:16" s="1634" customFormat="1">
      <c r="G42428" s="3336"/>
      <c r="P42428" s="3337"/>
    </row>
    <row r="42429" spans="7:16" s="1634" customFormat="1">
      <c r="G42429" s="3336"/>
      <c r="P42429" s="3337"/>
    </row>
    <row r="42430" spans="7:16" s="1634" customFormat="1">
      <c r="G42430" s="3336"/>
      <c r="P42430" s="3337"/>
    </row>
    <row r="42431" spans="7:16" s="1634" customFormat="1">
      <c r="G42431" s="3336"/>
      <c r="P42431" s="3337"/>
    </row>
    <row r="42432" spans="7:16" s="1634" customFormat="1">
      <c r="G42432" s="3336"/>
      <c r="P42432" s="3337"/>
    </row>
    <row r="42433" spans="7:16" s="1634" customFormat="1">
      <c r="G42433" s="3336"/>
      <c r="P42433" s="3337"/>
    </row>
    <row r="42434" spans="7:16" s="1634" customFormat="1">
      <c r="G42434" s="3336"/>
      <c r="P42434" s="3337"/>
    </row>
    <row r="42435" spans="7:16" s="1634" customFormat="1">
      <c r="G42435" s="3336"/>
      <c r="P42435" s="3337"/>
    </row>
    <row r="42436" spans="7:16" s="1634" customFormat="1">
      <c r="G42436" s="3336"/>
      <c r="P42436" s="3337"/>
    </row>
    <row r="42437" spans="7:16" s="1634" customFormat="1">
      <c r="G42437" s="3336"/>
      <c r="P42437" s="3337"/>
    </row>
    <row r="42438" spans="7:16" s="1634" customFormat="1">
      <c r="G42438" s="3336"/>
      <c r="P42438" s="3337"/>
    </row>
    <row r="42439" spans="7:16" s="1634" customFormat="1">
      <c r="G42439" s="3336"/>
      <c r="P42439" s="3337"/>
    </row>
    <row r="42440" spans="7:16" s="1634" customFormat="1">
      <c r="G42440" s="3336"/>
      <c r="P42440" s="3337"/>
    </row>
    <row r="42441" spans="7:16" s="1634" customFormat="1">
      <c r="G42441" s="3336"/>
      <c r="P42441" s="3337"/>
    </row>
    <row r="42442" spans="7:16" s="1634" customFormat="1">
      <c r="G42442" s="3336"/>
      <c r="P42442" s="3337"/>
    </row>
    <row r="42443" spans="7:16" s="1634" customFormat="1">
      <c r="G42443" s="3336"/>
      <c r="P42443" s="3337"/>
    </row>
    <row r="42444" spans="7:16" s="1634" customFormat="1">
      <c r="G42444" s="3336"/>
      <c r="P42444" s="3337"/>
    </row>
    <row r="42445" spans="7:16" s="1634" customFormat="1">
      <c r="G42445" s="3336"/>
      <c r="P42445" s="3337"/>
    </row>
    <row r="42446" spans="7:16" s="1634" customFormat="1">
      <c r="G42446" s="3336"/>
      <c r="P42446" s="3337"/>
    </row>
    <row r="42447" spans="7:16" s="1634" customFormat="1">
      <c r="G42447" s="3336"/>
      <c r="P42447" s="3337"/>
    </row>
    <row r="42448" spans="7:16" s="1634" customFormat="1">
      <c r="G42448" s="3336"/>
      <c r="P42448" s="3337"/>
    </row>
    <row r="42449" spans="7:16" s="1634" customFormat="1">
      <c r="G42449" s="3336"/>
      <c r="P42449" s="3337"/>
    </row>
    <row r="42450" spans="7:16" s="1634" customFormat="1">
      <c r="G42450" s="3336"/>
      <c r="P42450" s="3337"/>
    </row>
    <row r="42451" spans="7:16" s="1634" customFormat="1">
      <c r="G42451" s="3336"/>
      <c r="P42451" s="3337"/>
    </row>
    <row r="42452" spans="7:16" s="1634" customFormat="1">
      <c r="G42452" s="3336"/>
      <c r="P42452" s="3337"/>
    </row>
    <row r="42453" spans="7:16" s="1634" customFormat="1">
      <c r="G42453" s="3336"/>
      <c r="P42453" s="3337"/>
    </row>
    <row r="42454" spans="7:16" s="1634" customFormat="1">
      <c r="G42454" s="3336"/>
      <c r="P42454" s="3337"/>
    </row>
    <row r="42455" spans="7:16" s="1634" customFormat="1">
      <c r="G42455" s="3336"/>
      <c r="P42455" s="3337"/>
    </row>
    <row r="42456" spans="7:16" s="1634" customFormat="1">
      <c r="G42456" s="3336"/>
      <c r="P42456" s="3337"/>
    </row>
    <row r="42457" spans="7:16" s="1634" customFormat="1">
      <c r="G42457" s="3336"/>
      <c r="P42457" s="3337"/>
    </row>
    <row r="42458" spans="7:16" s="1634" customFormat="1">
      <c r="G42458" s="3336"/>
      <c r="P42458" s="3337"/>
    </row>
    <row r="42459" spans="7:16" s="1634" customFormat="1">
      <c r="G42459" s="3336"/>
      <c r="P42459" s="3337"/>
    </row>
    <row r="42460" spans="7:16" s="1634" customFormat="1">
      <c r="G42460" s="3336"/>
      <c r="P42460" s="3337"/>
    </row>
    <row r="42461" spans="7:16" s="1634" customFormat="1">
      <c r="G42461" s="3336"/>
      <c r="P42461" s="3337"/>
    </row>
    <row r="42462" spans="7:16" s="1634" customFormat="1">
      <c r="G42462" s="3336"/>
      <c r="P42462" s="3337"/>
    </row>
    <row r="42463" spans="7:16" s="1634" customFormat="1">
      <c r="G42463" s="3336"/>
      <c r="P42463" s="3337"/>
    </row>
    <row r="42464" spans="7:16" s="1634" customFormat="1">
      <c r="G42464" s="3336"/>
      <c r="P42464" s="3337"/>
    </row>
    <row r="42465" spans="7:16" s="1634" customFormat="1">
      <c r="G42465" s="3336"/>
      <c r="P42465" s="3337"/>
    </row>
    <row r="42466" spans="7:16" s="1634" customFormat="1">
      <c r="G42466" s="3336"/>
      <c r="P42466" s="3337"/>
    </row>
    <row r="42467" spans="7:16" s="1634" customFormat="1">
      <c r="G42467" s="3336"/>
      <c r="P42467" s="3337"/>
    </row>
    <row r="42468" spans="7:16" s="1634" customFormat="1">
      <c r="G42468" s="3336"/>
      <c r="P42468" s="3337"/>
    </row>
    <row r="42469" spans="7:16" s="1634" customFormat="1">
      <c r="G42469" s="3336"/>
      <c r="P42469" s="3337"/>
    </row>
    <row r="42470" spans="7:16" s="1634" customFormat="1">
      <c r="G42470" s="3336"/>
      <c r="P42470" s="3337"/>
    </row>
    <row r="42471" spans="7:16" s="1634" customFormat="1">
      <c r="G42471" s="3336"/>
      <c r="P42471" s="3337"/>
    </row>
    <row r="42472" spans="7:16" s="1634" customFormat="1">
      <c r="G42472" s="3336"/>
      <c r="P42472" s="3337"/>
    </row>
    <row r="42473" spans="7:16" s="1634" customFormat="1">
      <c r="G42473" s="3336"/>
      <c r="P42473" s="3337"/>
    </row>
    <row r="42474" spans="7:16" s="1634" customFormat="1">
      <c r="G42474" s="3336"/>
      <c r="P42474" s="3337"/>
    </row>
    <row r="42475" spans="7:16" s="1634" customFormat="1">
      <c r="G42475" s="3336"/>
      <c r="P42475" s="3337"/>
    </row>
    <row r="42476" spans="7:16" s="1634" customFormat="1">
      <c r="G42476" s="3336"/>
      <c r="P42476" s="3337"/>
    </row>
    <row r="42477" spans="7:16" s="1634" customFormat="1">
      <c r="G42477" s="3336"/>
      <c r="P42477" s="3337"/>
    </row>
    <row r="42478" spans="7:16" s="1634" customFormat="1">
      <c r="G42478" s="3336"/>
      <c r="P42478" s="3337"/>
    </row>
    <row r="42479" spans="7:16" s="1634" customFormat="1">
      <c r="G42479" s="3336"/>
      <c r="P42479" s="3337"/>
    </row>
    <row r="42480" spans="7:16" s="1634" customFormat="1">
      <c r="G42480" s="3336"/>
      <c r="P42480" s="3337"/>
    </row>
    <row r="42481" spans="7:16" s="1634" customFormat="1">
      <c r="G42481" s="3336"/>
      <c r="P42481" s="3337"/>
    </row>
    <row r="42482" spans="7:16" s="1634" customFormat="1">
      <c r="G42482" s="3336"/>
      <c r="P42482" s="3337"/>
    </row>
    <row r="42483" spans="7:16" s="1634" customFormat="1">
      <c r="G42483" s="3336"/>
      <c r="P42483" s="3337"/>
    </row>
    <row r="42484" spans="7:16" s="1634" customFormat="1">
      <c r="G42484" s="3336"/>
      <c r="P42484" s="3337"/>
    </row>
    <row r="42485" spans="7:16" s="1634" customFormat="1">
      <c r="G42485" s="3336"/>
      <c r="P42485" s="3337"/>
    </row>
    <row r="42486" spans="7:16" s="1634" customFormat="1">
      <c r="G42486" s="3336"/>
      <c r="P42486" s="3337"/>
    </row>
    <row r="42487" spans="7:16" s="1634" customFormat="1">
      <c r="G42487" s="3336"/>
      <c r="P42487" s="3337"/>
    </row>
    <row r="42488" spans="7:16" s="1634" customFormat="1">
      <c r="G42488" s="3336"/>
      <c r="P42488" s="3337"/>
    </row>
    <row r="42489" spans="7:16" s="1634" customFormat="1">
      <c r="G42489" s="3336"/>
      <c r="P42489" s="3337"/>
    </row>
    <row r="42490" spans="7:16" s="1634" customFormat="1">
      <c r="G42490" s="3336"/>
      <c r="P42490" s="3337"/>
    </row>
    <row r="42491" spans="7:16" s="1634" customFormat="1">
      <c r="G42491" s="3336"/>
      <c r="P42491" s="3337"/>
    </row>
    <row r="42492" spans="7:16" s="1634" customFormat="1">
      <c r="G42492" s="3336"/>
      <c r="P42492" s="3337"/>
    </row>
    <row r="42493" spans="7:16" s="1634" customFormat="1">
      <c r="G42493" s="3336"/>
      <c r="P42493" s="3337"/>
    </row>
    <row r="42494" spans="7:16" s="1634" customFormat="1">
      <c r="G42494" s="3336"/>
      <c r="P42494" s="3337"/>
    </row>
    <row r="42495" spans="7:16" s="1634" customFormat="1">
      <c r="G42495" s="3336"/>
      <c r="P42495" s="3337"/>
    </row>
    <row r="42496" spans="7:16" s="1634" customFormat="1">
      <c r="G42496" s="3336"/>
      <c r="P42496" s="3337"/>
    </row>
    <row r="42497" spans="7:16" s="1634" customFormat="1">
      <c r="G42497" s="3336"/>
      <c r="P42497" s="3337"/>
    </row>
    <row r="42498" spans="7:16" s="1634" customFormat="1">
      <c r="G42498" s="3336"/>
      <c r="P42498" s="3337"/>
    </row>
    <row r="42499" spans="7:16" s="1634" customFormat="1">
      <c r="G42499" s="3336"/>
      <c r="P42499" s="3337"/>
    </row>
    <row r="42500" spans="7:16" s="1634" customFormat="1">
      <c r="G42500" s="3336"/>
      <c r="P42500" s="3337"/>
    </row>
    <row r="42501" spans="7:16" s="1634" customFormat="1">
      <c r="G42501" s="3336"/>
      <c r="P42501" s="3337"/>
    </row>
    <row r="42502" spans="7:16" s="1634" customFormat="1">
      <c r="G42502" s="3336"/>
      <c r="P42502" s="3337"/>
    </row>
    <row r="42503" spans="7:16" s="1634" customFormat="1">
      <c r="G42503" s="3336"/>
      <c r="P42503" s="3337"/>
    </row>
    <row r="42504" spans="7:16" s="1634" customFormat="1">
      <c r="G42504" s="3336"/>
      <c r="P42504" s="3337"/>
    </row>
    <row r="42505" spans="7:16" s="1634" customFormat="1">
      <c r="G42505" s="3336"/>
      <c r="P42505" s="3337"/>
    </row>
    <row r="42506" spans="7:16" s="1634" customFormat="1">
      <c r="G42506" s="3336"/>
      <c r="P42506" s="3337"/>
    </row>
    <row r="42507" spans="7:16" s="1634" customFormat="1">
      <c r="G42507" s="3336"/>
      <c r="P42507" s="3337"/>
    </row>
    <row r="42508" spans="7:16" s="1634" customFormat="1">
      <c r="G42508" s="3336"/>
      <c r="P42508" s="3337"/>
    </row>
    <row r="42509" spans="7:16" s="1634" customFormat="1">
      <c r="G42509" s="3336"/>
      <c r="P42509" s="3337"/>
    </row>
    <row r="42510" spans="7:16" s="1634" customFormat="1">
      <c r="G42510" s="3336"/>
      <c r="P42510" s="3337"/>
    </row>
    <row r="42511" spans="7:16" s="1634" customFormat="1">
      <c r="G42511" s="3336"/>
      <c r="P42511" s="3337"/>
    </row>
    <row r="42512" spans="7:16" s="1634" customFormat="1">
      <c r="G42512" s="3336"/>
      <c r="P42512" s="3337"/>
    </row>
    <row r="42513" spans="7:16" s="1634" customFormat="1">
      <c r="G42513" s="3336"/>
      <c r="P42513" s="3337"/>
    </row>
    <row r="42514" spans="7:16" s="1634" customFormat="1">
      <c r="G42514" s="3336"/>
      <c r="P42514" s="3337"/>
    </row>
    <row r="42515" spans="7:16" s="1634" customFormat="1">
      <c r="G42515" s="3336"/>
      <c r="P42515" s="3337"/>
    </row>
    <row r="42516" spans="7:16" s="1634" customFormat="1">
      <c r="G42516" s="3336"/>
      <c r="P42516" s="3337"/>
    </row>
    <row r="42517" spans="7:16" s="1634" customFormat="1">
      <c r="G42517" s="3336"/>
      <c r="P42517" s="3337"/>
    </row>
    <row r="42518" spans="7:16" s="1634" customFormat="1">
      <c r="G42518" s="3336"/>
      <c r="P42518" s="3337"/>
    </row>
    <row r="42519" spans="7:16" s="1634" customFormat="1">
      <c r="G42519" s="3336"/>
      <c r="P42519" s="3337"/>
    </row>
    <row r="42520" spans="7:16" s="1634" customFormat="1">
      <c r="G42520" s="3336"/>
      <c r="P42520" s="3337"/>
    </row>
    <row r="42521" spans="7:16" s="1634" customFormat="1">
      <c r="G42521" s="3336"/>
      <c r="P42521" s="3337"/>
    </row>
    <row r="42522" spans="7:16" s="1634" customFormat="1">
      <c r="G42522" s="3336"/>
      <c r="P42522" s="3337"/>
    </row>
    <row r="42523" spans="7:16" s="1634" customFormat="1">
      <c r="G42523" s="3336"/>
      <c r="P42523" s="3337"/>
    </row>
    <row r="42524" spans="7:16" s="1634" customFormat="1">
      <c r="G42524" s="3336"/>
      <c r="P42524" s="3337"/>
    </row>
    <row r="42525" spans="7:16" s="1634" customFormat="1">
      <c r="G42525" s="3336"/>
      <c r="P42525" s="3337"/>
    </row>
    <row r="42526" spans="7:16" s="1634" customFormat="1">
      <c r="G42526" s="3336"/>
      <c r="P42526" s="3337"/>
    </row>
    <row r="42527" spans="7:16" s="1634" customFormat="1">
      <c r="G42527" s="3336"/>
      <c r="P42527" s="3337"/>
    </row>
    <row r="42528" spans="7:16" s="1634" customFormat="1">
      <c r="G42528" s="3336"/>
      <c r="P42528" s="3337"/>
    </row>
    <row r="42529" spans="7:16" s="1634" customFormat="1">
      <c r="G42529" s="3336"/>
      <c r="P42529" s="3337"/>
    </row>
    <row r="42530" spans="7:16" s="1634" customFormat="1">
      <c r="G42530" s="3336"/>
      <c r="P42530" s="3337"/>
    </row>
    <row r="42531" spans="7:16" s="1634" customFormat="1">
      <c r="G42531" s="3336"/>
      <c r="P42531" s="3337"/>
    </row>
    <row r="42532" spans="7:16" s="1634" customFormat="1">
      <c r="G42532" s="3336"/>
      <c r="P42532" s="3337"/>
    </row>
    <row r="42533" spans="7:16" s="1634" customFormat="1">
      <c r="G42533" s="3336"/>
      <c r="P42533" s="3337"/>
    </row>
    <row r="42534" spans="7:16" s="1634" customFormat="1">
      <c r="G42534" s="3336"/>
      <c r="P42534" s="3337"/>
    </row>
    <row r="42535" spans="7:16" s="1634" customFormat="1">
      <c r="G42535" s="3336"/>
      <c r="P42535" s="3337"/>
    </row>
    <row r="42536" spans="7:16" s="1634" customFormat="1">
      <c r="G42536" s="3336"/>
      <c r="P42536" s="3337"/>
    </row>
    <row r="42537" spans="7:16" s="1634" customFormat="1">
      <c r="G42537" s="3336"/>
      <c r="P42537" s="3337"/>
    </row>
    <row r="42538" spans="7:16" s="1634" customFormat="1">
      <c r="G42538" s="3336"/>
      <c r="P42538" s="3337"/>
    </row>
    <row r="42539" spans="7:16" s="1634" customFormat="1">
      <c r="G42539" s="3336"/>
      <c r="P42539" s="3337"/>
    </row>
    <row r="42540" spans="7:16" s="1634" customFormat="1">
      <c r="G42540" s="3336"/>
      <c r="P42540" s="3337"/>
    </row>
    <row r="42541" spans="7:16" s="1634" customFormat="1">
      <c r="G42541" s="3336"/>
      <c r="P42541" s="3337"/>
    </row>
    <row r="42542" spans="7:16" s="1634" customFormat="1">
      <c r="G42542" s="3336"/>
      <c r="P42542" s="3337"/>
    </row>
    <row r="42543" spans="7:16" s="1634" customFormat="1">
      <c r="G42543" s="3336"/>
      <c r="P42543" s="3337"/>
    </row>
    <row r="42544" spans="7:16" s="1634" customFormat="1">
      <c r="G42544" s="3336"/>
      <c r="P42544" s="3337"/>
    </row>
    <row r="42545" spans="7:16" s="1634" customFormat="1">
      <c r="G42545" s="3336"/>
      <c r="P42545" s="3337"/>
    </row>
    <row r="42546" spans="7:16" s="1634" customFormat="1">
      <c r="G42546" s="3336"/>
      <c r="P42546" s="3337"/>
    </row>
    <row r="42547" spans="7:16" s="1634" customFormat="1">
      <c r="G42547" s="3336"/>
      <c r="P42547" s="3337"/>
    </row>
    <row r="42548" spans="7:16" s="1634" customFormat="1">
      <c r="G42548" s="3336"/>
      <c r="P42548" s="3337"/>
    </row>
    <row r="42549" spans="7:16" s="1634" customFormat="1">
      <c r="G42549" s="3336"/>
      <c r="P42549" s="3337"/>
    </row>
    <row r="42550" spans="7:16" s="1634" customFormat="1">
      <c r="G42550" s="3336"/>
      <c r="P42550" s="3337"/>
    </row>
    <row r="42551" spans="7:16" s="1634" customFormat="1">
      <c r="G42551" s="3336"/>
      <c r="P42551" s="3337"/>
    </row>
    <row r="42552" spans="7:16" s="1634" customFormat="1">
      <c r="G42552" s="3336"/>
      <c r="P42552" s="3337"/>
    </row>
    <row r="42553" spans="7:16" s="1634" customFormat="1">
      <c r="G42553" s="3336"/>
      <c r="P42553" s="3337"/>
    </row>
    <row r="42554" spans="7:16" s="1634" customFormat="1">
      <c r="G42554" s="3336"/>
      <c r="P42554" s="3337"/>
    </row>
    <row r="42555" spans="7:16" s="1634" customFormat="1">
      <c r="G42555" s="3336"/>
      <c r="P42555" s="3337"/>
    </row>
    <row r="42556" spans="7:16" s="1634" customFormat="1">
      <c r="G42556" s="3336"/>
      <c r="P42556" s="3337"/>
    </row>
    <row r="42557" spans="7:16" s="1634" customFormat="1">
      <c r="G42557" s="3336"/>
      <c r="P42557" s="3337"/>
    </row>
    <row r="42558" spans="7:16" s="1634" customFormat="1">
      <c r="G42558" s="3336"/>
      <c r="P42558" s="3337"/>
    </row>
    <row r="42559" spans="7:16" s="1634" customFormat="1">
      <c r="G42559" s="3336"/>
      <c r="P42559" s="3337"/>
    </row>
    <row r="42560" spans="7:16" s="1634" customFormat="1">
      <c r="G42560" s="3336"/>
      <c r="P42560" s="3337"/>
    </row>
    <row r="42561" spans="7:16" s="1634" customFormat="1">
      <c r="G42561" s="3336"/>
      <c r="P42561" s="3337"/>
    </row>
    <row r="42562" spans="7:16" s="1634" customFormat="1">
      <c r="G42562" s="3336"/>
      <c r="P42562" s="3337"/>
    </row>
    <row r="42563" spans="7:16" s="1634" customFormat="1">
      <c r="G42563" s="3336"/>
      <c r="P42563" s="3337"/>
    </row>
    <row r="42564" spans="7:16" s="1634" customFormat="1">
      <c r="G42564" s="3336"/>
      <c r="P42564" s="3337"/>
    </row>
    <row r="42565" spans="7:16" s="1634" customFormat="1">
      <c r="G42565" s="3336"/>
      <c r="P42565" s="3337"/>
    </row>
    <row r="42566" spans="7:16" s="1634" customFormat="1">
      <c r="G42566" s="3336"/>
      <c r="P42566" s="3337"/>
    </row>
    <row r="42567" spans="7:16" s="1634" customFormat="1">
      <c r="G42567" s="3336"/>
      <c r="P42567" s="3337"/>
    </row>
    <row r="42568" spans="7:16" s="1634" customFormat="1">
      <c r="G42568" s="3336"/>
      <c r="P42568" s="3337"/>
    </row>
    <row r="42569" spans="7:16" s="1634" customFormat="1">
      <c r="G42569" s="3336"/>
      <c r="P42569" s="3337"/>
    </row>
    <row r="42570" spans="7:16" s="1634" customFormat="1">
      <c r="G42570" s="3336"/>
      <c r="P42570" s="3337"/>
    </row>
    <row r="42571" spans="7:16" s="1634" customFormat="1">
      <c r="G42571" s="3336"/>
      <c r="P42571" s="3337"/>
    </row>
    <row r="42572" spans="7:16" s="1634" customFormat="1">
      <c r="G42572" s="3336"/>
      <c r="P42572" s="3337"/>
    </row>
    <row r="42573" spans="7:16" s="1634" customFormat="1">
      <c r="G42573" s="3336"/>
      <c r="P42573" s="3337"/>
    </row>
    <row r="42574" spans="7:16" s="1634" customFormat="1">
      <c r="G42574" s="3336"/>
      <c r="P42574" s="3337"/>
    </row>
    <row r="42575" spans="7:16" s="1634" customFormat="1">
      <c r="G42575" s="3336"/>
      <c r="P42575" s="3337"/>
    </row>
    <row r="42576" spans="7:16" s="1634" customFormat="1">
      <c r="G42576" s="3336"/>
      <c r="P42576" s="3337"/>
    </row>
    <row r="42577" spans="7:16" s="1634" customFormat="1">
      <c r="G42577" s="3336"/>
      <c r="P42577" s="3337"/>
    </row>
    <row r="42578" spans="7:16" s="1634" customFormat="1">
      <c r="G42578" s="3336"/>
      <c r="P42578" s="3337"/>
    </row>
    <row r="42579" spans="7:16" s="1634" customFormat="1">
      <c r="G42579" s="3336"/>
      <c r="P42579" s="3337"/>
    </row>
    <row r="42580" spans="7:16" s="1634" customFormat="1">
      <c r="G42580" s="3336"/>
      <c r="P42580" s="3337"/>
    </row>
    <row r="42581" spans="7:16" s="1634" customFormat="1">
      <c r="G42581" s="3336"/>
      <c r="P42581" s="3337"/>
    </row>
    <row r="42582" spans="7:16" s="1634" customFormat="1">
      <c r="G42582" s="3336"/>
      <c r="P42582" s="3337"/>
    </row>
    <row r="42583" spans="7:16" s="1634" customFormat="1">
      <c r="G42583" s="3336"/>
      <c r="P42583" s="3337"/>
    </row>
    <row r="42584" spans="7:16" s="1634" customFormat="1">
      <c r="G42584" s="3336"/>
      <c r="P42584" s="3337"/>
    </row>
    <row r="42585" spans="7:16" s="1634" customFormat="1">
      <c r="G42585" s="3336"/>
      <c r="P42585" s="3337"/>
    </row>
    <row r="42586" spans="7:16" s="1634" customFormat="1">
      <c r="G42586" s="3336"/>
      <c r="P42586" s="3337"/>
    </row>
    <row r="42587" spans="7:16" s="1634" customFormat="1">
      <c r="G42587" s="3336"/>
      <c r="P42587" s="3337"/>
    </row>
    <row r="42588" spans="7:16" s="1634" customFormat="1">
      <c r="G42588" s="3336"/>
      <c r="P42588" s="3337"/>
    </row>
    <row r="42589" spans="7:16" s="1634" customFormat="1">
      <c r="G42589" s="3336"/>
      <c r="P42589" s="3337"/>
    </row>
    <row r="42590" spans="7:16" s="1634" customFormat="1">
      <c r="G42590" s="3336"/>
      <c r="P42590" s="3337"/>
    </row>
    <row r="42591" spans="7:16" s="1634" customFormat="1">
      <c r="G42591" s="3336"/>
      <c r="P42591" s="3337"/>
    </row>
    <row r="42592" spans="7:16" s="1634" customFormat="1">
      <c r="G42592" s="3336"/>
      <c r="P42592" s="3337"/>
    </row>
    <row r="42593" spans="7:16" s="1634" customFormat="1">
      <c r="G42593" s="3336"/>
      <c r="P42593" s="3337"/>
    </row>
    <row r="42594" spans="7:16" s="1634" customFormat="1">
      <c r="G42594" s="3336"/>
      <c r="P42594" s="3337"/>
    </row>
    <row r="42595" spans="7:16" s="1634" customFormat="1">
      <c r="G42595" s="3336"/>
      <c r="P42595" s="3337"/>
    </row>
    <row r="42596" spans="7:16" s="1634" customFormat="1">
      <c r="G42596" s="3336"/>
      <c r="P42596" s="3337"/>
    </row>
    <row r="42597" spans="7:16" s="1634" customFormat="1">
      <c r="G42597" s="3336"/>
      <c r="P42597" s="3337"/>
    </row>
    <row r="42598" spans="7:16" s="1634" customFormat="1">
      <c r="G42598" s="3336"/>
      <c r="P42598" s="3337"/>
    </row>
    <row r="42599" spans="7:16" s="1634" customFormat="1">
      <c r="G42599" s="3336"/>
      <c r="P42599" s="3337"/>
    </row>
    <row r="42600" spans="7:16" s="1634" customFormat="1">
      <c r="G42600" s="3336"/>
      <c r="P42600" s="3337"/>
    </row>
    <row r="42601" spans="7:16" s="1634" customFormat="1">
      <c r="G42601" s="3336"/>
      <c r="P42601" s="3337"/>
    </row>
    <row r="42602" spans="7:16" s="1634" customFormat="1">
      <c r="G42602" s="3336"/>
      <c r="P42602" s="3337"/>
    </row>
    <row r="42603" spans="7:16" s="1634" customFormat="1">
      <c r="G42603" s="3336"/>
      <c r="P42603" s="3337"/>
    </row>
    <row r="42604" spans="7:16" s="1634" customFormat="1">
      <c r="G42604" s="3336"/>
      <c r="P42604" s="3337"/>
    </row>
    <row r="42605" spans="7:16" s="1634" customFormat="1">
      <c r="G42605" s="3336"/>
      <c r="P42605" s="3337"/>
    </row>
    <row r="42606" spans="7:16" s="1634" customFormat="1">
      <c r="G42606" s="3336"/>
      <c r="P42606" s="3337"/>
    </row>
    <row r="42607" spans="7:16" s="1634" customFormat="1">
      <c r="G42607" s="3336"/>
      <c r="P42607" s="3337"/>
    </row>
    <row r="42608" spans="7:16" s="1634" customFormat="1">
      <c r="G42608" s="3336"/>
      <c r="P42608" s="3337"/>
    </row>
    <row r="42609" spans="7:16" s="1634" customFormat="1">
      <c r="G42609" s="3336"/>
      <c r="P42609" s="3337"/>
    </row>
    <row r="42610" spans="7:16" s="1634" customFormat="1">
      <c r="G42610" s="3336"/>
      <c r="P42610" s="3337"/>
    </row>
    <row r="42611" spans="7:16" s="1634" customFormat="1">
      <c r="G42611" s="3336"/>
      <c r="P42611" s="3337"/>
    </row>
    <row r="42612" spans="7:16" s="1634" customFormat="1">
      <c r="G42612" s="3336"/>
      <c r="P42612" s="3337"/>
    </row>
    <row r="42613" spans="7:16" s="1634" customFormat="1">
      <c r="G42613" s="3336"/>
      <c r="P42613" s="3337"/>
    </row>
    <row r="42614" spans="7:16" s="1634" customFormat="1">
      <c r="G42614" s="3336"/>
      <c r="P42614" s="3337"/>
    </row>
    <row r="42615" spans="7:16" s="1634" customFormat="1">
      <c r="G42615" s="3336"/>
      <c r="P42615" s="3337"/>
    </row>
    <row r="42616" spans="7:16" s="1634" customFormat="1">
      <c r="G42616" s="3336"/>
      <c r="P42616" s="3337"/>
    </row>
    <row r="42617" spans="7:16" s="1634" customFormat="1">
      <c r="G42617" s="3336"/>
      <c r="P42617" s="3337"/>
    </row>
    <row r="42618" spans="7:16" s="1634" customFormat="1">
      <c r="G42618" s="3336"/>
      <c r="P42618" s="3337"/>
    </row>
    <row r="42619" spans="7:16" s="1634" customFormat="1">
      <c r="G42619" s="3336"/>
      <c r="P42619" s="3337"/>
    </row>
    <row r="42620" spans="7:16" s="1634" customFormat="1">
      <c r="G42620" s="3336"/>
      <c r="P42620" s="3337"/>
    </row>
    <row r="42621" spans="7:16" s="1634" customFormat="1">
      <c r="G42621" s="3336"/>
      <c r="P42621" s="3337"/>
    </row>
    <row r="42622" spans="7:16" s="1634" customFormat="1">
      <c r="G42622" s="3336"/>
      <c r="P42622" s="3337"/>
    </row>
    <row r="42623" spans="7:16" s="1634" customFormat="1">
      <c r="G42623" s="3336"/>
      <c r="P42623" s="3337"/>
    </row>
    <row r="42624" spans="7:16" s="1634" customFormat="1">
      <c r="G42624" s="3336"/>
      <c r="P42624" s="3337"/>
    </row>
    <row r="42625" spans="7:16" s="1634" customFormat="1">
      <c r="G42625" s="3336"/>
      <c r="P42625" s="3337"/>
    </row>
    <row r="42626" spans="7:16" s="1634" customFormat="1">
      <c r="G42626" s="3336"/>
      <c r="P42626" s="3337"/>
    </row>
    <row r="42627" spans="7:16" s="1634" customFormat="1">
      <c r="G42627" s="3336"/>
      <c r="P42627" s="3337"/>
    </row>
    <row r="42628" spans="7:16" s="1634" customFormat="1">
      <c r="G42628" s="3336"/>
      <c r="P42628" s="3337"/>
    </row>
    <row r="42629" spans="7:16" s="1634" customFormat="1">
      <c r="G42629" s="3336"/>
      <c r="P42629" s="3337"/>
    </row>
    <row r="42630" spans="7:16" s="1634" customFormat="1">
      <c r="G42630" s="3336"/>
      <c r="P42630" s="3337"/>
    </row>
    <row r="42631" spans="7:16" s="1634" customFormat="1">
      <c r="G42631" s="3336"/>
      <c r="P42631" s="3337"/>
    </row>
    <row r="42632" spans="7:16" s="1634" customFormat="1">
      <c r="G42632" s="3336"/>
      <c r="P42632" s="3337"/>
    </row>
    <row r="42633" spans="7:16" s="1634" customFormat="1">
      <c r="G42633" s="3336"/>
      <c r="P42633" s="3337"/>
    </row>
    <row r="42634" spans="7:16" s="1634" customFormat="1">
      <c r="G42634" s="3336"/>
      <c r="P42634" s="3337"/>
    </row>
    <row r="42635" spans="7:16" s="1634" customFormat="1">
      <c r="G42635" s="3336"/>
      <c r="P42635" s="3337"/>
    </row>
    <row r="42636" spans="7:16" s="1634" customFormat="1">
      <c r="G42636" s="3336"/>
      <c r="P42636" s="3337"/>
    </row>
    <row r="42637" spans="7:16" s="1634" customFormat="1">
      <c r="G42637" s="3336"/>
      <c r="P42637" s="3337"/>
    </row>
    <row r="42638" spans="7:16" s="1634" customFormat="1">
      <c r="G42638" s="3336"/>
      <c r="P42638" s="3337"/>
    </row>
    <row r="42639" spans="7:16" s="1634" customFormat="1">
      <c r="G42639" s="3336"/>
      <c r="P42639" s="3337"/>
    </row>
    <row r="42640" spans="7:16" s="1634" customFormat="1">
      <c r="G42640" s="3336"/>
      <c r="P42640" s="3337"/>
    </row>
    <row r="42641" spans="7:16" s="1634" customFormat="1">
      <c r="G42641" s="3336"/>
      <c r="P42641" s="3337"/>
    </row>
    <row r="42642" spans="7:16" s="1634" customFormat="1">
      <c r="G42642" s="3336"/>
      <c r="P42642" s="3337"/>
    </row>
    <row r="42643" spans="7:16" s="1634" customFormat="1">
      <c r="G42643" s="3336"/>
      <c r="P42643" s="3337"/>
    </row>
    <row r="42644" spans="7:16" s="1634" customFormat="1">
      <c r="G42644" s="3336"/>
      <c r="P42644" s="3337"/>
    </row>
    <row r="42645" spans="7:16" s="1634" customFormat="1">
      <c r="G42645" s="3336"/>
      <c r="P42645" s="3337"/>
    </row>
    <row r="42646" spans="7:16" s="1634" customFormat="1">
      <c r="G42646" s="3336"/>
      <c r="P42646" s="3337"/>
    </row>
    <row r="42647" spans="7:16" s="1634" customFormat="1">
      <c r="G42647" s="3336"/>
      <c r="P42647" s="3337"/>
    </row>
    <row r="42648" spans="7:16" s="1634" customFormat="1">
      <c r="G42648" s="3336"/>
      <c r="P42648" s="3337"/>
    </row>
    <row r="42649" spans="7:16" s="1634" customFormat="1">
      <c r="G42649" s="3336"/>
      <c r="P42649" s="3337"/>
    </row>
    <row r="42650" spans="7:16" s="1634" customFormat="1">
      <c r="G42650" s="3336"/>
      <c r="P42650" s="3337"/>
    </row>
    <row r="42651" spans="7:16" s="1634" customFormat="1">
      <c r="G42651" s="3336"/>
      <c r="P42651" s="3337"/>
    </row>
    <row r="42652" spans="7:16" s="1634" customFormat="1">
      <c r="G42652" s="3336"/>
      <c r="P42652" s="3337"/>
    </row>
    <row r="42653" spans="7:16" s="1634" customFormat="1">
      <c r="G42653" s="3336"/>
      <c r="P42653" s="3337"/>
    </row>
    <row r="42654" spans="7:16" s="1634" customFormat="1">
      <c r="G42654" s="3336"/>
      <c r="P42654" s="3337"/>
    </row>
    <row r="42655" spans="7:16" s="1634" customFormat="1">
      <c r="G42655" s="3336"/>
      <c r="P42655" s="3337"/>
    </row>
    <row r="42656" spans="7:16" s="1634" customFormat="1">
      <c r="G42656" s="3336"/>
      <c r="P42656" s="3337"/>
    </row>
    <row r="42657" spans="7:16" s="1634" customFormat="1">
      <c r="G42657" s="3336"/>
      <c r="P42657" s="3337"/>
    </row>
    <row r="42658" spans="7:16" s="1634" customFormat="1">
      <c r="G42658" s="3336"/>
      <c r="P42658" s="3337"/>
    </row>
    <row r="42659" spans="7:16" s="1634" customFormat="1">
      <c r="G42659" s="3336"/>
      <c r="P42659" s="3337"/>
    </row>
    <row r="42660" spans="7:16" s="1634" customFormat="1">
      <c r="G42660" s="3336"/>
      <c r="P42660" s="3337"/>
    </row>
    <row r="42661" spans="7:16" s="1634" customFormat="1">
      <c r="G42661" s="3336"/>
      <c r="P42661" s="3337"/>
    </row>
    <row r="42662" spans="7:16" s="1634" customFormat="1">
      <c r="G42662" s="3336"/>
      <c r="P42662" s="3337"/>
    </row>
    <row r="42663" spans="7:16" s="1634" customFormat="1">
      <c r="G42663" s="3336"/>
      <c r="P42663" s="3337"/>
    </row>
    <row r="42664" spans="7:16" s="1634" customFormat="1">
      <c r="G42664" s="3336"/>
      <c r="P42664" s="3337"/>
    </row>
    <row r="42665" spans="7:16" s="1634" customFormat="1">
      <c r="G42665" s="3336"/>
      <c r="P42665" s="3337"/>
    </row>
    <row r="42666" spans="7:16" s="1634" customFormat="1">
      <c r="G42666" s="3336"/>
      <c r="P42666" s="3337"/>
    </row>
    <row r="42667" spans="7:16" s="1634" customFormat="1">
      <c r="G42667" s="3336"/>
      <c r="P42667" s="3337"/>
    </row>
    <row r="42668" spans="7:16" s="1634" customFormat="1">
      <c r="G42668" s="3336"/>
      <c r="P42668" s="3337"/>
    </row>
    <row r="42669" spans="7:16" s="1634" customFormat="1">
      <c r="G42669" s="3336"/>
      <c r="P42669" s="3337"/>
    </row>
    <row r="42670" spans="7:16" s="1634" customFormat="1">
      <c r="G42670" s="3336"/>
      <c r="P42670" s="3337"/>
    </row>
    <row r="42671" spans="7:16" s="1634" customFormat="1">
      <c r="G42671" s="3336"/>
      <c r="P42671" s="3337"/>
    </row>
    <row r="42672" spans="7:16" s="1634" customFormat="1">
      <c r="G42672" s="3336"/>
      <c r="P42672" s="3337"/>
    </row>
    <row r="42673" spans="7:16" s="1634" customFormat="1">
      <c r="G42673" s="3336"/>
      <c r="P42673" s="3337"/>
    </row>
    <row r="42674" spans="7:16" s="1634" customFormat="1">
      <c r="G42674" s="3336"/>
      <c r="P42674" s="3337"/>
    </row>
    <row r="42675" spans="7:16" s="1634" customFormat="1">
      <c r="G42675" s="3336"/>
      <c r="P42675" s="3337"/>
    </row>
    <row r="42676" spans="7:16" s="1634" customFormat="1">
      <c r="G42676" s="3336"/>
      <c r="P42676" s="3337"/>
    </row>
    <row r="42677" spans="7:16" s="1634" customFormat="1">
      <c r="G42677" s="3336"/>
      <c r="P42677" s="3337"/>
    </row>
    <row r="42678" spans="7:16" s="1634" customFormat="1">
      <c r="G42678" s="3336"/>
      <c r="P42678" s="3337"/>
    </row>
    <row r="42679" spans="7:16" s="1634" customFormat="1">
      <c r="G42679" s="3336"/>
      <c r="P42679" s="3337"/>
    </row>
    <row r="42680" spans="7:16" s="1634" customFormat="1">
      <c r="G42680" s="3336"/>
      <c r="P42680" s="3337"/>
    </row>
    <row r="42681" spans="7:16" s="1634" customFormat="1">
      <c r="G42681" s="3336"/>
      <c r="P42681" s="3337"/>
    </row>
    <row r="42682" spans="7:16" s="1634" customFormat="1">
      <c r="G42682" s="3336"/>
      <c r="P42682" s="3337"/>
    </row>
    <row r="42683" spans="7:16" s="1634" customFormat="1">
      <c r="G42683" s="3336"/>
      <c r="P42683" s="3337"/>
    </row>
    <row r="42684" spans="7:16" s="1634" customFormat="1">
      <c r="G42684" s="3336"/>
      <c r="P42684" s="3337"/>
    </row>
    <row r="42685" spans="7:16" s="1634" customFormat="1">
      <c r="G42685" s="3336"/>
      <c r="P42685" s="3337"/>
    </row>
    <row r="42686" spans="7:16" s="1634" customFormat="1">
      <c r="G42686" s="3336"/>
      <c r="P42686" s="3337"/>
    </row>
    <row r="42687" spans="7:16" s="1634" customFormat="1">
      <c r="G42687" s="3336"/>
      <c r="P42687" s="3337"/>
    </row>
    <row r="42688" spans="7:16" s="1634" customFormat="1">
      <c r="G42688" s="3336"/>
      <c r="P42688" s="3337"/>
    </row>
    <row r="42689" spans="7:16" s="1634" customFormat="1">
      <c r="G42689" s="3336"/>
      <c r="P42689" s="3337"/>
    </row>
    <row r="42690" spans="7:16" s="1634" customFormat="1">
      <c r="G42690" s="3336"/>
      <c r="P42690" s="3337"/>
    </row>
    <row r="42691" spans="7:16" s="1634" customFormat="1">
      <c r="G42691" s="3336"/>
      <c r="P42691" s="3337"/>
    </row>
    <row r="42692" spans="7:16" s="1634" customFormat="1">
      <c r="G42692" s="3336"/>
      <c r="P42692" s="3337"/>
    </row>
    <row r="42693" spans="7:16" s="1634" customFormat="1">
      <c r="G42693" s="3336"/>
      <c r="P42693" s="3337"/>
    </row>
    <row r="42694" spans="7:16" s="1634" customFormat="1">
      <c r="G42694" s="3336"/>
      <c r="P42694" s="3337"/>
    </row>
    <row r="42695" spans="7:16" s="1634" customFormat="1">
      <c r="G42695" s="3336"/>
      <c r="P42695" s="3337"/>
    </row>
    <row r="42696" spans="7:16" s="1634" customFormat="1">
      <c r="G42696" s="3336"/>
      <c r="P42696" s="3337"/>
    </row>
    <row r="42697" spans="7:16" s="1634" customFormat="1">
      <c r="G42697" s="3336"/>
      <c r="P42697" s="3337"/>
    </row>
    <row r="42698" spans="7:16" s="1634" customFormat="1">
      <c r="G42698" s="3336"/>
      <c r="P42698" s="3337"/>
    </row>
    <row r="42699" spans="7:16" s="1634" customFormat="1">
      <c r="G42699" s="3336"/>
      <c r="P42699" s="3337"/>
    </row>
    <row r="42700" spans="7:16" s="1634" customFormat="1">
      <c r="G42700" s="3336"/>
      <c r="P42700" s="3337"/>
    </row>
    <row r="42701" spans="7:16" s="1634" customFormat="1">
      <c r="G42701" s="3336"/>
      <c r="P42701" s="3337"/>
    </row>
    <row r="42702" spans="7:16" s="1634" customFormat="1">
      <c r="G42702" s="3336"/>
      <c r="P42702" s="3337"/>
    </row>
    <row r="42703" spans="7:16" s="1634" customFormat="1">
      <c r="G42703" s="3336"/>
      <c r="P42703" s="3337"/>
    </row>
    <row r="42704" spans="7:16" s="1634" customFormat="1">
      <c r="G42704" s="3336"/>
      <c r="P42704" s="3337"/>
    </row>
    <row r="42705" spans="7:16" s="1634" customFormat="1">
      <c r="G42705" s="3336"/>
      <c r="P42705" s="3337"/>
    </row>
    <row r="42706" spans="7:16" s="1634" customFormat="1">
      <c r="G42706" s="3336"/>
      <c r="P42706" s="3337"/>
    </row>
    <row r="42707" spans="7:16" s="1634" customFormat="1">
      <c r="G42707" s="3336"/>
      <c r="P42707" s="3337"/>
    </row>
    <row r="42708" spans="7:16" s="1634" customFormat="1">
      <c r="G42708" s="3336"/>
      <c r="P42708" s="3337"/>
    </row>
    <row r="42709" spans="7:16" s="1634" customFormat="1">
      <c r="G42709" s="3336"/>
      <c r="P42709" s="3337"/>
    </row>
    <row r="42710" spans="7:16" s="1634" customFormat="1">
      <c r="G42710" s="3336"/>
      <c r="P42710" s="3337"/>
    </row>
    <row r="42711" spans="7:16" s="1634" customFormat="1">
      <c r="G42711" s="3336"/>
      <c r="P42711" s="3337"/>
    </row>
    <row r="42712" spans="7:16" s="1634" customFormat="1">
      <c r="G42712" s="3336"/>
      <c r="P42712" s="3337"/>
    </row>
    <row r="42713" spans="7:16" s="1634" customFormat="1">
      <c r="G42713" s="3336"/>
      <c r="P42713" s="3337"/>
    </row>
    <row r="42714" spans="7:16" s="1634" customFormat="1">
      <c r="G42714" s="3336"/>
      <c r="P42714" s="3337"/>
    </row>
    <row r="42715" spans="7:16" s="1634" customFormat="1">
      <c r="G42715" s="3336"/>
      <c r="P42715" s="3337"/>
    </row>
    <row r="42716" spans="7:16" s="1634" customFormat="1">
      <c r="G42716" s="3336"/>
      <c r="P42716" s="3337"/>
    </row>
    <row r="42717" spans="7:16" s="1634" customFormat="1">
      <c r="G42717" s="3336"/>
      <c r="P42717" s="3337"/>
    </row>
    <row r="42718" spans="7:16" s="1634" customFormat="1">
      <c r="G42718" s="3336"/>
      <c r="P42718" s="3337"/>
    </row>
    <row r="42719" spans="7:16" s="1634" customFormat="1">
      <c r="G42719" s="3336"/>
      <c r="P42719" s="3337"/>
    </row>
    <row r="42720" spans="7:16" s="1634" customFormat="1">
      <c r="G42720" s="3336"/>
      <c r="P42720" s="3337"/>
    </row>
    <row r="42721" spans="7:16" s="1634" customFormat="1">
      <c r="G42721" s="3336"/>
      <c r="P42721" s="3337"/>
    </row>
    <row r="42722" spans="7:16" s="1634" customFormat="1">
      <c r="G42722" s="3336"/>
      <c r="P42722" s="3337"/>
    </row>
    <row r="42723" spans="7:16" s="1634" customFormat="1">
      <c r="G42723" s="3336"/>
      <c r="P42723" s="3337"/>
    </row>
    <row r="42724" spans="7:16" s="1634" customFormat="1">
      <c r="G42724" s="3336"/>
      <c r="P42724" s="3337"/>
    </row>
    <row r="42725" spans="7:16" s="1634" customFormat="1">
      <c r="G42725" s="3336"/>
      <c r="P42725" s="3337"/>
    </row>
    <row r="42726" spans="7:16" s="1634" customFormat="1">
      <c r="G42726" s="3336"/>
      <c r="P42726" s="3337"/>
    </row>
    <row r="42727" spans="7:16" s="1634" customFormat="1">
      <c r="G42727" s="3336"/>
      <c r="P42727" s="3337"/>
    </row>
    <row r="42728" spans="7:16" s="1634" customFormat="1">
      <c r="G42728" s="3336"/>
      <c r="P42728" s="3337"/>
    </row>
    <row r="42729" spans="7:16" s="1634" customFormat="1">
      <c r="G42729" s="3336"/>
      <c r="P42729" s="3337"/>
    </row>
    <row r="42730" spans="7:16" s="1634" customFormat="1">
      <c r="G42730" s="3336"/>
      <c r="P42730" s="3337"/>
    </row>
    <row r="42731" spans="7:16" s="1634" customFormat="1">
      <c r="G42731" s="3336"/>
      <c r="P42731" s="3337"/>
    </row>
    <row r="42732" spans="7:16" s="1634" customFormat="1">
      <c r="G42732" s="3336"/>
      <c r="P42732" s="3337"/>
    </row>
    <row r="42733" spans="7:16" s="1634" customFormat="1">
      <c r="G42733" s="3336"/>
      <c r="P42733" s="3337"/>
    </row>
    <row r="42734" spans="7:16" s="1634" customFormat="1">
      <c r="G42734" s="3336"/>
      <c r="P42734" s="3337"/>
    </row>
    <row r="42735" spans="7:16" s="1634" customFormat="1">
      <c r="G42735" s="3336"/>
      <c r="P42735" s="3337"/>
    </row>
    <row r="42736" spans="7:16" s="1634" customFormat="1">
      <c r="G42736" s="3336"/>
      <c r="P42736" s="3337"/>
    </row>
    <row r="42737" spans="7:16" s="1634" customFormat="1">
      <c r="G42737" s="3336"/>
      <c r="P42737" s="3337"/>
    </row>
    <row r="42738" spans="7:16" s="1634" customFormat="1">
      <c r="G42738" s="3336"/>
      <c r="P42738" s="3337"/>
    </row>
    <row r="42739" spans="7:16" s="1634" customFormat="1">
      <c r="G42739" s="3336"/>
      <c r="P42739" s="3337"/>
    </row>
    <row r="42740" spans="7:16" s="1634" customFormat="1">
      <c r="G42740" s="3336"/>
      <c r="P42740" s="3337"/>
    </row>
    <row r="42741" spans="7:16" s="1634" customFormat="1">
      <c r="G42741" s="3336"/>
      <c r="P42741" s="3337"/>
    </row>
    <row r="42742" spans="7:16" s="1634" customFormat="1">
      <c r="G42742" s="3336"/>
      <c r="P42742" s="3337"/>
    </row>
    <row r="42743" spans="7:16" s="1634" customFormat="1">
      <c r="G42743" s="3336"/>
      <c r="P42743" s="3337"/>
    </row>
    <row r="42744" spans="7:16" s="1634" customFormat="1">
      <c r="G42744" s="3336"/>
      <c r="P42744" s="3337"/>
    </row>
    <row r="42745" spans="7:16" s="1634" customFormat="1">
      <c r="G42745" s="3336"/>
      <c r="P42745" s="3337"/>
    </row>
    <row r="42746" spans="7:16" s="1634" customFormat="1">
      <c r="G42746" s="3336"/>
      <c r="P42746" s="3337"/>
    </row>
    <row r="42747" spans="7:16" s="1634" customFormat="1">
      <c r="G42747" s="3336"/>
      <c r="P42747" s="3337"/>
    </row>
    <row r="42748" spans="7:16" s="1634" customFormat="1">
      <c r="G42748" s="3336"/>
      <c r="P42748" s="3337"/>
    </row>
    <row r="42749" spans="7:16" s="1634" customFormat="1">
      <c r="G42749" s="3336"/>
      <c r="P42749" s="3337"/>
    </row>
    <row r="42750" spans="7:16" s="1634" customFormat="1">
      <c r="G42750" s="3336"/>
      <c r="P42750" s="3337"/>
    </row>
    <row r="42751" spans="7:16" s="1634" customFormat="1">
      <c r="G42751" s="3336"/>
      <c r="P42751" s="3337"/>
    </row>
    <row r="42752" spans="7:16" s="1634" customFormat="1">
      <c r="G42752" s="3336"/>
      <c r="P42752" s="3337"/>
    </row>
    <row r="42753" spans="7:16" s="1634" customFormat="1">
      <c r="G42753" s="3336"/>
      <c r="P42753" s="3337"/>
    </row>
    <row r="42754" spans="7:16" s="1634" customFormat="1">
      <c r="G42754" s="3336"/>
      <c r="P42754" s="3337"/>
    </row>
    <row r="42755" spans="7:16" s="1634" customFormat="1">
      <c r="G42755" s="3336"/>
      <c r="P42755" s="3337"/>
    </row>
    <row r="42756" spans="7:16" s="1634" customFormat="1">
      <c r="G42756" s="3336"/>
      <c r="P42756" s="3337"/>
    </row>
    <row r="42757" spans="7:16" s="1634" customFormat="1">
      <c r="G42757" s="3336"/>
      <c r="P42757" s="3337"/>
    </row>
    <row r="42758" spans="7:16" s="1634" customFormat="1">
      <c r="G42758" s="3336"/>
      <c r="P42758" s="3337"/>
    </row>
    <row r="42759" spans="7:16" s="1634" customFormat="1">
      <c r="G42759" s="3336"/>
      <c r="P42759" s="3337"/>
    </row>
    <row r="42760" spans="7:16" s="1634" customFormat="1">
      <c r="G42760" s="3336"/>
      <c r="P42760" s="3337"/>
    </row>
    <row r="42761" spans="7:16" s="1634" customFormat="1">
      <c r="G42761" s="3336"/>
      <c r="P42761" s="3337"/>
    </row>
    <row r="42762" spans="7:16" s="1634" customFormat="1">
      <c r="G42762" s="3336"/>
      <c r="P42762" s="3337"/>
    </row>
    <row r="42763" spans="7:16" s="1634" customFormat="1">
      <c r="G42763" s="3336"/>
      <c r="P42763" s="3337"/>
    </row>
    <row r="42764" spans="7:16" s="1634" customFormat="1">
      <c r="G42764" s="3336"/>
      <c r="P42764" s="3337"/>
    </row>
    <row r="42765" spans="7:16" s="1634" customFormat="1">
      <c r="G42765" s="3336"/>
      <c r="P42765" s="3337"/>
    </row>
    <row r="42766" spans="7:16" s="1634" customFormat="1">
      <c r="G42766" s="3336"/>
      <c r="P42766" s="3337"/>
    </row>
    <row r="42767" spans="7:16" s="1634" customFormat="1">
      <c r="G42767" s="3336"/>
      <c r="P42767" s="3337"/>
    </row>
    <row r="42768" spans="7:16" s="1634" customFormat="1">
      <c r="G42768" s="3336"/>
      <c r="P42768" s="3337"/>
    </row>
    <row r="42769" spans="7:16" s="1634" customFormat="1">
      <c r="G42769" s="3336"/>
      <c r="P42769" s="3337"/>
    </row>
    <row r="42770" spans="7:16" s="1634" customFormat="1">
      <c r="G42770" s="3336"/>
      <c r="P42770" s="3337"/>
    </row>
    <row r="42771" spans="7:16" s="1634" customFormat="1">
      <c r="G42771" s="3336"/>
      <c r="P42771" s="3337"/>
    </row>
    <row r="42772" spans="7:16" s="1634" customFormat="1">
      <c r="G42772" s="3336"/>
      <c r="P42772" s="3337"/>
    </row>
    <row r="42773" spans="7:16" s="1634" customFormat="1">
      <c r="G42773" s="3336"/>
      <c r="P42773" s="3337"/>
    </row>
    <row r="42774" spans="7:16" s="1634" customFormat="1">
      <c r="G42774" s="3336"/>
      <c r="P42774" s="3337"/>
    </row>
    <row r="42775" spans="7:16" s="1634" customFormat="1">
      <c r="G42775" s="3336"/>
      <c r="P42775" s="3337"/>
    </row>
    <row r="42776" spans="7:16" s="1634" customFormat="1">
      <c r="G42776" s="3336"/>
      <c r="P42776" s="3337"/>
    </row>
    <row r="42777" spans="7:16" s="1634" customFormat="1">
      <c r="G42777" s="3336"/>
      <c r="P42777" s="3337"/>
    </row>
    <row r="42778" spans="7:16" s="1634" customFormat="1">
      <c r="G42778" s="3336"/>
      <c r="P42778" s="3337"/>
    </row>
    <row r="42779" spans="7:16" s="1634" customFormat="1">
      <c r="G42779" s="3336"/>
      <c r="P42779" s="3337"/>
    </row>
    <row r="42780" spans="7:16" s="1634" customFormat="1">
      <c r="G42780" s="3336"/>
      <c r="P42780" s="3337"/>
    </row>
    <row r="42781" spans="7:16" s="1634" customFormat="1">
      <c r="G42781" s="3336"/>
      <c r="P42781" s="3337"/>
    </row>
    <row r="42782" spans="7:16" s="1634" customFormat="1">
      <c r="G42782" s="3336"/>
      <c r="P42782" s="3337"/>
    </row>
    <row r="42783" spans="7:16" s="1634" customFormat="1">
      <c r="G42783" s="3336"/>
      <c r="P42783" s="3337"/>
    </row>
    <row r="42784" spans="7:16" s="1634" customFormat="1">
      <c r="G42784" s="3336"/>
      <c r="P42784" s="3337"/>
    </row>
    <row r="42785" spans="7:16" s="1634" customFormat="1">
      <c r="G42785" s="3336"/>
      <c r="P42785" s="3337"/>
    </row>
    <row r="42786" spans="7:16" s="1634" customFormat="1">
      <c r="G42786" s="3336"/>
      <c r="P42786" s="3337"/>
    </row>
    <row r="42787" spans="7:16" s="1634" customFormat="1">
      <c r="G42787" s="3336"/>
      <c r="P42787" s="3337"/>
    </row>
    <row r="42788" spans="7:16" s="1634" customFormat="1">
      <c r="G42788" s="3336"/>
      <c r="P42788" s="3337"/>
    </row>
    <row r="42789" spans="7:16" s="1634" customFormat="1">
      <c r="G42789" s="3336"/>
      <c r="P42789" s="3337"/>
    </row>
    <row r="42790" spans="7:16" s="1634" customFormat="1">
      <c r="G42790" s="3336"/>
      <c r="P42790" s="3337"/>
    </row>
    <row r="42791" spans="7:16" s="1634" customFormat="1">
      <c r="G42791" s="3336"/>
      <c r="P42791" s="3337"/>
    </row>
    <row r="42792" spans="7:16" s="1634" customFormat="1">
      <c r="G42792" s="3336"/>
      <c r="P42792" s="3337"/>
    </row>
    <row r="42793" spans="7:16" s="1634" customFormat="1">
      <c r="G42793" s="3336"/>
      <c r="P42793" s="3337"/>
    </row>
    <row r="42794" spans="7:16" s="1634" customFormat="1">
      <c r="G42794" s="3336"/>
      <c r="P42794" s="3337"/>
    </row>
    <row r="42795" spans="7:16" s="1634" customFormat="1">
      <c r="G42795" s="3336"/>
      <c r="P42795" s="3337"/>
    </row>
    <row r="42796" spans="7:16" s="1634" customFormat="1">
      <c r="G42796" s="3336"/>
      <c r="P42796" s="3337"/>
    </row>
    <row r="42797" spans="7:16" s="1634" customFormat="1">
      <c r="G42797" s="3336"/>
      <c r="P42797" s="3337"/>
    </row>
    <row r="42798" spans="7:16" s="1634" customFormat="1">
      <c r="G42798" s="3336"/>
      <c r="P42798" s="3337"/>
    </row>
    <row r="42799" spans="7:16" s="1634" customFormat="1">
      <c r="G42799" s="3336"/>
      <c r="P42799" s="3337"/>
    </row>
    <row r="42800" spans="7:16" s="1634" customFormat="1">
      <c r="G42800" s="3336"/>
      <c r="P42800" s="3337"/>
    </row>
    <row r="42801" spans="7:16" s="1634" customFormat="1">
      <c r="G42801" s="3336"/>
      <c r="P42801" s="3337"/>
    </row>
    <row r="42802" spans="7:16" s="1634" customFormat="1">
      <c r="G42802" s="3336"/>
      <c r="P42802" s="3337"/>
    </row>
    <row r="42803" spans="7:16" s="1634" customFormat="1">
      <c r="G42803" s="3336"/>
      <c r="P42803" s="3337"/>
    </row>
    <row r="42804" spans="7:16" s="1634" customFormat="1">
      <c r="G42804" s="3336"/>
      <c r="P42804" s="3337"/>
    </row>
    <row r="42805" spans="7:16" s="1634" customFormat="1">
      <c r="G42805" s="3336"/>
      <c r="P42805" s="3337"/>
    </row>
    <row r="42806" spans="7:16" s="1634" customFormat="1">
      <c r="G42806" s="3336"/>
      <c r="P42806" s="3337"/>
    </row>
    <row r="42807" spans="7:16" s="1634" customFormat="1">
      <c r="G42807" s="3336"/>
      <c r="P42807" s="3337"/>
    </row>
    <row r="42808" spans="7:16" s="1634" customFormat="1">
      <c r="G42808" s="3336"/>
      <c r="P42808" s="3337"/>
    </row>
    <row r="42809" spans="7:16" s="1634" customFormat="1">
      <c r="G42809" s="3336"/>
      <c r="P42809" s="3337"/>
    </row>
    <row r="42810" spans="7:16" s="1634" customFormat="1">
      <c r="G42810" s="3336"/>
      <c r="P42810" s="3337"/>
    </row>
    <row r="42811" spans="7:16" s="1634" customFormat="1">
      <c r="G42811" s="3336"/>
      <c r="P42811" s="3337"/>
    </row>
    <row r="42812" spans="7:16" s="1634" customFormat="1">
      <c r="G42812" s="3336"/>
      <c r="P42812" s="3337"/>
    </row>
    <row r="42813" spans="7:16" s="1634" customFormat="1">
      <c r="G42813" s="3336"/>
      <c r="P42813" s="3337"/>
    </row>
    <row r="42814" spans="7:16" s="1634" customFormat="1">
      <c r="G42814" s="3336"/>
      <c r="P42814" s="3337"/>
    </row>
    <row r="42815" spans="7:16" s="1634" customFormat="1">
      <c r="G42815" s="3336"/>
      <c r="P42815" s="3337"/>
    </row>
    <row r="42816" spans="7:16" s="1634" customFormat="1">
      <c r="G42816" s="3336"/>
      <c r="P42816" s="3337"/>
    </row>
    <row r="42817" spans="7:16" s="1634" customFormat="1">
      <c r="G42817" s="3336"/>
      <c r="P42817" s="3337"/>
    </row>
    <row r="42818" spans="7:16" s="1634" customFormat="1">
      <c r="G42818" s="3336"/>
      <c r="P42818" s="3337"/>
    </row>
    <row r="42819" spans="7:16" s="1634" customFormat="1">
      <c r="G42819" s="3336"/>
      <c r="P42819" s="3337"/>
    </row>
    <row r="42820" spans="7:16" s="1634" customFormat="1">
      <c r="G42820" s="3336"/>
      <c r="P42820" s="3337"/>
    </row>
    <row r="42821" spans="7:16" s="1634" customFormat="1">
      <c r="G42821" s="3336"/>
      <c r="P42821" s="3337"/>
    </row>
    <row r="42822" spans="7:16" s="1634" customFormat="1">
      <c r="G42822" s="3336"/>
      <c r="P42822" s="3337"/>
    </row>
    <row r="42823" spans="7:16" s="1634" customFormat="1">
      <c r="G42823" s="3336"/>
      <c r="P42823" s="3337"/>
    </row>
    <row r="42824" spans="7:16" s="1634" customFormat="1">
      <c r="G42824" s="3336"/>
      <c r="P42824" s="3337"/>
    </row>
    <row r="42825" spans="7:16" s="1634" customFormat="1">
      <c r="G42825" s="3336"/>
      <c r="P42825" s="3337"/>
    </row>
    <row r="42826" spans="7:16" s="1634" customFormat="1">
      <c r="G42826" s="3336"/>
      <c r="P42826" s="3337"/>
    </row>
    <row r="42827" spans="7:16" s="1634" customFormat="1">
      <c r="G42827" s="3336"/>
      <c r="P42827" s="3337"/>
    </row>
    <row r="42828" spans="7:16" s="1634" customFormat="1">
      <c r="G42828" s="3336"/>
      <c r="P42828" s="3337"/>
    </row>
    <row r="42829" spans="7:16" s="1634" customFormat="1">
      <c r="G42829" s="3336"/>
      <c r="P42829" s="3337"/>
    </row>
    <row r="42830" spans="7:16" s="1634" customFormat="1">
      <c r="G42830" s="3336"/>
      <c r="P42830" s="3337"/>
    </row>
    <row r="42831" spans="7:16" s="1634" customFormat="1">
      <c r="G42831" s="3336"/>
      <c r="P42831" s="3337"/>
    </row>
    <row r="42832" spans="7:16" s="1634" customFormat="1">
      <c r="G42832" s="3336"/>
      <c r="P42832" s="3337"/>
    </row>
    <row r="42833" spans="7:16" s="1634" customFormat="1">
      <c r="G42833" s="3336"/>
      <c r="P42833" s="3337"/>
    </row>
    <row r="42834" spans="7:16" s="1634" customFormat="1">
      <c r="G42834" s="3336"/>
      <c r="P42834" s="3337"/>
    </row>
    <row r="42835" spans="7:16" s="1634" customFormat="1">
      <c r="G42835" s="3336"/>
      <c r="P42835" s="3337"/>
    </row>
    <row r="42836" spans="7:16" s="1634" customFormat="1">
      <c r="G42836" s="3336"/>
      <c r="P42836" s="3337"/>
    </row>
    <row r="42837" spans="7:16" s="1634" customFormat="1">
      <c r="G42837" s="3336"/>
      <c r="P42837" s="3337"/>
    </row>
    <row r="42838" spans="7:16" s="1634" customFormat="1">
      <c r="G42838" s="3336"/>
      <c r="P42838" s="3337"/>
    </row>
    <row r="42839" spans="7:16" s="1634" customFormat="1">
      <c r="G42839" s="3336"/>
      <c r="P42839" s="3337"/>
    </row>
    <row r="42840" spans="7:16" s="1634" customFormat="1">
      <c r="G42840" s="3336"/>
      <c r="P42840" s="3337"/>
    </row>
    <row r="42841" spans="7:16" s="1634" customFormat="1">
      <c r="G42841" s="3336"/>
      <c r="P42841" s="3337"/>
    </row>
    <row r="42842" spans="7:16" s="1634" customFormat="1">
      <c r="G42842" s="3336"/>
      <c r="P42842" s="3337"/>
    </row>
    <row r="42843" spans="7:16" s="1634" customFormat="1">
      <c r="G42843" s="3336"/>
      <c r="P42843" s="3337"/>
    </row>
    <row r="42844" spans="7:16" s="1634" customFormat="1">
      <c r="G42844" s="3336"/>
      <c r="P42844" s="3337"/>
    </row>
    <row r="42845" spans="7:16" s="1634" customFormat="1">
      <c r="G42845" s="3336"/>
      <c r="P42845" s="3337"/>
    </row>
    <row r="42846" spans="7:16" s="1634" customFormat="1">
      <c r="G42846" s="3336"/>
      <c r="P42846" s="3337"/>
    </row>
    <row r="42847" spans="7:16" s="1634" customFormat="1">
      <c r="G42847" s="3336"/>
      <c r="P42847" s="3337"/>
    </row>
    <row r="42848" spans="7:16" s="1634" customFormat="1">
      <c r="G42848" s="3336"/>
      <c r="P42848" s="3337"/>
    </row>
    <row r="42849" spans="7:16" s="1634" customFormat="1">
      <c r="G42849" s="3336"/>
      <c r="P42849" s="3337"/>
    </row>
    <row r="42850" spans="7:16" s="1634" customFormat="1">
      <c r="G42850" s="3336"/>
      <c r="P42850" s="3337"/>
    </row>
    <row r="42851" spans="7:16" s="1634" customFormat="1">
      <c r="G42851" s="3336"/>
      <c r="P42851" s="3337"/>
    </row>
    <row r="42852" spans="7:16" s="1634" customFormat="1">
      <c r="G42852" s="3336"/>
      <c r="P42852" s="3337"/>
    </row>
    <row r="42853" spans="7:16" s="1634" customFormat="1">
      <c r="G42853" s="3336"/>
      <c r="P42853" s="3337"/>
    </row>
    <row r="42854" spans="7:16" s="1634" customFormat="1">
      <c r="G42854" s="3336"/>
      <c r="P42854" s="3337"/>
    </row>
    <row r="42855" spans="7:16" s="1634" customFormat="1">
      <c r="G42855" s="3336"/>
      <c r="P42855" s="3337"/>
    </row>
    <row r="42856" spans="7:16" s="1634" customFormat="1">
      <c r="G42856" s="3336"/>
      <c r="P42856" s="3337"/>
    </row>
    <row r="42857" spans="7:16" s="1634" customFormat="1">
      <c r="G42857" s="3336"/>
      <c r="P42857" s="3337"/>
    </row>
    <row r="42858" spans="7:16" s="1634" customFormat="1">
      <c r="G42858" s="3336"/>
      <c r="P42858" s="3337"/>
    </row>
    <row r="42859" spans="7:16" s="1634" customFormat="1">
      <c r="G42859" s="3336"/>
      <c r="P42859" s="3337"/>
    </row>
    <row r="42860" spans="7:16" s="1634" customFormat="1">
      <c r="G42860" s="3336"/>
      <c r="P42860" s="3337"/>
    </row>
    <row r="42861" spans="7:16" s="1634" customFormat="1">
      <c r="G42861" s="3336"/>
      <c r="P42861" s="3337"/>
    </row>
    <row r="42862" spans="7:16" s="1634" customFormat="1">
      <c r="G42862" s="3336"/>
      <c r="P42862" s="3337"/>
    </row>
    <row r="42863" spans="7:16" s="1634" customFormat="1">
      <c r="G42863" s="3336"/>
      <c r="P42863" s="3337"/>
    </row>
    <row r="42864" spans="7:16" s="1634" customFormat="1">
      <c r="G42864" s="3336"/>
      <c r="P42864" s="3337"/>
    </row>
    <row r="42865" spans="7:16" s="1634" customFormat="1">
      <c r="G42865" s="3336"/>
      <c r="P42865" s="3337"/>
    </row>
    <row r="42866" spans="7:16" s="1634" customFormat="1">
      <c r="G42866" s="3336"/>
      <c r="P42866" s="3337"/>
    </row>
    <row r="42867" spans="7:16" s="1634" customFormat="1">
      <c r="G42867" s="3336"/>
      <c r="P42867" s="3337"/>
    </row>
    <row r="42868" spans="7:16" s="1634" customFormat="1">
      <c r="G42868" s="3336"/>
      <c r="P42868" s="3337"/>
    </row>
    <row r="42869" spans="7:16" s="1634" customFormat="1">
      <c r="G42869" s="3336"/>
      <c r="P42869" s="3337"/>
    </row>
    <row r="42870" spans="7:16" s="1634" customFormat="1">
      <c r="G42870" s="3336"/>
      <c r="P42870" s="3337"/>
    </row>
    <row r="42871" spans="7:16" s="1634" customFormat="1">
      <c r="G42871" s="3336"/>
      <c r="P42871" s="3337"/>
    </row>
    <row r="42872" spans="7:16" s="1634" customFormat="1">
      <c r="G42872" s="3336"/>
      <c r="P42872" s="3337"/>
    </row>
    <row r="42873" spans="7:16" s="1634" customFormat="1">
      <c r="G42873" s="3336"/>
      <c r="P42873" s="3337"/>
    </row>
    <row r="42874" spans="7:16" s="1634" customFormat="1">
      <c r="G42874" s="3336"/>
      <c r="P42874" s="3337"/>
    </row>
    <row r="42875" spans="7:16" s="1634" customFormat="1">
      <c r="G42875" s="3336"/>
      <c r="P42875" s="3337"/>
    </row>
    <row r="42876" spans="7:16" s="1634" customFormat="1">
      <c r="G42876" s="3336"/>
      <c r="P42876" s="3337"/>
    </row>
    <row r="42877" spans="7:16" s="1634" customFormat="1">
      <c r="G42877" s="3336"/>
      <c r="P42877" s="3337"/>
    </row>
    <row r="42878" spans="7:16" s="1634" customFormat="1">
      <c r="G42878" s="3336"/>
      <c r="P42878" s="3337"/>
    </row>
    <row r="42879" spans="7:16" s="1634" customFormat="1">
      <c r="G42879" s="3336"/>
      <c r="P42879" s="3337"/>
    </row>
    <row r="42880" spans="7:16" s="1634" customFormat="1">
      <c r="G42880" s="3336"/>
      <c r="P42880" s="3337"/>
    </row>
    <row r="42881" spans="7:16" s="1634" customFormat="1">
      <c r="G42881" s="3336"/>
      <c r="P42881" s="3337"/>
    </row>
    <row r="42882" spans="7:16" s="1634" customFormat="1">
      <c r="G42882" s="3336"/>
      <c r="P42882" s="3337"/>
    </row>
    <row r="42883" spans="7:16" s="1634" customFormat="1">
      <c r="G42883" s="3336"/>
      <c r="P42883" s="3337"/>
    </row>
    <row r="42884" spans="7:16" s="1634" customFormat="1">
      <c r="G42884" s="3336"/>
      <c r="P42884" s="3337"/>
    </row>
    <row r="42885" spans="7:16" s="1634" customFormat="1">
      <c r="G42885" s="3336"/>
      <c r="P42885" s="3337"/>
    </row>
    <row r="42886" spans="7:16" s="1634" customFormat="1">
      <c r="G42886" s="3336"/>
      <c r="P42886" s="3337"/>
    </row>
    <row r="42887" spans="7:16" s="1634" customFormat="1">
      <c r="G42887" s="3336"/>
      <c r="P42887" s="3337"/>
    </row>
    <row r="42888" spans="7:16" s="1634" customFormat="1">
      <c r="G42888" s="3336"/>
      <c r="P42888" s="3337"/>
    </row>
    <row r="42889" spans="7:16" s="1634" customFormat="1">
      <c r="G42889" s="3336"/>
      <c r="P42889" s="3337"/>
    </row>
    <row r="42890" spans="7:16" s="1634" customFormat="1">
      <c r="G42890" s="3336"/>
      <c r="P42890" s="3337"/>
    </row>
    <row r="42891" spans="7:16" s="1634" customFormat="1">
      <c r="G42891" s="3336"/>
      <c r="P42891" s="3337"/>
    </row>
    <row r="42892" spans="7:16" s="1634" customFormat="1">
      <c r="G42892" s="3336"/>
      <c r="P42892" s="3337"/>
    </row>
    <row r="42893" spans="7:16" s="1634" customFormat="1">
      <c r="G42893" s="3336"/>
      <c r="P42893" s="3337"/>
    </row>
    <row r="42894" spans="7:16" s="1634" customFormat="1">
      <c r="G42894" s="3336"/>
      <c r="P42894" s="3337"/>
    </row>
    <row r="42895" spans="7:16" s="1634" customFormat="1">
      <c r="G42895" s="3336"/>
      <c r="P42895" s="3337"/>
    </row>
    <row r="42896" spans="7:16" s="1634" customFormat="1">
      <c r="G42896" s="3336"/>
      <c r="P42896" s="3337"/>
    </row>
    <row r="42897" spans="7:16" s="1634" customFormat="1">
      <c r="G42897" s="3336"/>
      <c r="P42897" s="3337"/>
    </row>
    <row r="42898" spans="7:16" s="1634" customFormat="1">
      <c r="G42898" s="3336"/>
      <c r="P42898" s="3337"/>
    </row>
    <row r="42899" spans="7:16" s="1634" customFormat="1">
      <c r="G42899" s="3336"/>
      <c r="P42899" s="3337"/>
    </row>
    <row r="42900" spans="7:16" s="1634" customFormat="1">
      <c r="G42900" s="3336"/>
      <c r="P42900" s="3337"/>
    </row>
    <row r="42901" spans="7:16" s="1634" customFormat="1">
      <c r="G42901" s="3336"/>
      <c r="P42901" s="3337"/>
    </row>
    <row r="42902" spans="7:16" s="1634" customFormat="1">
      <c r="G42902" s="3336"/>
      <c r="P42902" s="3337"/>
    </row>
    <row r="42903" spans="7:16" s="1634" customFormat="1">
      <c r="G42903" s="3336"/>
      <c r="P42903" s="3337"/>
    </row>
    <row r="42904" spans="7:16" s="1634" customFormat="1">
      <c r="G42904" s="3336"/>
      <c r="P42904" s="3337"/>
    </row>
    <row r="42905" spans="7:16" s="1634" customFormat="1">
      <c r="G42905" s="3336"/>
      <c r="P42905" s="3337"/>
    </row>
    <row r="42906" spans="7:16" s="1634" customFormat="1">
      <c r="G42906" s="3336"/>
      <c r="P42906" s="3337"/>
    </row>
    <row r="42907" spans="7:16" s="1634" customFormat="1">
      <c r="G42907" s="3336"/>
      <c r="P42907" s="3337"/>
    </row>
    <row r="42908" spans="7:16" s="1634" customFormat="1">
      <c r="G42908" s="3336"/>
      <c r="P42908" s="3337"/>
    </row>
    <row r="42909" spans="7:16" s="1634" customFormat="1">
      <c r="G42909" s="3336"/>
      <c r="P42909" s="3337"/>
    </row>
    <row r="42910" spans="7:16" s="1634" customFormat="1">
      <c r="G42910" s="3336"/>
      <c r="P42910" s="3337"/>
    </row>
    <row r="42911" spans="7:16" s="1634" customFormat="1">
      <c r="G42911" s="3336"/>
      <c r="P42911" s="3337"/>
    </row>
    <row r="42912" spans="7:16" s="1634" customFormat="1">
      <c r="G42912" s="3336"/>
      <c r="P42912" s="3337"/>
    </row>
    <row r="42913" spans="7:16" s="1634" customFormat="1">
      <c r="G42913" s="3336"/>
      <c r="P42913" s="3337"/>
    </row>
    <row r="42914" spans="7:16" s="1634" customFormat="1">
      <c r="G42914" s="3336"/>
      <c r="P42914" s="3337"/>
    </row>
    <row r="42915" spans="7:16" s="1634" customFormat="1">
      <c r="G42915" s="3336"/>
      <c r="P42915" s="3337"/>
    </row>
    <row r="42916" spans="7:16" s="1634" customFormat="1">
      <c r="G42916" s="3336"/>
      <c r="P42916" s="3337"/>
    </row>
    <row r="42917" spans="7:16" s="1634" customFormat="1">
      <c r="G42917" s="3336"/>
      <c r="P42917" s="3337"/>
    </row>
    <row r="42918" spans="7:16" s="1634" customFormat="1">
      <c r="G42918" s="3336"/>
      <c r="P42918" s="3337"/>
    </row>
    <row r="42919" spans="7:16" s="1634" customFormat="1">
      <c r="G42919" s="3336"/>
      <c r="P42919" s="3337"/>
    </row>
    <row r="42920" spans="7:16" s="1634" customFormat="1">
      <c r="G42920" s="3336"/>
      <c r="P42920" s="3337"/>
    </row>
    <row r="42921" spans="7:16" s="1634" customFormat="1">
      <c r="G42921" s="3336"/>
      <c r="P42921" s="3337"/>
    </row>
    <row r="42922" spans="7:16" s="1634" customFormat="1">
      <c r="G42922" s="3336"/>
      <c r="P42922" s="3337"/>
    </row>
    <row r="42923" spans="7:16" s="1634" customFormat="1">
      <c r="G42923" s="3336"/>
      <c r="P42923" s="3337"/>
    </row>
    <row r="42924" spans="7:16" s="1634" customFormat="1">
      <c r="G42924" s="3336"/>
      <c r="P42924" s="3337"/>
    </row>
    <row r="42925" spans="7:16" s="1634" customFormat="1">
      <c r="G42925" s="3336"/>
      <c r="P42925" s="3337"/>
    </row>
    <row r="42926" spans="7:16" s="1634" customFormat="1">
      <c r="G42926" s="3336"/>
      <c r="P42926" s="3337"/>
    </row>
    <row r="42927" spans="7:16" s="1634" customFormat="1">
      <c r="G42927" s="3336"/>
      <c r="P42927" s="3337"/>
    </row>
    <row r="42928" spans="7:16" s="1634" customFormat="1">
      <c r="G42928" s="3336"/>
      <c r="P42928" s="3337"/>
    </row>
    <row r="42929" spans="7:16" s="1634" customFormat="1">
      <c r="G42929" s="3336"/>
      <c r="P42929" s="3337"/>
    </row>
    <row r="42930" spans="7:16" s="1634" customFormat="1">
      <c r="G42930" s="3336"/>
      <c r="P42930" s="3337"/>
    </row>
    <row r="42931" spans="7:16" s="1634" customFormat="1">
      <c r="G42931" s="3336"/>
      <c r="P42931" s="3337"/>
    </row>
    <row r="42932" spans="7:16" s="1634" customFormat="1">
      <c r="G42932" s="3336"/>
      <c r="P42932" s="3337"/>
    </row>
    <row r="42933" spans="7:16" s="1634" customFormat="1">
      <c r="G42933" s="3336"/>
      <c r="P42933" s="3337"/>
    </row>
    <row r="42934" spans="7:16" s="1634" customFormat="1">
      <c r="G42934" s="3336"/>
      <c r="P42934" s="3337"/>
    </row>
    <row r="42935" spans="7:16" s="1634" customFormat="1">
      <c r="G42935" s="3336"/>
      <c r="P42935" s="3337"/>
    </row>
    <row r="42936" spans="7:16" s="1634" customFormat="1">
      <c r="G42936" s="3336"/>
      <c r="P42936" s="3337"/>
    </row>
    <row r="42937" spans="7:16" s="1634" customFormat="1">
      <c r="G42937" s="3336"/>
      <c r="P42937" s="3337"/>
    </row>
    <row r="42938" spans="7:16" s="1634" customFormat="1">
      <c r="G42938" s="3336"/>
      <c r="P42938" s="3337"/>
    </row>
    <row r="42939" spans="7:16" s="1634" customFormat="1">
      <c r="G42939" s="3336"/>
      <c r="P42939" s="3337"/>
    </row>
    <row r="42940" spans="7:16" s="1634" customFormat="1">
      <c r="G42940" s="3336"/>
      <c r="P42940" s="3337"/>
    </row>
    <row r="42941" spans="7:16" s="1634" customFormat="1">
      <c r="G42941" s="3336"/>
      <c r="P42941" s="3337"/>
    </row>
    <row r="42942" spans="7:16" s="1634" customFormat="1">
      <c r="G42942" s="3336"/>
      <c r="P42942" s="3337"/>
    </row>
    <row r="42943" spans="7:16" s="1634" customFormat="1">
      <c r="G42943" s="3336"/>
      <c r="P42943" s="3337"/>
    </row>
    <row r="42944" spans="7:16" s="1634" customFormat="1">
      <c r="G42944" s="3336"/>
      <c r="P42944" s="3337"/>
    </row>
    <row r="42945" spans="7:16" s="1634" customFormat="1">
      <c r="G42945" s="3336"/>
      <c r="P42945" s="3337"/>
    </row>
    <row r="42946" spans="7:16" s="1634" customFormat="1">
      <c r="G42946" s="3336"/>
      <c r="P42946" s="3337"/>
    </row>
    <row r="42947" spans="7:16" s="1634" customFormat="1">
      <c r="G42947" s="3336"/>
      <c r="P42947" s="3337"/>
    </row>
    <row r="42948" spans="7:16" s="1634" customFormat="1">
      <c r="G42948" s="3336"/>
      <c r="P42948" s="3337"/>
    </row>
    <row r="42949" spans="7:16" s="1634" customFormat="1">
      <c r="G42949" s="3336"/>
      <c r="P42949" s="3337"/>
    </row>
    <row r="42950" spans="7:16" s="1634" customFormat="1">
      <c r="G42950" s="3336"/>
      <c r="P42950" s="3337"/>
    </row>
    <row r="42951" spans="7:16" s="1634" customFormat="1">
      <c r="G42951" s="3336"/>
      <c r="P42951" s="3337"/>
    </row>
    <row r="42952" spans="7:16" s="1634" customFormat="1">
      <c r="G42952" s="3336"/>
      <c r="P42952" s="3337"/>
    </row>
    <row r="42953" spans="7:16" s="1634" customFormat="1">
      <c r="G42953" s="3336"/>
      <c r="P42953" s="3337"/>
    </row>
    <row r="42954" spans="7:16" s="1634" customFormat="1">
      <c r="G42954" s="3336"/>
      <c r="P42954" s="3337"/>
    </row>
    <row r="42955" spans="7:16" s="1634" customFormat="1">
      <c r="G42955" s="3336"/>
      <c r="P42955" s="3337"/>
    </row>
    <row r="42956" spans="7:16" s="1634" customFormat="1">
      <c r="G42956" s="3336"/>
      <c r="P42956" s="3337"/>
    </row>
    <row r="42957" spans="7:16" s="1634" customFormat="1">
      <c r="G42957" s="3336"/>
      <c r="P42957" s="3337"/>
    </row>
    <row r="42958" spans="7:16" s="1634" customFormat="1">
      <c r="G42958" s="3336"/>
      <c r="P42958" s="3337"/>
    </row>
    <row r="42959" spans="7:16" s="1634" customFormat="1">
      <c r="G42959" s="3336"/>
      <c r="P42959" s="3337"/>
    </row>
    <row r="42960" spans="7:16" s="1634" customFormat="1">
      <c r="G42960" s="3336"/>
      <c r="P42960" s="3337"/>
    </row>
    <row r="42961" spans="7:16" s="1634" customFormat="1">
      <c r="G42961" s="3336"/>
      <c r="P42961" s="3337"/>
    </row>
    <row r="42962" spans="7:16" s="1634" customFormat="1">
      <c r="G42962" s="3336"/>
      <c r="P42962" s="3337"/>
    </row>
    <row r="42963" spans="7:16" s="1634" customFormat="1">
      <c r="G42963" s="3336"/>
      <c r="P42963" s="3337"/>
    </row>
    <row r="42964" spans="7:16" s="1634" customFormat="1">
      <c r="G42964" s="3336"/>
      <c r="P42964" s="3337"/>
    </row>
    <row r="42965" spans="7:16" s="1634" customFormat="1">
      <c r="G42965" s="3336"/>
      <c r="P42965" s="3337"/>
    </row>
    <row r="42966" spans="7:16" s="1634" customFormat="1">
      <c r="G42966" s="3336"/>
      <c r="P42966" s="3337"/>
    </row>
    <row r="42967" spans="7:16" s="1634" customFormat="1">
      <c r="G42967" s="3336"/>
      <c r="P42967" s="3337"/>
    </row>
    <row r="42968" spans="7:16" s="1634" customFormat="1">
      <c r="G42968" s="3336"/>
      <c r="P42968" s="3337"/>
    </row>
    <row r="42969" spans="7:16" s="1634" customFormat="1">
      <c r="G42969" s="3336"/>
      <c r="P42969" s="3337"/>
    </row>
    <row r="42970" spans="7:16" s="1634" customFormat="1">
      <c r="G42970" s="3336"/>
      <c r="P42970" s="3337"/>
    </row>
    <row r="42971" spans="7:16" s="1634" customFormat="1">
      <c r="G42971" s="3336"/>
      <c r="P42971" s="3337"/>
    </row>
    <row r="42972" spans="7:16" s="1634" customFormat="1">
      <c r="G42972" s="3336"/>
      <c r="P42972" s="3337"/>
    </row>
    <row r="42973" spans="7:16" s="1634" customFormat="1">
      <c r="G42973" s="3336"/>
      <c r="P42973" s="3337"/>
    </row>
    <row r="42974" spans="7:16" s="1634" customFormat="1">
      <c r="G42974" s="3336"/>
      <c r="P42974" s="3337"/>
    </row>
    <row r="42975" spans="7:16" s="1634" customFormat="1">
      <c r="G42975" s="3336"/>
      <c r="P42975" s="3337"/>
    </row>
    <row r="42976" spans="7:16" s="1634" customFormat="1">
      <c r="G42976" s="3336"/>
      <c r="P42976" s="3337"/>
    </row>
    <row r="42977" spans="7:16" s="1634" customFormat="1">
      <c r="G42977" s="3336"/>
      <c r="P42977" s="3337"/>
    </row>
    <row r="42978" spans="7:16" s="1634" customFormat="1">
      <c r="G42978" s="3336"/>
      <c r="P42978" s="3337"/>
    </row>
    <row r="42979" spans="7:16" s="1634" customFormat="1">
      <c r="G42979" s="3336"/>
      <c r="P42979" s="3337"/>
    </row>
    <row r="42980" spans="7:16" s="1634" customFormat="1">
      <c r="G42980" s="3336"/>
      <c r="P42980" s="3337"/>
    </row>
    <row r="42981" spans="7:16" s="1634" customFormat="1">
      <c r="G42981" s="3336"/>
      <c r="P42981" s="3337"/>
    </row>
    <row r="42982" spans="7:16" s="1634" customFormat="1">
      <c r="G42982" s="3336"/>
      <c r="P42982" s="3337"/>
    </row>
    <row r="42983" spans="7:16" s="1634" customFormat="1">
      <c r="G42983" s="3336"/>
      <c r="P42983" s="3337"/>
    </row>
    <row r="42984" spans="7:16" s="1634" customFormat="1">
      <c r="G42984" s="3336"/>
      <c r="P42984" s="3337"/>
    </row>
    <row r="42985" spans="7:16" s="1634" customFormat="1">
      <c r="G42985" s="3336"/>
      <c r="P42985" s="3337"/>
    </row>
    <row r="42986" spans="7:16" s="1634" customFormat="1">
      <c r="G42986" s="3336"/>
      <c r="P42986" s="3337"/>
    </row>
    <row r="42987" spans="7:16" s="1634" customFormat="1">
      <c r="G42987" s="3336"/>
      <c r="P42987" s="3337"/>
    </row>
    <row r="42988" spans="7:16" s="1634" customFormat="1">
      <c r="G42988" s="3336"/>
      <c r="P42988" s="3337"/>
    </row>
    <row r="42989" spans="7:16" s="1634" customFormat="1">
      <c r="G42989" s="3336"/>
      <c r="P42989" s="3337"/>
    </row>
    <row r="42990" spans="7:16" s="1634" customFormat="1">
      <c r="G42990" s="3336"/>
      <c r="P42990" s="3337"/>
    </row>
    <row r="42991" spans="7:16" s="1634" customFormat="1">
      <c r="G42991" s="3336"/>
      <c r="P42991" s="3337"/>
    </row>
    <row r="42992" spans="7:16" s="1634" customFormat="1">
      <c r="G42992" s="3336"/>
      <c r="P42992" s="3337"/>
    </row>
    <row r="42993" spans="7:16" s="1634" customFormat="1">
      <c r="G42993" s="3336"/>
      <c r="P42993" s="3337"/>
    </row>
    <row r="42994" spans="7:16" s="1634" customFormat="1">
      <c r="G42994" s="3336"/>
      <c r="P42994" s="3337"/>
    </row>
    <row r="42995" spans="7:16" s="1634" customFormat="1">
      <c r="G42995" s="3336"/>
      <c r="P42995" s="3337"/>
    </row>
    <row r="42996" spans="7:16" s="1634" customFormat="1">
      <c r="G42996" s="3336"/>
      <c r="P42996" s="3337"/>
    </row>
    <row r="42997" spans="7:16" s="1634" customFormat="1">
      <c r="G42997" s="3336"/>
      <c r="P42997" s="3337"/>
    </row>
    <row r="42998" spans="7:16" s="1634" customFormat="1">
      <c r="G42998" s="3336"/>
      <c r="P42998" s="3337"/>
    </row>
    <row r="42999" spans="7:16" s="1634" customFormat="1">
      <c r="G42999" s="3336"/>
      <c r="P42999" s="3337"/>
    </row>
    <row r="43000" spans="7:16" s="1634" customFormat="1">
      <c r="G43000" s="3336"/>
      <c r="P43000" s="3337"/>
    </row>
    <row r="43001" spans="7:16" s="1634" customFormat="1">
      <c r="G43001" s="3336"/>
      <c r="P43001" s="3337"/>
    </row>
    <row r="43002" spans="7:16" s="1634" customFormat="1">
      <c r="G43002" s="3336"/>
      <c r="P43002" s="3337"/>
    </row>
    <row r="43003" spans="7:16" s="1634" customFormat="1">
      <c r="G43003" s="3336"/>
      <c r="P43003" s="3337"/>
    </row>
    <row r="43004" spans="7:16" s="1634" customFormat="1">
      <c r="G43004" s="3336"/>
      <c r="P43004" s="3337"/>
    </row>
    <row r="43005" spans="7:16" s="1634" customFormat="1">
      <c r="G43005" s="3336"/>
      <c r="P43005" s="3337"/>
    </row>
    <row r="43006" spans="7:16" s="1634" customFormat="1">
      <c r="G43006" s="3336"/>
      <c r="P43006" s="3337"/>
    </row>
    <row r="43007" spans="7:16" s="1634" customFormat="1">
      <c r="G43007" s="3336"/>
      <c r="P43007" s="3337"/>
    </row>
    <row r="43008" spans="7:16" s="1634" customFormat="1">
      <c r="G43008" s="3336"/>
      <c r="P43008" s="3337"/>
    </row>
    <row r="43009" spans="7:16" s="1634" customFormat="1">
      <c r="G43009" s="3336"/>
      <c r="P43009" s="3337"/>
    </row>
    <row r="43010" spans="7:16" s="1634" customFormat="1">
      <c r="G43010" s="3336"/>
      <c r="P43010" s="3337"/>
    </row>
    <row r="43011" spans="7:16" s="1634" customFormat="1">
      <c r="G43011" s="3336"/>
      <c r="P43011" s="3337"/>
    </row>
    <row r="43012" spans="7:16" s="1634" customFormat="1">
      <c r="G43012" s="3336"/>
      <c r="P43012" s="3337"/>
    </row>
    <row r="43013" spans="7:16" s="1634" customFormat="1">
      <c r="G43013" s="3336"/>
      <c r="P43013" s="3337"/>
    </row>
    <row r="43014" spans="7:16" s="1634" customFormat="1">
      <c r="G43014" s="3336"/>
      <c r="P43014" s="3337"/>
    </row>
    <row r="43015" spans="7:16" s="1634" customFormat="1">
      <c r="G43015" s="3336"/>
      <c r="P43015" s="3337"/>
    </row>
    <row r="43016" spans="7:16" s="1634" customFormat="1">
      <c r="G43016" s="3336"/>
      <c r="P43016" s="3337"/>
    </row>
    <row r="43017" spans="7:16" s="1634" customFormat="1">
      <c r="G43017" s="3336"/>
      <c r="P43017" s="3337"/>
    </row>
    <row r="43018" spans="7:16" s="1634" customFormat="1">
      <c r="G43018" s="3336"/>
      <c r="P43018" s="3337"/>
    </row>
    <row r="43019" spans="7:16" s="1634" customFormat="1">
      <c r="G43019" s="3336"/>
      <c r="P43019" s="3337"/>
    </row>
    <row r="43020" spans="7:16" s="1634" customFormat="1">
      <c r="G43020" s="3336"/>
      <c r="P43020" s="3337"/>
    </row>
    <row r="43021" spans="7:16" s="1634" customFormat="1">
      <c r="G43021" s="3336"/>
      <c r="P43021" s="3337"/>
    </row>
    <row r="43022" spans="7:16" s="1634" customFormat="1">
      <c r="G43022" s="3336"/>
      <c r="P43022" s="3337"/>
    </row>
    <row r="43023" spans="7:16" s="1634" customFormat="1">
      <c r="G43023" s="3336"/>
      <c r="P43023" s="3337"/>
    </row>
    <row r="43024" spans="7:16" s="1634" customFormat="1">
      <c r="G43024" s="3336"/>
      <c r="P43024" s="3337"/>
    </row>
    <row r="43025" spans="7:16" s="1634" customFormat="1">
      <c r="G43025" s="3336"/>
      <c r="P43025" s="3337"/>
    </row>
    <row r="43026" spans="7:16" s="1634" customFormat="1">
      <c r="G43026" s="3336"/>
      <c r="P43026" s="3337"/>
    </row>
    <row r="43027" spans="7:16" s="1634" customFormat="1">
      <c r="G43027" s="3336"/>
      <c r="P43027" s="3337"/>
    </row>
    <row r="43028" spans="7:16" s="1634" customFormat="1">
      <c r="G43028" s="3336"/>
      <c r="P43028" s="3337"/>
    </row>
    <row r="43029" spans="7:16" s="1634" customFormat="1">
      <c r="G43029" s="3336"/>
      <c r="P43029" s="3337"/>
    </row>
    <row r="43030" spans="7:16" s="1634" customFormat="1">
      <c r="G43030" s="3336"/>
      <c r="P43030" s="3337"/>
    </row>
    <row r="43031" spans="7:16" s="1634" customFormat="1">
      <c r="G43031" s="3336"/>
      <c r="P43031" s="3337"/>
    </row>
    <row r="43032" spans="7:16" s="1634" customFormat="1">
      <c r="G43032" s="3336"/>
      <c r="P43032" s="3337"/>
    </row>
    <row r="43033" spans="7:16" s="1634" customFormat="1">
      <c r="G43033" s="3336"/>
      <c r="P43033" s="3337"/>
    </row>
    <row r="43034" spans="7:16" s="1634" customFormat="1">
      <c r="G43034" s="3336"/>
      <c r="P43034" s="3337"/>
    </row>
    <row r="43035" spans="7:16" s="1634" customFormat="1">
      <c r="G43035" s="3336"/>
      <c r="P43035" s="3337"/>
    </row>
    <row r="43036" spans="7:16" s="1634" customFormat="1">
      <c r="G43036" s="3336"/>
      <c r="P43036" s="3337"/>
    </row>
    <row r="43037" spans="7:16" s="1634" customFormat="1">
      <c r="G43037" s="3336"/>
      <c r="P43037" s="3337"/>
    </row>
    <row r="43038" spans="7:16" s="1634" customFormat="1">
      <c r="G43038" s="3336"/>
      <c r="P43038" s="3337"/>
    </row>
    <row r="43039" spans="7:16" s="1634" customFormat="1">
      <c r="G43039" s="3336"/>
      <c r="P43039" s="3337"/>
    </row>
    <row r="43040" spans="7:16" s="1634" customFormat="1">
      <c r="G43040" s="3336"/>
      <c r="P43040" s="3337"/>
    </row>
    <row r="43041" spans="7:16" s="1634" customFormat="1">
      <c r="G43041" s="3336"/>
      <c r="P43041" s="3337"/>
    </row>
    <row r="43042" spans="7:16" s="1634" customFormat="1">
      <c r="G43042" s="3336"/>
      <c r="P43042" s="3337"/>
    </row>
    <row r="43043" spans="7:16" s="1634" customFormat="1">
      <c r="G43043" s="3336"/>
      <c r="P43043" s="3337"/>
    </row>
    <row r="43044" spans="7:16" s="1634" customFormat="1">
      <c r="G43044" s="3336"/>
      <c r="P43044" s="3337"/>
    </row>
    <row r="43045" spans="7:16" s="1634" customFormat="1">
      <c r="G43045" s="3336"/>
      <c r="P43045" s="3337"/>
    </row>
    <row r="43046" spans="7:16" s="1634" customFormat="1">
      <c r="G43046" s="3336"/>
      <c r="P43046" s="3337"/>
    </row>
    <row r="43047" spans="7:16" s="1634" customFormat="1">
      <c r="G43047" s="3336"/>
      <c r="P43047" s="3337"/>
    </row>
    <row r="43048" spans="7:16" s="1634" customFormat="1">
      <c r="G43048" s="3336"/>
      <c r="P43048" s="3337"/>
    </row>
    <row r="43049" spans="7:16" s="1634" customFormat="1">
      <c r="G43049" s="3336"/>
      <c r="P43049" s="3337"/>
    </row>
    <row r="43050" spans="7:16" s="1634" customFormat="1">
      <c r="G43050" s="3336"/>
      <c r="P43050" s="3337"/>
    </row>
    <row r="43051" spans="7:16" s="1634" customFormat="1">
      <c r="G43051" s="3336"/>
      <c r="P43051" s="3337"/>
    </row>
    <row r="43052" spans="7:16" s="1634" customFormat="1">
      <c r="G43052" s="3336"/>
      <c r="P43052" s="3337"/>
    </row>
    <row r="43053" spans="7:16" s="1634" customFormat="1">
      <c r="G43053" s="3336"/>
      <c r="P43053" s="3337"/>
    </row>
    <row r="43054" spans="7:16" s="1634" customFormat="1">
      <c r="G43054" s="3336"/>
      <c r="P43054" s="3337"/>
    </row>
    <row r="43055" spans="7:16" s="1634" customFormat="1">
      <c r="G43055" s="3336"/>
      <c r="P43055" s="3337"/>
    </row>
    <row r="43056" spans="7:16" s="1634" customFormat="1">
      <c r="G43056" s="3336"/>
      <c r="P43056" s="3337"/>
    </row>
    <row r="43057" spans="7:16" s="1634" customFormat="1">
      <c r="G43057" s="3336"/>
      <c r="P43057" s="3337"/>
    </row>
    <row r="43058" spans="7:16" s="1634" customFormat="1">
      <c r="G43058" s="3336"/>
      <c r="P43058" s="3337"/>
    </row>
    <row r="43059" spans="7:16" s="1634" customFormat="1">
      <c r="G43059" s="3336"/>
      <c r="P43059" s="3337"/>
    </row>
    <row r="43060" spans="7:16" s="1634" customFormat="1">
      <c r="G43060" s="3336"/>
      <c r="P43060" s="3337"/>
    </row>
    <row r="43061" spans="7:16" s="1634" customFormat="1">
      <c r="G43061" s="3336"/>
      <c r="P43061" s="3337"/>
    </row>
    <row r="43062" spans="7:16" s="1634" customFormat="1">
      <c r="G43062" s="3336"/>
      <c r="P43062" s="3337"/>
    </row>
    <row r="43063" spans="7:16" s="1634" customFormat="1">
      <c r="G43063" s="3336"/>
      <c r="P43063" s="3337"/>
    </row>
    <row r="43064" spans="7:16" s="1634" customFormat="1">
      <c r="G43064" s="3336"/>
      <c r="P43064" s="3337"/>
    </row>
    <row r="43065" spans="7:16" s="1634" customFormat="1">
      <c r="G43065" s="3336"/>
      <c r="P43065" s="3337"/>
    </row>
    <row r="43066" spans="7:16" s="1634" customFormat="1">
      <c r="G43066" s="3336"/>
      <c r="P43066" s="3337"/>
    </row>
    <row r="43067" spans="7:16" s="1634" customFormat="1">
      <c r="G43067" s="3336"/>
      <c r="P43067" s="3337"/>
    </row>
    <row r="43068" spans="7:16" s="1634" customFormat="1">
      <c r="G43068" s="3336"/>
      <c r="P43068" s="3337"/>
    </row>
    <row r="43069" spans="7:16" s="1634" customFormat="1">
      <c r="G43069" s="3336"/>
      <c r="P43069" s="3337"/>
    </row>
    <row r="43070" spans="7:16" s="1634" customFormat="1">
      <c r="G43070" s="3336"/>
      <c r="P43070" s="3337"/>
    </row>
    <row r="43071" spans="7:16" s="1634" customFormat="1">
      <c r="G43071" s="3336"/>
      <c r="P43071" s="3337"/>
    </row>
    <row r="43072" spans="7:16" s="1634" customFormat="1">
      <c r="G43072" s="3336"/>
      <c r="P43072" s="3337"/>
    </row>
    <row r="43073" spans="7:16" s="1634" customFormat="1">
      <c r="G43073" s="3336"/>
      <c r="P43073" s="3337"/>
    </row>
    <row r="43074" spans="7:16" s="1634" customFormat="1">
      <c r="G43074" s="3336"/>
      <c r="P43074" s="3337"/>
    </row>
    <row r="43075" spans="7:16" s="1634" customFormat="1">
      <c r="G43075" s="3336"/>
      <c r="P43075" s="3337"/>
    </row>
    <row r="43076" spans="7:16" s="1634" customFormat="1">
      <c r="G43076" s="3336"/>
      <c r="P43076" s="3337"/>
    </row>
    <row r="43077" spans="7:16" s="1634" customFormat="1">
      <c r="G43077" s="3336"/>
      <c r="P43077" s="3337"/>
    </row>
    <row r="43078" spans="7:16" s="1634" customFormat="1">
      <c r="G43078" s="3336"/>
      <c r="P43078" s="3337"/>
    </row>
    <row r="43079" spans="7:16" s="1634" customFormat="1">
      <c r="G43079" s="3336"/>
      <c r="P43079" s="3337"/>
    </row>
    <row r="43080" spans="7:16" s="1634" customFormat="1">
      <c r="G43080" s="3336"/>
      <c r="P43080" s="3337"/>
    </row>
    <row r="43081" spans="7:16" s="1634" customFormat="1">
      <c r="G43081" s="3336"/>
      <c r="P43081" s="3337"/>
    </row>
    <row r="43082" spans="7:16" s="1634" customFormat="1">
      <c r="G43082" s="3336"/>
      <c r="P43082" s="3337"/>
    </row>
    <row r="43083" spans="7:16" s="1634" customFormat="1">
      <c r="G43083" s="3336"/>
      <c r="P43083" s="3337"/>
    </row>
    <row r="43084" spans="7:16" s="1634" customFormat="1">
      <c r="G43084" s="3336"/>
      <c r="P43084" s="3337"/>
    </row>
    <row r="43085" spans="7:16" s="1634" customFormat="1">
      <c r="G43085" s="3336"/>
      <c r="P43085" s="3337"/>
    </row>
    <row r="43086" spans="7:16" s="1634" customFormat="1">
      <c r="G43086" s="3336"/>
      <c r="P43086" s="3337"/>
    </row>
    <row r="43087" spans="7:16" s="1634" customFormat="1">
      <c r="G43087" s="3336"/>
      <c r="P43087" s="3337"/>
    </row>
    <row r="43088" spans="7:16" s="1634" customFormat="1">
      <c r="G43088" s="3336"/>
      <c r="P43088" s="3337"/>
    </row>
    <row r="43089" spans="7:16" s="1634" customFormat="1">
      <c r="G43089" s="3336"/>
      <c r="P43089" s="3337"/>
    </row>
    <row r="43090" spans="7:16" s="1634" customFormat="1">
      <c r="G43090" s="3336"/>
      <c r="P43090" s="3337"/>
    </row>
    <row r="43091" spans="7:16" s="1634" customFormat="1">
      <c r="G43091" s="3336"/>
      <c r="P43091" s="3337"/>
    </row>
    <row r="43092" spans="7:16" s="1634" customFormat="1">
      <c r="G43092" s="3336"/>
      <c r="P43092" s="3337"/>
    </row>
    <row r="43093" spans="7:16" s="1634" customFormat="1">
      <c r="G43093" s="3336"/>
      <c r="P43093" s="3337"/>
    </row>
    <row r="43094" spans="7:16" s="1634" customFormat="1">
      <c r="G43094" s="3336"/>
      <c r="P43094" s="3337"/>
    </row>
    <row r="43095" spans="7:16" s="1634" customFormat="1">
      <c r="G43095" s="3336"/>
      <c r="P43095" s="3337"/>
    </row>
    <row r="43096" spans="7:16" s="1634" customFormat="1">
      <c r="G43096" s="3336"/>
      <c r="P43096" s="3337"/>
    </row>
    <row r="43097" spans="7:16" s="1634" customFormat="1">
      <c r="G43097" s="3336"/>
      <c r="P43097" s="3337"/>
    </row>
    <row r="43098" spans="7:16" s="1634" customFormat="1">
      <c r="G43098" s="3336"/>
      <c r="P43098" s="3337"/>
    </row>
    <row r="43099" spans="7:16" s="1634" customFormat="1">
      <c r="G43099" s="3336"/>
      <c r="P43099" s="3337"/>
    </row>
    <row r="43100" spans="7:16" s="1634" customFormat="1">
      <c r="G43100" s="3336"/>
      <c r="P43100" s="3337"/>
    </row>
    <row r="43101" spans="7:16" s="1634" customFormat="1">
      <c r="G43101" s="3336"/>
      <c r="P43101" s="3337"/>
    </row>
    <row r="43102" spans="7:16" s="1634" customFormat="1">
      <c r="G43102" s="3336"/>
      <c r="P43102" s="3337"/>
    </row>
    <row r="43103" spans="7:16" s="1634" customFormat="1">
      <c r="G43103" s="3336"/>
      <c r="P43103" s="3337"/>
    </row>
    <row r="43104" spans="7:16" s="1634" customFormat="1">
      <c r="G43104" s="3336"/>
      <c r="P43104" s="3337"/>
    </row>
    <row r="43105" spans="7:16" s="1634" customFormat="1">
      <c r="G43105" s="3336"/>
      <c r="P43105" s="3337"/>
    </row>
    <row r="43106" spans="7:16" s="1634" customFormat="1">
      <c r="G43106" s="3336"/>
      <c r="P43106" s="3337"/>
    </row>
    <row r="43107" spans="7:16" s="1634" customFormat="1">
      <c r="G43107" s="3336"/>
      <c r="P43107" s="3337"/>
    </row>
    <row r="43108" spans="7:16" s="1634" customFormat="1">
      <c r="G43108" s="3336"/>
      <c r="P43108" s="3337"/>
    </row>
    <row r="43109" spans="7:16" s="1634" customFormat="1">
      <c r="G43109" s="3336"/>
      <c r="P43109" s="3337"/>
    </row>
    <row r="43110" spans="7:16" s="1634" customFormat="1">
      <c r="G43110" s="3336"/>
      <c r="P43110" s="3337"/>
    </row>
    <row r="43111" spans="7:16" s="1634" customFormat="1">
      <c r="G43111" s="3336"/>
      <c r="P43111" s="3337"/>
    </row>
    <row r="43112" spans="7:16" s="1634" customFormat="1">
      <c r="G43112" s="3336"/>
      <c r="P43112" s="3337"/>
    </row>
    <row r="43113" spans="7:16" s="1634" customFormat="1">
      <c r="G43113" s="3336"/>
      <c r="P43113" s="3337"/>
    </row>
    <row r="43114" spans="7:16" s="1634" customFormat="1">
      <c r="G43114" s="3336"/>
      <c r="P43114" s="3337"/>
    </row>
    <row r="43115" spans="7:16" s="1634" customFormat="1">
      <c r="G43115" s="3336"/>
      <c r="P43115" s="3337"/>
    </row>
    <row r="43116" spans="7:16" s="1634" customFormat="1">
      <c r="G43116" s="3336"/>
      <c r="P43116" s="3337"/>
    </row>
    <row r="43117" spans="7:16" s="1634" customFormat="1">
      <c r="G43117" s="3336"/>
      <c r="P43117" s="3337"/>
    </row>
    <row r="43118" spans="7:16" s="1634" customFormat="1">
      <c r="G43118" s="3336"/>
      <c r="P43118" s="3337"/>
    </row>
    <row r="43119" spans="7:16" s="1634" customFormat="1">
      <c r="G43119" s="3336"/>
      <c r="P43119" s="3337"/>
    </row>
    <row r="43120" spans="7:16" s="1634" customFormat="1">
      <c r="G43120" s="3336"/>
      <c r="P43120" s="3337"/>
    </row>
    <row r="43121" spans="7:16" s="1634" customFormat="1">
      <c r="G43121" s="3336"/>
      <c r="P43121" s="3337"/>
    </row>
    <row r="43122" spans="7:16" s="1634" customFormat="1">
      <c r="G43122" s="3336"/>
      <c r="P43122" s="3337"/>
    </row>
    <row r="43123" spans="7:16" s="1634" customFormat="1">
      <c r="G43123" s="3336"/>
      <c r="P43123" s="3337"/>
    </row>
    <row r="43124" spans="7:16" s="1634" customFormat="1">
      <c r="G43124" s="3336"/>
      <c r="P43124" s="3337"/>
    </row>
    <row r="43125" spans="7:16" s="1634" customFormat="1">
      <c r="G43125" s="3336"/>
      <c r="P43125" s="3337"/>
    </row>
    <row r="43126" spans="7:16" s="1634" customFormat="1">
      <c r="G43126" s="3336"/>
      <c r="P43126" s="3337"/>
    </row>
    <row r="43127" spans="7:16" s="1634" customFormat="1">
      <c r="G43127" s="3336"/>
      <c r="P43127" s="3337"/>
    </row>
    <row r="43128" spans="7:16" s="1634" customFormat="1">
      <c r="G43128" s="3336"/>
      <c r="P43128" s="3337"/>
    </row>
    <row r="43129" spans="7:16" s="1634" customFormat="1">
      <c r="G43129" s="3336"/>
      <c r="P43129" s="3337"/>
    </row>
    <row r="43130" spans="7:16" s="1634" customFormat="1">
      <c r="G43130" s="3336"/>
      <c r="P43130" s="3337"/>
    </row>
    <row r="43131" spans="7:16" s="1634" customFormat="1">
      <c r="G43131" s="3336"/>
      <c r="P43131" s="3337"/>
    </row>
    <row r="43132" spans="7:16" s="1634" customFormat="1">
      <c r="G43132" s="3336"/>
      <c r="P43132" s="3337"/>
    </row>
    <row r="43133" spans="7:16" s="1634" customFormat="1">
      <c r="G43133" s="3336"/>
      <c r="P43133" s="3337"/>
    </row>
    <row r="43134" spans="7:16" s="1634" customFormat="1">
      <c r="G43134" s="3336"/>
      <c r="P43134" s="3337"/>
    </row>
    <row r="43135" spans="7:16" s="1634" customFormat="1">
      <c r="G43135" s="3336"/>
      <c r="P43135" s="3337"/>
    </row>
    <row r="43136" spans="7:16" s="1634" customFormat="1">
      <c r="G43136" s="3336"/>
      <c r="P43136" s="3337"/>
    </row>
    <row r="43137" spans="7:16" s="1634" customFormat="1">
      <c r="G43137" s="3336"/>
      <c r="P43137" s="3337"/>
    </row>
    <row r="43138" spans="7:16" s="1634" customFormat="1">
      <c r="G43138" s="3336"/>
      <c r="P43138" s="3337"/>
    </row>
    <row r="43139" spans="7:16" s="1634" customFormat="1">
      <c r="G43139" s="3336"/>
      <c r="P43139" s="3337"/>
    </row>
    <row r="43140" spans="7:16" s="1634" customFormat="1">
      <c r="G43140" s="3336"/>
      <c r="P43140" s="3337"/>
    </row>
    <row r="43141" spans="7:16" s="1634" customFormat="1">
      <c r="G43141" s="3336"/>
      <c r="P43141" s="3337"/>
    </row>
    <row r="43142" spans="7:16" s="1634" customFormat="1">
      <c r="G43142" s="3336"/>
      <c r="P43142" s="3337"/>
    </row>
    <row r="43143" spans="7:16" s="1634" customFormat="1">
      <c r="G43143" s="3336"/>
      <c r="P43143" s="3337"/>
    </row>
    <row r="43144" spans="7:16" s="1634" customFormat="1">
      <c r="G43144" s="3336"/>
      <c r="P43144" s="3337"/>
    </row>
    <row r="43145" spans="7:16" s="1634" customFormat="1">
      <c r="G43145" s="3336"/>
      <c r="P43145" s="3337"/>
    </row>
    <row r="43146" spans="7:16" s="1634" customFormat="1">
      <c r="G43146" s="3336"/>
      <c r="P43146" s="3337"/>
    </row>
    <row r="43147" spans="7:16" s="1634" customFormat="1">
      <c r="G43147" s="3336"/>
      <c r="P43147" s="3337"/>
    </row>
    <row r="43148" spans="7:16" s="1634" customFormat="1">
      <c r="G43148" s="3336"/>
      <c r="P43148" s="3337"/>
    </row>
    <row r="43149" spans="7:16" s="1634" customFormat="1">
      <c r="G43149" s="3336"/>
      <c r="P43149" s="3337"/>
    </row>
    <row r="43150" spans="7:16" s="1634" customFormat="1">
      <c r="G43150" s="3336"/>
      <c r="P43150" s="3337"/>
    </row>
    <row r="43151" spans="7:16" s="1634" customFormat="1">
      <c r="G43151" s="3336"/>
      <c r="P43151" s="3337"/>
    </row>
    <row r="43152" spans="7:16" s="1634" customFormat="1">
      <c r="G43152" s="3336"/>
      <c r="P43152" s="3337"/>
    </row>
    <row r="43153" spans="7:16" s="1634" customFormat="1">
      <c r="G43153" s="3336"/>
      <c r="P43153" s="3337"/>
    </row>
    <row r="43154" spans="7:16" s="1634" customFormat="1">
      <c r="G43154" s="3336"/>
      <c r="P43154" s="3337"/>
    </row>
    <row r="43155" spans="7:16" s="1634" customFormat="1">
      <c r="G43155" s="3336"/>
      <c r="P43155" s="3337"/>
    </row>
    <row r="43156" spans="7:16" s="1634" customFormat="1">
      <c r="G43156" s="3336"/>
      <c r="P43156" s="3337"/>
    </row>
    <row r="43157" spans="7:16" s="1634" customFormat="1">
      <c r="G43157" s="3336"/>
      <c r="P43157" s="3337"/>
    </row>
    <row r="43158" spans="7:16" s="1634" customFormat="1">
      <c r="G43158" s="3336"/>
      <c r="P43158" s="3337"/>
    </row>
    <row r="43159" spans="7:16" s="1634" customFormat="1">
      <c r="G43159" s="3336"/>
      <c r="P43159" s="3337"/>
    </row>
    <row r="43160" spans="7:16" s="1634" customFormat="1">
      <c r="G43160" s="3336"/>
      <c r="P43160" s="3337"/>
    </row>
    <row r="43161" spans="7:16" s="1634" customFormat="1">
      <c r="G43161" s="3336"/>
      <c r="P43161" s="3337"/>
    </row>
    <row r="43162" spans="7:16" s="1634" customFormat="1">
      <c r="G43162" s="3336"/>
      <c r="P43162" s="3337"/>
    </row>
    <row r="43163" spans="7:16" s="1634" customFormat="1">
      <c r="G43163" s="3336"/>
      <c r="P43163" s="3337"/>
    </row>
    <row r="43164" spans="7:16" s="1634" customFormat="1">
      <c r="G43164" s="3336"/>
      <c r="P43164" s="3337"/>
    </row>
    <row r="43165" spans="7:16" s="1634" customFormat="1">
      <c r="G43165" s="3336"/>
      <c r="P43165" s="3337"/>
    </row>
    <row r="43166" spans="7:16" s="1634" customFormat="1">
      <c r="G43166" s="3336"/>
      <c r="P43166" s="3337"/>
    </row>
    <row r="43167" spans="7:16" s="1634" customFormat="1">
      <c r="G43167" s="3336"/>
      <c r="P43167" s="3337"/>
    </row>
    <row r="43168" spans="7:16" s="1634" customFormat="1">
      <c r="G43168" s="3336"/>
      <c r="P43168" s="3337"/>
    </row>
    <row r="43169" spans="7:16" s="1634" customFormat="1">
      <c r="G43169" s="3336"/>
      <c r="P43169" s="3337"/>
    </row>
    <row r="43170" spans="7:16" s="1634" customFormat="1">
      <c r="G43170" s="3336"/>
      <c r="P43170" s="3337"/>
    </row>
    <row r="43171" spans="7:16" s="1634" customFormat="1">
      <c r="G43171" s="3336"/>
      <c r="P43171" s="3337"/>
    </row>
    <row r="43172" spans="7:16" s="1634" customFormat="1">
      <c r="G43172" s="3336"/>
      <c r="P43172" s="3337"/>
    </row>
    <row r="43173" spans="7:16" s="1634" customFormat="1">
      <c r="G43173" s="3336"/>
      <c r="P43173" s="3337"/>
    </row>
    <row r="43174" spans="7:16" s="1634" customFormat="1">
      <c r="G43174" s="3336"/>
      <c r="P43174" s="3337"/>
    </row>
    <row r="43175" spans="7:16" s="1634" customFormat="1">
      <c r="G43175" s="3336"/>
      <c r="P43175" s="3337"/>
    </row>
    <row r="43176" spans="7:16" s="1634" customFormat="1">
      <c r="G43176" s="3336"/>
      <c r="P43176" s="3337"/>
    </row>
    <row r="43177" spans="7:16" s="1634" customFormat="1">
      <c r="G43177" s="3336"/>
      <c r="P43177" s="3337"/>
    </row>
    <row r="43178" spans="7:16" s="1634" customFormat="1">
      <c r="G43178" s="3336"/>
      <c r="P43178" s="3337"/>
    </row>
    <row r="43179" spans="7:16" s="1634" customFormat="1">
      <c r="G43179" s="3336"/>
      <c r="P43179" s="3337"/>
    </row>
    <row r="43180" spans="7:16" s="1634" customFormat="1">
      <c r="G43180" s="3336"/>
      <c r="P43180" s="3337"/>
    </row>
    <row r="43181" spans="7:16" s="1634" customFormat="1">
      <c r="G43181" s="3336"/>
      <c r="P43181" s="3337"/>
    </row>
    <row r="43182" spans="7:16" s="1634" customFormat="1">
      <c r="G43182" s="3336"/>
      <c r="P43182" s="3337"/>
    </row>
    <row r="43183" spans="7:16" s="1634" customFormat="1">
      <c r="G43183" s="3336"/>
      <c r="P43183" s="3337"/>
    </row>
    <row r="43184" spans="7:16" s="1634" customFormat="1">
      <c r="G43184" s="3336"/>
      <c r="P43184" s="3337"/>
    </row>
    <row r="43185" spans="7:16" s="1634" customFormat="1">
      <c r="G43185" s="3336"/>
      <c r="P43185" s="3337"/>
    </row>
    <row r="43186" spans="7:16" s="1634" customFormat="1">
      <c r="G43186" s="3336"/>
      <c r="P43186" s="3337"/>
    </row>
    <row r="43187" spans="7:16" s="1634" customFormat="1">
      <c r="G43187" s="3336"/>
      <c r="P43187" s="3337"/>
    </row>
    <row r="43188" spans="7:16" s="1634" customFormat="1">
      <c r="G43188" s="3336"/>
      <c r="P43188" s="3337"/>
    </row>
    <row r="43189" spans="7:16" s="1634" customFormat="1">
      <c r="G43189" s="3336"/>
      <c r="P43189" s="3337"/>
    </row>
    <row r="43190" spans="7:16" s="1634" customFormat="1">
      <c r="G43190" s="3336"/>
      <c r="P43190" s="3337"/>
    </row>
    <row r="43191" spans="7:16" s="1634" customFormat="1">
      <c r="G43191" s="3336"/>
      <c r="P43191" s="3337"/>
    </row>
    <row r="43192" spans="7:16" s="1634" customFormat="1">
      <c r="G43192" s="3336"/>
      <c r="P43192" s="3337"/>
    </row>
    <row r="43193" spans="7:16" s="1634" customFormat="1">
      <c r="G43193" s="3336"/>
      <c r="P43193" s="3337"/>
    </row>
    <row r="43194" spans="7:16" s="1634" customFormat="1">
      <c r="G43194" s="3336"/>
      <c r="P43194" s="3337"/>
    </row>
    <row r="43195" spans="7:16" s="1634" customFormat="1">
      <c r="G43195" s="3336"/>
      <c r="P43195" s="3337"/>
    </row>
    <row r="43196" spans="7:16" s="1634" customFormat="1">
      <c r="G43196" s="3336"/>
      <c r="P43196" s="3337"/>
    </row>
    <row r="43197" spans="7:16" s="1634" customFormat="1">
      <c r="G43197" s="3336"/>
      <c r="P43197" s="3337"/>
    </row>
    <row r="43198" spans="7:16" s="1634" customFormat="1">
      <c r="G43198" s="3336"/>
      <c r="P43198" s="3337"/>
    </row>
    <row r="43199" spans="7:16" s="1634" customFormat="1">
      <c r="G43199" s="3336"/>
      <c r="P43199" s="3337"/>
    </row>
    <row r="43200" spans="7:16" s="1634" customFormat="1">
      <c r="G43200" s="3336"/>
      <c r="P43200" s="3337"/>
    </row>
    <row r="43201" spans="7:16" s="1634" customFormat="1">
      <c r="G43201" s="3336"/>
      <c r="P43201" s="3337"/>
    </row>
    <row r="43202" spans="7:16" s="1634" customFormat="1">
      <c r="G43202" s="3336"/>
      <c r="P43202" s="3337"/>
    </row>
    <row r="43203" spans="7:16" s="1634" customFormat="1">
      <c r="G43203" s="3336"/>
      <c r="P43203" s="3337"/>
    </row>
    <row r="43204" spans="7:16" s="1634" customFormat="1">
      <c r="G43204" s="3336"/>
      <c r="P43204" s="3337"/>
    </row>
    <row r="43205" spans="7:16" s="1634" customFormat="1">
      <c r="G43205" s="3336"/>
      <c r="P43205" s="3337"/>
    </row>
    <row r="43206" spans="7:16" s="1634" customFormat="1">
      <c r="G43206" s="3336"/>
      <c r="P43206" s="3337"/>
    </row>
    <row r="43207" spans="7:16" s="1634" customFormat="1">
      <c r="G43207" s="3336"/>
      <c r="P43207" s="3337"/>
    </row>
    <row r="43208" spans="7:16" s="1634" customFormat="1">
      <c r="G43208" s="3336"/>
      <c r="P43208" s="3337"/>
    </row>
    <row r="43209" spans="7:16" s="1634" customFormat="1">
      <c r="G43209" s="3336"/>
      <c r="P43209" s="3337"/>
    </row>
    <row r="43210" spans="7:16" s="1634" customFormat="1">
      <c r="G43210" s="3336"/>
      <c r="P43210" s="3337"/>
    </row>
    <row r="43211" spans="7:16" s="1634" customFormat="1">
      <c r="G43211" s="3336"/>
      <c r="P43211" s="3337"/>
    </row>
    <row r="43212" spans="7:16" s="1634" customFormat="1">
      <c r="G43212" s="3336"/>
      <c r="P43212" s="3337"/>
    </row>
    <row r="43213" spans="7:16" s="1634" customFormat="1">
      <c r="G43213" s="3336"/>
      <c r="P43213" s="3337"/>
    </row>
    <row r="43214" spans="7:16" s="1634" customFormat="1">
      <c r="G43214" s="3336"/>
      <c r="P43214" s="3337"/>
    </row>
    <row r="43215" spans="7:16" s="1634" customFormat="1">
      <c r="G43215" s="3336"/>
      <c r="P43215" s="3337"/>
    </row>
    <row r="43216" spans="7:16" s="1634" customFormat="1">
      <c r="G43216" s="3336"/>
      <c r="P43216" s="3337"/>
    </row>
    <row r="43217" spans="7:16" s="1634" customFormat="1">
      <c r="G43217" s="3336"/>
      <c r="P43217" s="3337"/>
    </row>
    <row r="43218" spans="7:16" s="1634" customFormat="1">
      <c r="G43218" s="3336"/>
      <c r="P43218" s="3337"/>
    </row>
    <row r="43219" spans="7:16" s="1634" customFormat="1">
      <c r="G43219" s="3336"/>
      <c r="P43219" s="3337"/>
    </row>
    <row r="43220" spans="7:16" s="1634" customFormat="1">
      <c r="G43220" s="3336"/>
      <c r="P43220" s="3337"/>
    </row>
    <row r="43221" spans="7:16" s="1634" customFormat="1">
      <c r="G43221" s="3336"/>
      <c r="P43221" s="3337"/>
    </row>
    <row r="43222" spans="7:16" s="1634" customFormat="1">
      <c r="G43222" s="3336"/>
      <c r="P43222" s="3337"/>
    </row>
    <row r="43223" spans="7:16" s="1634" customFormat="1">
      <c r="G43223" s="3336"/>
      <c r="P43223" s="3337"/>
    </row>
    <row r="43224" spans="7:16" s="1634" customFormat="1">
      <c r="G43224" s="3336"/>
      <c r="P43224" s="3337"/>
    </row>
    <row r="43225" spans="7:16" s="1634" customFormat="1">
      <c r="G43225" s="3336"/>
      <c r="P43225" s="3337"/>
    </row>
    <row r="43226" spans="7:16" s="1634" customFormat="1">
      <c r="G43226" s="3336"/>
      <c r="P43226" s="3337"/>
    </row>
    <row r="43227" spans="7:16" s="1634" customFormat="1">
      <c r="G43227" s="3336"/>
      <c r="P43227" s="3337"/>
    </row>
    <row r="43228" spans="7:16" s="1634" customFormat="1">
      <c r="G43228" s="3336"/>
      <c r="P43228" s="3337"/>
    </row>
    <row r="43229" spans="7:16" s="1634" customFormat="1">
      <c r="G43229" s="3336"/>
      <c r="P43229" s="3337"/>
    </row>
    <row r="43230" spans="7:16" s="1634" customFormat="1">
      <c r="G43230" s="3336"/>
      <c r="P43230" s="3337"/>
    </row>
    <row r="43231" spans="7:16" s="1634" customFormat="1">
      <c r="G43231" s="3336"/>
      <c r="P43231" s="3337"/>
    </row>
    <row r="43232" spans="7:16" s="1634" customFormat="1">
      <c r="G43232" s="3336"/>
      <c r="P43232" s="3337"/>
    </row>
    <row r="43233" spans="7:16" s="1634" customFormat="1">
      <c r="G43233" s="3336"/>
      <c r="P43233" s="3337"/>
    </row>
    <row r="43234" spans="7:16" s="1634" customFormat="1">
      <c r="G43234" s="3336"/>
      <c r="P43234" s="3337"/>
    </row>
    <row r="43235" spans="7:16" s="1634" customFormat="1">
      <c r="G43235" s="3336"/>
      <c r="P43235" s="3337"/>
    </row>
    <row r="43236" spans="7:16" s="1634" customFormat="1">
      <c r="G43236" s="3336"/>
      <c r="P43236" s="3337"/>
    </row>
    <row r="43237" spans="7:16" s="1634" customFormat="1">
      <c r="G43237" s="3336"/>
      <c r="P43237" s="3337"/>
    </row>
    <row r="43238" spans="7:16" s="1634" customFormat="1">
      <c r="G43238" s="3336"/>
      <c r="P43238" s="3337"/>
    </row>
    <row r="43239" spans="7:16" s="1634" customFormat="1">
      <c r="G43239" s="3336"/>
      <c r="P43239" s="3337"/>
    </row>
    <row r="43240" spans="7:16" s="1634" customFormat="1">
      <c r="G43240" s="3336"/>
      <c r="P43240" s="3337"/>
    </row>
    <row r="43241" spans="7:16" s="1634" customFormat="1">
      <c r="G43241" s="3336"/>
      <c r="P43241" s="3337"/>
    </row>
    <row r="43242" spans="7:16" s="1634" customFormat="1">
      <c r="G43242" s="3336"/>
      <c r="P43242" s="3337"/>
    </row>
    <row r="43243" spans="7:16" s="1634" customFormat="1">
      <c r="G43243" s="3336"/>
      <c r="P43243" s="3337"/>
    </row>
    <row r="43244" spans="7:16" s="1634" customFormat="1">
      <c r="G43244" s="3336"/>
      <c r="P43244" s="3337"/>
    </row>
    <row r="43245" spans="7:16" s="1634" customFormat="1">
      <c r="G43245" s="3336"/>
      <c r="P43245" s="3337"/>
    </row>
    <row r="43246" spans="7:16" s="1634" customFormat="1">
      <c r="G43246" s="3336"/>
      <c r="P43246" s="3337"/>
    </row>
    <row r="43247" spans="7:16" s="1634" customFormat="1">
      <c r="G43247" s="3336"/>
      <c r="P43247" s="3337"/>
    </row>
    <row r="43248" spans="7:16" s="1634" customFormat="1">
      <c r="G43248" s="3336"/>
      <c r="P43248" s="3337"/>
    </row>
    <row r="43249" spans="7:16" s="1634" customFormat="1">
      <c r="G43249" s="3336"/>
      <c r="P43249" s="3337"/>
    </row>
    <row r="43250" spans="7:16" s="1634" customFormat="1">
      <c r="G43250" s="3336"/>
      <c r="P43250" s="3337"/>
    </row>
    <row r="43251" spans="7:16" s="1634" customFormat="1">
      <c r="G43251" s="3336"/>
      <c r="P43251" s="3337"/>
    </row>
    <row r="43252" spans="7:16" s="1634" customFormat="1">
      <c r="G43252" s="3336"/>
      <c r="P43252" s="3337"/>
    </row>
    <row r="43253" spans="7:16" s="1634" customFormat="1">
      <c r="G43253" s="3336"/>
      <c r="P43253" s="3337"/>
    </row>
    <row r="43254" spans="7:16" s="1634" customFormat="1">
      <c r="G43254" s="3336"/>
      <c r="P43254" s="3337"/>
    </row>
    <row r="43255" spans="7:16" s="1634" customFormat="1">
      <c r="G43255" s="3336"/>
      <c r="P43255" s="3337"/>
    </row>
    <row r="43256" spans="7:16" s="1634" customFormat="1">
      <c r="G43256" s="3336"/>
      <c r="P43256" s="3337"/>
    </row>
    <row r="43257" spans="7:16" s="1634" customFormat="1">
      <c r="G43257" s="3336"/>
      <c r="P43257" s="3337"/>
    </row>
    <row r="43258" spans="7:16" s="1634" customFormat="1">
      <c r="G43258" s="3336"/>
      <c r="P43258" s="3337"/>
    </row>
    <row r="43259" spans="7:16" s="1634" customFormat="1">
      <c r="G43259" s="3336"/>
      <c r="P43259" s="3337"/>
    </row>
    <row r="43260" spans="7:16" s="1634" customFormat="1">
      <c r="G43260" s="3336"/>
      <c r="P43260" s="3337"/>
    </row>
    <row r="43261" spans="7:16" s="1634" customFormat="1">
      <c r="G43261" s="3336"/>
      <c r="P43261" s="3337"/>
    </row>
    <row r="43262" spans="7:16" s="1634" customFormat="1">
      <c r="G43262" s="3336"/>
      <c r="P43262" s="3337"/>
    </row>
    <row r="43263" spans="7:16" s="1634" customFormat="1">
      <c r="G43263" s="3336"/>
      <c r="P43263" s="3337"/>
    </row>
    <row r="43264" spans="7:16" s="1634" customFormat="1">
      <c r="G43264" s="3336"/>
      <c r="P43264" s="3337"/>
    </row>
    <row r="43265" spans="7:16" s="1634" customFormat="1">
      <c r="G43265" s="3336"/>
      <c r="P43265" s="3337"/>
    </row>
    <row r="43266" spans="7:16" s="1634" customFormat="1">
      <c r="G43266" s="3336"/>
      <c r="P43266" s="3337"/>
    </row>
    <row r="43267" spans="7:16" s="1634" customFormat="1">
      <c r="G43267" s="3336"/>
      <c r="P43267" s="3337"/>
    </row>
    <row r="43268" spans="7:16" s="1634" customFormat="1">
      <c r="G43268" s="3336"/>
      <c r="P43268" s="3337"/>
    </row>
    <row r="43269" spans="7:16" s="1634" customFormat="1">
      <c r="G43269" s="3336"/>
      <c r="P43269" s="3337"/>
    </row>
    <row r="43270" spans="7:16" s="1634" customFormat="1">
      <c r="G43270" s="3336"/>
      <c r="P43270" s="3337"/>
    </row>
    <row r="43271" spans="7:16" s="1634" customFormat="1">
      <c r="G43271" s="3336"/>
      <c r="P43271" s="3337"/>
    </row>
    <row r="43272" spans="7:16" s="1634" customFormat="1">
      <c r="G43272" s="3336"/>
      <c r="P43272" s="3337"/>
    </row>
    <row r="43273" spans="7:16" s="1634" customFormat="1">
      <c r="G43273" s="3336"/>
      <c r="P43273" s="3337"/>
    </row>
    <row r="43274" spans="7:16" s="1634" customFormat="1">
      <c r="G43274" s="3336"/>
      <c r="P43274" s="3337"/>
    </row>
    <row r="43275" spans="7:16" s="1634" customFormat="1">
      <c r="G43275" s="3336"/>
      <c r="P43275" s="3337"/>
    </row>
    <row r="43276" spans="7:16" s="1634" customFormat="1">
      <c r="G43276" s="3336"/>
      <c r="P43276" s="3337"/>
    </row>
    <row r="43277" spans="7:16" s="1634" customFormat="1">
      <c r="G43277" s="3336"/>
      <c r="P43277" s="3337"/>
    </row>
    <row r="43278" spans="7:16" s="1634" customFormat="1">
      <c r="G43278" s="3336"/>
      <c r="P43278" s="3337"/>
    </row>
    <row r="43279" spans="7:16" s="1634" customFormat="1">
      <c r="G43279" s="3336"/>
      <c r="P43279" s="3337"/>
    </row>
    <row r="43280" spans="7:16" s="1634" customFormat="1">
      <c r="G43280" s="3336"/>
      <c r="P43280" s="3337"/>
    </row>
    <row r="43281" spans="7:16" s="1634" customFormat="1">
      <c r="G43281" s="3336"/>
      <c r="P43281" s="3337"/>
    </row>
    <row r="43282" spans="7:16" s="1634" customFormat="1">
      <c r="G43282" s="3336"/>
      <c r="P43282" s="3337"/>
    </row>
    <row r="43283" spans="7:16" s="1634" customFormat="1">
      <c r="G43283" s="3336"/>
      <c r="P43283" s="3337"/>
    </row>
    <row r="43284" spans="7:16" s="1634" customFormat="1">
      <c r="G43284" s="3336"/>
      <c r="P43284" s="3337"/>
    </row>
    <row r="43285" spans="7:16" s="1634" customFormat="1">
      <c r="G43285" s="3336"/>
      <c r="P43285" s="3337"/>
    </row>
    <row r="43286" spans="7:16" s="1634" customFormat="1">
      <c r="G43286" s="3336"/>
      <c r="P43286" s="3337"/>
    </row>
    <row r="43287" spans="7:16" s="1634" customFormat="1">
      <c r="G43287" s="3336"/>
      <c r="P43287" s="3337"/>
    </row>
    <row r="43288" spans="7:16" s="1634" customFormat="1">
      <c r="G43288" s="3336"/>
      <c r="P43288" s="3337"/>
    </row>
    <row r="43289" spans="7:16" s="1634" customFormat="1">
      <c r="G43289" s="3336"/>
      <c r="P43289" s="3337"/>
    </row>
    <row r="43290" spans="7:16" s="1634" customFormat="1">
      <c r="G43290" s="3336"/>
      <c r="P43290" s="3337"/>
    </row>
    <row r="43291" spans="7:16" s="1634" customFormat="1">
      <c r="G43291" s="3336"/>
      <c r="P43291" s="3337"/>
    </row>
    <row r="43292" spans="7:16" s="1634" customFormat="1">
      <c r="G43292" s="3336"/>
      <c r="P43292" s="3337"/>
    </row>
    <row r="43293" spans="7:16" s="1634" customFormat="1">
      <c r="G43293" s="3336"/>
      <c r="P43293" s="3337"/>
    </row>
    <row r="43294" spans="7:16" s="1634" customFormat="1">
      <c r="G43294" s="3336"/>
      <c r="P43294" s="3337"/>
    </row>
    <row r="43295" spans="7:16" s="1634" customFormat="1">
      <c r="G43295" s="3336"/>
      <c r="P43295" s="3337"/>
    </row>
    <row r="43296" spans="7:16" s="1634" customFormat="1">
      <c r="G43296" s="3336"/>
      <c r="P43296" s="3337"/>
    </row>
    <row r="43297" spans="7:16" s="1634" customFormat="1">
      <c r="G43297" s="3336"/>
      <c r="P43297" s="3337"/>
    </row>
    <row r="43298" spans="7:16" s="1634" customFormat="1">
      <c r="G43298" s="3336"/>
      <c r="P43298" s="3337"/>
    </row>
    <row r="43299" spans="7:16" s="1634" customFormat="1">
      <c r="G43299" s="3336"/>
      <c r="P43299" s="3337"/>
    </row>
    <row r="43300" spans="7:16" s="1634" customFormat="1">
      <c r="G43300" s="3336"/>
      <c r="P43300" s="3337"/>
    </row>
    <row r="43301" spans="7:16" s="1634" customFormat="1">
      <c r="G43301" s="3336"/>
      <c r="P43301" s="3337"/>
    </row>
    <row r="43302" spans="7:16" s="1634" customFormat="1">
      <c r="G43302" s="3336"/>
      <c r="P43302" s="3337"/>
    </row>
    <row r="43303" spans="7:16" s="1634" customFormat="1">
      <c r="G43303" s="3336"/>
      <c r="P43303" s="3337"/>
    </row>
    <row r="43304" spans="7:16" s="1634" customFormat="1">
      <c r="G43304" s="3336"/>
      <c r="P43304" s="3337"/>
    </row>
    <row r="43305" spans="7:16" s="1634" customFormat="1">
      <c r="G43305" s="3336"/>
      <c r="P43305" s="3337"/>
    </row>
    <row r="43306" spans="7:16" s="1634" customFormat="1">
      <c r="G43306" s="3336"/>
      <c r="P43306" s="3337"/>
    </row>
    <row r="43307" spans="7:16" s="1634" customFormat="1">
      <c r="G43307" s="3336"/>
      <c r="P43307" s="3337"/>
    </row>
    <row r="43308" spans="7:16" s="1634" customFormat="1">
      <c r="G43308" s="3336"/>
      <c r="P43308" s="3337"/>
    </row>
    <row r="43309" spans="7:16" s="1634" customFormat="1">
      <c r="G43309" s="3336"/>
      <c r="P43309" s="3337"/>
    </row>
    <row r="43310" spans="7:16" s="1634" customFormat="1">
      <c r="G43310" s="3336"/>
      <c r="P43310" s="3337"/>
    </row>
    <row r="43311" spans="7:16" s="1634" customFormat="1">
      <c r="G43311" s="3336"/>
      <c r="P43311" s="3337"/>
    </row>
    <row r="43312" spans="7:16" s="1634" customFormat="1">
      <c r="G43312" s="3336"/>
      <c r="P43312" s="3337"/>
    </row>
    <row r="43313" spans="7:16" s="1634" customFormat="1">
      <c r="G43313" s="3336"/>
      <c r="P43313" s="3337"/>
    </row>
    <row r="43314" spans="7:16" s="1634" customFormat="1">
      <c r="G43314" s="3336"/>
      <c r="P43314" s="3337"/>
    </row>
    <row r="43315" spans="7:16" s="1634" customFormat="1">
      <c r="G43315" s="3336"/>
      <c r="P43315" s="3337"/>
    </row>
    <row r="43316" spans="7:16" s="1634" customFormat="1">
      <c r="G43316" s="3336"/>
      <c r="P43316" s="3337"/>
    </row>
    <row r="43317" spans="7:16" s="1634" customFormat="1">
      <c r="G43317" s="3336"/>
      <c r="P43317" s="3337"/>
    </row>
    <row r="43318" spans="7:16" s="1634" customFormat="1">
      <c r="G43318" s="3336"/>
      <c r="P43318" s="3337"/>
    </row>
    <row r="43319" spans="7:16" s="1634" customFormat="1">
      <c r="G43319" s="3336"/>
      <c r="P43319" s="3337"/>
    </row>
    <row r="43320" spans="7:16" s="1634" customFormat="1">
      <c r="G43320" s="3336"/>
      <c r="P43320" s="3337"/>
    </row>
    <row r="43321" spans="7:16" s="1634" customFormat="1">
      <c r="G43321" s="3336"/>
      <c r="P43321" s="3337"/>
    </row>
    <row r="43322" spans="7:16" s="1634" customFormat="1">
      <c r="G43322" s="3336"/>
      <c r="P43322" s="3337"/>
    </row>
    <row r="43323" spans="7:16" s="1634" customFormat="1">
      <c r="G43323" s="3336"/>
      <c r="P43323" s="3337"/>
    </row>
    <row r="43324" spans="7:16" s="1634" customFormat="1">
      <c r="G43324" s="3336"/>
      <c r="P43324" s="3337"/>
    </row>
    <row r="43325" spans="7:16" s="1634" customFormat="1">
      <c r="G43325" s="3336"/>
      <c r="P43325" s="3337"/>
    </row>
    <row r="43326" spans="7:16" s="1634" customFormat="1">
      <c r="G43326" s="3336"/>
      <c r="P43326" s="3337"/>
    </row>
    <row r="43327" spans="7:16" s="1634" customFormat="1">
      <c r="G43327" s="3336"/>
      <c r="P43327" s="3337"/>
    </row>
    <row r="43328" spans="7:16" s="1634" customFormat="1">
      <c r="G43328" s="3336"/>
      <c r="P43328" s="3337"/>
    </row>
    <row r="43329" spans="7:16" s="1634" customFormat="1">
      <c r="G43329" s="3336"/>
      <c r="P43329" s="3337"/>
    </row>
    <row r="43330" spans="7:16" s="1634" customFormat="1">
      <c r="G43330" s="3336"/>
      <c r="P43330" s="3337"/>
    </row>
    <row r="43331" spans="7:16" s="1634" customFormat="1">
      <c r="G43331" s="3336"/>
      <c r="P43331" s="3337"/>
    </row>
    <row r="43332" spans="7:16" s="1634" customFormat="1">
      <c r="G43332" s="3336"/>
      <c r="P43332" s="3337"/>
    </row>
    <row r="43333" spans="7:16" s="1634" customFormat="1">
      <c r="G43333" s="3336"/>
      <c r="P43333" s="3337"/>
    </row>
    <row r="43334" spans="7:16" s="1634" customFormat="1">
      <c r="G43334" s="3336"/>
      <c r="P43334" s="3337"/>
    </row>
    <row r="43335" spans="7:16" s="1634" customFormat="1">
      <c r="G43335" s="3336"/>
      <c r="P43335" s="3337"/>
    </row>
    <row r="43336" spans="7:16" s="1634" customFormat="1">
      <c r="G43336" s="3336"/>
      <c r="P43336" s="3337"/>
    </row>
    <row r="43337" spans="7:16" s="1634" customFormat="1">
      <c r="G43337" s="3336"/>
      <c r="P43337" s="3337"/>
    </row>
    <row r="43338" spans="7:16" s="1634" customFormat="1">
      <c r="G43338" s="3336"/>
      <c r="P43338" s="3337"/>
    </row>
    <row r="43339" spans="7:16" s="1634" customFormat="1">
      <c r="G43339" s="3336"/>
      <c r="P43339" s="3337"/>
    </row>
    <row r="43340" spans="7:16" s="1634" customFormat="1">
      <c r="G43340" s="3336"/>
      <c r="P43340" s="3337"/>
    </row>
    <row r="43341" spans="7:16" s="1634" customFormat="1">
      <c r="G43341" s="3336"/>
      <c r="P43341" s="3337"/>
    </row>
    <row r="43342" spans="7:16" s="1634" customFormat="1">
      <c r="G43342" s="3336"/>
      <c r="P43342" s="3337"/>
    </row>
    <row r="43343" spans="7:16" s="1634" customFormat="1">
      <c r="G43343" s="3336"/>
      <c r="P43343" s="3337"/>
    </row>
    <row r="43344" spans="7:16" s="1634" customFormat="1">
      <c r="G43344" s="3336"/>
      <c r="P43344" s="3337"/>
    </row>
    <row r="43345" spans="7:16" s="1634" customFormat="1">
      <c r="G43345" s="3336"/>
      <c r="P43345" s="3337"/>
    </row>
    <row r="43346" spans="7:16" s="1634" customFormat="1">
      <c r="G43346" s="3336"/>
      <c r="P43346" s="3337"/>
    </row>
    <row r="43347" spans="7:16" s="1634" customFormat="1">
      <c r="G43347" s="3336"/>
      <c r="P43347" s="3337"/>
    </row>
    <row r="43348" spans="7:16" s="1634" customFormat="1">
      <c r="G43348" s="3336"/>
      <c r="P43348" s="3337"/>
    </row>
    <row r="43349" spans="7:16" s="1634" customFormat="1">
      <c r="G43349" s="3336"/>
      <c r="P43349" s="3337"/>
    </row>
    <row r="43350" spans="7:16" s="1634" customFormat="1">
      <c r="G43350" s="3336"/>
      <c r="P43350" s="3337"/>
    </row>
    <row r="43351" spans="7:16" s="1634" customFormat="1">
      <c r="G43351" s="3336"/>
      <c r="P43351" s="3337"/>
    </row>
    <row r="43352" spans="7:16" s="1634" customFormat="1">
      <c r="G43352" s="3336"/>
      <c r="P43352" s="3337"/>
    </row>
    <row r="43353" spans="7:16" s="1634" customFormat="1">
      <c r="G43353" s="3336"/>
      <c r="P43353" s="3337"/>
    </row>
    <row r="43354" spans="7:16" s="1634" customFormat="1">
      <c r="G43354" s="3336"/>
      <c r="P43354" s="3337"/>
    </row>
    <row r="43355" spans="7:16" s="1634" customFormat="1">
      <c r="G43355" s="3336"/>
      <c r="P43355" s="3337"/>
    </row>
    <row r="43356" spans="7:16" s="1634" customFormat="1">
      <c r="G43356" s="3336"/>
      <c r="P43356" s="3337"/>
    </row>
    <row r="43357" spans="7:16" s="1634" customFormat="1">
      <c r="G43357" s="3336"/>
      <c r="P43357" s="3337"/>
    </row>
    <row r="43358" spans="7:16" s="1634" customFormat="1">
      <c r="G43358" s="3336"/>
      <c r="P43358" s="3337"/>
    </row>
    <row r="43359" spans="7:16" s="1634" customFormat="1">
      <c r="G43359" s="3336"/>
      <c r="P43359" s="3337"/>
    </row>
    <row r="43360" spans="7:16" s="1634" customFormat="1">
      <c r="G43360" s="3336"/>
      <c r="P43360" s="3337"/>
    </row>
    <row r="43361" spans="7:16" s="1634" customFormat="1">
      <c r="G43361" s="3336"/>
      <c r="P43361" s="3337"/>
    </row>
    <row r="43362" spans="7:16" s="1634" customFormat="1">
      <c r="G43362" s="3336"/>
      <c r="P43362" s="3337"/>
    </row>
    <row r="43363" spans="7:16" s="1634" customFormat="1">
      <c r="G43363" s="3336"/>
      <c r="P43363" s="3337"/>
    </row>
    <row r="43364" spans="7:16" s="1634" customFormat="1">
      <c r="G43364" s="3336"/>
      <c r="P43364" s="3337"/>
    </row>
    <row r="43365" spans="7:16" s="1634" customFormat="1">
      <c r="G43365" s="3336"/>
      <c r="P43365" s="3337"/>
    </row>
    <row r="43366" spans="7:16" s="1634" customFormat="1">
      <c r="G43366" s="3336"/>
      <c r="P43366" s="3337"/>
    </row>
    <row r="43367" spans="7:16" s="1634" customFormat="1">
      <c r="G43367" s="3336"/>
      <c r="P43367" s="3337"/>
    </row>
    <row r="43368" spans="7:16" s="1634" customFormat="1">
      <c r="G43368" s="3336"/>
      <c r="P43368" s="3337"/>
    </row>
    <row r="43369" spans="7:16" s="1634" customFormat="1">
      <c r="G43369" s="3336"/>
      <c r="P43369" s="3337"/>
    </row>
    <row r="43370" spans="7:16" s="1634" customFormat="1">
      <c r="G43370" s="3336"/>
      <c r="P43370" s="3337"/>
    </row>
    <row r="43371" spans="7:16" s="1634" customFormat="1">
      <c r="G43371" s="3336"/>
      <c r="P43371" s="3337"/>
    </row>
    <row r="43372" spans="7:16" s="1634" customFormat="1">
      <c r="G43372" s="3336"/>
      <c r="P43372" s="3337"/>
    </row>
    <row r="43373" spans="7:16" s="1634" customFormat="1">
      <c r="G43373" s="3336"/>
      <c r="P43373" s="3337"/>
    </row>
    <row r="43374" spans="7:16" s="1634" customFormat="1">
      <c r="G43374" s="3336"/>
      <c r="P43374" s="3337"/>
    </row>
    <row r="43375" spans="7:16" s="1634" customFormat="1">
      <c r="G43375" s="3336"/>
      <c r="P43375" s="3337"/>
    </row>
    <row r="43376" spans="7:16" s="1634" customFormat="1">
      <c r="G43376" s="3336"/>
      <c r="P43376" s="3337"/>
    </row>
    <row r="43377" spans="7:16" s="1634" customFormat="1">
      <c r="G43377" s="3336"/>
      <c r="P43377" s="3337"/>
    </row>
    <row r="43378" spans="7:16" s="1634" customFormat="1">
      <c r="G43378" s="3336"/>
      <c r="P43378" s="3337"/>
    </row>
    <row r="43379" spans="7:16" s="1634" customFormat="1">
      <c r="G43379" s="3336"/>
      <c r="P43379" s="3337"/>
    </row>
    <row r="43380" spans="7:16" s="1634" customFormat="1">
      <c r="G43380" s="3336"/>
      <c r="P43380" s="3337"/>
    </row>
    <row r="43381" spans="7:16" s="1634" customFormat="1">
      <c r="G43381" s="3336"/>
      <c r="P43381" s="3337"/>
    </row>
    <row r="43382" spans="7:16" s="1634" customFormat="1">
      <c r="G43382" s="3336"/>
      <c r="P43382" s="3337"/>
    </row>
    <row r="43383" spans="7:16" s="1634" customFormat="1">
      <c r="G43383" s="3336"/>
      <c r="P43383" s="3337"/>
    </row>
    <row r="43384" spans="7:16" s="1634" customFormat="1">
      <c r="G43384" s="3336"/>
      <c r="P43384" s="3337"/>
    </row>
    <row r="43385" spans="7:16" s="1634" customFormat="1">
      <c r="G43385" s="3336"/>
      <c r="P43385" s="3337"/>
    </row>
    <row r="43386" spans="7:16" s="1634" customFormat="1">
      <c r="G43386" s="3336"/>
      <c r="P43386" s="3337"/>
    </row>
    <row r="43387" spans="7:16" s="1634" customFormat="1">
      <c r="G43387" s="3336"/>
      <c r="P43387" s="3337"/>
    </row>
    <row r="43388" spans="7:16" s="1634" customFormat="1">
      <c r="G43388" s="3336"/>
      <c r="P43388" s="3337"/>
    </row>
    <row r="43389" spans="7:16" s="1634" customFormat="1">
      <c r="G43389" s="3336"/>
      <c r="P43389" s="3337"/>
    </row>
    <row r="43390" spans="7:16" s="1634" customFormat="1">
      <c r="G43390" s="3336"/>
      <c r="P43390" s="3337"/>
    </row>
    <row r="43391" spans="7:16" s="1634" customFormat="1">
      <c r="G43391" s="3336"/>
      <c r="P43391" s="3337"/>
    </row>
    <row r="43392" spans="7:16" s="1634" customFormat="1">
      <c r="G43392" s="3336"/>
      <c r="P43392" s="3337"/>
    </row>
    <row r="43393" spans="7:16" s="1634" customFormat="1">
      <c r="G43393" s="3336"/>
      <c r="P43393" s="3337"/>
    </row>
    <row r="43394" spans="7:16" s="1634" customFormat="1">
      <c r="G43394" s="3336"/>
      <c r="P43394" s="3337"/>
    </row>
    <row r="43395" spans="7:16" s="1634" customFormat="1">
      <c r="G43395" s="3336"/>
      <c r="P43395" s="3337"/>
    </row>
    <row r="43396" spans="7:16" s="1634" customFormat="1">
      <c r="G43396" s="3336"/>
      <c r="P43396" s="3337"/>
    </row>
    <row r="43397" spans="7:16" s="1634" customFormat="1">
      <c r="G43397" s="3336"/>
      <c r="P43397" s="3337"/>
    </row>
    <row r="43398" spans="7:16" s="1634" customFormat="1">
      <c r="G43398" s="3336"/>
      <c r="P43398" s="3337"/>
    </row>
    <row r="43399" spans="7:16" s="1634" customFormat="1">
      <c r="G43399" s="3336"/>
      <c r="P43399" s="3337"/>
    </row>
    <row r="43400" spans="7:16" s="1634" customFormat="1">
      <c r="G43400" s="3336"/>
      <c r="P43400" s="3337"/>
    </row>
    <row r="43401" spans="7:16" s="1634" customFormat="1">
      <c r="G43401" s="3336"/>
      <c r="P43401" s="3337"/>
    </row>
    <row r="43402" spans="7:16" s="1634" customFormat="1">
      <c r="G43402" s="3336"/>
      <c r="P43402" s="3337"/>
    </row>
    <row r="43403" spans="7:16" s="1634" customFormat="1">
      <c r="G43403" s="3336"/>
      <c r="P43403" s="3337"/>
    </row>
    <row r="43404" spans="7:16" s="1634" customFormat="1">
      <c r="G43404" s="3336"/>
      <c r="P43404" s="3337"/>
    </row>
    <row r="43405" spans="7:16" s="1634" customFormat="1">
      <c r="G43405" s="3336"/>
      <c r="P43405" s="3337"/>
    </row>
    <row r="43406" spans="7:16" s="1634" customFormat="1">
      <c r="G43406" s="3336"/>
      <c r="P43406" s="3337"/>
    </row>
    <row r="43407" spans="7:16" s="1634" customFormat="1">
      <c r="G43407" s="3336"/>
      <c r="P43407" s="3337"/>
    </row>
    <row r="43408" spans="7:16" s="1634" customFormat="1">
      <c r="G43408" s="3336"/>
      <c r="P43408" s="3337"/>
    </row>
    <row r="43409" spans="7:16" s="1634" customFormat="1">
      <c r="G43409" s="3336"/>
      <c r="P43409" s="3337"/>
    </row>
    <row r="43410" spans="7:16" s="1634" customFormat="1">
      <c r="G43410" s="3336"/>
      <c r="P43410" s="3337"/>
    </row>
    <row r="43411" spans="7:16" s="1634" customFormat="1">
      <c r="G43411" s="3336"/>
      <c r="P43411" s="3337"/>
    </row>
    <row r="43412" spans="7:16" s="1634" customFormat="1">
      <c r="G43412" s="3336"/>
      <c r="P43412" s="3337"/>
    </row>
    <row r="43413" spans="7:16" s="1634" customFormat="1">
      <c r="G43413" s="3336"/>
      <c r="P43413" s="3337"/>
    </row>
    <row r="43414" spans="7:16" s="1634" customFormat="1">
      <c r="G43414" s="3336"/>
      <c r="P43414" s="3337"/>
    </row>
    <row r="43415" spans="7:16" s="1634" customFormat="1">
      <c r="G43415" s="3336"/>
      <c r="P43415" s="3337"/>
    </row>
    <row r="43416" spans="7:16" s="1634" customFormat="1">
      <c r="G43416" s="3336"/>
      <c r="P43416" s="3337"/>
    </row>
    <row r="43417" spans="7:16" s="1634" customFormat="1">
      <c r="G43417" s="3336"/>
      <c r="P43417" s="3337"/>
    </row>
    <row r="43418" spans="7:16" s="1634" customFormat="1">
      <c r="G43418" s="3336"/>
      <c r="P43418" s="3337"/>
    </row>
    <row r="43419" spans="7:16" s="1634" customFormat="1">
      <c r="G43419" s="3336"/>
      <c r="P43419" s="3337"/>
    </row>
    <row r="43420" spans="7:16" s="1634" customFormat="1">
      <c r="G43420" s="3336"/>
      <c r="P43420" s="3337"/>
    </row>
    <row r="43421" spans="7:16" s="1634" customFormat="1">
      <c r="G43421" s="3336"/>
      <c r="P43421" s="3337"/>
    </row>
    <row r="43422" spans="7:16" s="1634" customFormat="1">
      <c r="G43422" s="3336"/>
      <c r="P43422" s="3337"/>
    </row>
    <row r="43423" spans="7:16" s="1634" customFormat="1">
      <c r="G43423" s="3336"/>
      <c r="P43423" s="3337"/>
    </row>
    <row r="43424" spans="7:16" s="1634" customFormat="1">
      <c r="G43424" s="3336"/>
      <c r="P43424" s="3337"/>
    </row>
    <row r="43425" spans="7:16" s="1634" customFormat="1">
      <c r="G43425" s="3336"/>
      <c r="P43425" s="3337"/>
    </row>
    <row r="43426" spans="7:16" s="1634" customFormat="1">
      <c r="G43426" s="3336"/>
      <c r="P43426" s="3337"/>
    </row>
    <row r="43427" spans="7:16" s="1634" customFormat="1">
      <c r="G43427" s="3336"/>
      <c r="P43427" s="3337"/>
    </row>
    <row r="43428" spans="7:16" s="1634" customFormat="1">
      <c r="G43428" s="3336"/>
      <c r="P43428" s="3337"/>
    </row>
    <row r="43429" spans="7:16" s="1634" customFormat="1">
      <c r="G43429" s="3336"/>
      <c r="P43429" s="3337"/>
    </row>
    <row r="43430" spans="7:16" s="1634" customFormat="1">
      <c r="G43430" s="3336"/>
      <c r="P43430" s="3337"/>
    </row>
    <row r="43431" spans="7:16" s="1634" customFormat="1">
      <c r="G43431" s="3336"/>
      <c r="P43431" s="3337"/>
    </row>
    <row r="43432" spans="7:16" s="1634" customFormat="1">
      <c r="G43432" s="3336"/>
      <c r="P43432" s="3337"/>
    </row>
    <row r="43433" spans="7:16" s="1634" customFormat="1">
      <c r="G43433" s="3336"/>
      <c r="P43433" s="3337"/>
    </row>
    <row r="43434" spans="7:16" s="1634" customFormat="1">
      <c r="G43434" s="3336"/>
      <c r="P43434" s="3337"/>
    </row>
    <row r="43435" spans="7:16" s="1634" customFormat="1">
      <c r="G43435" s="3336"/>
      <c r="P43435" s="3337"/>
    </row>
    <row r="43436" spans="7:16" s="1634" customFormat="1">
      <c r="G43436" s="3336"/>
      <c r="P43436" s="3337"/>
    </row>
    <row r="43437" spans="7:16" s="1634" customFormat="1">
      <c r="G43437" s="3336"/>
      <c r="P43437" s="3337"/>
    </row>
    <row r="43438" spans="7:16" s="1634" customFormat="1">
      <c r="G43438" s="3336"/>
      <c r="P43438" s="3337"/>
    </row>
    <row r="43439" spans="7:16" s="1634" customFormat="1">
      <c r="G43439" s="3336"/>
      <c r="P43439" s="3337"/>
    </row>
    <row r="43440" spans="7:16" s="1634" customFormat="1">
      <c r="G43440" s="3336"/>
      <c r="P43440" s="3337"/>
    </row>
    <row r="43441" spans="7:16" s="1634" customFormat="1">
      <c r="G43441" s="3336"/>
      <c r="P43441" s="3337"/>
    </row>
    <row r="43442" spans="7:16" s="1634" customFormat="1">
      <c r="G43442" s="3336"/>
      <c r="P43442" s="3337"/>
    </row>
    <row r="43443" spans="7:16" s="1634" customFormat="1">
      <c r="G43443" s="3336"/>
      <c r="P43443" s="3337"/>
    </row>
    <row r="43444" spans="7:16" s="1634" customFormat="1">
      <c r="G43444" s="3336"/>
      <c r="P43444" s="3337"/>
    </row>
    <row r="43445" spans="7:16" s="1634" customFormat="1">
      <c r="G43445" s="3336"/>
      <c r="P43445" s="3337"/>
    </row>
    <row r="43446" spans="7:16" s="1634" customFormat="1">
      <c r="G43446" s="3336"/>
      <c r="P43446" s="3337"/>
    </row>
    <row r="43447" spans="7:16" s="1634" customFormat="1">
      <c r="G43447" s="3336"/>
      <c r="P43447" s="3337"/>
    </row>
    <row r="43448" spans="7:16" s="1634" customFormat="1">
      <c r="G43448" s="3336"/>
      <c r="P43448" s="3337"/>
    </row>
    <row r="43449" spans="7:16" s="1634" customFormat="1">
      <c r="G43449" s="3336"/>
      <c r="P43449" s="3337"/>
    </row>
    <row r="43450" spans="7:16" s="1634" customFormat="1">
      <c r="G43450" s="3336"/>
      <c r="P43450" s="3337"/>
    </row>
    <row r="43451" spans="7:16" s="1634" customFormat="1">
      <c r="G43451" s="3336"/>
      <c r="P43451" s="3337"/>
    </row>
    <row r="43452" spans="7:16" s="1634" customFormat="1">
      <c r="G43452" s="3336"/>
      <c r="P43452" s="3337"/>
    </row>
    <row r="43453" spans="7:16" s="1634" customFormat="1">
      <c r="G43453" s="3336"/>
      <c r="P43453" s="3337"/>
    </row>
    <row r="43454" spans="7:16" s="1634" customFormat="1">
      <c r="G43454" s="3336"/>
      <c r="P43454" s="3337"/>
    </row>
    <row r="43455" spans="7:16" s="1634" customFormat="1">
      <c r="G43455" s="3336"/>
      <c r="P43455" s="3337"/>
    </row>
    <row r="43456" spans="7:16" s="1634" customFormat="1">
      <c r="G43456" s="3336"/>
      <c r="P43456" s="3337"/>
    </row>
    <row r="43457" spans="7:16" s="1634" customFormat="1">
      <c r="G43457" s="3336"/>
      <c r="P43457" s="3337"/>
    </row>
    <row r="43458" spans="7:16" s="1634" customFormat="1">
      <c r="G43458" s="3336"/>
      <c r="P43458" s="3337"/>
    </row>
    <row r="43459" spans="7:16" s="1634" customFormat="1">
      <c r="G43459" s="3336"/>
      <c r="P43459" s="3337"/>
    </row>
    <row r="43460" spans="7:16" s="1634" customFormat="1">
      <c r="G43460" s="3336"/>
      <c r="P43460" s="3337"/>
    </row>
    <row r="43461" spans="7:16" s="1634" customFormat="1">
      <c r="G43461" s="3336"/>
      <c r="P43461" s="3337"/>
    </row>
    <row r="43462" spans="7:16" s="1634" customFormat="1">
      <c r="G43462" s="3336"/>
      <c r="P43462" s="3337"/>
    </row>
    <row r="43463" spans="7:16" s="1634" customFormat="1">
      <c r="G43463" s="3336"/>
      <c r="P43463" s="3337"/>
    </row>
    <row r="43464" spans="7:16" s="1634" customFormat="1">
      <c r="G43464" s="3336"/>
      <c r="P43464" s="3337"/>
    </row>
    <row r="43465" spans="7:16" s="1634" customFormat="1">
      <c r="G43465" s="3336"/>
      <c r="P43465" s="3337"/>
    </row>
    <row r="43466" spans="7:16" s="1634" customFormat="1">
      <c r="G43466" s="3336"/>
      <c r="P43466" s="3337"/>
    </row>
    <row r="43467" spans="7:16" s="1634" customFormat="1">
      <c r="G43467" s="3336"/>
      <c r="P43467" s="3337"/>
    </row>
    <row r="43468" spans="7:16" s="1634" customFormat="1">
      <c r="G43468" s="3336"/>
      <c r="P43468" s="3337"/>
    </row>
    <row r="43469" spans="7:16" s="1634" customFormat="1">
      <c r="G43469" s="3336"/>
      <c r="P43469" s="3337"/>
    </row>
    <row r="43470" spans="7:16" s="1634" customFormat="1">
      <c r="G43470" s="3336"/>
      <c r="P43470" s="3337"/>
    </row>
    <row r="43471" spans="7:16" s="1634" customFormat="1">
      <c r="G43471" s="3336"/>
      <c r="P43471" s="3337"/>
    </row>
    <row r="43472" spans="7:16" s="1634" customFormat="1">
      <c r="G43472" s="3336"/>
      <c r="P43472" s="3337"/>
    </row>
    <row r="43473" spans="7:16" s="1634" customFormat="1">
      <c r="G43473" s="3336"/>
      <c r="P43473" s="3337"/>
    </row>
    <row r="43474" spans="7:16" s="1634" customFormat="1">
      <c r="G43474" s="3336"/>
      <c r="P43474" s="3337"/>
    </row>
    <row r="43475" spans="7:16" s="1634" customFormat="1">
      <c r="G43475" s="3336"/>
      <c r="P43475" s="3337"/>
    </row>
    <row r="43476" spans="7:16" s="1634" customFormat="1">
      <c r="G43476" s="3336"/>
      <c r="P43476" s="3337"/>
    </row>
    <row r="43477" spans="7:16" s="1634" customFormat="1">
      <c r="G43477" s="3336"/>
      <c r="P43477" s="3337"/>
    </row>
    <row r="43478" spans="7:16" s="1634" customFormat="1">
      <c r="G43478" s="3336"/>
      <c r="P43478" s="3337"/>
    </row>
    <row r="43479" spans="7:16" s="1634" customFormat="1">
      <c r="G43479" s="3336"/>
      <c r="P43479" s="3337"/>
    </row>
    <row r="43480" spans="7:16" s="1634" customFormat="1">
      <c r="G43480" s="3336"/>
      <c r="P43480" s="3337"/>
    </row>
    <row r="43481" spans="7:16" s="1634" customFormat="1">
      <c r="G43481" s="3336"/>
      <c r="P43481" s="3337"/>
    </row>
    <row r="43482" spans="7:16" s="1634" customFormat="1">
      <c r="G43482" s="3336"/>
      <c r="P43482" s="3337"/>
    </row>
    <row r="43483" spans="7:16" s="1634" customFormat="1">
      <c r="G43483" s="3336"/>
      <c r="P43483" s="3337"/>
    </row>
    <row r="43484" spans="7:16" s="1634" customFormat="1">
      <c r="G43484" s="3336"/>
      <c r="P43484" s="3337"/>
    </row>
    <row r="43485" spans="7:16" s="1634" customFormat="1">
      <c r="G43485" s="3336"/>
      <c r="P43485" s="3337"/>
    </row>
    <row r="43486" spans="7:16" s="1634" customFormat="1">
      <c r="G43486" s="3336"/>
      <c r="P43486" s="3337"/>
    </row>
    <row r="43487" spans="7:16" s="1634" customFormat="1">
      <c r="G43487" s="3336"/>
      <c r="P43487" s="3337"/>
    </row>
    <row r="43488" spans="7:16" s="1634" customFormat="1">
      <c r="G43488" s="3336"/>
      <c r="P43488" s="3337"/>
    </row>
    <row r="43489" spans="7:16" s="1634" customFormat="1">
      <c r="G43489" s="3336"/>
      <c r="P43489" s="3337"/>
    </row>
    <row r="43490" spans="7:16" s="1634" customFormat="1">
      <c r="G43490" s="3336"/>
      <c r="P43490" s="3337"/>
    </row>
    <row r="43491" spans="7:16" s="1634" customFormat="1">
      <c r="G43491" s="3336"/>
      <c r="P43491" s="3337"/>
    </row>
    <row r="43492" spans="7:16" s="1634" customFormat="1">
      <c r="G43492" s="3336"/>
      <c r="P43492" s="3337"/>
    </row>
    <row r="43493" spans="7:16" s="1634" customFormat="1">
      <c r="G43493" s="3336"/>
      <c r="P43493" s="3337"/>
    </row>
    <row r="43494" spans="7:16" s="1634" customFormat="1">
      <c r="G43494" s="3336"/>
      <c r="P43494" s="3337"/>
    </row>
    <row r="43495" spans="7:16" s="1634" customFormat="1">
      <c r="G43495" s="3336"/>
      <c r="P43495" s="3337"/>
    </row>
    <row r="43496" spans="7:16" s="1634" customFormat="1">
      <c r="G43496" s="3336"/>
      <c r="P43496" s="3337"/>
    </row>
    <row r="43497" spans="7:16" s="1634" customFormat="1">
      <c r="G43497" s="3336"/>
      <c r="P43497" s="3337"/>
    </row>
    <row r="43498" spans="7:16" s="1634" customFormat="1">
      <c r="G43498" s="3336"/>
      <c r="P43498" s="3337"/>
    </row>
    <row r="43499" spans="7:16" s="1634" customFormat="1">
      <c r="G43499" s="3336"/>
      <c r="P43499" s="3337"/>
    </row>
    <row r="43500" spans="7:16" s="1634" customFormat="1">
      <c r="G43500" s="3336"/>
      <c r="P43500" s="3337"/>
    </row>
    <row r="43501" spans="7:16" s="1634" customFormat="1">
      <c r="G43501" s="3336"/>
      <c r="P43501" s="3337"/>
    </row>
    <row r="43502" spans="7:16" s="1634" customFormat="1">
      <c r="G43502" s="3336"/>
      <c r="P43502" s="3337"/>
    </row>
    <row r="43503" spans="7:16" s="1634" customFormat="1">
      <c r="G43503" s="3336"/>
      <c r="P43503" s="3337"/>
    </row>
    <row r="43504" spans="7:16" s="1634" customFormat="1">
      <c r="G43504" s="3336"/>
      <c r="P43504" s="3337"/>
    </row>
    <row r="43505" spans="7:16" s="1634" customFormat="1">
      <c r="G43505" s="3336"/>
      <c r="P43505" s="3337"/>
    </row>
    <row r="43506" spans="7:16" s="1634" customFormat="1">
      <c r="G43506" s="3336"/>
      <c r="P43506" s="3337"/>
    </row>
    <row r="43507" spans="7:16" s="1634" customFormat="1">
      <c r="G43507" s="3336"/>
      <c r="P43507" s="3337"/>
    </row>
    <row r="43508" spans="7:16" s="1634" customFormat="1">
      <c r="G43508" s="3336"/>
      <c r="P43508" s="3337"/>
    </row>
    <row r="43509" spans="7:16" s="1634" customFormat="1">
      <c r="G43509" s="3336"/>
      <c r="P43509" s="3337"/>
    </row>
    <row r="43510" spans="7:16" s="1634" customFormat="1">
      <c r="G43510" s="3336"/>
      <c r="P43510" s="3337"/>
    </row>
    <row r="43511" spans="7:16" s="1634" customFormat="1">
      <c r="G43511" s="3336"/>
      <c r="P43511" s="3337"/>
    </row>
    <row r="43512" spans="7:16" s="1634" customFormat="1">
      <c r="G43512" s="3336"/>
      <c r="P43512" s="3337"/>
    </row>
    <row r="43513" spans="7:16" s="1634" customFormat="1">
      <c r="G43513" s="3336"/>
      <c r="P43513" s="3337"/>
    </row>
    <row r="43514" spans="7:16" s="1634" customFormat="1">
      <c r="G43514" s="3336"/>
      <c r="P43514" s="3337"/>
    </row>
    <row r="43515" spans="7:16" s="1634" customFormat="1">
      <c r="G43515" s="3336"/>
      <c r="P43515" s="3337"/>
    </row>
    <row r="43516" spans="7:16" s="1634" customFormat="1">
      <c r="G43516" s="3336"/>
      <c r="P43516" s="3337"/>
    </row>
    <row r="43517" spans="7:16" s="1634" customFormat="1">
      <c r="G43517" s="3336"/>
      <c r="P43517" s="3337"/>
    </row>
    <row r="43518" spans="7:16" s="1634" customFormat="1">
      <c r="G43518" s="3336"/>
      <c r="P43518" s="3337"/>
    </row>
    <row r="43519" spans="7:16" s="1634" customFormat="1">
      <c r="G43519" s="3336"/>
      <c r="P43519" s="3337"/>
    </row>
    <row r="43520" spans="7:16" s="1634" customFormat="1">
      <c r="G43520" s="3336"/>
      <c r="P43520" s="3337"/>
    </row>
    <row r="43521" spans="7:16" s="1634" customFormat="1">
      <c r="G43521" s="3336"/>
      <c r="P43521" s="3337"/>
    </row>
    <row r="43522" spans="7:16" s="1634" customFormat="1">
      <c r="G43522" s="3336"/>
      <c r="P43522" s="3337"/>
    </row>
    <row r="43523" spans="7:16" s="1634" customFormat="1">
      <c r="G43523" s="3336"/>
      <c r="P43523" s="3337"/>
    </row>
    <row r="43524" spans="7:16" s="1634" customFormat="1">
      <c r="G43524" s="3336"/>
      <c r="P43524" s="3337"/>
    </row>
    <row r="43525" spans="7:16" s="1634" customFormat="1">
      <c r="G43525" s="3336"/>
      <c r="P43525" s="3337"/>
    </row>
    <row r="43526" spans="7:16" s="1634" customFormat="1">
      <c r="G43526" s="3336"/>
      <c r="P43526" s="3337"/>
    </row>
    <row r="43527" spans="7:16" s="1634" customFormat="1">
      <c r="G43527" s="3336"/>
      <c r="P43527" s="3337"/>
    </row>
    <row r="43528" spans="7:16" s="1634" customFormat="1">
      <c r="G43528" s="3336"/>
      <c r="P43528" s="3337"/>
    </row>
    <row r="43529" spans="7:16" s="1634" customFormat="1">
      <c r="G43529" s="3336"/>
      <c r="P43529" s="3337"/>
    </row>
    <row r="43530" spans="7:16" s="1634" customFormat="1">
      <c r="G43530" s="3336"/>
      <c r="P43530" s="3337"/>
    </row>
    <row r="43531" spans="7:16" s="1634" customFormat="1">
      <c r="G43531" s="3336"/>
      <c r="P43531" s="3337"/>
    </row>
    <row r="43532" spans="7:16" s="1634" customFormat="1">
      <c r="G43532" s="3336"/>
      <c r="P43532" s="3337"/>
    </row>
    <row r="43533" spans="7:16" s="1634" customFormat="1">
      <c r="G43533" s="3336"/>
      <c r="P43533" s="3337"/>
    </row>
    <row r="43534" spans="7:16" s="1634" customFormat="1">
      <c r="G43534" s="3336"/>
      <c r="P43534" s="3337"/>
    </row>
    <row r="43535" spans="7:16" s="1634" customFormat="1">
      <c r="G43535" s="3336"/>
      <c r="P43535" s="3337"/>
    </row>
    <row r="43536" spans="7:16" s="1634" customFormat="1">
      <c r="G43536" s="3336"/>
      <c r="P43536" s="3337"/>
    </row>
    <row r="43537" spans="7:16" s="1634" customFormat="1">
      <c r="G43537" s="3336"/>
      <c r="P43537" s="3337"/>
    </row>
    <row r="43538" spans="7:16" s="1634" customFormat="1">
      <c r="G43538" s="3336"/>
      <c r="P43538" s="3337"/>
    </row>
    <row r="43539" spans="7:16" s="1634" customFormat="1">
      <c r="G43539" s="3336"/>
      <c r="P43539" s="3337"/>
    </row>
    <row r="43540" spans="7:16" s="1634" customFormat="1">
      <c r="G43540" s="3336"/>
      <c r="P43540" s="3337"/>
    </row>
    <row r="43541" spans="7:16" s="1634" customFormat="1">
      <c r="G43541" s="3336"/>
      <c r="P43541" s="3337"/>
    </row>
    <row r="43542" spans="7:16" s="1634" customFormat="1">
      <c r="G43542" s="3336"/>
      <c r="P43542" s="3337"/>
    </row>
    <row r="43543" spans="7:16" s="1634" customFormat="1">
      <c r="G43543" s="3336"/>
      <c r="P43543" s="3337"/>
    </row>
    <row r="43544" spans="7:16" s="1634" customFormat="1">
      <c r="G43544" s="3336"/>
      <c r="P43544" s="3337"/>
    </row>
    <row r="43545" spans="7:16" s="1634" customFormat="1">
      <c r="G43545" s="3336"/>
      <c r="P43545" s="3337"/>
    </row>
    <row r="43546" spans="7:16" s="1634" customFormat="1">
      <c r="G43546" s="3336"/>
      <c r="P43546" s="3337"/>
    </row>
    <row r="43547" spans="7:16" s="1634" customFormat="1">
      <c r="G43547" s="3336"/>
      <c r="P43547" s="3337"/>
    </row>
    <row r="43548" spans="7:16" s="1634" customFormat="1">
      <c r="G43548" s="3336"/>
      <c r="P43548" s="3337"/>
    </row>
    <row r="43549" spans="7:16" s="1634" customFormat="1">
      <c r="G43549" s="3336"/>
      <c r="P43549" s="3337"/>
    </row>
    <row r="43550" spans="7:16" s="1634" customFormat="1">
      <c r="G43550" s="3336"/>
      <c r="P43550" s="3337"/>
    </row>
    <row r="43551" spans="7:16" s="1634" customFormat="1">
      <c r="G43551" s="3336"/>
      <c r="P43551" s="3337"/>
    </row>
    <row r="43552" spans="7:16" s="1634" customFormat="1">
      <c r="G43552" s="3336"/>
      <c r="P43552" s="3337"/>
    </row>
    <row r="43553" spans="7:16" s="1634" customFormat="1">
      <c r="G43553" s="3336"/>
      <c r="P43553" s="3337"/>
    </row>
    <row r="43554" spans="7:16" s="1634" customFormat="1">
      <c r="G43554" s="3336"/>
      <c r="P43554" s="3337"/>
    </row>
    <row r="43555" spans="7:16" s="1634" customFormat="1">
      <c r="G43555" s="3336"/>
      <c r="P43555" s="3337"/>
    </row>
    <row r="43556" spans="7:16" s="1634" customFormat="1">
      <c r="G43556" s="3336"/>
      <c r="P43556" s="3337"/>
    </row>
    <row r="43557" spans="7:16" s="1634" customFormat="1">
      <c r="G43557" s="3336"/>
      <c r="P43557" s="3337"/>
    </row>
    <row r="43558" spans="7:16" s="1634" customFormat="1">
      <c r="G43558" s="3336"/>
      <c r="P43558" s="3337"/>
    </row>
    <row r="43559" spans="7:16" s="1634" customFormat="1">
      <c r="G43559" s="3336"/>
      <c r="P43559" s="3337"/>
    </row>
    <row r="43560" spans="7:16" s="1634" customFormat="1">
      <c r="G43560" s="3336"/>
      <c r="P43560" s="3337"/>
    </row>
    <row r="43561" spans="7:16" s="1634" customFormat="1">
      <c r="G43561" s="3336"/>
      <c r="P43561" s="3337"/>
    </row>
    <row r="43562" spans="7:16" s="1634" customFormat="1">
      <c r="G43562" s="3336"/>
      <c r="P43562" s="3337"/>
    </row>
    <row r="43563" spans="7:16" s="1634" customFormat="1">
      <c r="G43563" s="3336"/>
      <c r="P43563" s="3337"/>
    </row>
    <row r="43564" spans="7:16" s="1634" customFormat="1">
      <c r="G43564" s="3336"/>
      <c r="P43564" s="3337"/>
    </row>
    <row r="43565" spans="7:16" s="1634" customFormat="1">
      <c r="G43565" s="3336"/>
      <c r="P43565" s="3337"/>
    </row>
    <row r="43566" spans="7:16" s="1634" customFormat="1">
      <c r="G43566" s="3336"/>
      <c r="P43566" s="3337"/>
    </row>
    <row r="43567" spans="7:16" s="1634" customFormat="1">
      <c r="G43567" s="3336"/>
      <c r="P43567" s="3337"/>
    </row>
    <row r="43568" spans="7:16" s="1634" customFormat="1">
      <c r="G43568" s="3336"/>
      <c r="P43568" s="3337"/>
    </row>
    <row r="43569" spans="7:16" s="1634" customFormat="1">
      <c r="G43569" s="3336"/>
      <c r="P43569" s="3337"/>
    </row>
    <row r="43570" spans="7:16" s="1634" customFormat="1">
      <c r="G43570" s="3336"/>
      <c r="P43570" s="3337"/>
    </row>
    <row r="43571" spans="7:16" s="1634" customFormat="1">
      <c r="G43571" s="3336"/>
      <c r="P43571" s="3337"/>
    </row>
    <row r="43572" spans="7:16" s="1634" customFormat="1">
      <c r="G43572" s="3336"/>
      <c r="P43572" s="3337"/>
    </row>
    <row r="43573" spans="7:16" s="1634" customFormat="1">
      <c r="G43573" s="3336"/>
      <c r="P43573" s="3337"/>
    </row>
    <row r="43574" spans="7:16" s="1634" customFormat="1">
      <c r="G43574" s="3336"/>
      <c r="P43574" s="3337"/>
    </row>
    <row r="43575" spans="7:16" s="1634" customFormat="1">
      <c r="G43575" s="3336"/>
      <c r="P43575" s="3337"/>
    </row>
    <row r="43576" spans="7:16" s="1634" customFormat="1">
      <c r="G43576" s="3336"/>
      <c r="P43576" s="3337"/>
    </row>
    <row r="43577" spans="7:16" s="1634" customFormat="1">
      <c r="G43577" s="3336"/>
      <c r="P43577" s="3337"/>
    </row>
    <row r="43578" spans="7:16" s="1634" customFormat="1">
      <c r="G43578" s="3336"/>
      <c r="P43578" s="3337"/>
    </row>
    <row r="43579" spans="7:16" s="1634" customFormat="1">
      <c r="G43579" s="3336"/>
      <c r="P43579" s="3337"/>
    </row>
    <row r="43580" spans="7:16" s="1634" customFormat="1">
      <c r="G43580" s="3336"/>
      <c r="P43580" s="3337"/>
    </row>
    <row r="43581" spans="7:16" s="1634" customFormat="1">
      <c r="G43581" s="3336"/>
      <c r="P43581" s="3337"/>
    </row>
    <row r="43582" spans="7:16" s="1634" customFormat="1">
      <c r="G43582" s="3336"/>
      <c r="P43582" s="3337"/>
    </row>
    <row r="43583" spans="7:16" s="1634" customFormat="1">
      <c r="G43583" s="3336"/>
      <c r="P43583" s="3337"/>
    </row>
    <row r="43584" spans="7:16" s="1634" customFormat="1">
      <c r="G43584" s="3336"/>
      <c r="P43584" s="3337"/>
    </row>
    <row r="43585" spans="7:16" s="1634" customFormat="1">
      <c r="G43585" s="3336"/>
      <c r="P43585" s="3337"/>
    </row>
    <row r="43586" spans="7:16" s="1634" customFormat="1">
      <c r="G43586" s="3336"/>
      <c r="P43586" s="3337"/>
    </row>
    <row r="43587" spans="7:16" s="1634" customFormat="1">
      <c r="G43587" s="3336"/>
      <c r="P43587" s="3337"/>
    </row>
    <row r="43588" spans="7:16" s="1634" customFormat="1">
      <c r="G43588" s="3336"/>
      <c r="P43588" s="3337"/>
    </row>
    <row r="43589" spans="7:16" s="1634" customFormat="1">
      <c r="G43589" s="3336"/>
      <c r="P43589" s="3337"/>
    </row>
    <row r="43590" spans="7:16" s="1634" customFormat="1">
      <c r="G43590" s="3336"/>
      <c r="P43590" s="3337"/>
    </row>
    <row r="43591" spans="7:16" s="1634" customFormat="1">
      <c r="G43591" s="3336"/>
      <c r="P43591" s="3337"/>
    </row>
    <row r="43592" spans="7:16" s="1634" customFormat="1">
      <c r="G43592" s="3336"/>
      <c r="P43592" s="3337"/>
    </row>
    <row r="43593" spans="7:16" s="1634" customFormat="1">
      <c r="G43593" s="3336"/>
      <c r="P43593" s="3337"/>
    </row>
    <row r="43594" spans="7:16" s="1634" customFormat="1">
      <c r="G43594" s="3336"/>
      <c r="P43594" s="3337"/>
    </row>
    <row r="43595" spans="7:16" s="1634" customFormat="1">
      <c r="G43595" s="3336"/>
      <c r="P43595" s="3337"/>
    </row>
    <row r="43596" spans="7:16" s="1634" customFormat="1">
      <c r="G43596" s="3336"/>
      <c r="P43596" s="3337"/>
    </row>
    <row r="43597" spans="7:16" s="1634" customFormat="1">
      <c r="G43597" s="3336"/>
      <c r="P43597" s="3337"/>
    </row>
    <row r="43598" spans="7:16" s="1634" customFormat="1">
      <c r="G43598" s="3336"/>
      <c r="P43598" s="3337"/>
    </row>
    <row r="43599" spans="7:16" s="1634" customFormat="1">
      <c r="G43599" s="3336"/>
      <c r="P43599" s="3337"/>
    </row>
    <row r="43600" spans="7:16" s="1634" customFormat="1">
      <c r="G43600" s="3336"/>
      <c r="P43600" s="3337"/>
    </row>
    <row r="43601" spans="7:16" s="1634" customFormat="1">
      <c r="G43601" s="3336"/>
      <c r="P43601" s="3337"/>
    </row>
    <row r="43602" spans="7:16" s="1634" customFormat="1">
      <c r="G43602" s="3336"/>
      <c r="P43602" s="3337"/>
    </row>
    <row r="43603" spans="7:16" s="1634" customFormat="1">
      <c r="G43603" s="3336"/>
      <c r="P43603" s="3337"/>
    </row>
    <row r="43604" spans="7:16" s="1634" customFormat="1">
      <c r="G43604" s="3336"/>
      <c r="P43604" s="3337"/>
    </row>
    <row r="43605" spans="7:16" s="1634" customFormat="1">
      <c r="G43605" s="3336"/>
      <c r="P43605" s="3337"/>
    </row>
    <row r="43606" spans="7:16" s="1634" customFormat="1">
      <c r="G43606" s="3336"/>
      <c r="P43606" s="3337"/>
    </row>
    <row r="43607" spans="7:16" s="1634" customFormat="1">
      <c r="G43607" s="3336"/>
      <c r="P43607" s="3337"/>
    </row>
    <row r="43608" spans="7:16" s="1634" customFormat="1">
      <c r="G43608" s="3336"/>
      <c r="P43608" s="3337"/>
    </row>
    <row r="43609" spans="7:16" s="1634" customFormat="1">
      <c r="G43609" s="3336"/>
      <c r="P43609" s="3337"/>
    </row>
    <row r="43610" spans="7:16" s="1634" customFormat="1">
      <c r="G43610" s="3336"/>
      <c r="P43610" s="3337"/>
    </row>
    <row r="43611" spans="7:16" s="1634" customFormat="1">
      <c r="G43611" s="3336"/>
      <c r="P43611" s="3337"/>
    </row>
    <row r="43612" spans="7:16" s="1634" customFormat="1">
      <c r="G43612" s="3336"/>
      <c r="P43612" s="3337"/>
    </row>
    <row r="43613" spans="7:16" s="1634" customFormat="1">
      <c r="G43613" s="3336"/>
      <c r="P43613" s="3337"/>
    </row>
    <row r="43614" spans="7:16" s="1634" customFormat="1">
      <c r="G43614" s="3336"/>
      <c r="P43614" s="3337"/>
    </row>
    <row r="43615" spans="7:16" s="1634" customFormat="1">
      <c r="G43615" s="3336"/>
      <c r="P43615" s="3337"/>
    </row>
    <row r="43616" spans="7:16" s="1634" customFormat="1">
      <c r="G43616" s="3336"/>
      <c r="P43616" s="3337"/>
    </row>
    <row r="43617" spans="7:16" s="1634" customFormat="1">
      <c r="G43617" s="3336"/>
      <c r="P43617" s="3337"/>
    </row>
    <row r="43618" spans="7:16" s="1634" customFormat="1">
      <c r="G43618" s="3336"/>
      <c r="P43618" s="3337"/>
    </row>
    <row r="43619" spans="7:16" s="1634" customFormat="1">
      <c r="G43619" s="3336"/>
      <c r="P43619" s="3337"/>
    </row>
    <row r="43620" spans="7:16" s="1634" customFormat="1">
      <c r="G43620" s="3336"/>
      <c r="P43620" s="3337"/>
    </row>
    <row r="43621" spans="7:16" s="1634" customFormat="1">
      <c r="G43621" s="3336"/>
      <c r="P43621" s="3337"/>
    </row>
    <row r="43622" spans="7:16" s="1634" customFormat="1">
      <c r="G43622" s="3336"/>
      <c r="P43622" s="3337"/>
    </row>
    <row r="43623" spans="7:16" s="1634" customFormat="1">
      <c r="G43623" s="3336"/>
      <c r="P43623" s="3337"/>
    </row>
    <row r="43624" spans="7:16" s="1634" customFormat="1">
      <c r="G43624" s="3336"/>
      <c r="P43624" s="3337"/>
    </row>
    <row r="43625" spans="7:16" s="1634" customFormat="1">
      <c r="G43625" s="3336"/>
      <c r="P43625" s="3337"/>
    </row>
    <row r="43626" spans="7:16" s="1634" customFormat="1">
      <c r="G43626" s="3336"/>
      <c r="P43626" s="3337"/>
    </row>
    <row r="43627" spans="7:16" s="1634" customFormat="1">
      <c r="G43627" s="3336"/>
      <c r="P43627" s="3337"/>
    </row>
    <row r="43628" spans="7:16" s="1634" customFormat="1">
      <c r="G43628" s="3336"/>
      <c r="P43628" s="3337"/>
    </row>
    <row r="43629" spans="7:16" s="1634" customFormat="1">
      <c r="G43629" s="3336"/>
      <c r="P43629" s="3337"/>
    </row>
    <row r="43630" spans="7:16" s="1634" customFormat="1">
      <c r="G43630" s="3336"/>
      <c r="P43630" s="3337"/>
    </row>
    <row r="43631" spans="7:16" s="1634" customFormat="1">
      <c r="G43631" s="3336"/>
      <c r="P43631" s="3337"/>
    </row>
    <row r="43632" spans="7:16" s="1634" customFormat="1">
      <c r="G43632" s="3336"/>
      <c r="P43632" s="3337"/>
    </row>
    <row r="43633" spans="7:16" s="1634" customFormat="1">
      <c r="G43633" s="3336"/>
      <c r="P43633" s="3337"/>
    </row>
    <row r="43634" spans="7:16" s="1634" customFormat="1">
      <c r="G43634" s="3336"/>
      <c r="P43634" s="3337"/>
    </row>
    <row r="43635" spans="7:16" s="1634" customFormat="1">
      <c r="G43635" s="3336"/>
      <c r="P43635" s="3337"/>
    </row>
    <row r="43636" spans="7:16" s="1634" customFormat="1">
      <c r="G43636" s="3336"/>
      <c r="P43636" s="3337"/>
    </row>
    <row r="43637" spans="7:16" s="1634" customFormat="1">
      <c r="G43637" s="3336"/>
      <c r="P43637" s="3337"/>
    </row>
    <row r="43638" spans="7:16" s="1634" customFormat="1">
      <c r="G43638" s="3336"/>
      <c r="P43638" s="3337"/>
    </row>
    <row r="43639" spans="7:16" s="1634" customFormat="1">
      <c r="G43639" s="3336"/>
      <c r="P43639" s="3337"/>
    </row>
    <row r="43640" spans="7:16" s="1634" customFormat="1">
      <c r="G43640" s="3336"/>
      <c r="P43640" s="3337"/>
    </row>
    <row r="43641" spans="7:16" s="1634" customFormat="1">
      <c r="G43641" s="3336"/>
      <c r="P43641" s="3337"/>
    </row>
    <row r="43642" spans="7:16" s="1634" customFormat="1">
      <c r="G43642" s="3336"/>
      <c r="P43642" s="3337"/>
    </row>
    <row r="43643" spans="7:16" s="1634" customFormat="1">
      <c r="G43643" s="3336"/>
      <c r="P43643" s="3337"/>
    </row>
    <row r="43644" spans="7:16" s="1634" customFormat="1">
      <c r="G43644" s="3336"/>
      <c r="P43644" s="3337"/>
    </row>
    <row r="43645" spans="7:16" s="1634" customFormat="1">
      <c r="G43645" s="3336"/>
      <c r="P43645" s="3337"/>
    </row>
    <row r="43646" spans="7:16" s="1634" customFormat="1">
      <c r="G43646" s="3336"/>
      <c r="P43646" s="3337"/>
    </row>
    <row r="43647" spans="7:16" s="1634" customFormat="1">
      <c r="G43647" s="3336"/>
      <c r="P43647" s="3337"/>
    </row>
    <row r="43648" spans="7:16" s="1634" customFormat="1">
      <c r="G43648" s="3336"/>
      <c r="P43648" s="3337"/>
    </row>
    <row r="43649" spans="7:16" s="1634" customFormat="1">
      <c r="G43649" s="3336"/>
      <c r="P43649" s="3337"/>
    </row>
    <row r="43650" spans="7:16" s="1634" customFormat="1">
      <c r="G43650" s="3336"/>
      <c r="P43650" s="3337"/>
    </row>
    <row r="43651" spans="7:16" s="1634" customFormat="1">
      <c r="G43651" s="3336"/>
      <c r="P43651" s="3337"/>
    </row>
    <row r="43652" spans="7:16" s="1634" customFormat="1">
      <c r="G43652" s="3336"/>
      <c r="P43652" s="3337"/>
    </row>
    <row r="43653" spans="7:16" s="1634" customFormat="1">
      <c r="G43653" s="3336"/>
      <c r="P43653" s="3337"/>
    </row>
    <row r="43654" spans="7:16" s="1634" customFormat="1">
      <c r="G43654" s="3336"/>
      <c r="P43654" s="3337"/>
    </row>
    <row r="43655" spans="7:16" s="1634" customFormat="1">
      <c r="G43655" s="3336"/>
      <c r="P43655" s="3337"/>
    </row>
    <row r="43656" spans="7:16" s="1634" customFormat="1">
      <c r="G43656" s="3336"/>
      <c r="P43656" s="3337"/>
    </row>
    <row r="43657" spans="7:16" s="1634" customFormat="1">
      <c r="G43657" s="3336"/>
      <c r="P43657" s="3337"/>
    </row>
    <row r="43658" spans="7:16" s="1634" customFormat="1">
      <c r="G43658" s="3336"/>
      <c r="P43658" s="3337"/>
    </row>
    <row r="43659" spans="7:16" s="1634" customFormat="1">
      <c r="G43659" s="3336"/>
      <c r="P43659" s="3337"/>
    </row>
    <row r="43660" spans="7:16" s="1634" customFormat="1">
      <c r="G43660" s="3336"/>
      <c r="P43660" s="3337"/>
    </row>
    <row r="43661" spans="7:16" s="1634" customFormat="1">
      <c r="G43661" s="3336"/>
      <c r="P43661" s="3337"/>
    </row>
    <row r="43662" spans="7:16" s="1634" customFormat="1">
      <c r="G43662" s="3336"/>
      <c r="P43662" s="3337"/>
    </row>
    <row r="43663" spans="7:16" s="1634" customFormat="1">
      <c r="G43663" s="3336"/>
      <c r="P43663" s="3337"/>
    </row>
    <row r="43664" spans="7:16" s="1634" customFormat="1">
      <c r="G43664" s="3336"/>
      <c r="P43664" s="3337"/>
    </row>
    <row r="43665" spans="7:16" s="1634" customFormat="1">
      <c r="G43665" s="3336"/>
      <c r="P43665" s="3337"/>
    </row>
    <row r="43666" spans="7:16" s="1634" customFormat="1">
      <c r="G43666" s="3336"/>
      <c r="P43666" s="3337"/>
    </row>
    <row r="43667" spans="7:16" s="1634" customFormat="1">
      <c r="G43667" s="3336"/>
      <c r="P43667" s="3337"/>
    </row>
    <row r="43668" spans="7:16" s="1634" customFormat="1">
      <c r="G43668" s="3336"/>
      <c r="P43668" s="3337"/>
    </row>
    <row r="43669" spans="7:16" s="1634" customFormat="1">
      <c r="G43669" s="3336"/>
      <c r="P43669" s="3337"/>
    </row>
    <row r="43670" spans="7:16" s="1634" customFormat="1">
      <c r="G43670" s="3336"/>
      <c r="P43670" s="3337"/>
    </row>
    <row r="43671" spans="7:16" s="1634" customFormat="1">
      <c r="G43671" s="3336"/>
      <c r="P43671" s="3337"/>
    </row>
    <row r="43672" spans="7:16" s="1634" customFormat="1">
      <c r="G43672" s="3336"/>
      <c r="P43672" s="3337"/>
    </row>
    <row r="43673" spans="7:16" s="1634" customFormat="1">
      <c r="G43673" s="3336"/>
      <c r="P43673" s="3337"/>
    </row>
    <row r="43674" spans="7:16" s="1634" customFormat="1">
      <c r="G43674" s="3336"/>
      <c r="P43674" s="3337"/>
    </row>
    <row r="43675" spans="7:16" s="1634" customFormat="1">
      <c r="G43675" s="3336"/>
      <c r="P43675" s="3337"/>
    </row>
    <row r="43676" spans="7:16" s="1634" customFormat="1">
      <c r="G43676" s="3336"/>
      <c r="P43676" s="3337"/>
    </row>
    <row r="43677" spans="7:16" s="1634" customFormat="1">
      <c r="G43677" s="3336"/>
      <c r="P43677" s="3337"/>
    </row>
    <row r="43678" spans="7:16" s="1634" customFormat="1">
      <c r="G43678" s="3336"/>
      <c r="P43678" s="3337"/>
    </row>
    <row r="43679" spans="7:16" s="1634" customFormat="1">
      <c r="G43679" s="3336"/>
      <c r="P43679" s="3337"/>
    </row>
    <row r="43680" spans="7:16" s="1634" customFormat="1">
      <c r="G43680" s="3336"/>
      <c r="P43680" s="3337"/>
    </row>
    <row r="43681" spans="7:16" s="1634" customFormat="1">
      <c r="G43681" s="3336"/>
      <c r="P43681" s="3337"/>
    </row>
    <row r="43682" spans="7:16" s="1634" customFormat="1">
      <c r="G43682" s="3336"/>
      <c r="P43682" s="3337"/>
    </row>
    <row r="43683" spans="7:16" s="1634" customFormat="1">
      <c r="G43683" s="3336"/>
      <c r="P43683" s="3337"/>
    </row>
    <row r="43684" spans="7:16" s="1634" customFormat="1">
      <c r="G43684" s="3336"/>
      <c r="P43684" s="3337"/>
    </row>
    <row r="43685" spans="7:16" s="1634" customFormat="1">
      <c r="G43685" s="3336"/>
      <c r="P43685" s="3337"/>
    </row>
    <row r="43686" spans="7:16" s="1634" customFormat="1">
      <c r="G43686" s="3336"/>
      <c r="P43686" s="3337"/>
    </row>
    <row r="43687" spans="7:16" s="1634" customFormat="1">
      <c r="G43687" s="3336"/>
      <c r="P43687" s="3337"/>
    </row>
    <row r="43688" spans="7:16" s="1634" customFormat="1">
      <c r="G43688" s="3336"/>
      <c r="P43688" s="3337"/>
    </row>
    <row r="43689" spans="7:16" s="1634" customFormat="1">
      <c r="G43689" s="3336"/>
      <c r="P43689" s="3337"/>
    </row>
    <row r="43690" spans="7:16" s="1634" customFormat="1">
      <c r="G43690" s="3336"/>
      <c r="P43690" s="3337"/>
    </row>
    <row r="43691" spans="7:16" s="1634" customFormat="1">
      <c r="G43691" s="3336"/>
      <c r="P43691" s="3337"/>
    </row>
    <row r="43692" spans="7:16" s="1634" customFormat="1">
      <c r="G43692" s="3336"/>
      <c r="P43692" s="3337"/>
    </row>
    <row r="43693" spans="7:16" s="1634" customFormat="1">
      <c r="G43693" s="3336"/>
      <c r="P43693" s="3337"/>
    </row>
    <row r="43694" spans="7:16" s="1634" customFormat="1">
      <c r="G43694" s="3336"/>
      <c r="P43694" s="3337"/>
    </row>
    <row r="43695" spans="7:16" s="1634" customFormat="1">
      <c r="G43695" s="3336"/>
      <c r="P43695" s="3337"/>
    </row>
    <row r="43696" spans="7:16" s="1634" customFormat="1">
      <c r="G43696" s="3336"/>
      <c r="P43696" s="3337"/>
    </row>
    <row r="43697" spans="7:16" s="1634" customFormat="1">
      <c r="G43697" s="3336"/>
      <c r="P43697" s="3337"/>
    </row>
    <row r="43698" spans="7:16" s="1634" customFormat="1">
      <c r="G43698" s="3336"/>
      <c r="P43698" s="3337"/>
    </row>
    <row r="43699" spans="7:16" s="1634" customFormat="1">
      <c r="G43699" s="3336"/>
      <c r="P43699" s="3337"/>
    </row>
    <row r="43700" spans="7:16" s="1634" customFormat="1">
      <c r="G43700" s="3336"/>
      <c r="P43700" s="3337"/>
    </row>
    <row r="43701" spans="7:16" s="1634" customFormat="1">
      <c r="G43701" s="3336"/>
      <c r="P43701" s="3337"/>
    </row>
    <row r="43702" spans="7:16" s="1634" customFormat="1">
      <c r="G43702" s="3336"/>
      <c r="P43702" s="3337"/>
    </row>
    <row r="43703" spans="7:16" s="1634" customFormat="1">
      <c r="G43703" s="3336"/>
      <c r="P43703" s="3337"/>
    </row>
    <row r="43704" spans="7:16" s="1634" customFormat="1">
      <c r="G43704" s="3336"/>
      <c r="P43704" s="3337"/>
    </row>
    <row r="43705" spans="7:16" s="1634" customFormat="1">
      <c r="G43705" s="3336"/>
      <c r="P43705" s="3337"/>
    </row>
    <row r="43706" spans="7:16" s="1634" customFormat="1">
      <c r="G43706" s="3336"/>
      <c r="P43706" s="3337"/>
    </row>
    <row r="43707" spans="7:16" s="1634" customFormat="1">
      <c r="G43707" s="3336"/>
      <c r="P43707" s="3337"/>
    </row>
    <row r="43708" spans="7:16" s="1634" customFormat="1">
      <c r="G43708" s="3336"/>
      <c r="P43708" s="3337"/>
    </row>
    <row r="43709" spans="7:16" s="1634" customFormat="1">
      <c r="G43709" s="3336"/>
      <c r="P43709" s="3337"/>
    </row>
    <row r="43710" spans="7:16" s="1634" customFormat="1">
      <c r="G43710" s="3336"/>
      <c r="P43710" s="3337"/>
    </row>
    <row r="43711" spans="7:16" s="1634" customFormat="1">
      <c r="G43711" s="3336"/>
      <c r="P43711" s="3337"/>
    </row>
    <row r="43712" spans="7:16" s="1634" customFormat="1">
      <c r="G43712" s="3336"/>
      <c r="P43712" s="3337"/>
    </row>
    <row r="43713" spans="7:16" s="1634" customFormat="1">
      <c r="G43713" s="3336"/>
      <c r="P43713" s="3337"/>
    </row>
    <row r="43714" spans="7:16" s="1634" customFormat="1">
      <c r="G43714" s="3336"/>
      <c r="P43714" s="3337"/>
    </row>
    <row r="43715" spans="7:16" s="1634" customFormat="1">
      <c r="G43715" s="3336"/>
      <c r="P43715" s="3337"/>
    </row>
    <row r="43716" spans="7:16" s="1634" customFormat="1">
      <c r="G43716" s="3336"/>
      <c r="P43716" s="3337"/>
    </row>
    <row r="43717" spans="7:16" s="1634" customFormat="1">
      <c r="G43717" s="3336"/>
      <c r="P43717" s="3337"/>
    </row>
    <row r="43718" spans="7:16" s="1634" customFormat="1">
      <c r="G43718" s="3336"/>
      <c r="P43718" s="3337"/>
    </row>
    <row r="43719" spans="7:16" s="1634" customFormat="1">
      <c r="G43719" s="3336"/>
      <c r="P43719" s="3337"/>
    </row>
    <row r="43720" spans="7:16" s="1634" customFormat="1">
      <c r="G43720" s="3336"/>
      <c r="P43720" s="3337"/>
    </row>
    <row r="43721" spans="7:16" s="1634" customFormat="1">
      <c r="G43721" s="3336"/>
      <c r="P43721" s="3337"/>
    </row>
    <row r="43722" spans="7:16" s="1634" customFormat="1">
      <c r="G43722" s="3336"/>
      <c r="P43722" s="3337"/>
    </row>
    <row r="43723" spans="7:16" s="1634" customFormat="1">
      <c r="G43723" s="3336"/>
      <c r="P43723" s="3337"/>
    </row>
    <row r="43724" spans="7:16" s="1634" customFormat="1">
      <c r="G43724" s="3336"/>
      <c r="P43724" s="3337"/>
    </row>
    <row r="43725" spans="7:16" s="1634" customFormat="1">
      <c r="G43725" s="3336"/>
      <c r="P43725" s="3337"/>
    </row>
    <row r="43726" spans="7:16" s="1634" customFormat="1">
      <c r="G43726" s="3336"/>
      <c r="P43726" s="3337"/>
    </row>
    <row r="43727" spans="7:16" s="1634" customFormat="1">
      <c r="G43727" s="3336"/>
      <c r="P43727" s="3337"/>
    </row>
    <row r="43728" spans="7:16" s="1634" customFormat="1">
      <c r="G43728" s="3336"/>
      <c r="P43728" s="3337"/>
    </row>
    <row r="43729" spans="7:16" s="1634" customFormat="1">
      <c r="G43729" s="3336"/>
      <c r="P43729" s="3337"/>
    </row>
    <row r="43730" spans="7:16" s="1634" customFormat="1">
      <c r="G43730" s="3336"/>
      <c r="P43730" s="3337"/>
    </row>
    <row r="43731" spans="7:16" s="1634" customFormat="1">
      <c r="G43731" s="3336"/>
      <c r="P43731" s="3337"/>
    </row>
    <row r="43732" spans="7:16" s="1634" customFormat="1">
      <c r="G43732" s="3336"/>
      <c r="P43732" s="3337"/>
    </row>
    <row r="43733" spans="7:16" s="1634" customFormat="1">
      <c r="G43733" s="3336"/>
      <c r="P43733" s="3337"/>
    </row>
    <row r="43734" spans="7:16" s="1634" customFormat="1">
      <c r="G43734" s="3336"/>
      <c r="P43734" s="3337"/>
    </row>
    <row r="43735" spans="7:16" s="1634" customFormat="1">
      <c r="G43735" s="3336"/>
      <c r="P43735" s="3337"/>
    </row>
    <row r="43736" spans="7:16" s="1634" customFormat="1">
      <c r="G43736" s="3336"/>
      <c r="P43736" s="3337"/>
    </row>
    <row r="43737" spans="7:16" s="1634" customFormat="1">
      <c r="G43737" s="3336"/>
      <c r="P43737" s="3337"/>
    </row>
    <row r="43738" spans="7:16" s="1634" customFormat="1">
      <c r="G43738" s="3336"/>
      <c r="P43738" s="3337"/>
    </row>
    <row r="43739" spans="7:16" s="1634" customFormat="1">
      <c r="G43739" s="3336"/>
      <c r="P43739" s="3337"/>
    </row>
    <row r="43740" spans="7:16" s="1634" customFormat="1">
      <c r="G43740" s="3336"/>
      <c r="P43740" s="3337"/>
    </row>
    <row r="43741" spans="7:16" s="1634" customFormat="1">
      <c r="G43741" s="3336"/>
      <c r="P43741" s="3337"/>
    </row>
    <row r="43742" spans="7:16" s="1634" customFormat="1">
      <c r="G43742" s="3336"/>
      <c r="P43742" s="3337"/>
    </row>
    <row r="43743" spans="7:16" s="1634" customFormat="1">
      <c r="G43743" s="3336"/>
      <c r="P43743" s="3337"/>
    </row>
    <row r="43744" spans="7:16" s="1634" customFormat="1">
      <c r="G43744" s="3336"/>
      <c r="P43744" s="3337"/>
    </row>
    <row r="43745" spans="7:16" s="1634" customFormat="1">
      <c r="G43745" s="3336"/>
      <c r="P43745" s="3337"/>
    </row>
    <row r="43746" spans="7:16" s="1634" customFormat="1">
      <c r="G43746" s="3336"/>
      <c r="P43746" s="3337"/>
    </row>
    <row r="43747" spans="7:16" s="1634" customFormat="1">
      <c r="G43747" s="3336"/>
      <c r="P43747" s="3337"/>
    </row>
    <row r="43748" spans="7:16" s="1634" customFormat="1">
      <c r="G43748" s="3336"/>
      <c r="P43748" s="3337"/>
    </row>
    <row r="43749" spans="7:16" s="1634" customFormat="1">
      <c r="G43749" s="3336"/>
      <c r="P43749" s="3337"/>
    </row>
    <row r="43750" spans="7:16" s="1634" customFormat="1">
      <c r="G43750" s="3336"/>
      <c r="P43750" s="3337"/>
    </row>
    <row r="43751" spans="7:16" s="1634" customFormat="1">
      <c r="G43751" s="3336"/>
      <c r="P43751" s="3337"/>
    </row>
    <row r="43752" spans="7:16" s="1634" customFormat="1">
      <c r="G43752" s="3336"/>
      <c r="P43752" s="3337"/>
    </row>
    <row r="43753" spans="7:16" s="1634" customFormat="1">
      <c r="G43753" s="3336"/>
      <c r="P43753" s="3337"/>
    </row>
    <row r="43754" spans="7:16" s="1634" customFormat="1">
      <c r="G43754" s="3336"/>
      <c r="P43754" s="3337"/>
    </row>
    <row r="43755" spans="7:16" s="1634" customFormat="1">
      <c r="G43755" s="3336"/>
      <c r="P43755" s="3337"/>
    </row>
    <row r="43756" spans="7:16" s="1634" customFormat="1">
      <c r="G43756" s="3336"/>
      <c r="P43756" s="3337"/>
    </row>
    <row r="43757" spans="7:16" s="1634" customFormat="1">
      <c r="G43757" s="3336"/>
      <c r="P43757" s="3337"/>
    </row>
    <row r="43758" spans="7:16" s="1634" customFormat="1">
      <c r="G43758" s="3336"/>
      <c r="P43758" s="3337"/>
    </row>
    <row r="43759" spans="7:16" s="1634" customFormat="1">
      <c r="G43759" s="3336"/>
      <c r="P43759" s="3337"/>
    </row>
    <row r="43760" spans="7:16" s="1634" customFormat="1">
      <c r="G43760" s="3336"/>
      <c r="P43760" s="3337"/>
    </row>
    <row r="43761" spans="7:16" s="1634" customFormat="1">
      <c r="G43761" s="3336"/>
      <c r="P43761" s="3337"/>
    </row>
    <row r="43762" spans="7:16" s="1634" customFormat="1">
      <c r="G43762" s="3336"/>
      <c r="P43762" s="3337"/>
    </row>
    <row r="43763" spans="7:16" s="1634" customFormat="1">
      <c r="G43763" s="3336"/>
      <c r="P43763" s="3337"/>
    </row>
    <row r="43764" spans="7:16" s="1634" customFormat="1">
      <c r="G43764" s="3336"/>
      <c r="P43764" s="3337"/>
    </row>
    <row r="43765" spans="7:16" s="1634" customFormat="1">
      <c r="G43765" s="3336"/>
      <c r="P43765" s="3337"/>
    </row>
    <row r="43766" spans="7:16" s="1634" customFormat="1">
      <c r="G43766" s="3336"/>
      <c r="P43766" s="3337"/>
    </row>
    <row r="43767" spans="7:16" s="1634" customFormat="1">
      <c r="G43767" s="3336"/>
      <c r="P43767" s="3337"/>
    </row>
    <row r="43768" spans="7:16" s="1634" customFormat="1">
      <c r="G43768" s="3336"/>
      <c r="P43768" s="3337"/>
    </row>
    <row r="43769" spans="7:16" s="1634" customFormat="1">
      <c r="G43769" s="3336"/>
      <c r="P43769" s="3337"/>
    </row>
    <row r="43770" spans="7:16" s="1634" customFormat="1">
      <c r="G43770" s="3336"/>
      <c r="P43770" s="3337"/>
    </row>
    <row r="43771" spans="7:16" s="1634" customFormat="1">
      <c r="G43771" s="3336"/>
      <c r="P43771" s="3337"/>
    </row>
    <row r="43772" spans="7:16" s="1634" customFormat="1">
      <c r="G43772" s="3336"/>
      <c r="P43772" s="3337"/>
    </row>
    <row r="43773" spans="7:16" s="1634" customFormat="1">
      <c r="G43773" s="3336"/>
      <c r="P43773" s="3337"/>
    </row>
    <row r="43774" spans="7:16" s="1634" customFormat="1">
      <c r="G43774" s="3336"/>
      <c r="P43774" s="3337"/>
    </row>
    <row r="43775" spans="7:16" s="1634" customFormat="1">
      <c r="G43775" s="3336"/>
      <c r="P43775" s="3337"/>
    </row>
    <row r="43776" spans="7:16" s="1634" customFormat="1">
      <c r="G43776" s="3336"/>
      <c r="P43776" s="3337"/>
    </row>
    <row r="43777" spans="7:16" s="1634" customFormat="1">
      <c r="G43777" s="3336"/>
      <c r="P43777" s="3337"/>
    </row>
    <row r="43778" spans="7:16" s="1634" customFormat="1">
      <c r="G43778" s="3336"/>
      <c r="P43778" s="3337"/>
    </row>
    <row r="43779" spans="7:16" s="1634" customFormat="1">
      <c r="G43779" s="3336"/>
      <c r="P43779" s="3337"/>
    </row>
    <row r="43780" spans="7:16" s="1634" customFormat="1">
      <c r="G43780" s="3336"/>
      <c r="P43780" s="3337"/>
    </row>
    <row r="43781" spans="7:16" s="1634" customFormat="1">
      <c r="G43781" s="3336"/>
      <c r="P43781" s="3337"/>
    </row>
    <row r="43782" spans="7:16" s="1634" customFormat="1">
      <c r="G43782" s="3336"/>
      <c r="P43782" s="3337"/>
    </row>
    <row r="43783" spans="7:16" s="1634" customFormat="1">
      <c r="G43783" s="3336"/>
      <c r="P43783" s="3337"/>
    </row>
    <row r="43784" spans="7:16" s="1634" customFormat="1">
      <c r="G43784" s="3336"/>
      <c r="P43784" s="3337"/>
    </row>
    <row r="43785" spans="7:16" s="1634" customFormat="1">
      <c r="G43785" s="3336"/>
      <c r="P43785" s="3337"/>
    </row>
    <row r="43786" spans="7:16" s="1634" customFormat="1">
      <c r="G43786" s="3336"/>
      <c r="P43786" s="3337"/>
    </row>
    <row r="43787" spans="7:16" s="1634" customFormat="1">
      <c r="G43787" s="3336"/>
      <c r="P43787" s="3337"/>
    </row>
    <row r="43788" spans="7:16" s="1634" customFormat="1">
      <c r="G43788" s="3336"/>
      <c r="P43788" s="3337"/>
    </row>
    <row r="43789" spans="7:16" s="1634" customFormat="1">
      <c r="G43789" s="3336"/>
      <c r="P43789" s="3337"/>
    </row>
    <row r="43790" spans="7:16" s="1634" customFormat="1">
      <c r="G43790" s="3336"/>
      <c r="P43790" s="3337"/>
    </row>
    <row r="43791" spans="7:16" s="1634" customFormat="1">
      <c r="G43791" s="3336"/>
      <c r="P43791" s="3337"/>
    </row>
    <row r="43792" spans="7:16" s="1634" customFormat="1">
      <c r="G43792" s="3336"/>
      <c r="P43792" s="3337"/>
    </row>
    <row r="43793" spans="7:16" s="1634" customFormat="1">
      <c r="G43793" s="3336"/>
      <c r="P43793" s="3337"/>
    </row>
    <row r="43794" spans="7:16" s="1634" customFormat="1">
      <c r="G43794" s="3336"/>
      <c r="P43794" s="3337"/>
    </row>
    <row r="43795" spans="7:16" s="1634" customFormat="1">
      <c r="G43795" s="3336"/>
      <c r="P43795" s="3337"/>
    </row>
    <row r="43796" spans="7:16" s="1634" customFormat="1">
      <c r="G43796" s="3336"/>
      <c r="P43796" s="3337"/>
    </row>
    <row r="43797" spans="7:16" s="1634" customFormat="1">
      <c r="G43797" s="3336"/>
      <c r="P43797" s="3337"/>
    </row>
    <row r="43798" spans="7:16" s="1634" customFormat="1">
      <c r="G43798" s="3336"/>
      <c r="P43798" s="3337"/>
    </row>
    <row r="43799" spans="7:16" s="1634" customFormat="1">
      <c r="G43799" s="3336"/>
      <c r="P43799" s="3337"/>
    </row>
    <row r="43800" spans="7:16" s="1634" customFormat="1">
      <c r="G43800" s="3336"/>
      <c r="P43800" s="3337"/>
    </row>
    <row r="43801" spans="7:16" s="1634" customFormat="1">
      <c r="G43801" s="3336"/>
      <c r="P43801" s="3337"/>
    </row>
    <row r="43802" spans="7:16" s="1634" customFormat="1">
      <c r="G43802" s="3336"/>
      <c r="P43802" s="3337"/>
    </row>
    <row r="43803" spans="7:16" s="1634" customFormat="1">
      <c r="G43803" s="3336"/>
      <c r="P43803" s="3337"/>
    </row>
    <row r="43804" spans="7:16" s="1634" customFormat="1">
      <c r="G43804" s="3336"/>
      <c r="P43804" s="3337"/>
    </row>
    <row r="43805" spans="7:16" s="1634" customFormat="1">
      <c r="G43805" s="3336"/>
      <c r="P43805" s="3337"/>
    </row>
    <row r="43806" spans="7:16" s="1634" customFormat="1">
      <c r="G43806" s="3336"/>
      <c r="P43806" s="3337"/>
    </row>
    <row r="43807" spans="7:16" s="1634" customFormat="1">
      <c r="G43807" s="3336"/>
      <c r="P43807" s="3337"/>
    </row>
    <row r="43808" spans="7:16" s="1634" customFormat="1">
      <c r="G43808" s="3336"/>
      <c r="P43808" s="3337"/>
    </row>
    <row r="43809" spans="7:16" s="1634" customFormat="1">
      <c r="G43809" s="3336"/>
      <c r="P43809" s="3337"/>
    </row>
    <row r="43810" spans="7:16" s="1634" customFormat="1">
      <c r="G43810" s="3336"/>
      <c r="P43810" s="3337"/>
    </row>
    <row r="43811" spans="7:16" s="1634" customFormat="1">
      <c r="G43811" s="3336"/>
      <c r="P43811" s="3337"/>
    </row>
    <row r="43812" spans="7:16" s="1634" customFormat="1">
      <c r="G43812" s="3336"/>
      <c r="P43812" s="3337"/>
    </row>
    <row r="43813" spans="7:16" s="1634" customFormat="1">
      <c r="G43813" s="3336"/>
      <c r="P43813" s="3337"/>
    </row>
    <row r="43814" spans="7:16" s="1634" customFormat="1">
      <c r="G43814" s="3336"/>
      <c r="P43814" s="3337"/>
    </row>
    <row r="43815" spans="7:16" s="1634" customFormat="1">
      <c r="G43815" s="3336"/>
      <c r="P43815" s="3337"/>
    </row>
    <row r="43816" spans="7:16" s="1634" customFormat="1">
      <c r="G43816" s="3336"/>
      <c r="P43816" s="3337"/>
    </row>
    <row r="43817" spans="7:16" s="1634" customFormat="1">
      <c r="G43817" s="3336"/>
      <c r="P43817" s="3337"/>
    </row>
    <row r="43818" spans="7:16" s="1634" customFormat="1">
      <c r="G43818" s="3336"/>
      <c r="P43818" s="3337"/>
    </row>
    <row r="43819" spans="7:16" s="1634" customFormat="1">
      <c r="G43819" s="3336"/>
      <c r="P43819" s="3337"/>
    </row>
    <row r="43820" spans="7:16" s="1634" customFormat="1">
      <c r="G43820" s="3336"/>
      <c r="P43820" s="3337"/>
    </row>
    <row r="43821" spans="7:16" s="1634" customFormat="1">
      <c r="G43821" s="3336"/>
      <c r="P43821" s="3337"/>
    </row>
    <row r="43822" spans="7:16" s="1634" customFormat="1">
      <c r="G43822" s="3336"/>
      <c r="P43822" s="3337"/>
    </row>
    <row r="43823" spans="7:16" s="1634" customFormat="1">
      <c r="G43823" s="3336"/>
      <c r="P43823" s="3337"/>
    </row>
    <row r="43824" spans="7:16" s="1634" customFormat="1">
      <c r="G43824" s="3336"/>
      <c r="P43824" s="3337"/>
    </row>
    <row r="43825" spans="7:16" s="1634" customFormat="1">
      <c r="G43825" s="3336"/>
      <c r="P43825" s="3337"/>
    </row>
    <row r="43826" spans="7:16" s="1634" customFormat="1">
      <c r="G43826" s="3336"/>
      <c r="P43826" s="3337"/>
    </row>
    <row r="43827" spans="7:16" s="1634" customFormat="1">
      <c r="G43827" s="3336"/>
      <c r="P43827" s="3337"/>
    </row>
    <row r="43828" spans="7:16" s="1634" customFormat="1">
      <c r="G43828" s="3336"/>
      <c r="P43828" s="3337"/>
    </row>
    <row r="43829" spans="7:16" s="1634" customFormat="1">
      <c r="G43829" s="3336"/>
      <c r="P43829" s="3337"/>
    </row>
    <row r="43830" spans="7:16" s="1634" customFormat="1">
      <c r="G43830" s="3336"/>
      <c r="P43830" s="3337"/>
    </row>
    <row r="43831" spans="7:16" s="1634" customFormat="1">
      <c r="G43831" s="3336"/>
      <c r="P43831" s="3337"/>
    </row>
    <row r="43832" spans="7:16" s="1634" customFormat="1">
      <c r="G43832" s="3336"/>
      <c r="P43832" s="3337"/>
    </row>
    <row r="43833" spans="7:16" s="1634" customFormat="1">
      <c r="G43833" s="3336"/>
      <c r="P43833" s="3337"/>
    </row>
    <row r="43834" spans="7:16" s="1634" customFormat="1">
      <c r="G43834" s="3336"/>
      <c r="P43834" s="3337"/>
    </row>
    <row r="43835" spans="7:16" s="1634" customFormat="1">
      <c r="G43835" s="3336"/>
      <c r="P43835" s="3337"/>
    </row>
    <row r="43836" spans="7:16" s="1634" customFormat="1">
      <c r="G43836" s="3336"/>
      <c r="P43836" s="3337"/>
    </row>
    <row r="43837" spans="7:16" s="1634" customFormat="1">
      <c r="G43837" s="3336"/>
      <c r="P43837" s="3337"/>
    </row>
    <row r="43838" spans="7:16" s="1634" customFormat="1">
      <c r="G43838" s="3336"/>
      <c r="P43838" s="3337"/>
    </row>
    <row r="43839" spans="7:16" s="1634" customFormat="1">
      <c r="G43839" s="3336"/>
      <c r="P43839" s="3337"/>
    </row>
    <row r="43840" spans="7:16" s="1634" customFormat="1">
      <c r="G43840" s="3336"/>
      <c r="P43840" s="3337"/>
    </row>
    <row r="43841" spans="7:16" s="1634" customFormat="1">
      <c r="G43841" s="3336"/>
      <c r="P43841" s="3337"/>
    </row>
    <row r="43842" spans="7:16" s="1634" customFormat="1">
      <c r="G43842" s="3336"/>
      <c r="P43842" s="3337"/>
    </row>
    <row r="43843" spans="7:16" s="1634" customFormat="1">
      <c r="G43843" s="3336"/>
      <c r="P43843" s="3337"/>
    </row>
    <row r="43844" spans="7:16" s="1634" customFormat="1">
      <c r="G43844" s="3336"/>
      <c r="P43844" s="3337"/>
    </row>
    <row r="43845" spans="7:16" s="1634" customFormat="1">
      <c r="G43845" s="3336"/>
      <c r="P43845" s="3337"/>
    </row>
    <row r="43846" spans="7:16" s="1634" customFormat="1">
      <c r="G43846" s="3336"/>
      <c r="P43846" s="3337"/>
    </row>
    <row r="43847" spans="7:16" s="1634" customFormat="1">
      <c r="G43847" s="3336"/>
      <c r="P43847" s="3337"/>
    </row>
    <row r="43848" spans="7:16" s="1634" customFormat="1">
      <c r="G43848" s="3336"/>
      <c r="P43848" s="3337"/>
    </row>
    <row r="43849" spans="7:16" s="1634" customFormat="1">
      <c r="G43849" s="3336"/>
      <c r="P43849" s="3337"/>
    </row>
    <row r="43850" spans="7:16" s="1634" customFormat="1">
      <c r="G43850" s="3336"/>
      <c r="P43850" s="3337"/>
    </row>
    <row r="43851" spans="7:16" s="1634" customFormat="1">
      <c r="G43851" s="3336"/>
      <c r="P43851" s="3337"/>
    </row>
    <row r="43852" spans="7:16" s="1634" customFormat="1">
      <c r="G43852" s="3336"/>
      <c r="P43852" s="3337"/>
    </row>
    <row r="43853" spans="7:16" s="1634" customFormat="1">
      <c r="G43853" s="3336"/>
      <c r="P43853" s="3337"/>
    </row>
    <row r="43854" spans="7:16" s="1634" customFormat="1">
      <c r="G43854" s="3336"/>
      <c r="P43854" s="3337"/>
    </row>
    <row r="43855" spans="7:16" s="1634" customFormat="1">
      <c r="G43855" s="3336"/>
      <c r="P43855" s="3337"/>
    </row>
    <row r="43856" spans="7:16" s="1634" customFormat="1">
      <c r="G43856" s="3336"/>
      <c r="P43856" s="3337"/>
    </row>
    <row r="43857" spans="7:16" s="1634" customFormat="1">
      <c r="G43857" s="3336"/>
      <c r="P43857" s="3337"/>
    </row>
    <row r="43858" spans="7:16" s="1634" customFormat="1">
      <c r="G43858" s="3336"/>
      <c r="P43858" s="3337"/>
    </row>
    <row r="43859" spans="7:16" s="1634" customFormat="1">
      <c r="G43859" s="3336"/>
      <c r="P43859" s="3337"/>
    </row>
    <row r="43860" spans="7:16" s="1634" customFormat="1">
      <c r="G43860" s="3336"/>
      <c r="P43860" s="3337"/>
    </row>
    <row r="43861" spans="7:16" s="1634" customFormat="1">
      <c r="G43861" s="3336"/>
      <c r="P43861" s="3337"/>
    </row>
    <row r="43862" spans="7:16" s="1634" customFormat="1">
      <c r="G43862" s="3336"/>
      <c r="P43862" s="3337"/>
    </row>
    <row r="43863" spans="7:16" s="1634" customFormat="1">
      <c r="G43863" s="3336"/>
      <c r="P43863" s="3337"/>
    </row>
    <row r="43864" spans="7:16" s="1634" customFormat="1">
      <c r="G43864" s="3336"/>
      <c r="P43864" s="3337"/>
    </row>
    <row r="43865" spans="7:16" s="1634" customFormat="1">
      <c r="G43865" s="3336"/>
      <c r="P43865" s="3337"/>
    </row>
    <row r="43866" spans="7:16" s="1634" customFormat="1">
      <c r="G43866" s="3336"/>
      <c r="P43866" s="3337"/>
    </row>
    <row r="43867" spans="7:16" s="1634" customFormat="1">
      <c r="G43867" s="3336"/>
      <c r="P43867" s="3337"/>
    </row>
    <row r="43868" spans="7:16" s="1634" customFormat="1">
      <c r="G43868" s="3336"/>
      <c r="P43868" s="3337"/>
    </row>
    <row r="43869" spans="7:16" s="1634" customFormat="1">
      <c r="G43869" s="3336"/>
      <c r="P43869" s="3337"/>
    </row>
    <row r="43870" spans="7:16" s="1634" customFormat="1">
      <c r="G43870" s="3336"/>
      <c r="P43870" s="3337"/>
    </row>
    <row r="43871" spans="7:16" s="1634" customFormat="1">
      <c r="G43871" s="3336"/>
      <c r="P43871" s="3337"/>
    </row>
    <row r="43872" spans="7:16" s="1634" customFormat="1">
      <c r="G43872" s="3336"/>
      <c r="P43872" s="3337"/>
    </row>
    <row r="43873" spans="7:16" s="1634" customFormat="1">
      <c r="G43873" s="3336"/>
      <c r="P43873" s="3337"/>
    </row>
    <row r="43874" spans="7:16" s="1634" customFormat="1">
      <c r="G43874" s="3336"/>
      <c r="P43874" s="3337"/>
    </row>
    <row r="43875" spans="7:16" s="1634" customFormat="1">
      <c r="G43875" s="3336"/>
      <c r="P43875" s="3337"/>
    </row>
    <row r="43876" spans="7:16" s="1634" customFormat="1">
      <c r="G43876" s="3336"/>
      <c r="P43876" s="3337"/>
    </row>
    <row r="43877" spans="7:16" s="1634" customFormat="1">
      <c r="G43877" s="3336"/>
      <c r="P43877" s="3337"/>
    </row>
    <row r="43878" spans="7:16" s="1634" customFormat="1">
      <c r="G43878" s="3336"/>
      <c r="P43878" s="3337"/>
    </row>
    <row r="43879" spans="7:16" s="1634" customFormat="1">
      <c r="G43879" s="3336"/>
      <c r="P43879" s="3337"/>
    </row>
    <row r="43880" spans="7:16" s="1634" customFormat="1">
      <c r="G43880" s="3336"/>
      <c r="P43880" s="3337"/>
    </row>
    <row r="43881" spans="7:16" s="1634" customFormat="1">
      <c r="G43881" s="3336"/>
      <c r="P43881" s="3337"/>
    </row>
    <row r="43882" spans="7:16" s="1634" customFormat="1">
      <c r="G43882" s="3336"/>
      <c r="P43882" s="3337"/>
    </row>
    <row r="43883" spans="7:16" s="1634" customFormat="1">
      <c r="G43883" s="3336"/>
      <c r="P43883" s="3337"/>
    </row>
    <row r="43884" spans="7:16" s="1634" customFormat="1">
      <c r="G43884" s="3336"/>
      <c r="P43884" s="3337"/>
    </row>
    <row r="43885" spans="7:16" s="1634" customFormat="1">
      <c r="G43885" s="3336"/>
      <c r="P43885" s="3337"/>
    </row>
    <row r="43886" spans="7:16" s="1634" customFormat="1">
      <c r="G43886" s="3336"/>
      <c r="P43886" s="3337"/>
    </row>
    <row r="43887" spans="7:16" s="1634" customFormat="1">
      <c r="G43887" s="3336"/>
      <c r="P43887" s="3337"/>
    </row>
    <row r="43888" spans="7:16" s="1634" customFormat="1">
      <c r="G43888" s="3336"/>
      <c r="P43888" s="3337"/>
    </row>
    <row r="43889" spans="7:16" s="1634" customFormat="1">
      <c r="G43889" s="3336"/>
      <c r="P43889" s="3337"/>
    </row>
    <row r="43890" spans="7:16" s="1634" customFormat="1">
      <c r="G43890" s="3336"/>
      <c r="P43890" s="3337"/>
    </row>
    <row r="43891" spans="7:16" s="1634" customFormat="1">
      <c r="G43891" s="3336"/>
      <c r="P43891" s="3337"/>
    </row>
    <row r="43892" spans="7:16" s="1634" customFormat="1">
      <c r="G43892" s="3336"/>
      <c r="P43892" s="3337"/>
    </row>
    <row r="43893" spans="7:16" s="1634" customFormat="1">
      <c r="G43893" s="3336"/>
      <c r="P43893" s="3337"/>
    </row>
    <row r="43894" spans="7:16" s="1634" customFormat="1">
      <c r="G43894" s="3336"/>
      <c r="P43894" s="3337"/>
    </row>
    <row r="43895" spans="7:16" s="1634" customFormat="1">
      <c r="G43895" s="3336"/>
      <c r="P43895" s="3337"/>
    </row>
    <row r="43896" spans="7:16" s="1634" customFormat="1">
      <c r="G43896" s="3336"/>
      <c r="P43896" s="3337"/>
    </row>
    <row r="43897" spans="7:16" s="1634" customFormat="1">
      <c r="G43897" s="3336"/>
      <c r="P43897" s="3337"/>
    </row>
    <row r="43898" spans="7:16" s="1634" customFormat="1">
      <c r="G43898" s="3336"/>
      <c r="P43898" s="3337"/>
    </row>
    <row r="43899" spans="7:16" s="1634" customFormat="1">
      <c r="G43899" s="3336"/>
      <c r="P43899" s="3337"/>
    </row>
    <row r="43900" spans="7:16" s="1634" customFormat="1">
      <c r="G43900" s="3336"/>
      <c r="P43900" s="3337"/>
    </row>
    <row r="43901" spans="7:16" s="1634" customFormat="1">
      <c r="G43901" s="3336"/>
      <c r="P43901" s="3337"/>
    </row>
    <row r="43902" spans="7:16" s="1634" customFormat="1">
      <c r="G43902" s="3336"/>
      <c r="P43902" s="3337"/>
    </row>
    <row r="43903" spans="7:16" s="1634" customFormat="1">
      <c r="G43903" s="3336"/>
      <c r="P43903" s="3337"/>
    </row>
    <row r="43904" spans="7:16" s="1634" customFormat="1">
      <c r="G43904" s="3336"/>
      <c r="P43904" s="3337"/>
    </row>
    <row r="43905" spans="7:16" s="1634" customFormat="1">
      <c r="G43905" s="3336"/>
      <c r="P43905" s="3337"/>
    </row>
    <row r="43906" spans="7:16" s="1634" customFormat="1">
      <c r="G43906" s="3336"/>
      <c r="P43906" s="3337"/>
    </row>
    <row r="43907" spans="7:16" s="1634" customFormat="1">
      <c r="G43907" s="3336"/>
      <c r="P43907" s="3337"/>
    </row>
    <row r="43908" spans="7:16" s="1634" customFormat="1">
      <c r="G43908" s="3336"/>
      <c r="P43908" s="3337"/>
    </row>
    <row r="43909" spans="7:16" s="1634" customFormat="1">
      <c r="G43909" s="3336"/>
      <c r="P43909" s="3337"/>
    </row>
    <row r="43910" spans="7:16" s="1634" customFormat="1">
      <c r="G43910" s="3336"/>
      <c r="P43910" s="3337"/>
    </row>
    <row r="43911" spans="7:16" s="1634" customFormat="1">
      <c r="G43911" s="3336"/>
      <c r="P43911" s="3337"/>
    </row>
    <row r="43912" spans="7:16" s="1634" customFormat="1">
      <c r="G43912" s="3336"/>
      <c r="P43912" s="3337"/>
    </row>
    <row r="43913" spans="7:16" s="1634" customFormat="1">
      <c r="G43913" s="3336"/>
      <c r="P43913" s="3337"/>
    </row>
    <row r="43914" spans="7:16" s="1634" customFormat="1">
      <c r="G43914" s="3336"/>
      <c r="P43914" s="3337"/>
    </row>
    <row r="43915" spans="7:16" s="1634" customFormat="1">
      <c r="G43915" s="3336"/>
      <c r="P43915" s="3337"/>
    </row>
    <row r="43916" spans="7:16" s="1634" customFormat="1">
      <c r="G43916" s="3336"/>
      <c r="P43916" s="3337"/>
    </row>
    <row r="43917" spans="7:16" s="1634" customFormat="1">
      <c r="G43917" s="3336"/>
      <c r="P43917" s="3337"/>
    </row>
    <row r="43918" spans="7:16" s="1634" customFormat="1">
      <c r="G43918" s="3336"/>
      <c r="P43918" s="3337"/>
    </row>
    <row r="43919" spans="7:16" s="1634" customFormat="1">
      <c r="G43919" s="3336"/>
      <c r="P43919" s="3337"/>
    </row>
    <row r="43920" spans="7:16" s="1634" customFormat="1">
      <c r="G43920" s="3336"/>
      <c r="P43920" s="3337"/>
    </row>
    <row r="43921" spans="7:16" s="1634" customFormat="1">
      <c r="G43921" s="3336"/>
      <c r="P43921" s="3337"/>
    </row>
    <row r="43922" spans="7:16" s="1634" customFormat="1">
      <c r="G43922" s="3336"/>
      <c r="P43922" s="3337"/>
    </row>
    <row r="43923" spans="7:16" s="1634" customFormat="1">
      <c r="G43923" s="3336"/>
      <c r="P43923" s="3337"/>
    </row>
    <row r="43924" spans="7:16" s="1634" customFormat="1">
      <c r="G43924" s="3336"/>
      <c r="P43924" s="3337"/>
    </row>
    <row r="43925" spans="7:16" s="1634" customFormat="1">
      <c r="G43925" s="3336"/>
      <c r="P43925" s="3337"/>
    </row>
    <row r="43926" spans="7:16" s="1634" customFormat="1">
      <c r="G43926" s="3336"/>
      <c r="P43926" s="3337"/>
    </row>
    <row r="43927" spans="7:16" s="1634" customFormat="1">
      <c r="G43927" s="3336"/>
      <c r="P43927" s="3337"/>
    </row>
    <row r="43928" spans="7:16" s="1634" customFormat="1">
      <c r="G43928" s="3336"/>
      <c r="P43928" s="3337"/>
    </row>
    <row r="43929" spans="7:16" s="1634" customFormat="1">
      <c r="G43929" s="3336"/>
      <c r="P43929" s="3337"/>
    </row>
    <row r="43930" spans="7:16" s="1634" customFormat="1">
      <c r="G43930" s="3336"/>
      <c r="P43930" s="3337"/>
    </row>
    <row r="43931" spans="7:16" s="1634" customFormat="1">
      <c r="G43931" s="3336"/>
      <c r="P43931" s="3337"/>
    </row>
    <row r="43932" spans="7:16" s="1634" customFormat="1">
      <c r="G43932" s="3336"/>
      <c r="P43932" s="3337"/>
    </row>
    <row r="43933" spans="7:16" s="1634" customFormat="1">
      <c r="G43933" s="3336"/>
      <c r="P43933" s="3337"/>
    </row>
    <row r="43934" spans="7:16" s="1634" customFormat="1">
      <c r="G43934" s="3336"/>
      <c r="P43934" s="3337"/>
    </row>
    <row r="43935" spans="7:16" s="1634" customFormat="1">
      <c r="G43935" s="3336"/>
      <c r="P43935" s="3337"/>
    </row>
    <row r="43936" spans="7:16" s="1634" customFormat="1">
      <c r="G43936" s="3336"/>
      <c r="P43936" s="3337"/>
    </row>
    <row r="43937" spans="7:16" s="1634" customFormat="1">
      <c r="G43937" s="3336"/>
      <c r="P43937" s="3337"/>
    </row>
    <row r="43938" spans="7:16" s="1634" customFormat="1">
      <c r="G43938" s="3336"/>
      <c r="P43938" s="3337"/>
    </row>
    <row r="43939" spans="7:16" s="1634" customFormat="1">
      <c r="G43939" s="3336"/>
      <c r="P43939" s="3337"/>
    </row>
    <row r="43940" spans="7:16" s="1634" customFormat="1">
      <c r="G43940" s="3336"/>
      <c r="P43940" s="3337"/>
    </row>
    <row r="43941" spans="7:16" s="1634" customFormat="1">
      <c r="G43941" s="3336"/>
      <c r="P43941" s="3337"/>
    </row>
    <row r="43942" spans="7:16" s="1634" customFormat="1">
      <c r="G43942" s="3336"/>
      <c r="P43942" s="3337"/>
    </row>
    <row r="43943" spans="7:16" s="1634" customFormat="1">
      <c r="G43943" s="3336"/>
      <c r="P43943" s="3337"/>
    </row>
    <row r="43944" spans="7:16" s="1634" customFormat="1">
      <c r="G43944" s="3336"/>
      <c r="P43944" s="3337"/>
    </row>
    <row r="43945" spans="7:16" s="1634" customFormat="1">
      <c r="G43945" s="3336"/>
      <c r="P43945" s="3337"/>
    </row>
    <row r="43946" spans="7:16" s="1634" customFormat="1">
      <c r="G43946" s="3336"/>
      <c r="P43946" s="3337"/>
    </row>
    <row r="43947" spans="7:16" s="1634" customFormat="1">
      <c r="G43947" s="3336"/>
      <c r="P43947" s="3337"/>
    </row>
    <row r="43948" spans="7:16" s="1634" customFormat="1">
      <c r="G43948" s="3336"/>
      <c r="P43948" s="3337"/>
    </row>
    <row r="43949" spans="7:16" s="1634" customFormat="1">
      <c r="G43949" s="3336"/>
      <c r="P43949" s="3337"/>
    </row>
    <row r="43950" spans="7:16" s="1634" customFormat="1">
      <c r="G43950" s="3336"/>
      <c r="P43950" s="3337"/>
    </row>
    <row r="43951" spans="7:16" s="1634" customFormat="1">
      <c r="G43951" s="3336"/>
      <c r="P43951" s="3337"/>
    </row>
    <row r="43952" spans="7:16" s="1634" customFormat="1">
      <c r="G43952" s="3336"/>
      <c r="P43952" s="3337"/>
    </row>
    <row r="43953" spans="7:16" s="1634" customFormat="1">
      <c r="G43953" s="3336"/>
      <c r="P43953" s="3337"/>
    </row>
    <row r="43954" spans="7:16" s="1634" customFormat="1">
      <c r="G43954" s="3336"/>
      <c r="P43954" s="3337"/>
    </row>
    <row r="43955" spans="7:16" s="1634" customFormat="1">
      <c r="G43955" s="3336"/>
      <c r="P43955" s="3337"/>
    </row>
    <row r="43956" spans="7:16" s="1634" customFormat="1">
      <c r="G43956" s="3336"/>
      <c r="P43956" s="3337"/>
    </row>
    <row r="43957" spans="7:16" s="1634" customFormat="1">
      <c r="G43957" s="3336"/>
      <c r="P43957" s="3337"/>
    </row>
    <row r="43958" spans="7:16" s="1634" customFormat="1">
      <c r="G43958" s="3336"/>
      <c r="P43958" s="3337"/>
    </row>
    <row r="43959" spans="7:16" s="1634" customFormat="1">
      <c r="G43959" s="3336"/>
      <c r="P43959" s="3337"/>
    </row>
    <row r="43960" spans="7:16" s="1634" customFormat="1">
      <c r="G43960" s="3336"/>
      <c r="P43960" s="3337"/>
    </row>
    <row r="43961" spans="7:16" s="1634" customFormat="1">
      <c r="G43961" s="3336"/>
      <c r="P43961" s="3337"/>
    </row>
    <row r="43962" spans="7:16" s="1634" customFormat="1">
      <c r="G43962" s="3336"/>
      <c r="P43962" s="3337"/>
    </row>
    <row r="43963" spans="7:16" s="1634" customFormat="1">
      <c r="G43963" s="3336"/>
      <c r="P43963" s="3337"/>
    </row>
    <row r="43964" spans="7:16" s="1634" customFormat="1">
      <c r="G43964" s="3336"/>
      <c r="P43964" s="3337"/>
    </row>
    <row r="43965" spans="7:16" s="1634" customFormat="1">
      <c r="G43965" s="3336"/>
      <c r="P43965" s="3337"/>
    </row>
    <row r="43966" spans="7:16" s="1634" customFormat="1">
      <c r="G43966" s="3336"/>
      <c r="P43966" s="3337"/>
    </row>
    <row r="43967" spans="7:16" s="1634" customFormat="1">
      <c r="G43967" s="3336"/>
      <c r="P43967" s="3337"/>
    </row>
    <row r="43968" spans="7:16" s="1634" customFormat="1">
      <c r="G43968" s="3336"/>
      <c r="P43968" s="3337"/>
    </row>
    <row r="43969" spans="7:16" s="1634" customFormat="1">
      <c r="G43969" s="3336"/>
      <c r="P43969" s="3337"/>
    </row>
    <row r="43970" spans="7:16" s="1634" customFormat="1">
      <c r="G43970" s="3336"/>
      <c r="P43970" s="3337"/>
    </row>
    <row r="43971" spans="7:16" s="1634" customFormat="1">
      <c r="G43971" s="3336"/>
      <c r="P43971" s="3337"/>
    </row>
    <row r="43972" spans="7:16" s="1634" customFormat="1">
      <c r="G43972" s="3336"/>
      <c r="P43972" s="3337"/>
    </row>
    <row r="43973" spans="7:16" s="1634" customFormat="1">
      <c r="G43973" s="3336"/>
      <c r="P43973" s="3337"/>
    </row>
    <row r="43974" spans="7:16" s="1634" customFormat="1">
      <c r="G43974" s="3336"/>
      <c r="P43974" s="3337"/>
    </row>
    <row r="43975" spans="7:16" s="1634" customFormat="1">
      <c r="G43975" s="3336"/>
      <c r="P43975" s="3337"/>
    </row>
    <row r="43976" spans="7:16" s="1634" customFormat="1">
      <c r="G43976" s="3336"/>
      <c r="P43976" s="3337"/>
    </row>
    <row r="43977" spans="7:16" s="1634" customFormat="1">
      <c r="G43977" s="3336"/>
      <c r="P43977" s="3337"/>
    </row>
    <row r="43978" spans="7:16" s="1634" customFormat="1">
      <c r="G43978" s="3336"/>
      <c r="P43978" s="3337"/>
    </row>
    <row r="43979" spans="7:16" s="1634" customFormat="1">
      <c r="G43979" s="3336"/>
      <c r="P43979" s="3337"/>
    </row>
    <row r="43980" spans="7:16" s="1634" customFormat="1">
      <c r="G43980" s="3336"/>
      <c r="P43980" s="3337"/>
    </row>
    <row r="43981" spans="7:16" s="1634" customFormat="1">
      <c r="G43981" s="3336"/>
      <c r="P43981" s="3337"/>
    </row>
    <row r="43982" spans="7:16" s="1634" customFormat="1">
      <c r="G43982" s="3336"/>
      <c r="P43982" s="3337"/>
    </row>
    <row r="43983" spans="7:16" s="1634" customFormat="1">
      <c r="G43983" s="3336"/>
      <c r="P43983" s="3337"/>
    </row>
    <row r="43984" spans="7:16" s="1634" customFormat="1">
      <c r="G43984" s="3336"/>
      <c r="P43984" s="3337"/>
    </row>
    <row r="43985" spans="7:16" s="1634" customFormat="1">
      <c r="G43985" s="3336"/>
      <c r="P43985" s="3337"/>
    </row>
    <row r="43986" spans="7:16" s="1634" customFormat="1">
      <c r="G43986" s="3336"/>
      <c r="P43986" s="3337"/>
    </row>
    <row r="43987" spans="7:16" s="1634" customFormat="1">
      <c r="G43987" s="3336"/>
      <c r="P43987" s="3337"/>
    </row>
    <row r="43988" spans="7:16" s="1634" customFormat="1">
      <c r="G43988" s="3336"/>
      <c r="P43988" s="3337"/>
    </row>
    <row r="43989" spans="7:16" s="1634" customFormat="1">
      <c r="G43989" s="3336"/>
      <c r="P43989" s="3337"/>
    </row>
    <row r="43990" spans="7:16" s="1634" customFormat="1">
      <c r="G43990" s="3336"/>
      <c r="P43990" s="3337"/>
    </row>
    <row r="43991" spans="7:16" s="1634" customFormat="1">
      <c r="G43991" s="3336"/>
      <c r="P43991" s="3337"/>
    </row>
    <row r="43992" spans="7:16" s="1634" customFormat="1">
      <c r="G43992" s="3336"/>
      <c r="P43992" s="3337"/>
    </row>
    <row r="43993" spans="7:16" s="1634" customFormat="1">
      <c r="G43993" s="3336"/>
      <c r="P43993" s="3337"/>
    </row>
    <row r="43994" spans="7:16" s="1634" customFormat="1">
      <c r="G43994" s="3336"/>
      <c r="P43994" s="3337"/>
    </row>
    <row r="43995" spans="7:16" s="1634" customFormat="1">
      <c r="G43995" s="3336"/>
      <c r="P43995" s="3337"/>
    </row>
    <row r="43996" spans="7:16" s="1634" customFormat="1">
      <c r="G43996" s="3336"/>
      <c r="P43996" s="3337"/>
    </row>
    <row r="43997" spans="7:16" s="1634" customFormat="1">
      <c r="G43997" s="3336"/>
      <c r="P43997" s="3337"/>
    </row>
    <row r="43998" spans="7:16" s="1634" customFormat="1">
      <c r="G43998" s="3336"/>
      <c r="P43998" s="3337"/>
    </row>
    <row r="43999" spans="7:16" s="1634" customFormat="1">
      <c r="G43999" s="3336"/>
      <c r="P43999" s="3337"/>
    </row>
    <row r="44000" spans="7:16" s="1634" customFormat="1">
      <c r="G44000" s="3336"/>
      <c r="P44000" s="3337"/>
    </row>
    <row r="44001" spans="7:16" s="1634" customFormat="1">
      <c r="G44001" s="3336"/>
      <c r="P44001" s="3337"/>
    </row>
    <row r="44002" spans="7:16" s="1634" customFormat="1">
      <c r="G44002" s="3336"/>
      <c r="P44002" s="3337"/>
    </row>
    <row r="44003" spans="7:16" s="1634" customFormat="1">
      <c r="G44003" s="3336"/>
      <c r="P44003" s="3337"/>
    </row>
    <row r="44004" spans="7:16" s="1634" customFormat="1">
      <c r="G44004" s="3336"/>
      <c r="P44004" s="3337"/>
    </row>
    <row r="44005" spans="7:16" s="1634" customFormat="1">
      <c r="G44005" s="3336"/>
      <c r="P44005" s="3337"/>
    </row>
    <row r="44006" spans="7:16" s="1634" customFormat="1">
      <c r="G44006" s="3336"/>
      <c r="P44006" s="3337"/>
    </row>
    <row r="44007" spans="7:16" s="1634" customFormat="1">
      <c r="G44007" s="3336"/>
      <c r="P44007" s="3337"/>
    </row>
    <row r="44008" spans="7:16" s="1634" customFormat="1">
      <c r="G44008" s="3336"/>
      <c r="P44008" s="3337"/>
    </row>
    <row r="44009" spans="7:16" s="1634" customFormat="1">
      <c r="G44009" s="3336"/>
      <c r="P44009" s="3337"/>
    </row>
    <row r="44010" spans="7:16" s="1634" customFormat="1">
      <c r="G44010" s="3336"/>
      <c r="P44010" s="3337"/>
    </row>
    <row r="44011" spans="7:16" s="1634" customFormat="1">
      <c r="G44011" s="3336"/>
      <c r="P44011" s="3337"/>
    </row>
    <row r="44012" spans="7:16" s="1634" customFormat="1">
      <c r="G44012" s="3336"/>
      <c r="P44012" s="3337"/>
    </row>
    <row r="44013" spans="7:16" s="1634" customFormat="1">
      <c r="G44013" s="3336"/>
      <c r="P44013" s="3337"/>
    </row>
    <row r="44014" spans="7:16" s="1634" customFormat="1">
      <c r="G44014" s="3336"/>
      <c r="P44014" s="3337"/>
    </row>
    <row r="44015" spans="7:16" s="1634" customFormat="1">
      <c r="G44015" s="3336"/>
      <c r="P44015" s="3337"/>
    </row>
    <row r="44016" spans="7:16" s="1634" customFormat="1">
      <c r="G44016" s="3336"/>
      <c r="P44016" s="3337"/>
    </row>
    <row r="44017" spans="7:16" s="1634" customFormat="1">
      <c r="G44017" s="3336"/>
      <c r="P44017" s="3337"/>
    </row>
    <row r="44018" spans="7:16" s="1634" customFormat="1">
      <c r="G44018" s="3336"/>
      <c r="P44018" s="3337"/>
    </row>
    <row r="44019" spans="7:16" s="1634" customFormat="1">
      <c r="G44019" s="3336"/>
      <c r="P44019" s="3337"/>
    </row>
    <row r="44020" spans="7:16" s="1634" customFormat="1">
      <c r="G44020" s="3336"/>
      <c r="P44020" s="3337"/>
    </row>
    <row r="44021" spans="7:16" s="1634" customFormat="1">
      <c r="G44021" s="3336"/>
      <c r="P44021" s="3337"/>
    </row>
    <row r="44022" spans="7:16" s="1634" customFormat="1">
      <c r="G44022" s="3336"/>
      <c r="P44022" s="3337"/>
    </row>
    <row r="44023" spans="7:16" s="1634" customFormat="1">
      <c r="G44023" s="3336"/>
      <c r="P44023" s="3337"/>
    </row>
    <row r="44024" spans="7:16" s="1634" customFormat="1">
      <c r="G44024" s="3336"/>
      <c r="P44024" s="3337"/>
    </row>
    <row r="44025" spans="7:16" s="1634" customFormat="1">
      <c r="G44025" s="3336"/>
      <c r="P44025" s="3337"/>
    </row>
    <row r="44026" spans="7:16" s="1634" customFormat="1">
      <c r="G44026" s="3336"/>
      <c r="P44026" s="3337"/>
    </row>
    <row r="44027" spans="7:16" s="1634" customFormat="1">
      <c r="G44027" s="3336"/>
      <c r="P44027" s="3337"/>
    </row>
    <row r="44028" spans="7:16" s="1634" customFormat="1">
      <c r="G44028" s="3336"/>
      <c r="P44028" s="3337"/>
    </row>
    <row r="44029" spans="7:16" s="1634" customFormat="1">
      <c r="G44029" s="3336"/>
      <c r="P44029" s="3337"/>
    </row>
    <row r="44030" spans="7:16" s="1634" customFormat="1">
      <c r="G44030" s="3336"/>
      <c r="P44030" s="3337"/>
    </row>
    <row r="44031" spans="7:16" s="1634" customFormat="1">
      <c r="G44031" s="3336"/>
      <c r="P44031" s="3337"/>
    </row>
    <row r="44032" spans="7:16" s="1634" customFormat="1">
      <c r="G44032" s="3336"/>
      <c r="P44032" s="3337"/>
    </row>
    <row r="44033" spans="7:16" s="1634" customFormat="1">
      <c r="G44033" s="3336"/>
      <c r="P44033" s="3337"/>
    </row>
    <row r="44034" spans="7:16" s="1634" customFormat="1">
      <c r="G44034" s="3336"/>
      <c r="P44034" s="3337"/>
    </row>
    <row r="44035" spans="7:16" s="1634" customFormat="1">
      <c r="G44035" s="3336"/>
      <c r="P44035" s="3337"/>
    </row>
    <row r="44036" spans="7:16" s="1634" customFormat="1">
      <c r="G44036" s="3336"/>
      <c r="P44036" s="3337"/>
    </row>
    <row r="44037" spans="7:16" s="1634" customFormat="1">
      <c r="G44037" s="3336"/>
      <c r="P44037" s="3337"/>
    </row>
    <row r="44038" spans="7:16" s="1634" customFormat="1">
      <c r="G44038" s="3336"/>
      <c r="P44038" s="3337"/>
    </row>
    <row r="44039" spans="7:16" s="1634" customFormat="1">
      <c r="G44039" s="3336"/>
      <c r="P44039" s="3337"/>
    </row>
    <row r="44040" spans="7:16" s="1634" customFormat="1">
      <c r="G44040" s="3336"/>
      <c r="P44040" s="3337"/>
    </row>
    <row r="44041" spans="7:16" s="1634" customFormat="1">
      <c r="G44041" s="3336"/>
      <c r="P44041" s="3337"/>
    </row>
    <row r="44042" spans="7:16" s="1634" customFormat="1">
      <c r="G44042" s="3336"/>
      <c r="P44042" s="3337"/>
    </row>
    <row r="44043" spans="7:16" s="1634" customFormat="1">
      <c r="G44043" s="3336"/>
      <c r="P44043" s="3337"/>
    </row>
    <row r="44044" spans="7:16" s="1634" customFormat="1">
      <c r="G44044" s="3336"/>
      <c r="P44044" s="3337"/>
    </row>
    <row r="44045" spans="7:16" s="1634" customFormat="1">
      <c r="G44045" s="3336"/>
      <c r="P44045" s="3337"/>
    </row>
    <row r="44046" spans="7:16" s="1634" customFormat="1">
      <c r="G44046" s="3336"/>
      <c r="P44046" s="3337"/>
    </row>
    <row r="44047" spans="7:16" s="1634" customFormat="1">
      <c r="G44047" s="3336"/>
      <c r="P44047" s="3337"/>
    </row>
    <row r="44048" spans="7:16" s="1634" customFormat="1">
      <c r="G44048" s="3336"/>
      <c r="P44048" s="3337"/>
    </row>
    <row r="44049" spans="7:16" s="1634" customFormat="1">
      <c r="G44049" s="3336"/>
      <c r="P44049" s="3337"/>
    </row>
    <row r="44050" spans="7:16" s="1634" customFormat="1">
      <c r="G44050" s="3336"/>
      <c r="P44050" s="3337"/>
    </row>
    <row r="44051" spans="7:16" s="1634" customFormat="1">
      <c r="G44051" s="3336"/>
      <c r="P44051" s="3337"/>
    </row>
    <row r="44052" spans="7:16" s="1634" customFormat="1">
      <c r="G44052" s="3336"/>
      <c r="P44052" s="3337"/>
    </row>
    <row r="44053" spans="7:16" s="1634" customFormat="1">
      <c r="G44053" s="3336"/>
      <c r="P44053" s="3337"/>
    </row>
    <row r="44054" spans="7:16" s="1634" customFormat="1">
      <c r="G44054" s="3336"/>
      <c r="P44054" s="3337"/>
    </row>
    <row r="44055" spans="7:16" s="1634" customFormat="1">
      <c r="G44055" s="3336"/>
      <c r="P44055" s="3337"/>
    </row>
    <row r="44056" spans="7:16" s="1634" customFormat="1">
      <c r="G44056" s="3336"/>
      <c r="P44056" s="3337"/>
    </row>
    <row r="44057" spans="7:16" s="1634" customFormat="1">
      <c r="G44057" s="3336"/>
      <c r="P44057" s="3337"/>
    </row>
    <row r="44058" spans="7:16" s="1634" customFormat="1">
      <c r="G44058" s="3336"/>
      <c r="P44058" s="3337"/>
    </row>
    <row r="44059" spans="7:16" s="1634" customFormat="1">
      <c r="G44059" s="3336"/>
      <c r="P44059" s="3337"/>
    </row>
    <row r="44060" spans="7:16" s="1634" customFormat="1">
      <c r="G44060" s="3336"/>
      <c r="P44060" s="3337"/>
    </row>
    <row r="44061" spans="7:16" s="1634" customFormat="1">
      <c r="G44061" s="3336"/>
      <c r="P44061" s="3337"/>
    </row>
    <row r="44062" spans="7:16" s="1634" customFormat="1">
      <c r="G44062" s="3336"/>
      <c r="P44062" s="3337"/>
    </row>
    <row r="44063" spans="7:16" s="1634" customFormat="1">
      <c r="G44063" s="3336"/>
      <c r="P44063" s="3337"/>
    </row>
    <row r="44064" spans="7:16" s="1634" customFormat="1">
      <c r="G44064" s="3336"/>
      <c r="P44064" s="3337"/>
    </row>
    <row r="44065" spans="7:16" s="1634" customFormat="1">
      <c r="G44065" s="3336"/>
      <c r="P44065" s="3337"/>
    </row>
    <row r="44066" spans="7:16" s="1634" customFormat="1">
      <c r="G44066" s="3336"/>
      <c r="P44066" s="3337"/>
    </row>
    <row r="44067" spans="7:16" s="1634" customFormat="1">
      <c r="G44067" s="3336"/>
      <c r="P44067" s="3337"/>
    </row>
    <row r="44068" spans="7:16" s="1634" customFormat="1">
      <c r="G44068" s="3336"/>
      <c r="P44068" s="3337"/>
    </row>
    <row r="44069" spans="7:16" s="1634" customFormat="1">
      <c r="G44069" s="3336"/>
      <c r="P44069" s="3337"/>
    </row>
    <row r="44070" spans="7:16" s="1634" customFormat="1">
      <c r="G44070" s="3336"/>
      <c r="P44070" s="3337"/>
    </row>
    <row r="44071" spans="7:16" s="1634" customFormat="1">
      <c r="G44071" s="3336"/>
      <c r="P44071" s="3337"/>
    </row>
    <row r="44072" spans="7:16" s="1634" customFormat="1">
      <c r="G44072" s="3336"/>
      <c r="P44072" s="3337"/>
    </row>
    <row r="44073" spans="7:16" s="1634" customFormat="1">
      <c r="G44073" s="3336"/>
      <c r="P44073" s="3337"/>
    </row>
    <row r="44074" spans="7:16" s="1634" customFormat="1">
      <c r="G44074" s="3336"/>
      <c r="P44074" s="3337"/>
    </row>
    <row r="44075" spans="7:16" s="1634" customFormat="1">
      <c r="G44075" s="3336"/>
      <c r="P44075" s="3337"/>
    </row>
    <row r="44076" spans="7:16" s="1634" customFormat="1">
      <c r="G44076" s="3336"/>
      <c r="P44076" s="3337"/>
    </row>
    <row r="44077" spans="7:16" s="1634" customFormat="1">
      <c r="G44077" s="3336"/>
      <c r="P44077" s="3337"/>
    </row>
    <row r="44078" spans="7:16" s="1634" customFormat="1">
      <c r="G44078" s="3336"/>
      <c r="P44078" s="3337"/>
    </row>
    <row r="44079" spans="7:16" s="1634" customFormat="1">
      <c r="G44079" s="3336"/>
      <c r="P44079" s="3337"/>
    </row>
    <row r="44080" spans="7:16" s="1634" customFormat="1">
      <c r="G44080" s="3336"/>
      <c r="P44080" s="3337"/>
    </row>
    <row r="44081" spans="7:16" s="1634" customFormat="1">
      <c r="G44081" s="3336"/>
      <c r="P44081" s="3337"/>
    </row>
    <row r="44082" spans="7:16" s="1634" customFormat="1">
      <c r="G44082" s="3336"/>
      <c r="P44082" s="3337"/>
    </row>
    <row r="44083" spans="7:16" s="1634" customFormat="1">
      <c r="G44083" s="3336"/>
      <c r="P44083" s="3337"/>
    </row>
    <row r="44084" spans="7:16" s="1634" customFormat="1">
      <c r="G44084" s="3336"/>
      <c r="P44084" s="3337"/>
    </row>
    <row r="44085" spans="7:16" s="1634" customFormat="1">
      <c r="G44085" s="3336"/>
      <c r="P44085" s="3337"/>
    </row>
    <row r="44086" spans="7:16" s="1634" customFormat="1">
      <c r="G44086" s="3336"/>
      <c r="P44086" s="3337"/>
    </row>
    <row r="44087" spans="7:16" s="1634" customFormat="1">
      <c r="G44087" s="3336"/>
      <c r="P44087" s="3337"/>
    </row>
    <row r="44088" spans="7:16" s="1634" customFormat="1">
      <c r="G44088" s="3336"/>
      <c r="P44088" s="3337"/>
    </row>
    <row r="44089" spans="7:16" s="1634" customFormat="1">
      <c r="G44089" s="3336"/>
      <c r="P44089" s="3337"/>
    </row>
    <row r="44090" spans="7:16" s="1634" customFormat="1">
      <c r="G44090" s="3336"/>
      <c r="P44090" s="3337"/>
    </row>
    <row r="44091" spans="7:16" s="1634" customFormat="1">
      <c r="G44091" s="3336"/>
      <c r="P44091" s="3337"/>
    </row>
    <row r="44092" spans="7:16" s="1634" customFormat="1">
      <c r="G44092" s="3336"/>
      <c r="P44092" s="3337"/>
    </row>
    <row r="44093" spans="7:16" s="1634" customFormat="1">
      <c r="G44093" s="3336"/>
      <c r="P44093" s="3337"/>
    </row>
    <row r="44094" spans="7:16" s="1634" customFormat="1">
      <c r="G44094" s="3336"/>
      <c r="P44094" s="3337"/>
    </row>
    <row r="44095" spans="7:16" s="1634" customFormat="1">
      <c r="G44095" s="3336"/>
      <c r="P44095" s="3337"/>
    </row>
    <row r="44096" spans="7:16" s="1634" customFormat="1">
      <c r="G44096" s="3336"/>
      <c r="P44096" s="3337"/>
    </row>
    <row r="44097" spans="7:16" s="1634" customFormat="1">
      <c r="G44097" s="3336"/>
      <c r="P44097" s="3337"/>
    </row>
    <row r="44098" spans="7:16" s="1634" customFormat="1">
      <c r="G44098" s="3336"/>
      <c r="P44098" s="3337"/>
    </row>
    <row r="44099" spans="7:16" s="1634" customFormat="1">
      <c r="G44099" s="3336"/>
      <c r="P44099" s="3337"/>
    </row>
    <row r="44100" spans="7:16" s="1634" customFormat="1">
      <c r="G44100" s="3336"/>
      <c r="P44100" s="3337"/>
    </row>
    <row r="44101" spans="7:16" s="1634" customFormat="1">
      <c r="G44101" s="3336"/>
      <c r="P44101" s="3337"/>
    </row>
    <row r="44102" spans="7:16" s="1634" customFormat="1">
      <c r="G44102" s="3336"/>
      <c r="P44102" s="3337"/>
    </row>
    <row r="44103" spans="7:16" s="1634" customFormat="1">
      <c r="G44103" s="3336"/>
      <c r="P44103" s="3337"/>
    </row>
    <row r="44104" spans="7:16" s="1634" customFormat="1">
      <c r="G44104" s="3336"/>
      <c r="P44104" s="3337"/>
    </row>
    <row r="44105" spans="7:16" s="1634" customFormat="1">
      <c r="G44105" s="3336"/>
      <c r="P44105" s="3337"/>
    </row>
    <row r="44106" spans="7:16" s="1634" customFormat="1">
      <c r="G44106" s="3336"/>
      <c r="P44106" s="3337"/>
    </row>
    <row r="44107" spans="7:16" s="1634" customFormat="1">
      <c r="G44107" s="3336"/>
      <c r="P44107" s="3337"/>
    </row>
    <row r="44108" spans="7:16" s="1634" customFormat="1">
      <c r="G44108" s="3336"/>
      <c r="P44108" s="3337"/>
    </row>
    <row r="44109" spans="7:16" s="1634" customFormat="1">
      <c r="G44109" s="3336"/>
      <c r="P44109" s="3337"/>
    </row>
    <row r="44110" spans="7:16" s="1634" customFormat="1">
      <c r="G44110" s="3336"/>
      <c r="P44110" s="3337"/>
    </row>
    <row r="44111" spans="7:16" s="1634" customFormat="1">
      <c r="G44111" s="3336"/>
      <c r="P44111" s="3337"/>
    </row>
    <row r="44112" spans="7:16" s="1634" customFormat="1">
      <c r="G44112" s="3336"/>
      <c r="P44112" s="3337"/>
    </row>
    <row r="44113" spans="7:16" s="1634" customFormat="1">
      <c r="G44113" s="3336"/>
      <c r="P44113" s="3337"/>
    </row>
    <row r="44114" spans="7:16" s="1634" customFormat="1">
      <c r="G44114" s="3336"/>
      <c r="P44114" s="3337"/>
    </row>
    <row r="44115" spans="7:16" s="1634" customFormat="1">
      <c r="G44115" s="3336"/>
      <c r="P44115" s="3337"/>
    </row>
    <row r="44116" spans="7:16" s="1634" customFormat="1">
      <c r="G44116" s="3336"/>
      <c r="P44116" s="3337"/>
    </row>
    <row r="44117" spans="7:16" s="1634" customFormat="1">
      <c r="G44117" s="3336"/>
      <c r="P44117" s="3337"/>
    </row>
    <row r="44118" spans="7:16" s="1634" customFormat="1">
      <c r="G44118" s="3336"/>
      <c r="P44118" s="3337"/>
    </row>
    <row r="44119" spans="7:16" s="1634" customFormat="1">
      <c r="G44119" s="3336"/>
      <c r="P44119" s="3337"/>
    </row>
    <row r="44120" spans="7:16" s="1634" customFormat="1">
      <c r="G44120" s="3336"/>
      <c r="P44120" s="3337"/>
    </row>
    <row r="44121" spans="7:16" s="1634" customFormat="1">
      <c r="G44121" s="3336"/>
      <c r="P44121" s="3337"/>
    </row>
    <row r="44122" spans="7:16" s="1634" customFormat="1">
      <c r="G44122" s="3336"/>
      <c r="P44122" s="3337"/>
    </row>
    <row r="44123" spans="7:16" s="1634" customFormat="1">
      <c r="G44123" s="3336"/>
      <c r="P44123" s="3337"/>
    </row>
    <row r="44124" spans="7:16" s="1634" customFormat="1">
      <c r="G44124" s="3336"/>
      <c r="P44124" s="3337"/>
    </row>
    <row r="44125" spans="7:16" s="1634" customFormat="1">
      <c r="G44125" s="3336"/>
      <c r="P44125" s="3337"/>
    </row>
    <row r="44126" spans="7:16" s="1634" customFormat="1">
      <c r="G44126" s="3336"/>
      <c r="P44126" s="3337"/>
    </row>
    <row r="44127" spans="7:16" s="1634" customFormat="1">
      <c r="G44127" s="3336"/>
      <c r="P44127" s="3337"/>
    </row>
    <row r="44128" spans="7:16" s="1634" customFormat="1">
      <c r="G44128" s="3336"/>
      <c r="P44128" s="3337"/>
    </row>
    <row r="44129" spans="7:16" s="1634" customFormat="1">
      <c r="G44129" s="3336"/>
      <c r="P44129" s="3337"/>
    </row>
    <row r="44130" spans="7:16" s="1634" customFormat="1">
      <c r="G44130" s="3336"/>
      <c r="P44130" s="3337"/>
    </row>
    <row r="44131" spans="7:16" s="1634" customFormat="1">
      <c r="G44131" s="3336"/>
      <c r="P44131" s="3337"/>
    </row>
    <row r="44132" spans="7:16" s="1634" customFormat="1">
      <c r="G44132" s="3336"/>
      <c r="P44132" s="3337"/>
    </row>
    <row r="44133" spans="7:16" s="1634" customFormat="1">
      <c r="G44133" s="3336"/>
      <c r="P44133" s="3337"/>
    </row>
    <row r="44134" spans="7:16" s="1634" customFormat="1">
      <c r="G44134" s="3336"/>
      <c r="P44134" s="3337"/>
    </row>
    <row r="44135" spans="7:16" s="1634" customFormat="1">
      <c r="G44135" s="3336"/>
      <c r="P44135" s="3337"/>
    </row>
    <row r="44136" spans="7:16" s="1634" customFormat="1">
      <c r="G44136" s="3336"/>
      <c r="P44136" s="3337"/>
    </row>
    <row r="44137" spans="7:16" s="1634" customFormat="1">
      <c r="G44137" s="3336"/>
      <c r="P44137" s="3337"/>
    </row>
    <row r="44138" spans="7:16" s="1634" customFormat="1">
      <c r="G44138" s="3336"/>
      <c r="P44138" s="3337"/>
    </row>
    <row r="44139" spans="7:16" s="1634" customFormat="1">
      <c r="G44139" s="3336"/>
      <c r="P44139" s="3337"/>
    </row>
    <row r="44140" spans="7:16" s="1634" customFormat="1">
      <c r="G44140" s="3336"/>
      <c r="P44140" s="3337"/>
    </row>
    <row r="44141" spans="7:16" s="1634" customFormat="1">
      <c r="G44141" s="3336"/>
      <c r="P44141" s="3337"/>
    </row>
    <row r="44142" spans="7:16" s="1634" customFormat="1">
      <c r="G44142" s="3336"/>
      <c r="P44142" s="3337"/>
    </row>
    <row r="44143" spans="7:16" s="1634" customFormat="1">
      <c r="G44143" s="3336"/>
      <c r="P44143" s="3337"/>
    </row>
    <row r="44144" spans="7:16" s="1634" customFormat="1">
      <c r="G44144" s="3336"/>
      <c r="P44144" s="3337"/>
    </row>
    <row r="44145" spans="7:16" s="1634" customFormat="1">
      <c r="G44145" s="3336"/>
      <c r="P44145" s="3337"/>
    </row>
    <row r="44146" spans="7:16" s="1634" customFormat="1">
      <c r="G44146" s="3336"/>
      <c r="P44146" s="3337"/>
    </row>
    <row r="44147" spans="7:16" s="1634" customFormat="1">
      <c r="G44147" s="3336"/>
      <c r="P44147" s="3337"/>
    </row>
    <row r="44148" spans="7:16" s="1634" customFormat="1">
      <c r="G44148" s="3336"/>
      <c r="P44148" s="3337"/>
    </row>
    <row r="44149" spans="7:16" s="1634" customFormat="1">
      <c r="G44149" s="3336"/>
      <c r="P44149" s="3337"/>
    </row>
    <row r="44150" spans="7:16" s="1634" customFormat="1">
      <c r="G44150" s="3336"/>
      <c r="P44150" s="3337"/>
    </row>
    <row r="44151" spans="7:16" s="1634" customFormat="1">
      <c r="G44151" s="3336"/>
      <c r="P44151" s="3337"/>
    </row>
    <row r="44152" spans="7:16" s="1634" customFormat="1">
      <c r="G44152" s="3336"/>
      <c r="P44152" s="3337"/>
    </row>
    <row r="44153" spans="7:16" s="1634" customFormat="1">
      <c r="G44153" s="3336"/>
      <c r="P44153" s="3337"/>
    </row>
    <row r="44154" spans="7:16" s="1634" customFormat="1">
      <c r="G44154" s="3336"/>
      <c r="P44154" s="3337"/>
    </row>
    <row r="44155" spans="7:16" s="1634" customFormat="1">
      <c r="G44155" s="3336"/>
      <c r="P44155" s="3337"/>
    </row>
    <row r="44156" spans="7:16" s="1634" customFormat="1">
      <c r="G44156" s="3336"/>
      <c r="P44156" s="3337"/>
    </row>
    <row r="44157" spans="7:16" s="1634" customFormat="1">
      <c r="G44157" s="3336"/>
      <c r="P44157" s="3337"/>
    </row>
    <row r="44158" spans="7:16" s="1634" customFormat="1">
      <c r="G44158" s="3336"/>
      <c r="P44158" s="3337"/>
    </row>
    <row r="44159" spans="7:16" s="1634" customFormat="1">
      <c r="G44159" s="3336"/>
      <c r="P44159" s="3337"/>
    </row>
    <row r="44160" spans="7:16" s="1634" customFormat="1">
      <c r="G44160" s="3336"/>
      <c r="P44160" s="3337"/>
    </row>
    <row r="44161" spans="7:16" s="1634" customFormat="1">
      <c r="G44161" s="3336"/>
      <c r="P44161" s="3337"/>
    </row>
    <row r="44162" spans="7:16" s="1634" customFormat="1">
      <c r="G44162" s="3336"/>
      <c r="P44162" s="3337"/>
    </row>
    <row r="44163" spans="7:16" s="1634" customFormat="1">
      <c r="G44163" s="3336"/>
      <c r="P44163" s="3337"/>
    </row>
    <row r="44164" spans="7:16" s="1634" customFormat="1">
      <c r="G44164" s="3336"/>
      <c r="P44164" s="3337"/>
    </row>
    <row r="44165" spans="7:16" s="1634" customFormat="1">
      <c r="G44165" s="3336"/>
      <c r="P44165" s="3337"/>
    </row>
    <row r="44166" spans="7:16" s="1634" customFormat="1">
      <c r="G44166" s="3336"/>
      <c r="P44166" s="3337"/>
    </row>
    <row r="44167" spans="7:16" s="1634" customFormat="1">
      <c r="G44167" s="3336"/>
      <c r="P44167" s="3337"/>
    </row>
    <row r="44168" spans="7:16" s="1634" customFormat="1">
      <c r="G44168" s="3336"/>
      <c r="P44168" s="3337"/>
    </row>
    <row r="44169" spans="7:16" s="1634" customFormat="1">
      <c r="G44169" s="3336"/>
      <c r="P44169" s="3337"/>
    </row>
    <row r="44170" spans="7:16" s="1634" customFormat="1">
      <c r="G44170" s="3336"/>
      <c r="P44170" s="3337"/>
    </row>
    <row r="44171" spans="7:16" s="1634" customFormat="1">
      <c r="G44171" s="3336"/>
      <c r="P44171" s="3337"/>
    </row>
    <row r="44172" spans="7:16" s="1634" customFormat="1">
      <c r="G44172" s="3336"/>
      <c r="P44172" s="3337"/>
    </row>
    <row r="44173" spans="7:16" s="1634" customFormat="1">
      <c r="G44173" s="3336"/>
      <c r="P44173" s="3337"/>
    </row>
    <row r="44174" spans="7:16" s="1634" customFormat="1">
      <c r="G44174" s="3336"/>
      <c r="P44174" s="3337"/>
    </row>
    <row r="44175" spans="7:16" s="1634" customFormat="1">
      <c r="G44175" s="3336"/>
      <c r="P44175" s="3337"/>
    </row>
    <row r="44176" spans="7:16" s="1634" customFormat="1">
      <c r="G44176" s="3336"/>
      <c r="P44176" s="3337"/>
    </row>
    <row r="44177" spans="7:16" s="1634" customFormat="1">
      <c r="G44177" s="3336"/>
      <c r="P44177" s="3337"/>
    </row>
    <row r="44178" spans="7:16" s="1634" customFormat="1">
      <c r="G44178" s="3336"/>
      <c r="P44178" s="3337"/>
    </row>
    <row r="44179" spans="7:16" s="1634" customFormat="1">
      <c r="G44179" s="3336"/>
      <c r="P44179" s="3337"/>
    </row>
    <row r="44180" spans="7:16" s="1634" customFormat="1">
      <c r="G44180" s="3336"/>
      <c r="P44180" s="3337"/>
    </row>
    <row r="44181" spans="7:16" s="1634" customFormat="1">
      <c r="G44181" s="3336"/>
      <c r="P44181" s="3337"/>
    </row>
    <row r="44182" spans="7:16" s="1634" customFormat="1">
      <c r="G44182" s="3336"/>
      <c r="P44182" s="3337"/>
    </row>
    <row r="44183" spans="7:16" s="1634" customFormat="1">
      <c r="G44183" s="3336"/>
      <c r="P44183" s="3337"/>
    </row>
    <row r="44184" spans="7:16" s="1634" customFormat="1">
      <c r="G44184" s="3336"/>
      <c r="P44184" s="3337"/>
    </row>
    <row r="44185" spans="7:16" s="1634" customFormat="1">
      <c r="G44185" s="3336"/>
      <c r="P44185" s="3337"/>
    </row>
    <row r="44186" spans="7:16" s="1634" customFormat="1">
      <c r="G44186" s="3336"/>
      <c r="P44186" s="3337"/>
    </row>
    <row r="44187" spans="7:16" s="1634" customFormat="1">
      <c r="G44187" s="3336"/>
      <c r="P44187" s="3337"/>
    </row>
    <row r="44188" spans="7:16" s="1634" customFormat="1">
      <c r="G44188" s="3336"/>
      <c r="P44188" s="3337"/>
    </row>
    <row r="44189" spans="7:16" s="1634" customFormat="1">
      <c r="G44189" s="3336"/>
      <c r="P44189" s="3337"/>
    </row>
    <row r="44190" spans="7:16" s="1634" customFormat="1">
      <c r="G44190" s="3336"/>
      <c r="P44190" s="3337"/>
    </row>
    <row r="44191" spans="7:16" s="1634" customFormat="1">
      <c r="G44191" s="3336"/>
      <c r="P44191" s="3337"/>
    </row>
    <row r="44192" spans="7:16" s="1634" customFormat="1">
      <c r="G44192" s="3336"/>
      <c r="P44192" s="3337"/>
    </row>
    <row r="44193" spans="7:16" s="1634" customFormat="1">
      <c r="G44193" s="3336"/>
      <c r="P44193" s="3337"/>
    </row>
    <row r="44194" spans="7:16" s="1634" customFormat="1">
      <c r="G44194" s="3336"/>
      <c r="P44194" s="3337"/>
    </row>
    <row r="44195" spans="7:16" s="1634" customFormat="1">
      <c r="G44195" s="3336"/>
      <c r="P44195" s="3337"/>
    </row>
    <row r="44196" spans="7:16" s="1634" customFormat="1">
      <c r="G44196" s="3336"/>
      <c r="P44196" s="3337"/>
    </row>
    <row r="44197" spans="7:16" s="1634" customFormat="1">
      <c r="G44197" s="3336"/>
      <c r="P44197" s="3337"/>
    </row>
    <row r="44198" spans="7:16" s="1634" customFormat="1">
      <c r="G44198" s="3336"/>
      <c r="P44198" s="3337"/>
    </row>
    <row r="44199" spans="7:16" s="1634" customFormat="1">
      <c r="G44199" s="3336"/>
      <c r="P44199" s="3337"/>
    </row>
    <row r="44200" spans="7:16" s="1634" customFormat="1">
      <c r="G44200" s="3336"/>
      <c r="P44200" s="3337"/>
    </row>
    <row r="44201" spans="7:16" s="1634" customFormat="1">
      <c r="G44201" s="3336"/>
      <c r="P44201" s="3337"/>
    </row>
    <row r="44202" spans="7:16" s="1634" customFormat="1">
      <c r="G44202" s="3336"/>
      <c r="P44202" s="3337"/>
    </row>
    <row r="44203" spans="7:16" s="1634" customFormat="1">
      <c r="G44203" s="3336"/>
      <c r="P44203" s="3337"/>
    </row>
    <row r="44204" spans="7:16" s="1634" customFormat="1">
      <c r="G44204" s="3336"/>
      <c r="P44204" s="3337"/>
    </row>
    <row r="44205" spans="7:16" s="1634" customFormat="1">
      <c r="G44205" s="3336"/>
      <c r="P44205" s="3337"/>
    </row>
    <row r="44206" spans="7:16" s="1634" customFormat="1">
      <c r="G44206" s="3336"/>
      <c r="P44206" s="3337"/>
    </row>
    <row r="44207" spans="7:16" s="1634" customFormat="1">
      <c r="G44207" s="3336"/>
      <c r="P44207" s="3337"/>
    </row>
    <row r="44208" spans="7:16" s="1634" customFormat="1">
      <c r="G44208" s="3336"/>
      <c r="P44208" s="3337"/>
    </row>
    <row r="44209" spans="7:16" s="1634" customFormat="1">
      <c r="G44209" s="3336"/>
      <c r="P44209" s="3337"/>
    </row>
    <row r="44210" spans="7:16" s="1634" customFormat="1">
      <c r="G44210" s="3336"/>
      <c r="P44210" s="3337"/>
    </row>
    <row r="44211" spans="7:16" s="1634" customFormat="1">
      <c r="G44211" s="3336"/>
      <c r="P44211" s="3337"/>
    </row>
    <row r="44212" spans="7:16" s="1634" customFormat="1">
      <c r="G44212" s="3336"/>
      <c r="P44212" s="3337"/>
    </row>
    <row r="44213" spans="7:16" s="1634" customFormat="1">
      <c r="G44213" s="3336"/>
      <c r="P44213" s="3337"/>
    </row>
    <row r="44214" spans="7:16" s="1634" customFormat="1">
      <c r="G44214" s="3336"/>
      <c r="P44214" s="3337"/>
    </row>
    <row r="44215" spans="7:16" s="1634" customFormat="1">
      <c r="G44215" s="3336"/>
      <c r="P44215" s="3337"/>
    </row>
    <row r="44216" spans="7:16" s="1634" customFormat="1">
      <c r="G44216" s="3336"/>
      <c r="P44216" s="3337"/>
    </row>
    <row r="44217" spans="7:16" s="1634" customFormat="1">
      <c r="G44217" s="3336"/>
      <c r="P44217" s="3337"/>
    </row>
    <row r="44218" spans="7:16" s="1634" customFormat="1">
      <c r="G44218" s="3336"/>
      <c r="P44218" s="3337"/>
    </row>
    <row r="44219" spans="7:16" s="1634" customFormat="1">
      <c r="G44219" s="3336"/>
      <c r="P44219" s="3337"/>
    </row>
    <row r="44220" spans="7:16" s="1634" customFormat="1">
      <c r="G44220" s="3336"/>
      <c r="P44220" s="3337"/>
    </row>
    <row r="44221" spans="7:16" s="1634" customFormat="1">
      <c r="G44221" s="3336"/>
      <c r="P44221" s="3337"/>
    </row>
    <row r="44222" spans="7:16" s="1634" customFormat="1">
      <c r="G44222" s="3336"/>
      <c r="P44222" s="3337"/>
    </row>
    <row r="44223" spans="7:16" s="1634" customFormat="1">
      <c r="G44223" s="3336"/>
      <c r="P44223" s="3337"/>
    </row>
    <row r="44224" spans="7:16" s="1634" customFormat="1">
      <c r="G44224" s="3336"/>
      <c r="P44224" s="3337"/>
    </row>
    <row r="44225" spans="7:16" s="1634" customFormat="1">
      <c r="G44225" s="3336"/>
      <c r="P44225" s="3337"/>
    </row>
    <row r="44226" spans="7:16" s="1634" customFormat="1">
      <c r="G44226" s="3336"/>
      <c r="P44226" s="3337"/>
    </row>
    <row r="44227" spans="7:16" s="1634" customFormat="1">
      <c r="G44227" s="3336"/>
      <c r="P44227" s="3337"/>
    </row>
    <row r="44228" spans="7:16" s="1634" customFormat="1">
      <c r="G44228" s="3336"/>
      <c r="P44228" s="3337"/>
    </row>
    <row r="44229" spans="7:16" s="1634" customFormat="1">
      <c r="G44229" s="3336"/>
      <c r="P44229" s="3337"/>
    </row>
    <row r="44230" spans="7:16" s="1634" customFormat="1">
      <c r="G44230" s="3336"/>
      <c r="P44230" s="3337"/>
    </row>
    <row r="44231" spans="7:16" s="1634" customFormat="1">
      <c r="G44231" s="3336"/>
      <c r="P44231" s="3337"/>
    </row>
    <row r="44232" spans="7:16" s="1634" customFormat="1">
      <c r="G44232" s="3336"/>
      <c r="P44232" s="3337"/>
    </row>
    <row r="44233" spans="7:16" s="1634" customFormat="1">
      <c r="G44233" s="3336"/>
      <c r="P44233" s="3337"/>
    </row>
    <row r="44234" spans="7:16" s="1634" customFormat="1">
      <c r="G44234" s="3336"/>
      <c r="P44234" s="3337"/>
    </row>
    <row r="44235" spans="7:16" s="1634" customFormat="1">
      <c r="G44235" s="3336"/>
      <c r="P44235" s="3337"/>
    </row>
    <row r="44236" spans="7:16" s="1634" customFormat="1">
      <c r="G44236" s="3336"/>
      <c r="P44236" s="3337"/>
    </row>
    <row r="44237" spans="7:16" s="1634" customFormat="1">
      <c r="G44237" s="3336"/>
      <c r="P44237" s="3337"/>
    </row>
    <row r="44238" spans="7:16" s="1634" customFormat="1">
      <c r="G44238" s="3336"/>
      <c r="P44238" s="3337"/>
    </row>
    <row r="44239" spans="7:16" s="1634" customFormat="1">
      <c r="G44239" s="3336"/>
      <c r="P44239" s="3337"/>
    </row>
    <row r="44240" spans="7:16" s="1634" customFormat="1">
      <c r="G44240" s="3336"/>
      <c r="P44240" s="3337"/>
    </row>
    <row r="44241" spans="7:16" s="1634" customFormat="1">
      <c r="G44241" s="3336"/>
      <c r="P44241" s="3337"/>
    </row>
    <row r="44242" spans="7:16" s="1634" customFormat="1">
      <c r="G44242" s="3336"/>
      <c r="P44242" s="3337"/>
    </row>
    <row r="44243" spans="7:16" s="1634" customFormat="1">
      <c r="G44243" s="3336"/>
      <c r="P44243" s="3337"/>
    </row>
    <row r="44244" spans="7:16" s="1634" customFormat="1">
      <c r="G44244" s="3336"/>
      <c r="P44244" s="3337"/>
    </row>
    <row r="44245" spans="7:16" s="1634" customFormat="1">
      <c r="G44245" s="3336"/>
      <c r="P44245" s="3337"/>
    </row>
    <row r="44246" spans="7:16" s="1634" customFormat="1">
      <c r="G44246" s="3336"/>
      <c r="P44246" s="3337"/>
    </row>
    <row r="44247" spans="7:16" s="1634" customFormat="1">
      <c r="G44247" s="3336"/>
      <c r="P44247" s="3337"/>
    </row>
    <row r="44248" spans="7:16" s="1634" customFormat="1">
      <c r="G44248" s="3336"/>
      <c r="P44248" s="3337"/>
    </row>
    <row r="44249" spans="7:16" s="1634" customFormat="1">
      <c r="G44249" s="3336"/>
      <c r="P44249" s="3337"/>
    </row>
    <row r="44250" spans="7:16" s="1634" customFormat="1">
      <c r="G44250" s="3336"/>
      <c r="P44250" s="3337"/>
    </row>
    <row r="44251" spans="7:16" s="1634" customFormat="1">
      <c r="G44251" s="3336"/>
      <c r="P44251" s="3337"/>
    </row>
    <row r="44252" spans="7:16" s="1634" customFormat="1">
      <c r="G44252" s="3336"/>
      <c r="P44252" s="3337"/>
    </row>
    <row r="44253" spans="7:16" s="1634" customFormat="1">
      <c r="G44253" s="3336"/>
      <c r="P44253" s="3337"/>
    </row>
    <row r="44254" spans="7:16" s="1634" customFormat="1">
      <c r="G44254" s="3336"/>
      <c r="P44254" s="3337"/>
    </row>
    <row r="44255" spans="7:16" s="1634" customFormat="1">
      <c r="G44255" s="3336"/>
      <c r="P44255" s="3337"/>
    </row>
    <row r="44256" spans="7:16" s="1634" customFormat="1">
      <c r="G44256" s="3336"/>
      <c r="P44256" s="3337"/>
    </row>
    <row r="44257" spans="7:16" s="1634" customFormat="1">
      <c r="G44257" s="3336"/>
      <c r="P44257" s="3337"/>
    </row>
    <row r="44258" spans="7:16" s="1634" customFormat="1">
      <c r="G44258" s="3336"/>
      <c r="P44258" s="3337"/>
    </row>
    <row r="44259" spans="7:16" s="1634" customFormat="1">
      <c r="G44259" s="3336"/>
      <c r="P44259" s="3337"/>
    </row>
    <row r="44260" spans="7:16" s="1634" customFormat="1">
      <c r="G44260" s="3336"/>
      <c r="P44260" s="3337"/>
    </row>
    <row r="44261" spans="7:16" s="1634" customFormat="1">
      <c r="G44261" s="3336"/>
      <c r="P44261" s="3337"/>
    </row>
    <row r="44262" spans="7:16" s="1634" customFormat="1">
      <c r="G44262" s="3336"/>
      <c r="P44262" s="3337"/>
    </row>
    <row r="44263" spans="7:16" s="1634" customFormat="1">
      <c r="G44263" s="3336"/>
      <c r="P44263" s="3337"/>
    </row>
    <row r="44264" spans="7:16" s="1634" customFormat="1">
      <c r="G44264" s="3336"/>
      <c r="P44264" s="3337"/>
    </row>
    <row r="44265" spans="7:16" s="1634" customFormat="1">
      <c r="G44265" s="3336"/>
      <c r="P44265" s="3337"/>
    </row>
    <row r="44266" spans="7:16" s="1634" customFormat="1">
      <c r="G44266" s="3336"/>
      <c r="P44266" s="3337"/>
    </row>
    <row r="44267" spans="7:16" s="1634" customFormat="1">
      <c r="G44267" s="3336"/>
      <c r="P44267" s="3337"/>
    </row>
    <row r="44268" spans="7:16" s="1634" customFormat="1">
      <c r="G44268" s="3336"/>
      <c r="P44268" s="3337"/>
    </row>
    <row r="44269" spans="7:16" s="1634" customFormat="1">
      <c r="G44269" s="3336"/>
      <c r="P44269" s="3337"/>
    </row>
    <row r="44270" spans="7:16" s="1634" customFormat="1">
      <c r="G44270" s="3336"/>
      <c r="P44270" s="3337"/>
    </row>
    <row r="44271" spans="7:16" s="1634" customFormat="1">
      <c r="G44271" s="3336"/>
      <c r="P44271" s="3337"/>
    </row>
    <row r="44272" spans="7:16" s="1634" customFormat="1">
      <c r="G44272" s="3336"/>
      <c r="P44272" s="3337"/>
    </row>
    <row r="44273" spans="7:16" s="1634" customFormat="1">
      <c r="G44273" s="3336"/>
      <c r="P44273" s="3337"/>
    </row>
    <row r="44274" spans="7:16" s="1634" customFormat="1">
      <c r="G44274" s="3336"/>
      <c r="P44274" s="3337"/>
    </row>
    <row r="44275" spans="7:16" s="1634" customFormat="1">
      <c r="G44275" s="3336"/>
      <c r="P44275" s="3337"/>
    </row>
    <row r="44276" spans="7:16" s="1634" customFormat="1">
      <c r="G44276" s="3336"/>
      <c r="P44276" s="3337"/>
    </row>
    <row r="44277" spans="7:16" s="1634" customFormat="1">
      <c r="G44277" s="3336"/>
      <c r="P44277" s="3337"/>
    </row>
    <row r="44278" spans="7:16" s="1634" customFormat="1">
      <c r="G44278" s="3336"/>
      <c r="P44278" s="3337"/>
    </row>
    <row r="44279" spans="7:16" s="1634" customFormat="1">
      <c r="G44279" s="3336"/>
      <c r="P44279" s="3337"/>
    </row>
    <row r="44280" spans="7:16" s="1634" customFormat="1">
      <c r="G44280" s="3336"/>
      <c r="P44280" s="3337"/>
    </row>
    <row r="44281" spans="7:16" s="1634" customFormat="1">
      <c r="G44281" s="3336"/>
      <c r="P44281" s="3337"/>
    </row>
    <row r="44282" spans="7:16" s="1634" customFormat="1">
      <c r="G44282" s="3336"/>
      <c r="P44282" s="3337"/>
    </row>
    <row r="44283" spans="7:16" s="1634" customFormat="1">
      <c r="G44283" s="3336"/>
      <c r="P44283" s="3337"/>
    </row>
    <row r="44284" spans="7:16" s="1634" customFormat="1">
      <c r="G44284" s="3336"/>
      <c r="P44284" s="3337"/>
    </row>
    <row r="44285" spans="7:16" s="1634" customFormat="1">
      <c r="G44285" s="3336"/>
      <c r="P44285" s="3337"/>
    </row>
    <row r="44286" spans="7:16" s="1634" customFormat="1">
      <c r="G44286" s="3336"/>
      <c r="P44286" s="3337"/>
    </row>
    <row r="44287" spans="7:16" s="1634" customFormat="1">
      <c r="G44287" s="3336"/>
      <c r="P44287" s="3337"/>
    </row>
    <row r="44288" spans="7:16" s="1634" customFormat="1">
      <c r="G44288" s="3336"/>
      <c r="P44288" s="3337"/>
    </row>
    <row r="44289" spans="7:16" s="1634" customFormat="1">
      <c r="G44289" s="3336"/>
      <c r="P44289" s="3337"/>
    </row>
    <row r="44290" spans="7:16" s="1634" customFormat="1">
      <c r="G44290" s="3336"/>
      <c r="P44290" s="3337"/>
    </row>
    <row r="44291" spans="7:16" s="1634" customFormat="1">
      <c r="G44291" s="3336"/>
      <c r="P44291" s="3337"/>
    </row>
    <row r="44292" spans="7:16" s="1634" customFormat="1">
      <c r="G44292" s="3336"/>
      <c r="P44292" s="3337"/>
    </row>
    <row r="44293" spans="7:16" s="1634" customFormat="1">
      <c r="G44293" s="3336"/>
      <c r="P44293" s="3337"/>
    </row>
    <row r="44294" spans="7:16" s="1634" customFormat="1">
      <c r="G44294" s="3336"/>
      <c r="P44294" s="3337"/>
    </row>
    <row r="44295" spans="7:16" s="1634" customFormat="1">
      <c r="G44295" s="3336"/>
      <c r="P44295" s="3337"/>
    </row>
    <row r="44296" spans="7:16" s="1634" customFormat="1">
      <c r="G44296" s="3336"/>
      <c r="P44296" s="3337"/>
    </row>
    <row r="44297" spans="7:16" s="1634" customFormat="1">
      <c r="G44297" s="3336"/>
      <c r="P44297" s="3337"/>
    </row>
    <row r="44298" spans="7:16" s="1634" customFormat="1">
      <c r="G44298" s="3336"/>
      <c r="P44298" s="3337"/>
    </row>
    <row r="44299" spans="7:16" s="1634" customFormat="1">
      <c r="G44299" s="3336"/>
      <c r="P44299" s="3337"/>
    </row>
    <row r="44300" spans="7:16" s="1634" customFormat="1">
      <c r="G44300" s="3336"/>
      <c r="P44300" s="3337"/>
    </row>
    <row r="44301" spans="7:16" s="1634" customFormat="1">
      <c r="G44301" s="3336"/>
      <c r="P44301" s="3337"/>
    </row>
    <row r="44302" spans="7:16" s="1634" customFormat="1">
      <c r="G44302" s="3336"/>
      <c r="P44302" s="3337"/>
    </row>
    <row r="44303" spans="7:16" s="1634" customFormat="1">
      <c r="G44303" s="3336"/>
      <c r="P44303" s="3337"/>
    </row>
    <row r="44304" spans="7:16" s="1634" customFormat="1">
      <c r="G44304" s="3336"/>
      <c r="P44304" s="3337"/>
    </row>
    <row r="44305" spans="7:16" s="1634" customFormat="1">
      <c r="G44305" s="3336"/>
      <c r="P44305" s="3337"/>
    </row>
    <row r="44306" spans="7:16" s="1634" customFormat="1">
      <c r="G44306" s="3336"/>
      <c r="P44306" s="3337"/>
    </row>
    <row r="44307" spans="7:16" s="1634" customFormat="1">
      <c r="G44307" s="3336"/>
      <c r="P44307" s="3337"/>
    </row>
    <row r="44308" spans="7:16" s="1634" customFormat="1">
      <c r="G44308" s="3336"/>
      <c r="P44308" s="3337"/>
    </row>
    <row r="44309" spans="7:16" s="1634" customFormat="1">
      <c r="G44309" s="3336"/>
      <c r="P44309" s="3337"/>
    </row>
    <row r="44310" spans="7:16" s="1634" customFormat="1">
      <c r="G44310" s="3336"/>
      <c r="P44310" s="3337"/>
    </row>
    <row r="44311" spans="7:16" s="1634" customFormat="1">
      <c r="G44311" s="3336"/>
      <c r="P44311" s="3337"/>
    </row>
    <row r="44312" spans="7:16" s="1634" customFormat="1">
      <c r="G44312" s="3336"/>
      <c r="P44312" s="3337"/>
    </row>
    <row r="44313" spans="7:16" s="1634" customFormat="1">
      <c r="G44313" s="3336"/>
      <c r="P44313" s="3337"/>
    </row>
    <row r="44314" spans="7:16" s="1634" customFormat="1">
      <c r="G44314" s="3336"/>
      <c r="P44314" s="3337"/>
    </row>
    <row r="44315" spans="7:16" s="1634" customFormat="1">
      <c r="G44315" s="3336"/>
      <c r="P44315" s="3337"/>
    </row>
    <row r="44316" spans="7:16" s="1634" customFormat="1">
      <c r="G44316" s="3336"/>
      <c r="P44316" s="3337"/>
    </row>
    <row r="44317" spans="7:16" s="1634" customFormat="1">
      <c r="G44317" s="3336"/>
      <c r="P44317" s="3337"/>
    </row>
    <row r="44318" spans="7:16" s="1634" customFormat="1">
      <c r="G44318" s="3336"/>
      <c r="P44318" s="3337"/>
    </row>
    <row r="44319" spans="7:16" s="1634" customFormat="1">
      <c r="G44319" s="3336"/>
      <c r="P44319" s="3337"/>
    </row>
    <row r="44320" spans="7:16" s="1634" customFormat="1">
      <c r="G44320" s="3336"/>
      <c r="P44320" s="3337"/>
    </row>
    <row r="44321" spans="7:16" s="1634" customFormat="1">
      <c r="G44321" s="3336"/>
      <c r="P44321" s="3337"/>
    </row>
    <row r="44322" spans="7:16" s="1634" customFormat="1">
      <c r="G44322" s="3336"/>
      <c r="P44322" s="3337"/>
    </row>
    <row r="44323" spans="7:16" s="1634" customFormat="1">
      <c r="G44323" s="3336"/>
      <c r="P44323" s="3337"/>
    </row>
    <row r="44324" spans="7:16" s="1634" customFormat="1">
      <c r="G44324" s="3336"/>
      <c r="P44324" s="3337"/>
    </row>
    <row r="44325" spans="7:16" s="1634" customFormat="1">
      <c r="G44325" s="3336"/>
      <c r="P44325" s="3337"/>
    </row>
    <row r="44326" spans="7:16" s="1634" customFormat="1">
      <c r="G44326" s="3336"/>
      <c r="P44326" s="3337"/>
    </row>
    <row r="44327" spans="7:16" s="1634" customFormat="1">
      <c r="G44327" s="3336"/>
      <c r="P44327" s="3337"/>
    </row>
    <row r="44328" spans="7:16" s="1634" customFormat="1">
      <c r="G44328" s="3336"/>
      <c r="P44328" s="3337"/>
    </row>
    <row r="44329" spans="7:16" s="1634" customFormat="1">
      <c r="G44329" s="3336"/>
      <c r="P44329" s="3337"/>
    </row>
    <row r="44330" spans="7:16" s="1634" customFormat="1">
      <c r="G44330" s="3336"/>
      <c r="P44330" s="3337"/>
    </row>
    <row r="44331" spans="7:16" s="1634" customFormat="1">
      <c r="G44331" s="3336"/>
      <c r="P44331" s="3337"/>
    </row>
    <row r="44332" spans="7:16" s="1634" customFormat="1">
      <c r="G44332" s="3336"/>
      <c r="P44332" s="3337"/>
    </row>
    <row r="44333" spans="7:16" s="1634" customFormat="1">
      <c r="G44333" s="3336"/>
      <c r="P44333" s="3337"/>
    </row>
    <row r="44334" spans="7:16" s="1634" customFormat="1">
      <c r="G44334" s="3336"/>
      <c r="P44334" s="3337"/>
    </row>
    <row r="44335" spans="7:16" s="1634" customFormat="1">
      <c r="G44335" s="3336"/>
      <c r="P44335" s="3337"/>
    </row>
    <row r="44336" spans="7:16" s="1634" customFormat="1">
      <c r="G44336" s="3336"/>
      <c r="P44336" s="3337"/>
    </row>
    <row r="44337" spans="7:16" s="1634" customFormat="1">
      <c r="G44337" s="3336"/>
      <c r="P44337" s="3337"/>
    </row>
    <row r="44338" spans="7:16" s="1634" customFormat="1">
      <c r="G44338" s="3336"/>
      <c r="P44338" s="3337"/>
    </row>
    <row r="44339" spans="7:16" s="1634" customFormat="1">
      <c r="G44339" s="3336"/>
      <c r="P44339" s="3337"/>
    </row>
    <row r="44340" spans="7:16" s="1634" customFormat="1">
      <c r="G44340" s="3336"/>
      <c r="P44340" s="3337"/>
    </row>
    <row r="44341" spans="7:16" s="1634" customFormat="1">
      <c r="G44341" s="3336"/>
      <c r="P44341" s="3337"/>
    </row>
    <row r="44342" spans="7:16" s="1634" customFormat="1">
      <c r="G44342" s="3336"/>
      <c r="P44342" s="3337"/>
    </row>
    <row r="44343" spans="7:16" s="1634" customFormat="1">
      <c r="G44343" s="3336"/>
      <c r="P44343" s="3337"/>
    </row>
    <row r="44344" spans="7:16" s="1634" customFormat="1">
      <c r="G44344" s="3336"/>
      <c r="P44344" s="3337"/>
    </row>
    <row r="44345" spans="7:16" s="1634" customFormat="1">
      <c r="G44345" s="3336"/>
      <c r="P44345" s="3337"/>
    </row>
    <row r="44346" spans="7:16" s="1634" customFormat="1">
      <c r="G44346" s="3336"/>
      <c r="P44346" s="3337"/>
    </row>
    <row r="44347" spans="7:16" s="1634" customFormat="1">
      <c r="G44347" s="3336"/>
      <c r="P44347" s="3337"/>
    </row>
    <row r="44348" spans="7:16" s="1634" customFormat="1">
      <c r="G44348" s="3336"/>
      <c r="P44348" s="3337"/>
    </row>
    <row r="44349" spans="7:16" s="1634" customFormat="1">
      <c r="G44349" s="3336"/>
      <c r="P44349" s="3337"/>
    </row>
    <row r="44350" spans="7:16" s="1634" customFormat="1">
      <c r="G44350" s="3336"/>
      <c r="P44350" s="3337"/>
    </row>
    <row r="44351" spans="7:16" s="1634" customFormat="1">
      <c r="G44351" s="3336"/>
      <c r="P44351" s="3337"/>
    </row>
    <row r="44352" spans="7:16" s="1634" customFormat="1">
      <c r="G44352" s="3336"/>
      <c r="P44352" s="3337"/>
    </row>
    <row r="44353" spans="7:16" s="1634" customFormat="1">
      <c r="G44353" s="3336"/>
      <c r="P44353" s="3337"/>
    </row>
    <row r="44354" spans="7:16" s="1634" customFormat="1">
      <c r="G44354" s="3336"/>
      <c r="P44354" s="3337"/>
    </row>
    <row r="44355" spans="7:16" s="1634" customFormat="1">
      <c r="G44355" s="3336"/>
      <c r="P44355" s="3337"/>
    </row>
    <row r="44356" spans="7:16" s="1634" customFormat="1">
      <c r="G44356" s="3336"/>
      <c r="P44356" s="3337"/>
    </row>
    <row r="44357" spans="7:16" s="1634" customFormat="1">
      <c r="G44357" s="3336"/>
      <c r="P44357" s="3337"/>
    </row>
    <row r="44358" spans="7:16" s="1634" customFormat="1">
      <c r="G44358" s="3336"/>
      <c r="P44358" s="3337"/>
    </row>
    <row r="44359" spans="7:16" s="1634" customFormat="1">
      <c r="G44359" s="3336"/>
      <c r="P44359" s="3337"/>
    </row>
    <row r="44360" spans="7:16" s="1634" customFormat="1">
      <c r="G44360" s="3336"/>
      <c r="P44360" s="3337"/>
    </row>
    <row r="44361" spans="7:16" s="1634" customFormat="1">
      <c r="G44361" s="3336"/>
      <c r="P44361" s="3337"/>
    </row>
    <row r="44362" spans="7:16" s="1634" customFormat="1">
      <c r="G44362" s="3336"/>
      <c r="P44362" s="3337"/>
    </row>
    <row r="44363" spans="7:16" s="1634" customFormat="1">
      <c r="G44363" s="3336"/>
      <c r="P44363" s="3337"/>
    </row>
    <row r="44364" spans="7:16" s="1634" customFormat="1">
      <c r="G44364" s="3336"/>
      <c r="P44364" s="3337"/>
    </row>
    <row r="44365" spans="7:16" s="1634" customFormat="1">
      <c r="G44365" s="3336"/>
      <c r="P44365" s="3337"/>
    </row>
    <row r="44366" spans="7:16" s="1634" customFormat="1">
      <c r="G44366" s="3336"/>
      <c r="P44366" s="3337"/>
    </row>
    <row r="44367" spans="7:16" s="1634" customFormat="1">
      <c r="G44367" s="3336"/>
      <c r="P44367" s="3337"/>
    </row>
    <row r="44368" spans="7:16" s="1634" customFormat="1">
      <c r="G44368" s="3336"/>
      <c r="P44368" s="3337"/>
    </row>
    <row r="44369" spans="7:16" s="1634" customFormat="1">
      <c r="G44369" s="3336"/>
      <c r="P44369" s="3337"/>
    </row>
    <row r="44370" spans="7:16" s="1634" customFormat="1">
      <c r="G44370" s="3336"/>
      <c r="P44370" s="3337"/>
    </row>
    <row r="44371" spans="7:16" s="1634" customFormat="1">
      <c r="G44371" s="3336"/>
      <c r="P44371" s="3337"/>
    </row>
    <row r="44372" spans="7:16" s="1634" customFormat="1">
      <c r="G44372" s="3336"/>
      <c r="P44372" s="3337"/>
    </row>
    <row r="44373" spans="7:16" s="1634" customFormat="1">
      <c r="G44373" s="3336"/>
      <c r="P44373" s="3337"/>
    </row>
    <row r="44374" spans="7:16" s="1634" customFormat="1">
      <c r="G44374" s="3336"/>
      <c r="P44374" s="3337"/>
    </row>
    <row r="44375" spans="7:16" s="1634" customFormat="1">
      <c r="G44375" s="3336"/>
      <c r="P44375" s="3337"/>
    </row>
    <row r="44376" spans="7:16" s="1634" customFormat="1">
      <c r="G44376" s="3336"/>
      <c r="P44376" s="3337"/>
    </row>
    <row r="44377" spans="7:16" s="1634" customFormat="1">
      <c r="G44377" s="3336"/>
      <c r="P44377" s="3337"/>
    </row>
    <row r="44378" spans="7:16" s="1634" customFormat="1">
      <c r="G44378" s="3336"/>
      <c r="P44378" s="3337"/>
    </row>
    <row r="44379" spans="7:16" s="1634" customFormat="1">
      <c r="G44379" s="3336"/>
      <c r="P44379" s="3337"/>
    </row>
    <row r="44380" spans="7:16" s="1634" customFormat="1">
      <c r="G44380" s="3336"/>
      <c r="P44380" s="3337"/>
    </row>
    <row r="44381" spans="7:16" s="1634" customFormat="1">
      <c r="G44381" s="3336"/>
      <c r="P44381" s="3337"/>
    </row>
    <row r="44382" spans="7:16" s="1634" customFormat="1">
      <c r="G44382" s="3336"/>
      <c r="P44382" s="3337"/>
    </row>
    <row r="44383" spans="7:16" s="1634" customFormat="1">
      <c r="G44383" s="3336"/>
      <c r="P44383" s="3337"/>
    </row>
    <row r="44384" spans="7:16" s="1634" customFormat="1">
      <c r="G44384" s="3336"/>
      <c r="P44384" s="3337"/>
    </row>
    <row r="44385" spans="7:16" s="1634" customFormat="1">
      <c r="G44385" s="3336"/>
      <c r="P44385" s="3337"/>
    </row>
    <row r="44386" spans="7:16" s="1634" customFormat="1">
      <c r="G44386" s="3336"/>
      <c r="P44386" s="3337"/>
    </row>
    <row r="44387" spans="7:16" s="1634" customFormat="1">
      <c r="G44387" s="3336"/>
      <c r="P44387" s="3337"/>
    </row>
    <row r="44388" spans="7:16" s="1634" customFormat="1">
      <c r="G44388" s="3336"/>
      <c r="P44388" s="3337"/>
    </row>
    <row r="44389" spans="7:16" s="1634" customFormat="1">
      <c r="G44389" s="3336"/>
      <c r="P44389" s="3337"/>
    </row>
    <row r="44390" spans="7:16" s="1634" customFormat="1">
      <c r="G44390" s="3336"/>
      <c r="P44390" s="3337"/>
    </row>
    <row r="44391" spans="7:16" s="1634" customFormat="1">
      <c r="G44391" s="3336"/>
      <c r="P44391" s="3337"/>
    </row>
    <row r="44392" spans="7:16" s="1634" customFormat="1">
      <c r="G44392" s="3336"/>
      <c r="P44392" s="3337"/>
    </row>
    <row r="44393" spans="7:16" s="1634" customFormat="1">
      <c r="G44393" s="3336"/>
      <c r="P44393" s="3337"/>
    </row>
    <row r="44394" spans="7:16" s="1634" customFormat="1">
      <c r="G44394" s="3336"/>
      <c r="P44394" s="3337"/>
    </row>
    <row r="44395" spans="7:16" s="1634" customFormat="1">
      <c r="G44395" s="3336"/>
      <c r="P44395" s="3337"/>
    </row>
    <row r="44396" spans="7:16" s="1634" customFormat="1">
      <c r="G44396" s="3336"/>
      <c r="P44396" s="3337"/>
    </row>
    <row r="44397" spans="7:16" s="1634" customFormat="1">
      <c r="G44397" s="3336"/>
      <c r="P44397" s="3337"/>
    </row>
    <row r="44398" spans="7:16" s="1634" customFormat="1">
      <c r="G44398" s="3336"/>
      <c r="P44398" s="3337"/>
    </row>
    <row r="44399" spans="7:16" s="1634" customFormat="1">
      <c r="G44399" s="3336"/>
      <c r="P44399" s="3337"/>
    </row>
    <row r="44400" spans="7:16" s="1634" customFormat="1">
      <c r="G44400" s="3336"/>
      <c r="P44400" s="3337"/>
    </row>
    <row r="44401" spans="7:16" s="1634" customFormat="1">
      <c r="G44401" s="3336"/>
      <c r="P44401" s="3337"/>
    </row>
    <row r="44402" spans="7:16" s="1634" customFormat="1">
      <c r="G44402" s="3336"/>
      <c r="P44402" s="3337"/>
    </row>
    <row r="44403" spans="7:16" s="1634" customFormat="1">
      <c r="G44403" s="3336"/>
      <c r="P44403" s="3337"/>
    </row>
    <row r="44404" spans="7:16" s="1634" customFormat="1">
      <c r="G44404" s="3336"/>
      <c r="P44404" s="3337"/>
    </row>
    <row r="44405" spans="7:16" s="1634" customFormat="1">
      <c r="G44405" s="3336"/>
      <c r="P44405" s="3337"/>
    </row>
    <row r="44406" spans="7:16" s="1634" customFormat="1">
      <c r="G44406" s="3336"/>
      <c r="P44406" s="3337"/>
    </row>
    <row r="44407" spans="7:16" s="1634" customFormat="1">
      <c r="G44407" s="3336"/>
      <c r="P44407" s="3337"/>
    </row>
    <row r="44408" spans="7:16" s="1634" customFormat="1">
      <c r="G44408" s="3336"/>
      <c r="P44408" s="3337"/>
    </row>
    <row r="44409" spans="7:16" s="1634" customFormat="1">
      <c r="G44409" s="3336"/>
      <c r="P44409" s="3337"/>
    </row>
    <row r="44410" spans="7:16" s="1634" customFormat="1">
      <c r="G44410" s="3336"/>
      <c r="P44410" s="3337"/>
    </row>
    <row r="44411" spans="7:16" s="1634" customFormat="1">
      <c r="G44411" s="3336"/>
      <c r="P44411" s="3337"/>
    </row>
    <row r="44412" spans="7:16" s="1634" customFormat="1">
      <c r="G44412" s="3336"/>
      <c r="P44412" s="3337"/>
    </row>
    <row r="44413" spans="7:16" s="1634" customFormat="1">
      <c r="G44413" s="3336"/>
      <c r="P44413" s="3337"/>
    </row>
    <row r="44414" spans="7:16" s="1634" customFormat="1">
      <c r="G44414" s="3336"/>
      <c r="P44414" s="3337"/>
    </row>
    <row r="44415" spans="7:16" s="1634" customFormat="1">
      <c r="G44415" s="3336"/>
      <c r="P44415" s="3337"/>
    </row>
    <row r="44416" spans="7:16" s="1634" customFormat="1">
      <c r="G44416" s="3336"/>
      <c r="P44416" s="3337"/>
    </row>
    <row r="44417" spans="7:16" s="1634" customFormat="1">
      <c r="G44417" s="3336"/>
      <c r="P44417" s="3337"/>
    </row>
    <row r="44418" spans="7:16" s="1634" customFormat="1">
      <c r="G44418" s="3336"/>
      <c r="P44418" s="3337"/>
    </row>
    <row r="44419" spans="7:16" s="1634" customFormat="1">
      <c r="G44419" s="3336"/>
      <c r="P44419" s="3337"/>
    </row>
    <row r="44420" spans="7:16" s="1634" customFormat="1">
      <c r="G44420" s="3336"/>
      <c r="P44420" s="3337"/>
    </row>
    <row r="44421" spans="7:16" s="1634" customFormat="1">
      <c r="G44421" s="3336"/>
      <c r="P44421" s="3337"/>
    </row>
    <row r="44422" spans="7:16" s="1634" customFormat="1">
      <c r="G44422" s="3336"/>
      <c r="P44422" s="3337"/>
    </row>
    <row r="44423" spans="7:16" s="1634" customFormat="1">
      <c r="G44423" s="3336"/>
      <c r="P44423" s="3337"/>
    </row>
    <row r="44424" spans="7:16" s="1634" customFormat="1">
      <c r="G44424" s="3336"/>
      <c r="P44424" s="3337"/>
    </row>
    <row r="44425" spans="7:16" s="1634" customFormat="1">
      <c r="G44425" s="3336"/>
      <c r="P44425" s="3337"/>
    </row>
    <row r="44426" spans="7:16" s="1634" customFormat="1">
      <c r="G44426" s="3336"/>
      <c r="P44426" s="3337"/>
    </row>
    <row r="44427" spans="7:16" s="1634" customFormat="1">
      <c r="G44427" s="3336"/>
      <c r="P44427" s="3337"/>
    </row>
    <row r="44428" spans="7:16" s="1634" customFormat="1">
      <c r="G44428" s="3336"/>
      <c r="P44428" s="3337"/>
    </row>
    <row r="44429" spans="7:16" s="1634" customFormat="1">
      <c r="G44429" s="3336"/>
      <c r="P44429" s="3337"/>
    </row>
    <row r="44430" spans="7:16" s="1634" customFormat="1">
      <c r="G44430" s="3336"/>
      <c r="P44430" s="3337"/>
    </row>
    <row r="44431" spans="7:16" s="1634" customFormat="1">
      <c r="G44431" s="3336"/>
      <c r="P44431" s="3337"/>
    </row>
    <row r="44432" spans="7:16" s="1634" customFormat="1">
      <c r="G44432" s="3336"/>
      <c r="P44432" s="3337"/>
    </row>
    <row r="44433" spans="7:16" s="1634" customFormat="1">
      <c r="G44433" s="3336"/>
      <c r="P44433" s="3337"/>
    </row>
    <row r="44434" spans="7:16" s="1634" customFormat="1">
      <c r="G44434" s="3336"/>
      <c r="P44434" s="3337"/>
    </row>
    <row r="44435" spans="7:16" s="1634" customFormat="1">
      <c r="G44435" s="3336"/>
      <c r="P44435" s="3337"/>
    </row>
    <row r="44436" spans="7:16" s="1634" customFormat="1">
      <c r="G44436" s="3336"/>
      <c r="P44436" s="3337"/>
    </row>
    <row r="44437" spans="7:16" s="1634" customFormat="1">
      <c r="G44437" s="3336"/>
      <c r="P44437" s="3337"/>
    </row>
    <row r="44438" spans="7:16" s="1634" customFormat="1">
      <c r="G44438" s="3336"/>
      <c r="P44438" s="3337"/>
    </row>
    <row r="44439" spans="7:16" s="1634" customFormat="1">
      <c r="G44439" s="3336"/>
      <c r="P44439" s="3337"/>
    </row>
    <row r="44440" spans="7:16" s="1634" customFormat="1">
      <c r="G44440" s="3336"/>
      <c r="P44440" s="3337"/>
    </row>
    <row r="44441" spans="7:16" s="1634" customFormat="1">
      <c r="G44441" s="3336"/>
      <c r="P44441" s="3337"/>
    </row>
    <row r="44442" spans="7:16" s="1634" customFormat="1">
      <c r="G44442" s="3336"/>
      <c r="P44442" s="3337"/>
    </row>
    <row r="44443" spans="7:16" s="1634" customFormat="1">
      <c r="G44443" s="3336"/>
      <c r="P44443" s="3337"/>
    </row>
    <row r="44444" spans="7:16" s="1634" customFormat="1">
      <c r="G44444" s="3336"/>
      <c r="P44444" s="3337"/>
    </row>
    <row r="44445" spans="7:16" s="1634" customFormat="1">
      <c r="G44445" s="3336"/>
      <c r="P44445" s="3337"/>
    </row>
    <row r="44446" spans="7:16" s="1634" customFormat="1">
      <c r="G44446" s="3336"/>
      <c r="P44446" s="3337"/>
    </row>
    <row r="44447" spans="7:16" s="1634" customFormat="1">
      <c r="G44447" s="3336"/>
      <c r="P44447" s="3337"/>
    </row>
    <row r="44448" spans="7:16" s="1634" customFormat="1">
      <c r="G44448" s="3336"/>
      <c r="P44448" s="3337"/>
    </row>
    <row r="44449" spans="7:16" s="1634" customFormat="1">
      <c r="G44449" s="3336"/>
      <c r="P44449" s="3337"/>
    </row>
    <row r="44450" spans="7:16" s="1634" customFormat="1">
      <c r="G44450" s="3336"/>
      <c r="P44450" s="3337"/>
    </row>
    <row r="44451" spans="7:16" s="1634" customFormat="1">
      <c r="G44451" s="3336"/>
      <c r="P44451" s="3337"/>
    </row>
    <row r="44452" spans="7:16" s="1634" customFormat="1">
      <c r="G44452" s="3336"/>
      <c r="P44452" s="3337"/>
    </row>
    <row r="44453" spans="7:16" s="1634" customFormat="1">
      <c r="G44453" s="3336"/>
      <c r="P44453" s="3337"/>
    </row>
    <row r="44454" spans="7:16" s="1634" customFormat="1">
      <c r="G44454" s="3336"/>
      <c r="P44454" s="3337"/>
    </row>
    <row r="44455" spans="7:16" s="1634" customFormat="1">
      <c r="G44455" s="3336"/>
      <c r="P44455" s="3337"/>
    </row>
    <row r="44456" spans="7:16" s="1634" customFormat="1">
      <c r="G44456" s="3336"/>
      <c r="P44456" s="3337"/>
    </row>
    <row r="44457" spans="7:16" s="1634" customFormat="1">
      <c r="G44457" s="3336"/>
      <c r="P44457" s="3337"/>
    </row>
    <row r="44458" spans="7:16" s="1634" customFormat="1">
      <c r="G44458" s="3336"/>
      <c r="P44458" s="3337"/>
    </row>
    <row r="44459" spans="7:16" s="1634" customFormat="1">
      <c r="G44459" s="3336"/>
      <c r="P44459" s="3337"/>
    </row>
    <row r="44460" spans="7:16" s="1634" customFormat="1">
      <c r="G44460" s="3336"/>
      <c r="P44460" s="3337"/>
    </row>
    <row r="44461" spans="7:16" s="1634" customFormat="1">
      <c r="G44461" s="3336"/>
      <c r="P44461" s="3337"/>
    </row>
    <row r="44462" spans="7:16" s="1634" customFormat="1">
      <c r="G44462" s="3336"/>
      <c r="P44462" s="3337"/>
    </row>
    <row r="44463" spans="7:16" s="1634" customFormat="1">
      <c r="G44463" s="3336"/>
      <c r="P44463" s="3337"/>
    </row>
    <row r="44464" spans="7:16" s="1634" customFormat="1">
      <c r="G44464" s="3336"/>
      <c r="P44464" s="3337"/>
    </row>
    <row r="44465" spans="7:16" s="1634" customFormat="1">
      <c r="G44465" s="3336"/>
      <c r="P44465" s="3337"/>
    </row>
    <row r="44466" spans="7:16" s="1634" customFormat="1">
      <c r="G44466" s="3336"/>
      <c r="P44466" s="3337"/>
    </row>
    <row r="44467" spans="7:16" s="1634" customFormat="1">
      <c r="G44467" s="3336"/>
      <c r="P44467" s="3337"/>
    </row>
    <row r="44468" spans="7:16" s="1634" customFormat="1">
      <c r="G44468" s="3336"/>
      <c r="P44468" s="3337"/>
    </row>
    <row r="44469" spans="7:16" s="1634" customFormat="1">
      <c r="G44469" s="3336"/>
      <c r="P44469" s="3337"/>
    </row>
    <row r="44470" spans="7:16" s="1634" customFormat="1">
      <c r="G44470" s="3336"/>
      <c r="P44470" s="3337"/>
    </row>
    <row r="44471" spans="7:16" s="1634" customFormat="1">
      <c r="G44471" s="3336"/>
      <c r="P44471" s="3337"/>
    </row>
    <row r="44472" spans="7:16" s="1634" customFormat="1">
      <c r="G44472" s="3336"/>
      <c r="P44472" s="3337"/>
    </row>
    <row r="44473" spans="7:16" s="1634" customFormat="1">
      <c r="G44473" s="3336"/>
      <c r="P44473" s="3337"/>
    </row>
    <row r="44474" spans="7:16" s="1634" customFormat="1">
      <c r="G44474" s="3336"/>
      <c r="P44474" s="3337"/>
    </row>
    <row r="44475" spans="7:16" s="1634" customFormat="1">
      <c r="G44475" s="3336"/>
      <c r="P44475" s="3337"/>
    </row>
    <row r="44476" spans="7:16" s="1634" customFormat="1">
      <c r="G44476" s="3336"/>
      <c r="P44476" s="3337"/>
    </row>
    <row r="44477" spans="7:16" s="1634" customFormat="1">
      <c r="G44477" s="3336"/>
      <c r="P44477" s="3337"/>
    </row>
    <row r="44478" spans="7:16" s="1634" customFormat="1">
      <c r="G44478" s="3336"/>
      <c r="P44478" s="3337"/>
    </row>
    <row r="44479" spans="7:16" s="1634" customFormat="1">
      <c r="G44479" s="3336"/>
      <c r="P44479" s="3337"/>
    </row>
    <row r="44480" spans="7:16" s="1634" customFormat="1">
      <c r="G44480" s="3336"/>
      <c r="P44480" s="3337"/>
    </row>
    <row r="44481" spans="7:16" s="1634" customFormat="1">
      <c r="G44481" s="3336"/>
      <c r="P44481" s="3337"/>
    </row>
    <row r="44482" spans="7:16" s="1634" customFormat="1">
      <c r="G44482" s="3336"/>
      <c r="P44482" s="3337"/>
    </row>
    <row r="44483" spans="7:16" s="1634" customFormat="1">
      <c r="G44483" s="3336"/>
      <c r="P44483" s="3337"/>
    </row>
    <row r="44484" spans="7:16" s="1634" customFormat="1">
      <c r="G44484" s="3336"/>
      <c r="P44484" s="3337"/>
    </row>
    <row r="44485" spans="7:16" s="1634" customFormat="1">
      <c r="G44485" s="3336"/>
      <c r="P44485" s="3337"/>
    </row>
    <row r="44486" spans="7:16" s="1634" customFormat="1">
      <c r="G44486" s="3336"/>
      <c r="P44486" s="3337"/>
    </row>
    <row r="44487" spans="7:16" s="1634" customFormat="1">
      <c r="G44487" s="3336"/>
      <c r="P44487" s="3337"/>
    </row>
    <row r="44488" spans="7:16" s="1634" customFormat="1">
      <c r="G44488" s="3336"/>
      <c r="P44488" s="3337"/>
    </row>
    <row r="44489" spans="7:16" s="1634" customFormat="1">
      <c r="G44489" s="3336"/>
      <c r="P44489" s="3337"/>
    </row>
    <row r="44490" spans="7:16" s="1634" customFormat="1">
      <c r="G44490" s="3336"/>
      <c r="P44490" s="3337"/>
    </row>
    <row r="44491" spans="7:16" s="1634" customFormat="1">
      <c r="G44491" s="3336"/>
      <c r="P44491" s="3337"/>
    </row>
    <row r="44492" spans="7:16" s="1634" customFormat="1">
      <c r="G44492" s="3336"/>
      <c r="P44492" s="3337"/>
    </row>
    <row r="44493" spans="7:16" s="1634" customFormat="1">
      <c r="G44493" s="3336"/>
      <c r="P44493" s="3337"/>
    </row>
    <row r="44494" spans="7:16" s="1634" customFormat="1">
      <c r="G44494" s="3336"/>
      <c r="P44494" s="3337"/>
    </row>
    <row r="44495" spans="7:16" s="1634" customFormat="1">
      <c r="G44495" s="3336"/>
      <c r="P44495" s="3337"/>
    </row>
    <row r="44496" spans="7:16" s="1634" customFormat="1">
      <c r="G44496" s="3336"/>
      <c r="P44496" s="3337"/>
    </row>
    <row r="44497" spans="7:16" s="1634" customFormat="1">
      <c r="G44497" s="3336"/>
      <c r="P44497" s="3337"/>
    </row>
    <row r="44498" spans="7:16" s="1634" customFormat="1">
      <c r="G44498" s="3336"/>
      <c r="P44498" s="3337"/>
    </row>
    <row r="44499" spans="7:16" s="1634" customFormat="1">
      <c r="G44499" s="3336"/>
      <c r="P44499" s="3337"/>
    </row>
    <row r="44500" spans="7:16" s="1634" customFormat="1">
      <c r="G44500" s="3336"/>
      <c r="P44500" s="3337"/>
    </row>
    <row r="44501" spans="7:16" s="1634" customFormat="1">
      <c r="G44501" s="3336"/>
      <c r="P44501" s="3337"/>
    </row>
    <row r="44502" spans="7:16" s="1634" customFormat="1">
      <c r="G44502" s="3336"/>
      <c r="P44502" s="3337"/>
    </row>
    <row r="44503" spans="7:16" s="1634" customFormat="1">
      <c r="G44503" s="3336"/>
      <c r="P44503" s="3337"/>
    </row>
    <row r="44504" spans="7:16" s="1634" customFormat="1">
      <c r="G44504" s="3336"/>
      <c r="P44504" s="3337"/>
    </row>
    <row r="44505" spans="7:16" s="1634" customFormat="1">
      <c r="G44505" s="3336"/>
      <c r="P44505" s="3337"/>
    </row>
    <row r="44506" spans="7:16" s="1634" customFormat="1">
      <c r="G44506" s="3336"/>
      <c r="P44506" s="3337"/>
    </row>
    <row r="44507" spans="7:16" s="1634" customFormat="1">
      <c r="G44507" s="3336"/>
      <c r="P44507" s="3337"/>
    </row>
    <row r="44508" spans="7:16" s="1634" customFormat="1">
      <c r="G44508" s="3336"/>
      <c r="P44508" s="3337"/>
    </row>
    <row r="44509" spans="7:16" s="1634" customFormat="1">
      <c r="G44509" s="3336"/>
      <c r="P44509" s="3337"/>
    </row>
    <row r="44510" spans="7:16" s="1634" customFormat="1">
      <c r="G44510" s="3336"/>
      <c r="P44510" s="3337"/>
    </row>
    <row r="44511" spans="7:16" s="1634" customFormat="1">
      <c r="G44511" s="3336"/>
      <c r="P44511" s="3337"/>
    </row>
    <row r="44512" spans="7:16" s="1634" customFormat="1">
      <c r="G44512" s="3336"/>
      <c r="P44512" s="3337"/>
    </row>
    <row r="44513" spans="7:16" s="1634" customFormat="1">
      <c r="G44513" s="3336"/>
      <c r="P44513" s="3337"/>
    </row>
    <row r="44514" spans="7:16" s="1634" customFormat="1">
      <c r="G44514" s="3336"/>
      <c r="P44514" s="3337"/>
    </row>
    <row r="44515" spans="7:16" s="1634" customFormat="1">
      <c r="G44515" s="3336"/>
      <c r="P44515" s="3337"/>
    </row>
    <row r="44516" spans="7:16" s="1634" customFormat="1">
      <c r="G44516" s="3336"/>
      <c r="P44516" s="3337"/>
    </row>
    <row r="44517" spans="7:16" s="1634" customFormat="1">
      <c r="G44517" s="3336"/>
      <c r="P44517" s="3337"/>
    </row>
    <row r="44518" spans="7:16" s="1634" customFormat="1">
      <c r="G44518" s="3336"/>
      <c r="P44518" s="3337"/>
    </row>
    <row r="44519" spans="7:16" s="1634" customFormat="1">
      <c r="G44519" s="3336"/>
      <c r="P44519" s="3337"/>
    </row>
    <row r="44520" spans="7:16" s="1634" customFormat="1">
      <c r="G44520" s="3336"/>
      <c r="P44520" s="3337"/>
    </row>
    <row r="44521" spans="7:16" s="1634" customFormat="1">
      <c r="G44521" s="3336"/>
      <c r="P44521" s="3337"/>
    </row>
    <row r="44522" spans="7:16" s="1634" customFormat="1">
      <c r="G44522" s="3336"/>
      <c r="P44522" s="3337"/>
    </row>
    <row r="44523" spans="7:16" s="1634" customFormat="1">
      <c r="G44523" s="3336"/>
      <c r="P44523" s="3337"/>
    </row>
    <row r="44524" spans="7:16" s="1634" customFormat="1">
      <c r="G44524" s="3336"/>
      <c r="P44524" s="3337"/>
    </row>
    <row r="44525" spans="7:16" s="1634" customFormat="1">
      <c r="G44525" s="3336"/>
      <c r="P44525" s="3337"/>
    </row>
    <row r="44526" spans="7:16" s="1634" customFormat="1">
      <c r="G44526" s="3336"/>
      <c r="P44526" s="3337"/>
    </row>
    <row r="44527" spans="7:16" s="1634" customFormat="1">
      <c r="G44527" s="3336"/>
      <c r="P44527" s="3337"/>
    </row>
    <row r="44528" spans="7:16" s="1634" customFormat="1">
      <c r="G44528" s="3336"/>
      <c r="P44528" s="3337"/>
    </row>
    <row r="44529" spans="7:16" s="1634" customFormat="1">
      <c r="G44529" s="3336"/>
      <c r="P44529" s="3337"/>
    </row>
    <row r="44530" spans="7:16" s="1634" customFormat="1">
      <c r="G44530" s="3336"/>
      <c r="P44530" s="3337"/>
    </row>
    <row r="44531" spans="7:16" s="1634" customFormat="1">
      <c r="G44531" s="3336"/>
      <c r="P44531" s="3337"/>
    </row>
    <row r="44532" spans="7:16" s="1634" customFormat="1">
      <c r="G44532" s="3336"/>
      <c r="P44532" s="3337"/>
    </row>
    <row r="44533" spans="7:16" s="1634" customFormat="1">
      <c r="G44533" s="3336"/>
      <c r="P44533" s="3337"/>
    </row>
    <row r="44534" spans="7:16" s="1634" customFormat="1">
      <c r="G44534" s="3336"/>
      <c r="P44534" s="3337"/>
    </row>
    <row r="44535" spans="7:16" s="1634" customFormat="1">
      <c r="G44535" s="3336"/>
      <c r="P44535" s="3337"/>
    </row>
    <row r="44536" spans="7:16" s="1634" customFormat="1">
      <c r="G44536" s="3336"/>
      <c r="P44536" s="3337"/>
    </row>
    <row r="44537" spans="7:16" s="1634" customFormat="1">
      <c r="G44537" s="3336"/>
      <c r="P44537" s="3337"/>
    </row>
    <row r="44538" spans="7:16" s="1634" customFormat="1">
      <c r="G44538" s="3336"/>
      <c r="P44538" s="3337"/>
    </row>
    <row r="44539" spans="7:16" s="1634" customFormat="1">
      <c r="G44539" s="3336"/>
      <c r="P44539" s="3337"/>
    </row>
    <row r="44540" spans="7:16" s="1634" customFormat="1">
      <c r="G44540" s="3336"/>
      <c r="P44540" s="3337"/>
    </row>
    <row r="44541" spans="7:16" s="1634" customFormat="1">
      <c r="G44541" s="3336"/>
      <c r="P44541" s="3337"/>
    </row>
    <row r="44542" spans="7:16" s="1634" customFormat="1">
      <c r="G44542" s="3336"/>
      <c r="P44542" s="3337"/>
    </row>
    <row r="44543" spans="7:16" s="1634" customFormat="1">
      <c r="G44543" s="3336"/>
      <c r="P44543" s="3337"/>
    </row>
    <row r="44544" spans="7:16" s="1634" customFormat="1">
      <c r="G44544" s="3336"/>
      <c r="P44544" s="3337"/>
    </row>
    <row r="44545" spans="7:16" s="1634" customFormat="1">
      <c r="G44545" s="3336"/>
      <c r="P44545" s="3337"/>
    </row>
    <row r="44546" spans="7:16" s="1634" customFormat="1">
      <c r="G44546" s="3336"/>
      <c r="P44546" s="3337"/>
    </row>
    <row r="44547" spans="7:16" s="1634" customFormat="1">
      <c r="G44547" s="3336"/>
      <c r="P44547" s="3337"/>
    </row>
    <row r="44548" spans="7:16" s="1634" customFormat="1">
      <c r="G44548" s="3336"/>
      <c r="P44548" s="3337"/>
    </row>
    <row r="44549" spans="7:16" s="1634" customFormat="1">
      <c r="G44549" s="3336"/>
      <c r="P44549" s="3337"/>
    </row>
    <row r="44550" spans="7:16" s="1634" customFormat="1">
      <c r="G44550" s="3336"/>
      <c r="P44550" s="3337"/>
    </row>
    <row r="44551" spans="7:16" s="1634" customFormat="1">
      <c r="G44551" s="3336"/>
      <c r="P44551" s="3337"/>
    </row>
    <row r="44552" spans="7:16" s="1634" customFormat="1">
      <c r="G44552" s="3336"/>
      <c r="P44552" s="3337"/>
    </row>
    <row r="44553" spans="7:16" s="1634" customFormat="1">
      <c r="G44553" s="3336"/>
      <c r="P44553" s="3337"/>
    </row>
    <row r="44554" spans="7:16" s="1634" customFormat="1">
      <c r="G44554" s="3336"/>
      <c r="P44554" s="3337"/>
    </row>
    <row r="44555" spans="7:16" s="1634" customFormat="1">
      <c r="G44555" s="3336"/>
      <c r="P44555" s="3337"/>
    </row>
    <row r="44556" spans="7:16" s="1634" customFormat="1">
      <c r="G44556" s="3336"/>
      <c r="P44556" s="3337"/>
    </row>
    <row r="44557" spans="7:16" s="1634" customFormat="1">
      <c r="G44557" s="3336"/>
      <c r="P44557" s="3337"/>
    </row>
    <row r="44558" spans="7:16" s="1634" customFormat="1">
      <c r="G44558" s="3336"/>
      <c r="P44558" s="3337"/>
    </row>
    <row r="44559" spans="7:16" s="1634" customFormat="1">
      <c r="G44559" s="3336"/>
      <c r="P44559" s="3337"/>
    </row>
    <row r="44560" spans="7:16" s="1634" customFormat="1">
      <c r="G44560" s="3336"/>
      <c r="P44560" s="3337"/>
    </row>
    <row r="44561" spans="7:16" s="1634" customFormat="1">
      <c r="G44561" s="3336"/>
      <c r="P44561" s="3337"/>
    </row>
    <row r="44562" spans="7:16" s="1634" customFormat="1">
      <c r="G44562" s="3336"/>
      <c r="P44562" s="3337"/>
    </row>
    <row r="44563" spans="7:16" s="1634" customFormat="1">
      <c r="G44563" s="3336"/>
      <c r="P44563" s="3337"/>
    </row>
    <row r="44564" spans="7:16" s="1634" customFormat="1">
      <c r="G44564" s="3336"/>
      <c r="P44564" s="3337"/>
    </row>
    <row r="44565" spans="7:16" s="1634" customFormat="1">
      <c r="G44565" s="3336"/>
      <c r="P44565" s="3337"/>
    </row>
    <row r="44566" spans="7:16" s="1634" customFormat="1">
      <c r="G44566" s="3336"/>
      <c r="P44566" s="3337"/>
    </row>
    <row r="44567" spans="7:16" s="1634" customFormat="1">
      <c r="G44567" s="3336"/>
      <c r="P44567" s="3337"/>
    </row>
    <row r="44568" spans="7:16" s="1634" customFormat="1">
      <c r="G44568" s="3336"/>
      <c r="P44568" s="3337"/>
    </row>
    <row r="44569" spans="7:16" s="1634" customFormat="1">
      <c r="G44569" s="3336"/>
      <c r="P44569" s="3337"/>
    </row>
    <row r="44570" spans="7:16" s="1634" customFormat="1">
      <c r="G44570" s="3336"/>
      <c r="P44570" s="3337"/>
    </row>
    <row r="44571" spans="7:16" s="1634" customFormat="1">
      <c r="G44571" s="3336"/>
      <c r="P44571" s="3337"/>
    </row>
    <row r="44572" spans="7:16" s="1634" customFormat="1">
      <c r="G44572" s="3336"/>
      <c r="P44572" s="3337"/>
    </row>
    <row r="44573" spans="7:16" s="1634" customFormat="1">
      <c r="G44573" s="3336"/>
      <c r="P44573" s="3337"/>
    </row>
    <row r="44574" spans="7:16" s="1634" customFormat="1">
      <c r="G44574" s="3336"/>
      <c r="P44574" s="3337"/>
    </row>
    <row r="44575" spans="7:16" s="1634" customFormat="1">
      <c r="G44575" s="3336"/>
      <c r="P44575" s="3337"/>
    </row>
    <row r="44576" spans="7:16" s="1634" customFormat="1">
      <c r="G44576" s="3336"/>
      <c r="P44576" s="3337"/>
    </row>
    <row r="44577" spans="7:16" s="1634" customFormat="1">
      <c r="G44577" s="3336"/>
      <c r="P44577" s="3337"/>
    </row>
    <row r="44578" spans="7:16" s="1634" customFormat="1">
      <c r="G44578" s="3336"/>
      <c r="P44578" s="3337"/>
    </row>
    <row r="44579" spans="7:16" s="1634" customFormat="1">
      <c r="G44579" s="3336"/>
      <c r="P44579" s="3337"/>
    </row>
    <row r="44580" spans="7:16" s="1634" customFormat="1">
      <c r="G44580" s="3336"/>
      <c r="P44580" s="3337"/>
    </row>
    <row r="44581" spans="7:16" s="1634" customFormat="1">
      <c r="G44581" s="3336"/>
      <c r="P44581" s="3337"/>
    </row>
    <row r="44582" spans="7:16" s="1634" customFormat="1">
      <c r="G44582" s="3336"/>
      <c r="P44582" s="3337"/>
    </row>
    <row r="44583" spans="7:16" s="1634" customFormat="1">
      <c r="G44583" s="3336"/>
      <c r="P44583" s="3337"/>
    </row>
    <row r="44584" spans="7:16" s="1634" customFormat="1">
      <c r="G44584" s="3336"/>
      <c r="P44584" s="3337"/>
    </row>
    <row r="44585" spans="7:16" s="1634" customFormat="1">
      <c r="G44585" s="3336"/>
      <c r="P44585" s="3337"/>
    </row>
    <row r="44586" spans="7:16" s="1634" customFormat="1">
      <c r="G44586" s="3336"/>
      <c r="P44586" s="3337"/>
    </row>
    <row r="44587" spans="7:16" s="1634" customFormat="1">
      <c r="G44587" s="3336"/>
      <c r="P44587" s="3337"/>
    </row>
    <row r="44588" spans="7:16" s="1634" customFormat="1">
      <c r="G44588" s="3336"/>
      <c r="P44588" s="3337"/>
    </row>
    <row r="44589" spans="7:16" s="1634" customFormat="1">
      <c r="G44589" s="3336"/>
      <c r="P44589" s="3337"/>
    </row>
    <row r="44590" spans="7:16" s="1634" customFormat="1">
      <c r="G44590" s="3336"/>
      <c r="P44590" s="3337"/>
    </row>
    <row r="44591" spans="7:16" s="1634" customFormat="1">
      <c r="G44591" s="3336"/>
      <c r="P44591" s="3337"/>
    </row>
    <row r="44592" spans="7:16" s="1634" customFormat="1">
      <c r="G44592" s="3336"/>
      <c r="P44592" s="3337"/>
    </row>
    <row r="44593" spans="7:16" s="1634" customFormat="1">
      <c r="G44593" s="3336"/>
      <c r="P44593" s="3337"/>
    </row>
    <row r="44594" spans="7:16" s="1634" customFormat="1">
      <c r="G44594" s="3336"/>
      <c r="P44594" s="3337"/>
    </row>
    <row r="44595" spans="7:16" s="1634" customFormat="1">
      <c r="G44595" s="3336"/>
      <c r="P44595" s="3337"/>
    </row>
    <row r="44596" spans="7:16" s="1634" customFormat="1">
      <c r="G44596" s="3336"/>
      <c r="P44596" s="3337"/>
    </row>
    <row r="44597" spans="7:16" s="1634" customFormat="1">
      <c r="G44597" s="3336"/>
      <c r="P44597" s="3337"/>
    </row>
    <row r="44598" spans="7:16" s="1634" customFormat="1">
      <c r="G44598" s="3336"/>
      <c r="P44598" s="3337"/>
    </row>
    <row r="44599" spans="7:16" s="1634" customFormat="1">
      <c r="G44599" s="3336"/>
      <c r="P44599" s="3337"/>
    </row>
    <row r="44600" spans="7:16" s="1634" customFormat="1">
      <c r="G44600" s="3336"/>
      <c r="P44600" s="3337"/>
    </row>
    <row r="44601" spans="7:16" s="1634" customFormat="1">
      <c r="G44601" s="3336"/>
      <c r="P44601" s="3337"/>
    </row>
    <row r="44602" spans="7:16" s="1634" customFormat="1">
      <c r="G44602" s="3336"/>
      <c r="P44602" s="3337"/>
    </row>
    <row r="44603" spans="7:16" s="1634" customFormat="1">
      <c r="G44603" s="3336"/>
      <c r="P44603" s="3337"/>
    </row>
    <row r="44604" spans="7:16" s="1634" customFormat="1">
      <c r="G44604" s="3336"/>
      <c r="P44604" s="3337"/>
    </row>
    <row r="44605" spans="7:16" s="1634" customFormat="1">
      <c r="G44605" s="3336"/>
      <c r="P44605" s="3337"/>
    </row>
    <row r="44606" spans="7:16" s="1634" customFormat="1">
      <c r="G44606" s="3336"/>
      <c r="P44606" s="3337"/>
    </row>
    <row r="44607" spans="7:16" s="1634" customFormat="1">
      <c r="G44607" s="3336"/>
      <c r="P44607" s="3337"/>
    </row>
    <row r="44608" spans="7:16" s="1634" customFormat="1">
      <c r="G44608" s="3336"/>
      <c r="P44608" s="3337"/>
    </row>
    <row r="44609" spans="7:16" s="1634" customFormat="1">
      <c r="G44609" s="3336"/>
      <c r="P44609" s="3337"/>
    </row>
    <row r="44610" spans="7:16" s="1634" customFormat="1">
      <c r="G44610" s="3336"/>
      <c r="P44610" s="3337"/>
    </row>
    <row r="44611" spans="7:16" s="1634" customFormat="1">
      <c r="G44611" s="3336"/>
      <c r="P44611" s="3337"/>
    </row>
    <row r="44612" spans="7:16" s="1634" customFormat="1">
      <c r="G44612" s="3336"/>
      <c r="P44612" s="3337"/>
    </row>
    <row r="44613" spans="7:16" s="1634" customFormat="1">
      <c r="G44613" s="3336"/>
      <c r="P44613" s="3337"/>
    </row>
    <row r="44614" spans="7:16" s="1634" customFormat="1">
      <c r="G44614" s="3336"/>
      <c r="P44614" s="3337"/>
    </row>
    <row r="44615" spans="7:16" s="1634" customFormat="1">
      <c r="G44615" s="3336"/>
      <c r="P44615" s="3337"/>
    </row>
    <row r="44616" spans="7:16" s="1634" customFormat="1">
      <c r="G44616" s="3336"/>
      <c r="P44616" s="3337"/>
    </row>
    <row r="44617" spans="7:16" s="1634" customFormat="1">
      <c r="G44617" s="3336"/>
      <c r="P44617" s="3337"/>
    </row>
    <row r="44618" spans="7:16" s="1634" customFormat="1">
      <c r="G44618" s="3336"/>
      <c r="P44618" s="3337"/>
    </row>
    <row r="44619" spans="7:16" s="1634" customFormat="1">
      <c r="G44619" s="3336"/>
      <c r="P44619" s="3337"/>
    </row>
    <row r="44620" spans="7:16" s="1634" customFormat="1">
      <c r="G44620" s="3336"/>
      <c r="P44620" s="3337"/>
    </row>
    <row r="44621" spans="7:16" s="1634" customFormat="1">
      <c r="G44621" s="3336"/>
      <c r="P44621" s="3337"/>
    </row>
    <row r="44622" spans="7:16" s="1634" customFormat="1">
      <c r="G44622" s="3336"/>
      <c r="P44622" s="3337"/>
    </row>
    <row r="44623" spans="7:16" s="1634" customFormat="1">
      <c r="G44623" s="3336"/>
      <c r="P44623" s="3337"/>
    </row>
    <row r="44624" spans="7:16" s="1634" customFormat="1">
      <c r="G44624" s="3336"/>
      <c r="P44624" s="3337"/>
    </row>
    <row r="44625" spans="7:16" s="1634" customFormat="1">
      <c r="G44625" s="3336"/>
      <c r="P44625" s="3337"/>
    </row>
    <row r="44626" spans="7:16" s="1634" customFormat="1">
      <c r="G44626" s="3336"/>
      <c r="P44626" s="3337"/>
    </row>
    <row r="44627" spans="7:16" s="1634" customFormat="1">
      <c r="G44627" s="3336"/>
      <c r="P44627" s="3337"/>
    </row>
    <row r="44628" spans="7:16" s="1634" customFormat="1">
      <c r="G44628" s="3336"/>
      <c r="P44628" s="3337"/>
    </row>
    <row r="44629" spans="7:16" s="1634" customFormat="1">
      <c r="G44629" s="3336"/>
      <c r="P44629" s="3337"/>
    </row>
    <row r="44630" spans="7:16" s="1634" customFormat="1">
      <c r="G44630" s="3336"/>
      <c r="P44630" s="3337"/>
    </row>
    <row r="44631" spans="7:16" s="1634" customFormat="1">
      <c r="G44631" s="3336"/>
      <c r="P44631" s="3337"/>
    </row>
    <row r="44632" spans="7:16" s="1634" customFormat="1">
      <c r="G44632" s="3336"/>
      <c r="P44632" s="3337"/>
    </row>
    <row r="44633" spans="7:16" s="1634" customFormat="1">
      <c r="G44633" s="3336"/>
      <c r="P44633" s="3337"/>
    </row>
    <row r="44634" spans="7:16" s="1634" customFormat="1">
      <c r="G44634" s="3336"/>
      <c r="P44634" s="3337"/>
    </row>
    <row r="44635" spans="7:16" s="1634" customFormat="1">
      <c r="G44635" s="3336"/>
      <c r="P44635" s="3337"/>
    </row>
    <row r="44636" spans="7:16" s="1634" customFormat="1">
      <c r="G44636" s="3336"/>
      <c r="P44636" s="3337"/>
    </row>
    <row r="44637" spans="7:16" s="1634" customFormat="1">
      <c r="G44637" s="3336"/>
      <c r="P44637" s="3337"/>
    </row>
    <row r="44638" spans="7:16" s="1634" customFormat="1">
      <c r="G44638" s="3336"/>
      <c r="P44638" s="3337"/>
    </row>
    <row r="44639" spans="7:16" s="1634" customFormat="1">
      <c r="G44639" s="3336"/>
      <c r="P44639" s="3337"/>
    </row>
    <row r="44640" spans="7:16" s="1634" customFormat="1">
      <c r="G44640" s="3336"/>
      <c r="P44640" s="3337"/>
    </row>
    <row r="44641" spans="7:16" s="1634" customFormat="1">
      <c r="G44641" s="3336"/>
      <c r="P44641" s="3337"/>
    </row>
    <row r="44642" spans="7:16" s="1634" customFormat="1">
      <c r="G44642" s="3336"/>
      <c r="P44642" s="3337"/>
    </row>
    <row r="44643" spans="7:16" s="1634" customFormat="1">
      <c r="G44643" s="3336"/>
      <c r="P44643" s="3337"/>
    </row>
    <row r="44644" spans="7:16" s="1634" customFormat="1">
      <c r="G44644" s="3336"/>
      <c r="P44644" s="3337"/>
    </row>
    <row r="44645" spans="7:16" s="1634" customFormat="1">
      <c r="G44645" s="3336"/>
      <c r="P44645" s="3337"/>
    </row>
    <row r="44646" spans="7:16" s="1634" customFormat="1">
      <c r="G44646" s="3336"/>
      <c r="P44646" s="3337"/>
    </row>
    <row r="44647" spans="7:16" s="1634" customFormat="1">
      <c r="G44647" s="3336"/>
      <c r="P44647" s="3337"/>
    </row>
    <row r="44648" spans="7:16" s="1634" customFormat="1">
      <c r="G44648" s="3336"/>
      <c r="P44648" s="3337"/>
    </row>
    <row r="44649" spans="7:16" s="1634" customFormat="1">
      <c r="G44649" s="3336"/>
      <c r="P44649" s="3337"/>
    </row>
    <row r="44650" spans="7:16" s="1634" customFormat="1">
      <c r="G44650" s="3336"/>
      <c r="P44650" s="3337"/>
    </row>
    <row r="44651" spans="7:16" s="1634" customFormat="1">
      <c r="G44651" s="3336"/>
      <c r="P44651" s="3337"/>
    </row>
    <row r="44652" spans="7:16" s="1634" customFormat="1">
      <c r="G44652" s="3336"/>
      <c r="P44652" s="3337"/>
    </row>
    <row r="44653" spans="7:16" s="1634" customFormat="1">
      <c r="G44653" s="3336"/>
      <c r="P44653" s="3337"/>
    </row>
    <row r="44654" spans="7:16" s="1634" customFormat="1">
      <c r="G44654" s="3336"/>
      <c r="P44654" s="3337"/>
    </row>
    <row r="44655" spans="7:16" s="1634" customFormat="1">
      <c r="G44655" s="3336"/>
      <c r="P44655" s="3337"/>
    </row>
    <row r="44656" spans="7:16" s="1634" customFormat="1">
      <c r="G44656" s="3336"/>
      <c r="P44656" s="3337"/>
    </row>
    <row r="44657" spans="7:16" s="1634" customFormat="1">
      <c r="G44657" s="3336"/>
      <c r="P44657" s="3337"/>
    </row>
    <row r="44658" spans="7:16" s="1634" customFormat="1">
      <c r="G44658" s="3336"/>
      <c r="P44658" s="3337"/>
    </row>
    <row r="44659" spans="7:16" s="1634" customFormat="1">
      <c r="G44659" s="3336"/>
      <c r="P44659" s="3337"/>
    </row>
    <row r="44660" spans="7:16" s="1634" customFormat="1">
      <c r="G44660" s="3336"/>
      <c r="P44660" s="3337"/>
    </row>
    <row r="44661" spans="7:16" s="1634" customFormat="1">
      <c r="G44661" s="3336"/>
      <c r="P44661" s="3337"/>
    </row>
    <row r="44662" spans="7:16" s="1634" customFormat="1">
      <c r="G44662" s="3336"/>
      <c r="P44662" s="3337"/>
    </row>
    <row r="44663" spans="7:16" s="1634" customFormat="1">
      <c r="G44663" s="3336"/>
      <c r="P44663" s="3337"/>
    </row>
    <row r="44664" spans="7:16" s="1634" customFormat="1">
      <c r="G44664" s="3336"/>
      <c r="P44664" s="3337"/>
    </row>
    <row r="44665" spans="7:16" s="1634" customFormat="1">
      <c r="G44665" s="3336"/>
      <c r="P44665" s="3337"/>
    </row>
    <row r="44666" spans="7:16" s="1634" customFormat="1">
      <c r="G44666" s="3336"/>
      <c r="P44666" s="3337"/>
    </row>
    <row r="44667" spans="7:16" s="1634" customFormat="1">
      <c r="G44667" s="3336"/>
      <c r="P44667" s="3337"/>
    </row>
    <row r="44668" spans="7:16" s="1634" customFormat="1">
      <c r="G44668" s="3336"/>
      <c r="P44668" s="3337"/>
    </row>
    <row r="44669" spans="7:16" s="1634" customFormat="1">
      <c r="G44669" s="3336"/>
      <c r="P44669" s="3337"/>
    </row>
    <row r="44670" spans="7:16" s="1634" customFormat="1">
      <c r="G44670" s="3336"/>
      <c r="P44670" s="3337"/>
    </row>
    <row r="44671" spans="7:16" s="1634" customFormat="1">
      <c r="G44671" s="3336"/>
      <c r="P44671" s="3337"/>
    </row>
    <row r="44672" spans="7:16" s="1634" customFormat="1">
      <c r="G44672" s="3336"/>
      <c r="P44672" s="3337"/>
    </row>
    <row r="44673" spans="7:16" s="1634" customFormat="1">
      <c r="G44673" s="3336"/>
      <c r="P44673" s="3337"/>
    </row>
    <row r="44674" spans="7:16" s="1634" customFormat="1">
      <c r="G44674" s="3336"/>
      <c r="P44674" s="3337"/>
    </row>
    <row r="44675" spans="7:16" s="1634" customFormat="1">
      <c r="G44675" s="3336"/>
      <c r="P44675" s="3337"/>
    </row>
    <row r="44676" spans="7:16" s="1634" customFormat="1">
      <c r="G44676" s="3336"/>
      <c r="P44676" s="3337"/>
    </row>
    <row r="44677" spans="7:16" s="1634" customFormat="1">
      <c r="G44677" s="3336"/>
      <c r="P44677" s="3337"/>
    </row>
    <row r="44678" spans="7:16" s="1634" customFormat="1">
      <c r="G44678" s="3336"/>
      <c r="P44678" s="3337"/>
    </row>
    <row r="44679" spans="7:16" s="1634" customFormat="1">
      <c r="G44679" s="3336"/>
      <c r="P44679" s="3337"/>
    </row>
    <row r="44680" spans="7:16" s="1634" customFormat="1">
      <c r="G44680" s="3336"/>
      <c r="P44680" s="3337"/>
    </row>
    <row r="44681" spans="7:16" s="1634" customFormat="1">
      <c r="G44681" s="3336"/>
      <c r="P44681" s="3337"/>
    </row>
    <row r="44682" spans="7:16" s="1634" customFormat="1">
      <c r="G44682" s="3336"/>
      <c r="P44682" s="3337"/>
    </row>
    <row r="44683" spans="7:16" s="1634" customFormat="1">
      <c r="G44683" s="3336"/>
      <c r="P44683" s="3337"/>
    </row>
    <row r="44684" spans="7:16" s="1634" customFormat="1">
      <c r="G44684" s="3336"/>
      <c r="P44684" s="3337"/>
    </row>
    <row r="44685" spans="7:16" s="1634" customFormat="1">
      <c r="G44685" s="3336"/>
      <c r="P44685" s="3337"/>
    </row>
    <row r="44686" spans="7:16" s="1634" customFormat="1">
      <c r="G44686" s="3336"/>
      <c r="P44686" s="3337"/>
    </row>
    <row r="44687" spans="7:16" s="1634" customFormat="1">
      <c r="G44687" s="3336"/>
      <c r="P44687" s="3337"/>
    </row>
    <row r="44688" spans="7:16" s="1634" customFormat="1">
      <c r="G44688" s="3336"/>
      <c r="P44688" s="3337"/>
    </row>
    <row r="44689" spans="7:16" s="1634" customFormat="1">
      <c r="G44689" s="3336"/>
      <c r="P44689" s="3337"/>
    </row>
    <row r="44690" spans="7:16" s="1634" customFormat="1">
      <c r="G44690" s="3336"/>
      <c r="P44690" s="3337"/>
    </row>
    <row r="44691" spans="7:16" s="1634" customFormat="1">
      <c r="G44691" s="3336"/>
      <c r="P44691" s="3337"/>
    </row>
    <row r="44692" spans="7:16" s="1634" customFormat="1">
      <c r="G44692" s="3336"/>
      <c r="P44692" s="3337"/>
    </row>
    <row r="44693" spans="7:16" s="1634" customFormat="1">
      <c r="G44693" s="3336"/>
      <c r="P44693" s="3337"/>
    </row>
    <row r="44694" spans="7:16" s="1634" customFormat="1">
      <c r="G44694" s="3336"/>
      <c r="P44694" s="3337"/>
    </row>
    <row r="44695" spans="7:16" s="1634" customFormat="1">
      <c r="G44695" s="3336"/>
      <c r="P44695" s="3337"/>
    </row>
    <row r="44696" spans="7:16" s="1634" customFormat="1">
      <c r="G44696" s="3336"/>
      <c r="P44696" s="3337"/>
    </row>
    <row r="44697" spans="7:16" s="1634" customFormat="1">
      <c r="G44697" s="3336"/>
      <c r="P44697" s="3337"/>
    </row>
    <row r="44698" spans="7:16" s="1634" customFormat="1">
      <c r="G44698" s="3336"/>
      <c r="P44698" s="3337"/>
    </row>
    <row r="44699" spans="7:16" s="1634" customFormat="1">
      <c r="G44699" s="3336"/>
      <c r="P44699" s="3337"/>
    </row>
    <row r="44700" spans="7:16" s="1634" customFormat="1">
      <c r="G44700" s="3336"/>
      <c r="P44700" s="3337"/>
    </row>
    <row r="44701" spans="7:16" s="1634" customFormat="1">
      <c r="G44701" s="3336"/>
      <c r="P44701" s="3337"/>
    </row>
    <row r="44702" spans="7:16" s="1634" customFormat="1">
      <c r="G44702" s="3336"/>
      <c r="P44702" s="3337"/>
    </row>
    <row r="44703" spans="7:16" s="1634" customFormat="1">
      <c r="G44703" s="3336"/>
      <c r="P44703" s="3337"/>
    </row>
    <row r="44704" spans="7:16" s="1634" customFormat="1">
      <c r="G44704" s="3336"/>
      <c r="P44704" s="3337"/>
    </row>
    <row r="44705" spans="7:16" s="1634" customFormat="1">
      <c r="G44705" s="3336"/>
      <c r="P44705" s="3337"/>
    </row>
    <row r="44706" spans="7:16" s="1634" customFormat="1">
      <c r="G44706" s="3336"/>
      <c r="P44706" s="3337"/>
    </row>
    <row r="44707" spans="7:16" s="1634" customFormat="1">
      <c r="G44707" s="3336"/>
      <c r="P44707" s="3337"/>
    </row>
    <row r="44708" spans="7:16" s="1634" customFormat="1">
      <c r="G44708" s="3336"/>
      <c r="P44708" s="3337"/>
    </row>
    <row r="44709" spans="7:16" s="1634" customFormat="1">
      <c r="G44709" s="3336"/>
      <c r="P44709" s="3337"/>
    </row>
    <row r="44710" spans="7:16" s="1634" customFormat="1">
      <c r="G44710" s="3336"/>
      <c r="P44710" s="3337"/>
    </row>
    <row r="44711" spans="7:16" s="1634" customFormat="1">
      <c r="G44711" s="3336"/>
      <c r="P44711" s="3337"/>
    </row>
    <row r="44712" spans="7:16" s="1634" customFormat="1">
      <c r="G44712" s="3336"/>
      <c r="P44712" s="3337"/>
    </row>
    <row r="44713" spans="7:16" s="1634" customFormat="1">
      <c r="G44713" s="3336"/>
      <c r="P44713" s="3337"/>
    </row>
    <row r="44714" spans="7:16" s="1634" customFormat="1">
      <c r="G44714" s="3336"/>
      <c r="P44714" s="3337"/>
    </row>
    <row r="44715" spans="7:16" s="1634" customFormat="1">
      <c r="G44715" s="3336"/>
      <c r="P44715" s="3337"/>
    </row>
    <row r="44716" spans="7:16" s="1634" customFormat="1">
      <c r="G44716" s="3336"/>
      <c r="P44716" s="3337"/>
    </row>
    <row r="44717" spans="7:16" s="1634" customFormat="1">
      <c r="G44717" s="3336"/>
      <c r="P44717" s="3337"/>
    </row>
    <row r="44718" spans="7:16" s="1634" customFormat="1">
      <c r="G44718" s="3336"/>
      <c r="P44718" s="3337"/>
    </row>
    <row r="44719" spans="7:16" s="1634" customFormat="1">
      <c r="G44719" s="3336"/>
      <c r="P44719" s="3337"/>
    </row>
    <row r="44720" spans="7:16" s="1634" customFormat="1">
      <c r="G44720" s="3336"/>
      <c r="P44720" s="3337"/>
    </row>
    <row r="44721" spans="7:16" s="1634" customFormat="1">
      <c r="G44721" s="3336"/>
      <c r="P44721" s="3337"/>
    </row>
    <row r="44722" spans="7:16" s="1634" customFormat="1">
      <c r="G44722" s="3336"/>
      <c r="P44722" s="3337"/>
    </row>
    <row r="44723" spans="7:16" s="1634" customFormat="1">
      <c r="G44723" s="3336"/>
      <c r="P44723" s="3337"/>
    </row>
    <row r="44724" spans="7:16" s="1634" customFormat="1">
      <c r="G44724" s="3336"/>
      <c r="P44724" s="3337"/>
    </row>
    <row r="44725" spans="7:16" s="1634" customFormat="1">
      <c r="G44725" s="3336"/>
      <c r="P44725" s="3337"/>
    </row>
    <row r="44726" spans="7:16" s="1634" customFormat="1">
      <c r="G44726" s="3336"/>
      <c r="P44726" s="3337"/>
    </row>
    <row r="44727" spans="7:16" s="1634" customFormat="1">
      <c r="G44727" s="3336"/>
      <c r="P44727" s="3337"/>
    </row>
    <row r="44728" spans="7:16" s="1634" customFormat="1">
      <c r="G44728" s="3336"/>
      <c r="P44728" s="3337"/>
    </row>
    <row r="44729" spans="7:16" s="1634" customFormat="1">
      <c r="G44729" s="3336"/>
      <c r="P44729" s="3337"/>
    </row>
    <row r="44730" spans="7:16" s="1634" customFormat="1">
      <c r="G44730" s="3336"/>
      <c r="P44730" s="3337"/>
    </row>
    <row r="44731" spans="7:16" s="1634" customFormat="1">
      <c r="G44731" s="3336"/>
      <c r="P44731" s="3337"/>
    </row>
    <row r="44732" spans="7:16" s="1634" customFormat="1">
      <c r="G44732" s="3336"/>
      <c r="P44732" s="3337"/>
    </row>
    <row r="44733" spans="7:16" s="1634" customFormat="1">
      <c r="G44733" s="3336"/>
      <c r="P44733" s="3337"/>
    </row>
    <row r="44734" spans="7:16" s="1634" customFormat="1">
      <c r="G44734" s="3336"/>
      <c r="P44734" s="3337"/>
    </row>
    <row r="44735" spans="7:16" s="1634" customFormat="1">
      <c r="G44735" s="3336"/>
      <c r="P44735" s="3337"/>
    </row>
    <row r="44736" spans="7:16" s="1634" customFormat="1">
      <c r="G44736" s="3336"/>
      <c r="P44736" s="3337"/>
    </row>
    <row r="44737" spans="7:16" s="1634" customFormat="1">
      <c r="G44737" s="3336"/>
      <c r="P44737" s="3337"/>
    </row>
    <row r="44738" spans="7:16" s="1634" customFormat="1">
      <c r="G44738" s="3336"/>
      <c r="P44738" s="3337"/>
    </row>
    <row r="44739" spans="7:16" s="1634" customFormat="1">
      <c r="G44739" s="3336"/>
      <c r="P44739" s="3337"/>
    </row>
    <row r="44740" spans="7:16" s="1634" customFormat="1">
      <c r="G44740" s="3336"/>
      <c r="P44740" s="3337"/>
    </row>
    <row r="44741" spans="7:16" s="1634" customFormat="1">
      <c r="G44741" s="3336"/>
      <c r="P44741" s="3337"/>
    </row>
    <row r="44742" spans="7:16" s="1634" customFormat="1">
      <c r="G44742" s="3336"/>
      <c r="P44742" s="3337"/>
    </row>
    <row r="44743" spans="7:16" s="1634" customFormat="1">
      <c r="G44743" s="3336"/>
      <c r="P44743" s="3337"/>
    </row>
    <row r="44744" spans="7:16" s="1634" customFormat="1">
      <c r="G44744" s="3336"/>
      <c r="P44744" s="3337"/>
    </row>
    <row r="44745" spans="7:16" s="1634" customFormat="1">
      <c r="G44745" s="3336"/>
      <c r="P44745" s="3337"/>
    </row>
    <row r="44746" spans="7:16" s="1634" customFormat="1">
      <c r="G44746" s="3336"/>
      <c r="P44746" s="3337"/>
    </row>
    <row r="44747" spans="7:16" s="1634" customFormat="1">
      <c r="G44747" s="3336"/>
      <c r="P44747" s="3337"/>
    </row>
    <row r="44748" spans="7:16" s="1634" customFormat="1">
      <c r="G44748" s="3336"/>
      <c r="P44748" s="3337"/>
    </row>
    <row r="44749" spans="7:16" s="1634" customFormat="1">
      <c r="G44749" s="3336"/>
      <c r="P44749" s="3337"/>
    </row>
    <row r="44750" spans="7:16" s="1634" customFormat="1">
      <c r="G44750" s="3336"/>
      <c r="P44750" s="3337"/>
    </row>
    <row r="44751" spans="7:16" s="1634" customFormat="1">
      <c r="G44751" s="3336"/>
      <c r="P44751" s="3337"/>
    </row>
    <row r="44752" spans="7:16" s="1634" customFormat="1">
      <c r="G44752" s="3336"/>
      <c r="P44752" s="3337"/>
    </row>
    <row r="44753" spans="7:16" s="1634" customFormat="1">
      <c r="G44753" s="3336"/>
      <c r="P44753" s="3337"/>
    </row>
    <row r="44754" spans="7:16" s="1634" customFormat="1">
      <c r="G44754" s="3336"/>
      <c r="P44754" s="3337"/>
    </row>
    <row r="44755" spans="7:16" s="1634" customFormat="1">
      <c r="G44755" s="3336"/>
      <c r="P44755" s="3337"/>
    </row>
    <row r="44756" spans="7:16" s="1634" customFormat="1">
      <c r="G44756" s="3336"/>
      <c r="P44756" s="3337"/>
    </row>
    <row r="44757" spans="7:16" s="1634" customFormat="1">
      <c r="G44757" s="3336"/>
      <c r="P44757" s="3337"/>
    </row>
    <row r="44758" spans="7:16" s="1634" customFormat="1">
      <c r="G44758" s="3336"/>
      <c r="P44758" s="3337"/>
    </row>
    <row r="44759" spans="7:16" s="1634" customFormat="1">
      <c r="G44759" s="3336"/>
      <c r="P44759" s="3337"/>
    </row>
    <row r="44760" spans="7:16" s="1634" customFormat="1">
      <c r="G44760" s="3336"/>
      <c r="P44760" s="3337"/>
    </row>
    <row r="44761" spans="7:16" s="1634" customFormat="1">
      <c r="G44761" s="3336"/>
      <c r="P44761" s="3337"/>
    </row>
    <row r="44762" spans="7:16" s="1634" customFormat="1">
      <c r="G44762" s="3336"/>
      <c r="P44762" s="3337"/>
    </row>
    <row r="44763" spans="7:16" s="1634" customFormat="1">
      <c r="G44763" s="3336"/>
      <c r="P44763" s="3337"/>
    </row>
    <row r="44764" spans="7:16" s="1634" customFormat="1">
      <c r="G44764" s="3336"/>
      <c r="P44764" s="3337"/>
    </row>
    <row r="44765" spans="7:16" s="1634" customFormat="1">
      <c r="G44765" s="3336"/>
      <c r="P44765" s="3337"/>
    </row>
    <row r="44766" spans="7:16" s="1634" customFormat="1">
      <c r="G44766" s="3336"/>
      <c r="P44766" s="3337"/>
    </row>
    <row r="44767" spans="7:16" s="1634" customFormat="1">
      <c r="G44767" s="3336"/>
      <c r="P44767" s="3337"/>
    </row>
    <row r="44768" spans="7:16" s="1634" customFormat="1">
      <c r="G44768" s="3336"/>
      <c r="P44768" s="3337"/>
    </row>
    <row r="44769" spans="7:16" s="1634" customFormat="1">
      <c r="G44769" s="3336"/>
      <c r="P44769" s="3337"/>
    </row>
    <row r="44770" spans="7:16" s="1634" customFormat="1">
      <c r="G44770" s="3336"/>
      <c r="P44770" s="3337"/>
    </row>
    <row r="44771" spans="7:16" s="1634" customFormat="1">
      <c r="G44771" s="3336"/>
      <c r="P44771" s="3337"/>
    </row>
    <row r="44772" spans="7:16" s="1634" customFormat="1">
      <c r="G44772" s="3336"/>
      <c r="P44772" s="3337"/>
    </row>
    <row r="44773" spans="7:16" s="1634" customFormat="1">
      <c r="G44773" s="3336"/>
      <c r="P44773" s="3337"/>
    </row>
    <row r="44774" spans="7:16" s="1634" customFormat="1">
      <c r="G44774" s="3336"/>
      <c r="P44774" s="3337"/>
    </row>
    <row r="44775" spans="7:16" s="1634" customFormat="1">
      <c r="G44775" s="3336"/>
      <c r="P44775" s="3337"/>
    </row>
    <row r="44776" spans="7:16" s="1634" customFormat="1">
      <c r="G44776" s="3336"/>
      <c r="P44776" s="3337"/>
    </row>
    <row r="44777" spans="7:16" s="1634" customFormat="1">
      <c r="G44777" s="3336"/>
      <c r="P44777" s="3337"/>
    </row>
    <row r="44778" spans="7:16" s="1634" customFormat="1">
      <c r="G44778" s="3336"/>
      <c r="P44778" s="3337"/>
    </row>
    <row r="44779" spans="7:16" s="1634" customFormat="1">
      <c r="G44779" s="3336"/>
      <c r="P44779" s="3337"/>
    </row>
    <row r="44780" spans="7:16" s="1634" customFormat="1">
      <c r="G44780" s="3336"/>
      <c r="P44780" s="3337"/>
    </row>
    <row r="44781" spans="7:16" s="1634" customFormat="1">
      <c r="G44781" s="3336"/>
      <c r="P44781" s="3337"/>
    </row>
    <row r="44782" spans="7:16" s="1634" customFormat="1">
      <c r="G44782" s="3336"/>
      <c r="P44782" s="3337"/>
    </row>
    <row r="44783" spans="7:16" s="1634" customFormat="1">
      <c r="G44783" s="3336"/>
      <c r="P44783" s="3337"/>
    </row>
    <row r="44784" spans="7:16" s="1634" customFormat="1">
      <c r="G44784" s="3336"/>
      <c r="P44784" s="3337"/>
    </row>
    <row r="44785" spans="7:16" s="1634" customFormat="1">
      <c r="G44785" s="3336"/>
      <c r="P44785" s="3337"/>
    </row>
    <row r="44786" spans="7:16" s="1634" customFormat="1">
      <c r="G44786" s="3336"/>
      <c r="P44786" s="3337"/>
    </row>
    <row r="44787" spans="7:16" s="1634" customFormat="1">
      <c r="G44787" s="3336"/>
      <c r="P44787" s="3337"/>
    </row>
    <row r="44788" spans="7:16" s="1634" customFormat="1">
      <c r="G44788" s="3336"/>
      <c r="P44788" s="3337"/>
    </row>
    <row r="44789" spans="7:16" s="1634" customFormat="1">
      <c r="G44789" s="3336"/>
      <c r="P44789" s="3337"/>
    </row>
    <row r="44790" spans="7:16" s="1634" customFormat="1">
      <c r="G44790" s="3336"/>
      <c r="P44790" s="3337"/>
    </row>
    <row r="44791" spans="7:16" s="1634" customFormat="1">
      <c r="G44791" s="3336"/>
      <c r="P44791" s="3337"/>
    </row>
    <row r="44792" spans="7:16" s="1634" customFormat="1">
      <c r="G44792" s="3336"/>
      <c r="P44792" s="3337"/>
    </row>
    <row r="44793" spans="7:16" s="1634" customFormat="1">
      <c r="G44793" s="3336"/>
      <c r="P44793" s="3337"/>
    </row>
    <row r="44794" spans="7:16" s="1634" customFormat="1">
      <c r="G44794" s="3336"/>
      <c r="P44794" s="3337"/>
    </row>
    <row r="44795" spans="7:16" s="1634" customFormat="1">
      <c r="G44795" s="3336"/>
      <c r="P44795" s="3337"/>
    </row>
    <row r="44796" spans="7:16" s="1634" customFormat="1">
      <c r="G44796" s="3336"/>
      <c r="P44796" s="3337"/>
    </row>
    <row r="44797" spans="7:16" s="1634" customFormat="1">
      <c r="G44797" s="3336"/>
      <c r="P44797" s="3337"/>
    </row>
    <row r="44798" spans="7:16" s="1634" customFormat="1">
      <c r="G44798" s="3336"/>
      <c r="P44798" s="3337"/>
    </row>
    <row r="44799" spans="7:16" s="1634" customFormat="1">
      <c r="G44799" s="3336"/>
      <c r="P44799" s="3337"/>
    </row>
    <row r="44800" spans="7:16" s="1634" customFormat="1">
      <c r="G44800" s="3336"/>
      <c r="P44800" s="3337"/>
    </row>
    <row r="44801" spans="7:16" s="1634" customFormat="1">
      <c r="G44801" s="3336"/>
      <c r="P44801" s="3337"/>
    </row>
    <row r="44802" spans="7:16" s="1634" customFormat="1">
      <c r="G44802" s="3336"/>
      <c r="P44802" s="3337"/>
    </row>
    <row r="44803" spans="7:16" s="1634" customFormat="1">
      <c r="G44803" s="3336"/>
      <c r="P44803" s="3337"/>
    </row>
    <row r="44804" spans="7:16" s="1634" customFormat="1">
      <c r="G44804" s="3336"/>
      <c r="P44804" s="3337"/>
    </row>
    <row r="44805" spans="7:16" s="1634" customFormat="1">
      <c r="G44805" s="3336"/>
      <c r="P44805" s="3337"/>
    </row>
    <row r="44806" spans="7:16" s="1634" customFormat="1">
      <c r="G44806" s="3336"/>
      <c r="P44806" s="3337"/>
    </row>
    <row r="44807" spans="7:16" s="1634" customFormat="1">
      <c r="G44807" s="3336"/>
      <c r="P44807" s="3337"/>
    </row>
    <row r="44808" spans="7:16" s="1634" customFormat="1">
      <c r="G44808" s="3336"/>
      <c r="P44808" s="3337"/>
    </row>
    <row r="44809" spans="7:16" s="1634" customFormat="1">
      <c r="G44809" s="3336"/>
      <c r="P44809" s="3337"/>
    </row>
    <row r="44810" spans="7:16" s="1634" customFormat="1">
      <c r="G44810" s="3336"/>
      <c r="P44810" s="3337"/>
    </row>
    <row r="44811" spans="7:16" s="1634" customFormat="1">
      <c r="G44811" s="3336"/>
      <c r="P44811" s="3337"/>
    </row>
    <row r="44812" spans="7:16" s="1634" customFormat="1">
      <c r="G44812" s="3336"/>
      <c r="P44812" s="3337"/>
    </row>
    <row r="44813" spans="7:16" s="1634" customFormat="1">
      <c r="G44813" s="3336"/>
      <c r="P44813" s="3337"/>
    </row>
    <row r="44814" spans="7:16" s="1634" customFormat="1">
      <c r="G44814" s="3336"/>
      <c r="P44814" s="3337"/>
    </row>
    <row r="44815" spans="7:16" s="1634" customFormat="1">
      <c r="G44815" s="3336"/>
      <c r="P44815" s="3337"/>
    </row>
    <row r="44816" spans="7:16" s="1634" customFormat="1">
      <c r="G44816" s="3336"/>
      <c r="P44816" s="3337"/>
    </row>
    <row r="44817" spans="7:16" s="1634" customFormat="1">
      <c r="G44817" s="3336"/>
      <c r="P44817" s="3337"/>
    </row>
    <row r="44818" spans="7:16" s="1634" customFormat="1">
      <c r="G44818" s="3336"/>
      <c r="P44818" s="3337"/>
    </row>
    <row r="44819" spans="7:16" s="1634" customFormat="1">
      <c r="G44819" s="3336"/>
      <c r="P44819" s="3337"/>
    </row>
    <row r="44820" spans="7:16" s="1634" customFormat="1">
      <c r="G44820" s="3336"/>
      <c r="P44820" s="3337"/>
    </row>
    <row r="44821" spans="7:16" s="1634" customFormat="1">
      <c r="G44821" s="3336"/>
      <c r="P44821" s="3337"/>
    </row>
    <row r="44822" spans="7:16" s="1634" customFormat="1">
      <c r="G44822" s="3336"/>
      <c r="P44822" s="3337"/>
    </row>
    <row r="44823" spans="7:16" s="1634" customFormat="1">
      <c r="G44823" s="3336"/>
      <c r="P44823" s="3337"/>
    </row>
    <row r="44824" spans="7:16" s="1634" customFormat="1">
      <c r="G44824" s="3336"/>
      <c r="P44824" s="3337"/>
    </row>
    <row r="44825" spans="7:16" s="1634" customFormat="1">
      <c r="G44825" s="3336"/>
      <c r="P44825" s="3337"/>
    </row>
    <row r="44826" spans="7:16" s="1634" customFormat="1">
      <c r="G44826" s="3336"/>
      <c r="P44826" s="3337"/>
    </row>
    <row r="44827" spans="7:16" s="1634" customFormat="1">
      <c r="G44827" s="3336"/>
      <c r="P44827" s="3337"/>
    </row>
    <row r="44828" spans="7:16" s="1634" customFormat="1">
      <c r="G44828" s="3336"/>
      <c r="P44828" s="3337"/>
    </row>
    <row r="44829" spans="7:16" s="1634" customFormat="1">
      <c r="G44829" s="3336"/>
      <c r="P44829" s="3337"/>
    </row>
    <row r="44830" spans="7:16" s="1634" customFormat="1">
      <c r="G44830" s="3336"/>
      <c r="P44830" s="3337"/>
    </row>
    <row r="44831" spans="7:16" s="1634" customFormat="1">
      <c r="G44831" s="3336"/>
      <c r="P44831" s="3337"/>
    </row>
    <row r="44832" spans="7:16" s="1634" customFormat="1">
      <c r="G44832" s="3336"/>
      <c r="P44832" s="3337"/>
    </row>
    <row r="44833" spans="7:16" s="1634" customFormat="1">
      <c r="G44833" s="3336"/>
      <c r="P44833" s="3337"/>
    </row>
    <row r="44834" spans="7:16" s="1634" customFormat="1">
      <c r="G44834" s="3336"/>
      <c r="P44834" s="3337"/>
    </row>
    <row r="44835" spans="7:16" s="1634" customFormat="1">
      <c r="G44835" s="3336"/>
      <c r="P44835" s="3337"/>
    </row>
    <row r="44836" spans="7:16" s="1634" customFormat="1">
      <c r="G44836" s="3336"/>
      <c r="P44836" s="3337"/>
    </row>
    <row r="44837" spans="7:16" s="1634" customFormat="1">
      <c r="G44837" s="3336"/>
      <c r="P44837" s="3337"/>
    </row>
    <row r="44838" spans="7:16" s="1634" customFormat="1">
      <c r="G44838" s="3336"/>
      <c r="P44838" s="3337"/>
    </row>
    <row r="44839" spans="7:16" s="1634" customFormat="1">
      <c r="G44839" s="3336"/>
      <c r="P44839" s="3337"/>
    </row>
    <row r="44840" spans="7:16" s="1634" customFormat="1">
      <c r="G44840" s="3336"/>
      <c r="P44840" s="3337"/>
    </row>
    <row r="44841" spans="7:16" s="1634" customFormat="1">
      <c r="G44841" s="3336"/>
      <c r="P44841" s="3337"/>
    </row>
    <row r="44842" spans="7:16" s="1634" customFormat="1">
      <c r="G44842" s="3336"/>
      <c r="P44842" s="3337"/>
    </row>
    <row r="44843" spans="7:16" s="1634" customFormat="1">
      <c r="G44843" s="3336"/>
      <c r="P44843" s="3337"/>
    </row>
    <row r="44844" spans="7:16" s="1634" customFormat="1">
      <c r="G44844" s="3336"/>
      <c r="P44844" s="3337"/>
    </row>
    <row r="44845" spans="7:16" s="1634" customFormat="1">
      <c r="G44845" s="3336"/>
      <c r="P44845" s="3337"/>
    </row>
    <row r="44846" spans="7:16" s="1634" customFormat="1">
      <c r="G44846" s="3336"/>
      <c r="P44846" s="3337"/>
    </row>
    <row r="44847" spans="7:16" s="1634" customFormat="1">
      <c r="G44847" s="3336"/>
      <c r="P44847" s="3337"/>
    </row>
    <row r="44848" spans="7:16" s="1634" customFormat="1">
      <c r="G44848" s="3336"/>
      <c r="P44848" s="3337"/>
    </row>
    <row r="44849" spans="7:16" s="1634" customFormat="1">
      <c r="G44849" s="3336"/>
      <c r="P44849" s="3337"/>
    </row>
    <row r="44850" spans="7:16" s="1634" customFormat="1">
      <c r="G44850" s="3336"/>
      <c r="P44850" s="3337"/>
    </row>
    <row r="44851" spans="7:16" s="1634" customFormat="1">
      <c r="G44851" s="3336"/>
      <c r="P44851" s="3337"/>
    </row>
    <row r="44852" spans="7:16" s="1634" customFormat="1">
      <c r="G44852" s="3336"/>
      <c r="P44852" s="3337"/>
    </row>
    <row r="44853" spans="7:16" s="1634" customFormat="1">
      <c r="G44853" s="3336"/>
      <c r="P44853" s="3337"/>
    </row>
    <row r="44854" spans="7:16" s="1634" customFormat="1">
      <c r="G44854" s="3336"/>
      <c r="P44854" s="3337"/>
    </row>
    <row r="44855" spans="7:16" s="1634" customFormat="1">
      <c r="G44855" s="3336"/>
      <c r="P44855" s="3337"/>
    </row>
    <row r="44856" spans="7:16" s="1634" customFormat="1">
      <c r="G44856" s="3336"/>
      <c r="P44856" s="3337"/>
    </row>
    <row r="44857" spans="7:16" s="1634" customFormat="1">
      <c r="G44857" s="3336"/>
      <c r="P44857" s="3337"/>
    </row>
    <row r="44858" spans="7:16" s="1634" customFormat="1">
      <c r="G44858" s="3336"/>
      <c r="P44858" s="3337"/>
    </row>
    <row r="44859" spans="7:16" s="1634" customFormat="1">
      <c r="G44859" s="3336"/>
      <c r="P44859" s="3337"/>
    </row>
    <row r="44860" spans="7:16" s="1634" customFormat="1">
      <c r="G44860" s="3336"/>
      <c r="P44860" s="3337"/>
    </row>
    <row r="44861" spans="7:16" s="1634" customFormat="1">
      <c r="G44861" s="3336"/>
      <c r="P44861" s="3337"/>
    </row>
    <row r="44862" spans="7:16" s="1634" customFormat="1">
      <c r="G44862" s="3336"/>
      <c r="P44862" s="3337"/>
    </row>
    <row r="44863" spans="7:16" s="1634" customFormat="1">
      <c r="G44863" s="3336"/>
      <c r="P44863" s="3337"/>
    </row>
    <row r="44864" spans="7:16" s="1634" customFormat="1">
      <c r="G44864" s="3336"/>
      <c r="P44864" s="3337"/>
    </row>
    <row r="44865" spans="7:16" s="1634" customFormat="1">
      <c r="G44865" s="3336"/>
      <c r="P44865" s="3337"/>
    </row>
    <row r="44866" spans="7:16" s="1634" customFormat="1">
      <c r="G44866" s="3336"/>
      <c r="P44866" s="3337"/>
    </row>
    <row r="44867" spans="7:16" s="1634" customFormat="1">
      <c r="G44867" s="3336"/>
      <c r="P44867" s="3337"/>
    </row>
    <row r="44868" spans="7:16" s="1634" customFormat="1">
      <c r="G44868" s="3336"/>
      <c r="P44868" s="3337"/>
    </row>
    <row r="44869" spans="7:16" s="1634" customFormat="1">
      <c r="G44869" s="3336"/>
      <c r="P44869" s="3337"/>
    </row>
    <row r="44870" spans="7:16" s="1634" customFormat="1">
      <c r="G44870" s="3336"/>
      <c r="P44870" s="3337"/>
    </row>
    <row r="44871" spans="7:16" s="1634" customFormat="1">
      <c r="G44871" s="3336"/>
      <c r="P44871" s="3337"/>
    </row>
    <row r="44872" spans="7:16" s="1634" customFormat="1">
      <c r="G44872" s="3336"/>
      <c r="P44872" s="3337"/>
    </row>
    <row r="44873" spans="7:16" s="1634" customFormat="1">
      <c r="G44873" s="3336"/>
      <c r="P44873" s="3337"/>
    </row>
    <row r="44874" spans="7:16" s="1634" customFormat="1">
      <c r="G44874" s="3336"/>
      <c r="P44874" s="3337"/>
    </row>
    <row r="44875" spans="7:16" s="1634" customFormat="1">
      <c r="G44875" s="3336"/>
      <c r="P44875" s="3337"/>
    </row>
    <row r="44876" spans="7:16" s="1634" customFormat="1">
      <c r="G44876" s="3336"/>
      <c r="P44876" s="3337"/>
    </row>
    <row r="44877" spans="7:16" s="1634" customFormat="1">
      <c r="G44877" s="3336"/>
      <c r="P44877" s="3337"/>
    </row>
    <row r="44878" spans="7:16" s="1634" customFormat="1">
      <c r="G44878" s="3336"/>
      <c r="P44878" s="3337"/>
    </row>
    <row r="44879" spans="7:16" s="1634" customFormat="1">
      <c r="G44879" s="3336"/>
      <c r="P44879" s="3337"/>
    </row>
    <row r="44880" spans="7:16" s="1634" customFormat="1">
      <c r="G44880" s="3336"/>
      <c r="P44880" s="3337"/>
    </row>
    <row r="44881" spans="7:16" s="1634" customFormat="1">
      <c r="G44881" s="3336"/>
      <c r="P44881" s="3337"/>
    </row>
    <row r="44882" spans="7:16" s="1634" customFormat="1">
      <c r="G44882" s="3336"/>
      <c r="P44882" s="3337"/>
    </row>
    <row r="44883" spans="7:16" s="1634" customFormat="1">
      <c r="G44883" s="3336"/>
      <c r="P44883" s="3337"/>
    </row>
    <row r="44884" spans="7:16" s="1634" customFormat="1">
      <c r="G44884" s="3336"/>
      <c r="P44884" s="3337"/>
    </row>
    <row r="44885" spans="7:16" s="1634" customFormat="1">
      <c r="G44885" s="3336"/>
      <c r="P44885" s="3337"/>
    </row>
    <row r="44886" spans="7:16" s="1634" customFormat="1">
      <c r="G44886" s="3336"/>
      <c r="P44886" s="3337"/>
    </row>
    <row r="44887" spans="7:16" s="1634" customFormat="1">
      <c r="G44887" s="3336"/>
      <c r="P44887" s="3337"/>
    </row>
    <row r="44888" spans="7:16" s="1634" customFormat="1">
      <c r="G44888" s="3336"/>
      <c r="P44888" s="3337"/>
    </row>
    <row r="44889" spans="7:16" s="1634" customFormat="1">
      <c r="G44889" s="3336"/>
      <c r="P44889" s="3337"/>
    </row>
    <row r="44890" spans="7:16" s="1634" customFormat="1">
      <c r="G44890" s="3336"/>
      <c r="P44890" s="3337"/>
    </row>
    <row r="44891" spans="7:16" s="1634" customFormat="1">
      <c r="G44891" s="3336"/>
      <c r="P44891" s="3337"/>
    </row>
    <row r="44892" spans="7:16" s="1634" customFormat="1">
      <c r="G44892" s="3336"/>
      <c r="P44892" s="3337"/>
    </row>
    <row r="44893" spans="7:16" s="1634" customFormat="1">
      <c r="G44893" s="3336"/>
      <c r="P44893" s="3337"/>
    </row>
    <row r="44894" spans="7:16" s="1634" customFormat="1">
      <c r="G44894" s="3336"/>
      <c r="P44894" s="3337"/>
    </row>
    <row r="44895" spans="7:16" s="1634" customFormat="1">
      <c r="G44895" s="3336"/>
      <c r="P44895" s="3337"/>
    </row>
    <row r="44896" spans="7:16" s="1634" customFormat="1">
      <c r="G44896" s="3336"/>
      <c r="P44896" s="3337"/>
    </row>
    <row r="44897" spans="7:16" s="1634" customFormat="1">
      <c r="G44897" s="3336"/>
      <c r="P44897" s="3337"/>
    </row>
    <row r="44898" spans="7:16" s="1634" customFormat="1">
      <c r="G44898" s="3336"/>
      <c r="P44898" s="3337"/>
    </row>
    <row r="44899" spans="7:16" s="1634" customFormat="1">
      <c r="G44899" s="3336"/>
      <c r="P44899" s="3337"/>
    </row>
    <row r="44900" spans="7:16" s="1634" customFormat="1">
      <c r="G44900" s="3336"/>
      <c r="P44900" s="3337"/>
    </row>
    <row r="44901" spans="7:16" s="1634" customFormat="1">
      <c r="G44901" s="3336"/>
      <c r="P44901" s="3337"/>
    </row>
    <row r="44902" spans="7:16" s="1634" customFormat="1">
      <c r="G44902" s="3336"/>
      <c r="P44902" s="3337"/>
    </row>
    <row r="44903" spans="7:16" s="1634" customFormat="1">
      <c r="G44903" s="3336"/>
      <c r="P44903" s="3337"/>
    </row>
    <row r="44904" spans="7:16" s="1634" customFormat="1">
      <c r="G44904" s="3336"/>
      <c r="P44904" s="3337"/>
    </row>
    <row r="44905" spans="7:16" s="1634" customFormat="1">
      <c r="G44905" s="3336"/>
      <c r="P44905" s="3337"/>
    </row>
    <row r="44906" spans="7:16" s="1634" customFormat="1">
      <c r="G44906" s="3336"/>
      <c r="P44906" s="3337"/>
    </row>
    <row r="44907" spans="7:16" s="1634" customFormat="1">
      <c r="G44907" s="3336"/>
      <c r="P44907" s="3337"/>
    </row>
    <row r="44908" spans="7:16" s="1634" customFormat="1">
      <c r="G44908" s="3336"/>
      <c r="P44908" s="3337"/>
    </row>
    <row r="44909" spans="7:16" s="1634" customFormat="1">
      <c r="G44909" s="3336"/>
      <c r="P44909" s="3337"/>
    </row>
    <row r="44910" spans="7:16" s="1634" customFormat="1">
      <c r="G44910" s="3336"/>
      <c r="P44910" s="3337"/>
    </row>
    <row r="44911" spans="7:16" s="1634" customFormat="1">
      <c r="G44911" s="3336"/>
      <c r="P44911" s="3337"/>
    </row>
    <row r="44912" spans="7:16" s="1634" customFormat="1">
      <c r="G44912" s="3336"/>
      <c r="P44912" s="3337"/>
    </row>
    <row r="44913" spans="7:16" s="1634" customFormat="1">
      <c r="G44913" s="3336"/>
      <c r="P44913" s="3337"/>
    </row>
    <row r="44914" spans="7:16" s="1634" customFormat="1">
      <c r="G44914" s="3336"/>
      <c r="P44914" s="3337"/>
    </row>
    <row r="44915" spans="7:16" s="1634" customFormat="1">
      <c r="G44915" s="3336"/>
      <c r="P44915" s="3337"/>
    </row>
    <row r="44916" spans="7:16" s="1634" customFormat="1">
      <c r="G44916" s="3336"/>
      <c r="P44916" s="3337"/>
    </row>
    <row r="44917" spans="7:16" s="1634" customFormat="1">
      <c r="G44917" s="3336"/>
      <c r="P44917" s="3337"/>
    </row>
    <row r="44918" spans="7:16" s="1634" customFormat="1">
      <c r="G44918" s="3336"/>
      <c r="P44918" s="3337"/>
    </row>
    <row r="44919" spans="7:16" s="1634" customFormat="1">
      <c r="G44919" s="3336"/>
      <c r="P44919" s="3337"/>
    </row>
    <row r="44920" spans="7:16" s="1634" customFormat="1">
      <c r="G44920" s="3336"/>
      <c r="P44920" s="3337"/>
    </row>
    <row r="44921" spans="7:16" s="1634" customFormat="1">
      <c r="G44921" s="3336"/>
      <c r="P44921" s="3337"/>
    </row>
    <row r="44922" spans="7:16" s="1634" customFormat="1">
      <c r="G44922" s="3336"/>
      <c r="P44922" s="3337"/>
    </row>
    <row r="44923" spans="7:16" s="1634" customFormat="1">
      <c r="G44923" s="3336"/>
      <c r="P44923" s="3337"/>
    </row>
    <row r="44924" spans="7:16" s="1634" customFormat="1">
      <c r="G44924" s="3336"/>
      <c r="P44924" s="3337"/>
    </row>
    <row r="44925" spans="7:16" s="1634" customFormat="1">
      <c r="G44925" s="3336"/>
      <c r="P44925" s="3337"/>
    </row>
    <row r="44926" spans="7:16" s="1634" customFormat="1">
      <c r="G44926" s="3336"/>
      <c r="P44926" s="3337"/>
    </row>
    <row r="44927" spans="7:16" s="1634" customFormat="1">
      <c r="G44927" s="3336"/>
      <c r="P44927" s="3337"/>
    </row>
    <row r="44928" spans="7:16" s="1634" customFormat="1">
      <c r="G44928" s="3336"/>
      <c r="P44928" s="3337"/>
    </row>
    <row r="44929" spans="7:16" s="1634" customFormat="1">
      <c r="G44929" s="3336"/>
      <c r="P44929" s="3337"/>
    </row>
    <row r="44930" spans="7:16" s="1634" customFormat="1">
      <c r="G44930" s="3336"/>
      <c r="P44930" s="3337"/>
    </row>
    <row r="44931" spans="7:16" s="1634" customFormat="1">
      <c r="G44931" s="3336"/>
      <c r="P44931" s="3337"/>
    </row>
    <row r="44932" spans="7:16" s="1634" customFormat="1">
      <c r="G44932" s="3336"/>
      <c r="P44932" s="3337"/>
    </row>
    <row r="44933" spans="7:16" s="1634" customFormat="1">
      <c r="G44933" s="3336"/>
      <c r="P44933" s="3337"/>
    </row>
    <row r="44934" spans="7:16" s="1634" customFormat="1">
      <c r="G44934" s="3336"/>
      <c r="P44934" s="3337"/>
    </row>
    <row r="44935" spans="7:16" s="1634" customFormat="1">
      <c r="G44935" s="3336"/>
      <c r="P44935" s="3337"/>
    </row>
    <row r="44936" spans="7:16" s="1634" customFormat="1">
      <c r="G44936" s="3336"/>
      <c r="P44936" s="3337"/>
    </row>
    <row r="44937" spans="7:16" s="1634" customFormat="1">
      <c r="G44937" s="3336"/>
      <c r="P44937" s="3337"/>
    </row>
    <row r="44938" spans="7:16" s="1634" customFormat="1">
      <c r="G44938" s="3336"/>
      <c r="P44938" s="3337"/>
    </row>
    <row r="44939" spans="7:16" s="1634" customFormat="1">
      <c r="G44939" s="3336"/>
      <c r="P44939" s="3337"/>
    </row>
    <row r="44940" spans="7:16" s="1634" customFormat="1">
      <c r="G44940" s="3336"/>
      <c r="P44940" s="3337"/>
    </row>
    <row r="44941" spans="7:16" s="1634" customFormat="1">
      <c r="G44941" s="3336"/>
      <c r="P44941" s="3337"/>
    </row>
    <row r="44942" spans="7:16" s="1634" customFormat="1">
      <c r="G44942" s="3336"/>
      <c r="P44942" s="3337"/>
    </row>
    <row r="44943" spans="7:16" s="1634" customFormat="1">
      <c r="G44943" s="3336"/>
      <c r="P44943" s="3337"/>
    </row>
    <row r="44944" spans="7:16" s="1634" customFormat="1">
      <c r="G44944" s="3336"/>
      <c r="P44944" s="3337"/>
    </row>
    <row r="44945" spans="7:16" s="1634" customFormat="1">
      <c r="G44945" s="3336"/>
      <c r="P44945" s="3337"/>
    </row>
    <row r="44946" spans="7:16" s="1634" customFormat="1">
      <c r="G44946" s="3336"/>
      <c r="P44946" s="3337"/>
    </row>
    <row r="44947" spans="7:16" s="1634" customFormat="1">
      <c r="G44947" s="3336"/>
      <c r="P44947" s="3337"/>
    </row>
    <row r="44948" spans="7:16" s="1634" customFormat="1">
      <c r="G44948" s="3336"/>
      <c r="P44948" s="3337"/>
    </row>
    <row r="44949" spans="7:16" s="1634" customFormat="1">
      <c r="G44949" s="3336"/>
      <c r="P44949" s="3337"/>
    </row>
    <row r="44950" spans="7:16" s="1634" customFormat="1">
      <c r="G44950" s="3336"/>
      <c r="P44950" s="3337"/>
    </row>
    <row r="44951" spans="7:16" s="1634" customFormat="1">
      <c r="G44951" s="3336"/>
      <c r="P44951" s="3337"/>
    </row>
    <row r="44952" spans="7:16" s="1634" customFormat="1">
      <c r="G44952" s="3336"/>
      <c r="P44952" s="3337"/>
    </row>
    <row r="44953" spans="7:16" s="1634" customFormat="1">
      <c r="G44953" s="3336"/>
      <c r="P44953" s="3337"/>
    </row>
    <row r="44954" spans="7:16" s="1634" customFormat="1">
      <c r="G44954" s="3336"/>
      <c r="P44954" s="3337"/>
    </row>
    <row r="44955" spans="7:16" s="1634" customFormat="1">
      <c r="G44955" s="3336"/>
      <c r="P44955" s="3337"/>
    </row>
    <row r="44956" spans="7:16" s="1634" customFormat="1">
      <c r="G44956" s="3336"/>
      <c r="P44956" s="3337"/>
    </row>
    <row r="44957" spans="7:16" s="1634" customFormat="1">
      <c r="G44957" s="3336"/>
      <c r="P44957" s="3337"/>
    </row>
    <row r="44958" spans="7:16" s="1634" customFormat="1">
      <c r="G44958" s="3336"/>
      <c r="P44958" s="3337"/>
    </row>
    <row r="44959" spans="7:16" s="1634" customFormat="1">
      <c r="G44959" s="3336"/>
      <c r="P44959" s="3337"/>
    </row>
    <row r="44960" spans="7:16" s="1634" customFormat="1">
      <c r="G44960" s="3336"/>
      <c r="P44960" s="3337"/>
    </row>
    <row r="44961" spans="7:16" s="1634" customFormat="1">
      <c r="G44961" s="3336"/>
      <c r="P44961" s="3337"/>
    </row>
    <row r="44962" spans="7:16" s="1634" customFormat="1">
      <c r="G44962" s="3336"/>
      <c r="P44962" s="3337"/>
    </row>
    <row r="44963" spans="7:16" s="1634" customFormat="1">
      <c r="G44963" s="3336"/>
      <c r="P44963" s="3337"/>
    </row>
    <row r="44964" spans="7:16" s="1634" customFormat="1">
      <c r="G44964" s="3336"/>
      <c r="P44964" s="3337"/>
    </row>
    <row r="44965" spans="7:16" s="1634" customFormat="1">
      <c r="G44965" s="3336"/>
      <c r="P44965" s="3337"/>
    </row>
    <row r="44966" spans="7:16" s="1634" customFormat="1">
      <c r="G44966" s="3336"/>
      <c r="P44966" s="3337"/>
    </row>
    <row r="44967" spans="7:16" s="1634" customFormat="1">
      <c r="G44967" s="3336"/>
      <c r="P44967" s="3337"/>
    </row>
    <row r="44968" spans="7:16" s="1634" customFormat="1">
      <c r="G44968" s="3336"/>
      <c r="P44968" s="3337"/>
    </row>
    <row r="44969" spans="7:16" s="1634" customFormat="1">
      <c r="G44969" s="3336"/>
      <c r="P44969" s="3337"/>
    </row>
    <row r="44970" spans="7:16" s="1634" customFormat="1">
      <c r="G44970" s="3336"/>
      <c r="P44970" s="3337"/>
    </row>
    <row r="44971" spans="7:16" s="1634" customFormat="1">
      <c r="G44971" s="3336"/>
      <c r="P44971" s="3337"/>
    </row>
    <row r="44972" spans="7:16" s="1634" customFormat="1">
      <c r="G44972" s="3336"/>
      <c r="P44972" s="3337"/>
    </row>
    <row r="44973" spans="7:16" s="1634" customFormat="1">
      <c r="G44973" s="3336"/>
      <c r="P44973" s="3337"/>
    </row>
    <row r="44974" spans="7:16" s="1634" customFormat="1">
      <c r="G44974" s="3336"/>
      <c r="P44974" s="3337"/>
    </row>
    <row r="44975" spans="7:16" s="1634" customFormat="1">
      <c r="G44975" s="3336"/>
      <c r="P44975" s="3337"/>
    </row>
    <row r="44976" spans="7:16" s="1634" customFormat="1">
      <c r="G44976" s="3336"/>
      <c r="P44976" s="3337"/>
    </row>
    <row r="44977" spans="7:16" s="1634" customFormat="1">
      <c r="G44977" s="3336"/>
      <c r="P44977" s="3337"/>
    </row>
    <row r="44978" spans="7:16" s="1634" customFormat="1">
      <c r="G44978" s="3336"/>
      <c r="P44978" s="3337"/>
    </row>
    <row r="44979" spans="7:16" s="1634" customFormat="1">
      <c r="G44979" s="3336"/>
      <c r="P44979" s="3337"/>
    </row>
    <row r="44980" spans="7:16" s="1634" customFormat="1">
      <c r="G44980" s="3336"/>
      <c r="P44980" s="3337"/>
    </row>
    <row r="44981" spans="7:16" s="1634" customFormat="1">
      <c r="G44981" s="3336"/>
      <c r="P44981" s="3337"/>
    </row>
    <row r="44982" spans="7:16" s="1634" customFormat="1">
      <c r="G44982" s="3336"/>
      <c r="P44982" s="3337"/>
    </row>
    <row r="44983" spans="7:16" s="1634" customFormat="1">
      <c r="G44983" s="3336"/>
      <c r="P44983" s="3337"/>
    </row>
    <row r="44984" spans="7:16" s="1634" customFormat="1">
      <c r="G44984" s="3336"/>
      <c r="P44984" s="3337"/>
    </row>
    <row r="44985" spans="7:16" s="1634" customFormat="1">
      <c r="G44985" s="3336"/>
      <c r="P44985" s="3337"/>
    </row>
    <row r="44986" spans="7:16" s="1634" customFormat="1">
      <c r="G44986" s="3336"/>
      <c r="P44986" s="3337"/>
    </row>
    <row r="44987" spans="7:16" s="1634" customFormat="1">
      <c r="G44987" s="3336"/>
      <c r="P44987" s="3337"/>
    </row>
    <row r="44988" spans="7:16" s="1634" customFormat="1">
      <c r="G44988" s="3336"/>
      <c r="P44988" s="3337"/>
    </row>
    <row r="44989" spans="7:16" s="1634" customFormat="1">
      <c r="G44989" s="3336"/>
      <c r="P44989" s="3337"/>
    </row>
    <row r="44990" spans="7:16" s="1634" customFormat="1">
      <c r="G44990" s="3336"/>
      <c r="P44990" s="3337"/>
    </row>
    <row r="44991" spans="7:16" s="1634" customFormat="1">
      <c r="G44991" s="3336"/>
      <c r="P44991" s="3337"/>
    </row>
    <row r="44992" spans="7:16" s="1634" customFormat="1">
      <c r="G44992" s="3336"/>
      <c r="P44992" s="3337"/>
    </row>
    <row r="44993" spans="7:16" s="1634" customFormat="1">
      <c r="G44993" s="3336"/>
      <c r="P44993" s="3337"/>
    </row>
    <row r="44994" spans="7:16" s="1634" customFormat="1">
      <c r="G44994" s="3336"/>
      <c r="P44994" s="3337"/>
    </row>
    <row r="44995" spans="7:16" s="1634" customFormat="1">
      <c r="G44995" s="3336"/>
      <c r="P44995" s="3337"/>
    </row>
    <row r="44996" spans="7:16" s="1634" customFormat="1">
      <c r="G44996" s="3336"/>
      <c r="P44996" s="3337"/>
    </row>
    <row r="44997" spans="7:16" s="1634" customFormat="1">
      <c r="G44997" s="3336"/>
      <c r="P44997" s="3337"/>
    </row>
    <row r="44998" spans="7:16" s="1634" customFormat="1">
      <c r="G44998" s="3336"/>
      <c r="P44998" s="3337"/>
    </row>
    <row r="44999" spans="7:16" s="1634" customFormat="1">
      <c r="G44999" s="3336"/>
      <c r="P44999" s="3337"/>
    </row>
    <row r="45000" spans="7:16" s="1634" customFormat="1">
      <c r="G45000" s="3336"/>
      <c r="P45000" s="3337"/>
    </row>
    <row r="45001" spans="7:16" s="1634" customFormat="1">
      <c r="G45001" s="3336"/>
      <c r="P45001" s="3337"/>
    </row>
    <row r="45002" spans="7:16" s="1634" customFormat="1">
      <c r="G45002" s="3336"/>
      <c r="P45002" s="3337"/>
    </row>
    <row r="45003" spans="7:16" s="1634" customFormat="1">
      <c r="G45003" s="3336"/>
      <c r="P45003" s="3337"/>
    </row>
    <row r="45004" spans="7:16" s="1634" customFormat="1">
      <c r="G45004" s="3336"/>
      <c r="P45004" s="3337"/>
    </row>
    <row r="45005" spans="7:16" s="1634" customFormat="1">
      <c r="G45005" s="3336"/>
      <c r="P45005" s="3337"/>
    </row>
    <row r="45006" spans="7:16" s="1634" customFormat="1">
      <c r="G45006" s="3336"/>
      <c r="P45006" s="3337"/>
    </row>
    <row r="45007" spans="7:16" s="1634" customFormat="1">
      <c r="G45007" s="3336"/>
      <c r="P45007" s="3337"/>
    </row>
    <row r="45008" spans="7:16" s="1634" customFormat="1">
      <c r="G45008" s="3336"/>
      <c r="P45008" s="3337"/>
    </row>
    <row r="45009" spans="7:16" s="1634" customFormat="1">
      <c r="G45009" s="3336"/>
      <c r="P45009" s="3337"/>
    </row>
    <row r="45010" spans="7:16" s="1634" customFormat="1">
      <c r="G45010" s="3336"/>
      <c r="P45010" s="3337"/>
    </row>
    <row r="45011" spans="7:16" s="1634" customFormat="1">
      <c r="G45011" s="3336"/>
      <c r="P45011" s="3337"/>
    </row>
    <row r="45012" spans="7:16" s="1634" customFormat="1">
      <c r="G45012" s="3336"/>
      <c r="P45012" s="3337"/>
    </row>
    <row r="45013" spans="7:16" s="1634" customFormat="1">
      <c r="G45013" s="3336"/>
      <c r="P45013" s="3337"/>
    </row>
    <row r="45014" spans="7:16" s="1634" customFormat="1">
      <c r="G45014" s="3336"/>
      <c r="P45014" s="3337"/>
    </row>
    <row r="45015" spans="7:16" s="1634" customFormat="1">
      <c r="G45015" s="3336"/>
      <c r="P45015" s="3337"/>
    </row>
    <row r="45016" spans="7:16" s="1634" customFormat="1">
      <c r="G45016" s="3336"/>
      <c r="P45016" s="3337"/>
    </row>
    <row r="45017" spans="7:16" s="1634" customFormat="1">
      <c r="G45017" s="3336"/>
      <c r="P45017" s="3337"/>
    </row>
    <row r="45018" spans="7:16" s="1634" customFormat="1">
      <c r="G45018" s="3336"/>
      <c r="P45018" s="3337"/>
    </row>
    <row r="45019" spans="7:16" s="1634" customFormat="1">
      <c r="G45019" s="3336"/>
      <c r="P45019" s="3337"/>
    </row>
    <row r="45020" spans="7:16" s="1634" customFormat="1">
      <c r="G45020" s="3336"/>
      <c r="P45020" s="3337"/>
    </row>
    <row r="45021" spans="7:16" s="1634" customFormat="1">
      <c r="G45021" s="3336"/>
      <c r="P45021" s="3337"/>
    </row>
    <row r="45022" spans="7:16" s="1634" customFormat="1">
      <c r="G45022" s="3336"/>
      <c r="P45022" s="3337"/>
    </row>
    <row r="45023" spans="7:16" s="1634" customFormat="1">
      <c r="G45023" s="3336"/>
      <c r="P45023" s="3337"/>
    </row>
    <row r="45024" spans="7:16" s="1634" customFormat="1">
      <c r="G45024" s="3336"/>
      <c r="P45024" s="3337"/>
    </row>
    <row r="45025" spans="7:16" s="1634" customFormat="1">
      <c r="G45025" s="3336"/>
      <c r="P45025" s="3337"/>
    </row>
    <row r="45026" spans="7:16" s="1634" customFormat="1">
      <c r="G45026" s="3336"/>
      <c r="P45026" s="3337"/>
    </row>
    <row r="45027" spans="7:16" s="1634" customFormat="1">
      <c r="G45027" s="3336"/>
      <c r="P45027" s="3337"/>
    </row>
    <row r="45028" spans="7:16" s="1634" customFormat="1">
      <c r="G45028" s="3336"/>
      <c r="P45028" s="3337"/>
    </row>
    <row r="45029" spans="7:16" s="1634" customFormat="1">
      <c r="G45029" s="3336"/>
      <c r="P45029" s="3337"/>
    </row>
    <row r="45030" spans="7:16" s="1634" customFormat="1">
      <c r="G45030" s="3336"/>
      <c r="P45030" s="3337"/>
    </row>
    <row r="45031" spans="7:16" s="1634" customFormat="1">
      <c r="G45031" s="3336"/>
      <c r="P45031" s="3337"/>
    </row>
    <row r="45032" spans="7:16" s="1634" customFormat="1">
      <c r="G45032" s="3336"/>
      <c r="P45032" s="3337"/>
    </row>
    <row r="45033" spans="7:16" s="1634" customFormat="1">
      <c r="G45033" s="3336"/>
      <c r="P45033" s="3337"/>
    </row>
    <row r="45034" spans="7:16" s="1634" customFormat="1">
      <c r="G45034" s="3336"/>
      <c r="P45034" s="3337"/>
    </row>
    <row r="45035" spans="7:16" s="1634" customFormat="1">
      <c r="G45035" s="3336"/>
      <c r="P45035" s="3337"/>
    </row>
    <row r="45036" spans="7:16" s="1634" customFormat="1">
      <c r="G45036" s="3336"/>
      <c r="P45036" s="3337"/>
    </row>
    <row r="45037" spans="7:16" s="1634" customFormat="1">
      <c r="G45037" s="3336"/>
      <c r="P45037" s="3337"/>
    </row>
    <row r="45038" spans="7:16" s="1634" customFormat="1">
      <c r="G45038" s="3336"/>
      <c r="P45038" s="3337"/>
    </row>
    <row r="45039" spans="7:16" s="1634" customFormat="1">
      <c r="G45039" s="3336"/>
      <c r="P45039" s="3337"/>
    </row>
    <row r="45040" spans="7:16" s="1634" customFormat="1">
      <c r="G45040" s="3336"/>
      <c r="P45040" s="3337"/>
    </row>
    <row r="45041" spans="7:16" s="1634" customFormat="1">
      <c r="G45041" s="3336"/>
      <c r="P45041" s="3337"/>
    </row>
    <row r="45042" spans="7:16" s="1634" customFormat="1">
      <c r="G45042" s="3336"/>
      <c r="P45042" s="3337"/>
    </row>
    <row r="45043" spans="7:16" s="1634" customFormat="1">
      <c r="G45043" s="3336"/>
      <c r="P45043" s="3337"/>
    </row>
    <row r="45044" spans="7:16" s="1634" customFormat="1">
      <c r="G45044" s="3336"/>
      <c r="P45044" s="3337"/>
    </row>
    <row r="45045" spans="7:16" s="1634" customFormat="1">
      <c r="G45045" s="3336"/>
      <c r="P45045" s="3337"/>
    </row>
    <row r="45046" spans="7:16" s="1634" customFormat="1">
      <c r="G45046" s="3336"/>
      <c r="P45046" s="3337"/>
    </row>
    <row r="45047" spans="7:16" s="1634" customFormat="1">
      <c r="G45047" s="3336"/>
      <c r="P45047" s="3337"/>
    </row>
    <row r="45048" spans="7:16" s="1634" customFormat="1">
      <c r="G45048" s="3336"/>
      <c r="P45048" s="3337"/>
    </row>
    <row r="45049" spans="7:16" s="1634" customFormat="1">
      <c r="G45049" s="3336"/>
      <c r="P45049" s="3337"/>
    </row>
    <row r="45050" spans="7:16" s="1634" customFormat="1">
      <c r="G45050" s="3336"/>
      <c r="P45050" s="3337"/>
    </row>
    <row r="45051" spans="7:16" s="1634" customFormat="1">
      <c r="G45051" s="3336"/>
      <c r="P45051" s="3337"/>
    </row>
    <row r="45052" spans="7:16" s="1634" customFormat="1">
      <c r="G45052" s="3336"/>
      <c r="P45052" s="3337"/>
    </row>
    <row r="45053" spans="7:16" s="1634" customFormat="1">
      <c r="G45053" s="3336"/>
      <c r="P45053" s="3337"/>
    </row>
    <row r="45054" spans="7:16" s="1634" customFormat="1">
      <c r="G45054" s="3336"/>
      <c r="P45054" s="3337"/>
    </row>
    <row r="45055" spans="7:16" s="1634" customFormat="1">
      <c r="G45055" s="3336"/>
      <c r="P45055" s="3337"/>
    </row>
    <row r="45056" spans="7:16" s="1634" customFormat="1">
      <c r="G45056" s="3336"/>
      <c r="P45056" s="3337"/>
    </row>
    <row r="45057" spans="7:16" s="1634" customFormat="1">
      <c r="G45057" s="3336"/>
      <c r="P45057" s="3337"/>
    </row>
    <row r="45058" spans="7:16" s="1634" customFormat="1">
      <c r="G45058" s="3336"/>
      <c r="P45058" s="3337"/>
    </row>
    <row r="45059" spans="7:16" s="1634" customFormat="1">
      <c r="G45059" s="3336"/>
      <c r="P45059" s="3337"/>
    </row>
    <row r="45060" spans="7:16" s="1634" customFormat="1">
      <c r="G45060" s="3336"/>
      <c r="P45060" s="3337"/>
    </row>
    <row r="45061" spans="7:16" s="1634" customFormat="1">
      <c r="G45061" s="3336"/>
      <c r="P45061" s="3337"/>
    </row>
    <row r="45062" spans="7:16" s="1634" customFormat="1">
      <c r="G45062" s="3336"/>
      <c r="P45062" s="3337"/>
    </row>
    <row r="45063" spans="7:16" s="1634" customFormat="1">
      <c r="G45063" s="3336"/>
      <c r="P45063" s="3337"/>
    </row>
    <row r="45064" spans="7:16" s="1634" customFormat="1">
      <c r="G45064" s="3336"/>
      <c r="P45064" s="3337"/>
    </row>
    <row r="45065" spans="7:16" s="1634" customFormat="1">
      <c r="G45065" s="3336"/>
      <c r="P45065" s="3337"/>
    </row>
    <row r="45066" spans="7:16" s="1634" customFormat="1">
      <c r="G45066" s="3336"/>
      <c r="P45066" s="3337"/>
    </row>
    <row r="45067" spans="7:16" s="1634" customFormat="1">
      <c r="G45067" s="3336"/>
      <c r="P45067" s="3337"/>
    </row>
    <row r="45068" spans="7:16" s="1634" customFormat="1">
      <c r="G45068" s="3336"/>
      <c r="P45068" s="3337"/>
    </row>
    <row r="45069" spans="7:16" s="1634" customFormat="1">
      <c r="G45069" s="3336"/>
      <c r="P45069" s="3337"/>
    </row>
    <row r="45070" spans="7:16" s="1634" customFormat="1">
      <c r="G45070" s="3336"/>
      <c r="P45070" s="3337"/>
    </row>
    <row r="45071" spans="7:16" s="1634" customFormat="1">
      <c r="G45071" s="3336"/>
      <c r="P45071" s="3337"/>
    </row>
    <row r="45072" spans="7:16" s="1634" customFormat="1">
      <c r="G45072" s="3336"/>
      <c r="P45072" s="3337"/>
    </row>
    <row r="45073" spans="7:16" s="1634" customFormat="1">
      <c r="G45073" s="3336"/>
      <c r="P45073" s="3337"/>
    </row>
    <row r="45074" spans="7:16" s="1634" customFormat="1">
      <c r="G45074" s="3336"/>
      <c r="P45074" s="3337"/>
    </row>
    <row r="45075" spans="7:16" s="1634" customFormat="1">
      <c r="G45075" s="3336"/>
      <c r="P45075" s="3337"/>
    </row>
    <row r="45076" spans="7:16" s="1634" customFormat="1">
      <c r="G45076" s="3336"/>
      <c r="P45076" s="3337"/>
    </row>
    <row r="45077" spans="7:16" s="1634" customFormat="1">
      <c r="G45077" s="3336"/>
      <c r="P45077" s="3337"/>
    </row>
    <row r="45078" spans="7:16" s="1634" customFormat="1">
      <c r="G45078" s="3336"/>
      <c r="P45078" s="3337"/>
    </row>
    <row r="45079" spans="7:16" s="1634" customFormat="1">
      <c r="G45079" s="3336"/>
      <c r="P45079" s="3337"/>
    </row>
    <row r="45080" spans="7:16" s="1634" customFormat="1">
      <c r="G45080" s="3336"/>
      <c r="P45080" s="3337"/>
    </row>
    <row r="45081" spans="7:16" s="1634" customFormat="1">
      <c r="G45081" s="3336"/>
      <c r="P45081" s="3337"/>
    </row>
    <row r="45082" spans="7:16" s="1634" customFormat="1">
      <c r="G45082" s="3336"/>
      <c r="P45082" s="3337"/>
    </row>
    <row r="45083" spans="7:16" s="1634" customFormat="1">
      <c r="G45083" s="3336"/>
      <c r="P45083" s="3337"/>
    </row>
    <row r="45084" spans="7:16" s="1634" customFormat="1">
      <c r="G45084" s="3336"/>
      <c r="P45084" s="3337"/>
    </row>
    <row r="45085" spans="7:16" s="1634" customFormat="1">
      <c r="G45085" s="3336"/>
      <c r="P45085" s="3337"/>
    </row>
    <row r="45086" spans="7:16" s="1634" customFormat="1">
      <c r="G45086" s="3336"/>
      <c r="P45086" s="3337"/>
    </row>
    <row r="45087" spans="7:16" s="1634" customFormat="1">
      <c r="G45087" s="3336"/>
      <c r="P45087" s="3337"/>
    </row>
    <row r="45088" spans="7:16" s="1634" customFormat="1">
      <c r="G45088" s="3336"/>
      <c r="P45088" s="3337"/>
    </row>
    <row r="45089" spans="7:16" s="1634" customFormat="1">
      <c r="G45089" s="3336"/>
      <c r="P45089" s="3337"/>
    </row>
    <row r="45090" spans="7:16" s="1634" customFormat="1">
      <c r="G45090" s="3336"/>
      <c r="P45090" s="3337"/>
    </row>
    <row r="45091" spans="7:16" s="1634" customFormat="1">
      <c r="G45091" s="3336"/>
      <c r="P45091" s="3337"/>
    </row>
    <row r="45092" spans="7:16" s="1634" customFormat="1">
      <c r="G45092" s="3336"/>
      <c r="P45092" s="3337"/>
    </row>
    <row r="45093" spans="7:16" s="1634" customFormat="1">
      <c r="G45093" s="3336"/>
      <c r="P45093" s="3337"/>
    </row>
    <row r="45094" spans="7:16" s="1634" customFormat="1">
      <c r="G45094" s="3336"/>
      <c r="P45094" s="3337"/>
    </row>
    <row r="45095" spans="7:16" s="1634" customFormat="1">
      <c r="G45095" s="3336"/>
      <c r="P45095" s="3337"/>
    </row>
    <row r="45096" spans="7:16" s="1634" customFormat="1">
      <c r="G45096" s="3336"/>
      <c r="P45096" s="3337"/>
    </row>
    <row r="45097" spans="7:16" s="1634" customFormat="1">
      <c r="G45097" s="3336"/>
      <c r="P45097" s="3337"/>
    </row>
    <row r="45098" spans="7:16" s="1634" customFormat="1">
      <c r="G45098" s="3336"/>
      <c r="P45098" s="3337"/>
    </row>
    <row r="45099" spans="7:16" s="1634" customFormat="1">
      <c r="G45099" s="3336"/>
      <c r="P45099" s="3337"/>
    </row>
    <row r="45100" spans="7:16" s="1634" customFormat="1">
      <c r="G45100" s="3336"/>
      <c r="P45100" s="3337"/>
    </row>
    <row r="45101" spans="7:16" s="1634" customFormat="1">
      <c r="G45101" s="3336"/>
      <c r="P45101" s="3337"/>
    </row>
    <row r="45102" spans="7:16" s="1634" customFormat="1">
      <c r="G45102" s="3336"/>
      <c r="P45102" s="3337"/>
    </row>
    <row r="45103" spans="7:16" s="1634" customFormat="1">
      <c r="G45103" s="3336"/>
      <c r="P45103" s="3337"/>
    </row>
    <row r="45104" spans="7:16" s="1634" customFormat="1">
      <c r="G45104" s="3336"/>
      <c r="P45104" s="3337"/>
    </row>
    <row r="45105" spans="7:16" s="1634" customFormat="1">
      <c r="G45105" s="3336"/>
      <c r="P45105" s="3337"/>
    </row>
    <row r="45106" spans="7:16" s="1634" customFormat="1">
      <c r="G45106" s="3336"/>
      <c r="P45106" s="3337"/>
    </row>
    <row r="45107" spans="7:16" s="1634" customFormat="1">
      <c r="G45107" s="3336"/>
      <c r="P45107" s="3337"/>
    </row>
    <row r="45108" spans="7:16" s="1634" customFormat="1">
      <c r="G45108" s="3336"/>
      <c r="P45108" s="3337"/>
    </row>
    <row r="45109" spans="7:16" s="1634" customFormat="1">
      <c r="G45109" s="3336"/>
      <c r="P45109" s="3337"/>
    </row>
    <row r="45110" spans="7:16" s="1634" customFormat="1">
      <c r="G45110" s="3336"/>
      <c r="P45110" s="3337"/>
    </row>
    <row r="45111" spans="7:16" s="1634" customFormat="1">
      <c r="G45111" s="3336"/>
      <c r="P45111" s="3337"/>
    </row>
    <row r="45112" spans="7:16" s="1634" customFormat="1">
      <c r="G45112" s="3336"/>
      <c r="P45112" s="3337"/>
    </row>
    <row r="45113" spans="7:16" s="1634" customFormat="1">
      <c r="G45113" s="3336"/>
      <c r="P45113" s="3337"/>
    </row>
    <row r="45114" spans="7:16" s="1634" customFormat="1">
      <c r="G45114" s="3336"/>
      <c r="P45114" s="3337"/>
    </row>
    <row r="45115" spans="7:16" s="1634" customFormat="1">
      <c r="G45115" s="3336"/>
      <c r="P45115" s="3337"/>
    </row>
    <row r="45116" spans="7:16" s="1634" customFormat="1">
      <c r="G45116" s="3336"/>
      <c r="P45116" s="3337"/>
    </row>
    <row r="45117" spans="7:16" s="1634" customFormat="1">
      <c r="G45117" s="3336"/>
      <c r="P45117" s="3337"/>
    </row>
    <row r="45118" spans="7:16" s="1634" customFormat="1">
      <c r="G45118" s="3336"/>
      <c r="P45118" s="3337"/>
    </row>
    <row r="45119" spans="7:16" s="1634" customFormat="1">
      <c r="G45119" s="3336"/>
      <c r="P45119" s="3337"/>
    </row>
    <row r="45120" spans="7:16" s="1634" customFormat="1">
      <c r="G45120" s="3336"/>
      <c r="P45120" s="3337"/>
    </row>
    <row r="45121" spans="7:16" s="1634" customFormat="1">
      <c r="G45121" s="3336"/>
      <c r="P45121" s="3337"/>
    </row>
    <row r="45122" spans="7:16" s="1634" customFormat="1">
      <c r="G45122" s="3336"/>
      <c r="P45122" s="3337"/>
    </row>
    <row r="45123" spans="7:16" s="1634" customFormat="1">
      <c r="G45123" s="3336"/>
      <c r="P45123" s="3337"/>
    </row>
    <row r="45124" spans="7:16" s="1634" customFormat="1">
      <c r="G45124" s="3336"/>
      <c r="P45124" s="3337"/>
    </row>
    <row r="45125" spans="7:16" s="1634" customFormat="1">
      <c r="G45125" s="3336"/>
      <c r="P45125" s="3337"/>
    </row>
    <row r="45126" spans="7:16" s="1634" customFormat="1">
      <c r="G45126" s="3336"/>
      <c r="P45126" s="3337"/>
    </row>
    <row r="45127" spans="7:16" s="1634" customFormat="1">
      <c r="G45127" s="3336"/>
      <c r="P45127" s="3337"/>
    </row>
    <row r="45128" spans="7:16" s="1634" customFormat="1">
      <c r="G45128" s="3336"/>
      <c r="P45128" s="3337"/>
    </row>
    <row r="45129" spans="7:16" s="1634" customFormat="1">
      <c r="G45129" s="3336"/>
      <c r="P45129" s="3337"/>
    </row>
    <row r="45130" spans="7:16" s="1634" customFormat="1">
      <c r="G45130" s="3336"/>
      <c r="P45130" s="3337"/>
    </row>
    <row r="45131" spans="7:16" s="1634" customFormat="1">
      <c r="G45131" s="3336"/>
      <c r="P45131" s="3337"/>
    </row>
    <row r="45132" spans="7:16" s="1634" customFormat="1">
      <c r="G45132" s="3336"/>
      <c r="P45132" s="3337"/>
    </row>
    <row r="45133" spans="7:16" s="1634" customFormat="1">
      <c r="G45133" s="3336"/>
      <c r="P45133" s="3337"/>
    </row>
    <row r="45134" spans="7:16" s="1634" customFormat="1">
      <c r="G45134" s="3336"/>
      <c r="P45134" s="3337"/>
    </row>
    <row r="45135" spans="7:16" s="1634" customFormat="1">
      <c r="G45135" s="3336"/>
      <c r="P45135" s="3337"/>
    </row>
    <row r="45136" spans="7:16" s="1634" customFormat="1">
      <c r="G45136" s="3336"/>
      <c r="P45136" s="3337"/>
    </row>
    <row r="45137" spans="7:16" s="1634" customFormat="1">
      <c r="G45137" s="3336"/>
      <c r="P45137" s="3337"/>
    </row>
    <row r="45138" spans="7:16" s="1634" customFormat="1">
      <c r="G45138" s="3336"/>
      <c r="P45138" s="3337"/>
    </row>
    <row r="45139" spans="7:16" s="1634" customFormat="1">
      <c r="G45139" s="3336"/>
      <c r="P45139" s="3337"/>
    </row>
    <row r="45140" spans="7:16" s="1634" customFormat="1">
      <c r="G45140" s="3336"/>
      <c r="P45140" s="3337"/>
    </row>
    <row r="45141" spans="7:16" s="1634" customFormat="1">
      <c r="G45141" s="3336"/>
      <c r="P45141" s="3337"/>
    </row>
    <row r="45142" spans="7:16" s="1634" customFormat="1">
      <c r="G45142" s="3336"/>
      <c r="P45142" s="3337"/>
    </row>
    <row r="45143" spans="7:16" s="1634" customFormat="1">
      <c r="G45143" s="3336"/>
      <c r="P45143" s="3337"/>
    </row>
    <row r="45144" spans="7:16" s="1634" customFormat="1">
      <c r="G45144" s="3336"/>
      <c r="P45144" s="3337"/>
    </row>
    <row r="45145" spans="7:16" s="1634" customFormat="1">
      <c r="G45145" s="3336"/>
      <c r="P45145" s="3337"/>
    </row>
    <row r="45146" spans="7:16" s="1634" customFormat="1">
      <c r="G45146" s="3336"/>
      <c r="P45146" s="3337"/>
    </row>
    <row r="45147" spans="7:16" s="1634" customFormat="1">
      <c r="G45147" s="3336"/>
      <c r="P45147" s="3337"/>
    </row>
    <row r="45148" spans="7:16" s="1634" customFormat="1">
      <c r="G45148" s="3336"/>
      <c r="P45148" s="3337"/>
    </row>
    <row r="45149" spans="7:16" s="1634" customFormat="1">
      <c r="G45149" s="3336"/>
      <c r="P45149" s="3337"/>
    </row>
    <row r="45150" spans="7:16" s="1634" customFormat="1">
      <c r="G45150" s="3336"/>
      <c r="P45150" s="3337"/>
    </row>
    <row r="45151" spans="7:16" s="1634" customFormat="1">
      <c r="G45151" s="3336"/>
      <c r="P45151" s="3337"/>
    </row>
    <row r="45152" spans="7:16" s="1634" customFormat="1">
      <c r="G45152" s="3336"/>
      <c r="P45152" s="3337"/>
    </row>
    <row r="45153" spans="7:16" s="1634" customFormat="1">
      <c r="G45153" s="3336"/>
      <c r="P45153" s="3337"/>
    </row>
    <row r="45154" spans="7:16" s="1634" customFormat="1">
      <c r="G45154" s="3336"/>
      <c r="P45154" s="3337"/>
    </row>
    <row r="45155" spans="7:16" s="1634" customFormat="1">
      <c r="G45155" s="3336"/>
      <c r="P45155" s="3337"/>
    </row>
    <row r="45156" spans="7:16" s="1634" customFormat="1">
      <c r="G45156" s="3336"/>
      <c r="P45156" s="3337"/>
    </row>
    <row r="45157" spans="7:16" s="1634" customFormat="1">
      <c r="G45157" s="3336"/>
      <c r="P45157" s="3337"/>
    </row>
    <row r="45158" spans="7:16" s="1634" customFormat="1">
      <c r="G45158" s="3336"/>
      <c r="P45158" s="3337"/>
    </row>
    <row r="45159" spans="7:16" s="1634" customFormat="1">
      <c r="G45159" s="3336"/>
      <c r="P45159" s="3337"/>
    </row>
    <row r="45160" spans="7:16" s="1634" customFormat="1">
      <c r="G45160" s="3336"/>
      <c r="P45160" s="3337"/>
    </row>
    <row r="45161" spans="7:16" s="1634" customFormat="1">
      <c r="G45161" s="3336"/>
      <c r="P45161" s="3337"/>
    </row>
    <row r="45162" spans="7:16" s="1634" customFormat="1">
      <c r="G45162" s="3336"/>
      <c r="P45162" s="3337"/>
    </row>
    <row r="45163" spans="7:16" s="1634" customFormat="1">
      <c r="G45163" s="3336"/>
      <c r="P45163" s="3337"/>
    </row>
    <row r="45164" spans="7:16" s="1634" customFormat="1">
      <c r="G45164" s="3336"/>
      <c r="P45164" s="3337"/>
    </row>
    <row r="45165" spans="7:16" s="1634" customFormat="1">
      <c r="G45165" s="3336"/>
      <c r="P45165" s="3337"/>
    </row>
    <row r="45166" spans="7:16" s="1634" customFormat="1">
      <c r="G45166" s="3336"/>
      <c r="P45166" s="3337"/>
    </row>
    <row r="45167" spans="7:16" s="1634" customFormat="1">
      <c r="G45167" s="3336"/>
      <c r="P45167" s="3337"/>
    </row>
    <row r="45168" spans="7:16" s="1634" customFormat="1">
      <c r="G45168" s="3336"/>
      <c r="P45168" s="3337"/>
    </row>
    <row r="45169" spans="7:16" s="1634" customFormat="1">
      <c r="G45169" s="3336"/>
      <c r="P45169" s="3337"/>
    </row>
    <row r="45170" spans="7:16" s="1634" customFormat="1">
      <c r="G45170" s="3336"/>
      <c r="P45170" s="3337"/>
    </row>
    <row r="45171" spans="7:16" s="1634" customFormat="1">
      <c r="G45171" s="3336"/>
      <c r="P45171" s="3337"/>
    </row>
    <row r="45172" spans="7:16" s="1634" customFormat="1">
      <c r="G45172" s="3336"/>
      <c r="P45172" s="3337"/>
    </row>
    <row r="45173" spans="7:16" s="1634" customFormat="1">
      <c r="G45173" s="3336"/>
      <c r="P45173" s="3337"/>
    </row>
    <row r="45174" spans="7:16" s="1634" customFormat="1">
      <c r="G45174" s="3336"/>
      <c r="P45174" s="3337"/>
    </row>
    <row r="45175" spans="7:16" s="1634" customFormat="1">
      <c r="G45175" s="3336"/>
      <c r="P45175" s="3337"/>
    </row>
    <row r="45176" spans="7:16" s="1634" customFormat="1">
      <c r="G45176" s="3336"/>
      <c r="P45176" s="3337"/>
    </row>
    <row r="45177" spans="7:16" s="1634" customFormat="1">
      <c r="G45177" s="3336"/>
      <c r="P45177" s="3337"/>
    </row>
    <row r="45178" spans="7:16" s="1634" customFormat="1">
      <c r="G45178" s="3336"/>
      <c r="P45178" s="3337"/>
    </row>
    <row r="45179" spans="7:16" s="1634" customFormat="1">
      <c r="G45179" s="3336"/>
      <c r="P45179" s="3337"/>
    </row>
    <row r="45180" spans="7:16" s="1634" customFormat="1">
      <c r="G45180" s="3336"/>
      <c r="P45180" s="3337"/>
    </row>
    <row r="45181" spans="7:16" s="1634" customFormat="1">
      <c r="G45181" s="3336"/>
      <c r="P45181" s="3337"/>
    </row>
    <row r="45182" spans="7:16" s="1634" customFormat="1">
      <c r="G45182" s="3336"/>
      <c r="P45182" s="3337"/>
    </row>
    <row r="45183" spans="7:16" s="1634" customFormat="1">
      <c r="G45183" s="3336"/>
      <c r="P45183" s="3337"/>
    </row>
    <row r="45184" spans="7:16" s="1634" customFormat="1">
      <c r="G45184" s="3336"/>
      <c r="P45184" s="3337"/>
    </row>
    <row r="45185" spans="7:16" s="1634" customFormat="1">
      <c r="G45185" s="3336"/>
      <c r="P45185" s="3337"/>
    </row>
    <row r="45186" spans="7:16" s="1634" customFormat="1">
      <c r="G45186" s="3336"/>
      <c r="P45186" s="3337"/>
    </row>
    <row r="45187" spans="7:16" s="1634" customFormat="1">
      <c r="G45187" s="3336"/>
      <c r="P45187" s="3337"/>
    </row>
    <row r="45188" spans="7:16" s="1634" customFormat="1">
      <c r="G45188" s="3336"/>
      <c r="P45188" s="3337"/>
    </row>
    <row r="45189" spans="7:16" s="1634" customFormat="1">
      <c r="G45189" s="3336"/>
      <c r="P45189" s="3337"/>
    </row>
    <row r="45190" spans="7:16" s="1634" customFormat="1">
      <c r="G45190" s="3336"/>
      <c r="P45190" s="3337"/>
    </row>
    <row r="45191" spans="7:16" s="1634" customFormat="1">
      <c r="G45191" s="3336"/>
      <c r="P45191" s="3337"/>
    </row>
    <row r="45192" spans="7:16" s="1634" customFormat="1">
      <c r="G45192" s="3336"/>
      <c r="P45192" s="3337"/>
    </row>
    <row r="45193" spans="7:16" s="1634" customFormat="1">
      <c r="G45193" s="3336"/>
      <c r="P45193" s="3337"/>
    </row>
    <row r="45194" spans="7:16" s="1634" customFormat="1">
      <c r="G45194" s="3336"/>
      <c r="P45194" s="3337"/>
    </row>
    <row r="45195" spans="7:16" s="1634" customFormat="1">
      <c r="G45195" s="3336"/>
      <c r="P45195" s="3337"/>
    </row>
    <row r="45196" spans="7:16" s="1634" customFormat="1">
      <c r="G45196" s="3336"/>
      <c r="P45196" s="3337"/>
    </row>
    <row r="45197" spans="7:16" s="1634" customFormat="1">
      <c r="G45197" s="3336"/>
      <c r="P45197" s="3337"/>
    </row>
    <row r="45198" spans="7:16" s="1634" customFormat="1">
      <c r="G45198" s="3336"/>
      <c r="P45198" s="3337"/>
    </row>
    <row r="45199" spans="7:16" s="1634" customFormat="1">
      <c r="G45199" s="3336"/>
      <c r="P45199" s="3337"/>
    </row>
    <row r="45200" spans="7:16" s="1634" customFormat="1">
      <c r="G45200" s="3336"/>
      <c r="P45200" s="3337"/>
    </row>
    <row r="45201" spans="7:16" s="1634" customFormat="1">
      <c r="G45201" s="3336"/>
      <c r="P45201" s="3337"/>
    </row>
    <row r="45202" spans="7:16" s="1634" customFormat="1">
      <c r="G45202" s="3336"/>
      <c r="P45202" s="3337"/>
    </row>
    <row r="45203" spans="7:16" s="1634" customFormat="1">
      <c r="G45203" s="3336"/>
      <c r="P45203" s="3337"/>
    </row>
    <row r="45204" spans="7:16" s="1634" customFormat="1">
      <c r="G45204" s="3336"/>
      <c r="P45204" s="3337"/>
    </row>
    <row r="45205" spans="7:16" s="1634" customFormat="1">
      <c r="G45205" s="3336"/>
      <c r="P45205" s="3337"/>
    </row>
    <row r="45206" spans="7:16" s="1634" customFormat="1">
      <c r="G45206" s="3336"/>
      <c r="P45206" s="3337"/>
    </row>
    <row r="45207" spans="7:16" s="1634" customFormat="1">
      <c r="G45207" s="3336"/>
      <c r="P45207" s="3337"/>
    </row>
    <row r="45208" spans="7:16" s="1634" customFormat="1">
      <c r="G45208" s="3336"/>
      <c r="P45208" s="3337"/>
    </row>
    <row r="45209" spans="7:16" s="1634" customFormat="1">
      <c r="G45209" s="3336"/>
      <c r="P45209" s="3337"/>
    </row>
    <row r="45210" spans="7:16" s="1634" customFormat="1">
      <c r="G45210" s="3336"/>
      <c r="P45210" s="3337"/>
    </row>
    <row r="45211" spans="7:16" s="1634" customFormat="1">
      <c r="G45211" s="3336"/>
      <c r="P45211" s="3337"/>
    </row>
    <row r="45212" spans="7:16" s="1634" customFormat="1">
      <c r="G45212" s="3336"/>
      <c r="P45212" s="3337"/>
    </row>
    <row r="45213" spans="7:16" s="1634" customFormat="1">
      <c r="G45213" s="3336"/>
      <c r="P45213" s="3337"/>
    </row>
    <row r="45214" spans="7:16" s="1634" customFormat="1">
      <c r="G45214" s="3336"/>
      <c r="P45214" s="3337"/>
    </row>
    <row r="45215" spans="7:16" s="1634" customFormat="1">
      <c r="G45215" s="3336"/>
      <c r="P45215" s="3337"/>
    </row>
    <row r="45216" spans="7:16" s="1634" customFormat="1">
      <c r="G45216" s="3336"/>
      <c r="P45216" s="3337"/>
    </row>
    <row r="45217" spans="7:16" s="1634" customFormat="1">
      <c r="G45217" s="3336"/>
      <c r="P45217" s="3337"/>
    </row>
    <row r="45218" spans="7:16" s="1634" customFormat="1">
      <c r="G45218" s="3336"/>
      <c r="P45218" s="3337"/>
    </row>
    <row r="45219" spans="7:16" s="1634" customFormat="1">
      <c r="G45219" s="3336"/>
      <c r="P45219" s="3337"/>
    </row>
    <row r="45220" spans="7:16" s="1634" customFormat="1">
      <c r="G45220" s="3336"/>
      <c r="P45220" s="3337"/>
    </row>
    <row r="45221" spans="7:16" s="1634" customFormat="1">
      <c r="G45221" s="3336"/>
      <c r="P45221" s="3337"/>
    </row>
    <row r="45222" spans="7:16" s="1634" customFormat="1">
      <c r="G45222" s="3336"/>
      <c r="P45222" s="3337"/>
    </row>
    <row r="45223" spans="7:16" s="1634" customFormat="1">
      <c r="G45223" s="3336"/>
      <c r="P45223" s="3337"/>
    </row>
    <row r="45224" spans="7:16" s="1634" customFormat="1">
      <c r="G45224" s="3336"/>
      <c r="P45224" s="3337"/>
    </row>
    <row r="45225" spans="7:16" s="1634" customFormat="1">
      <c r="G45225" s="3336"/>
      <c r="P45225" s="3337"/>
    </row>
    <row r="45226" spans="7:16" s="1634" customFormat="1">
      <c r="G45226" s="3336"/>
      <c r="P45226" s="3337"/>
    </row>
    <row r="45227" spans="7:16" s="1634" customFormat="1">
      <c r="G45227" s="3336"/>
      <c r="P45227" s="3337"/>
    </row>
    <row r="45228" spans="7:16" s="1634" customFormat="1">
      <c r="G45228" s="3336"/>
      <c r="P45228" s="3337"/>
    </row>
    <row r="45229" spans="7:16" s="1634" customFormat="1">
      <c r="G45229" s="3336"/>
      <c r="P45229" s="3337"/>
    </row>
    <row r="45230" spans="7:16" s="1634" customFormat="1">
      <c r="G45230" s="3336"/>
      <c r="P45230" s="3337"/>
    </row>
    <row r="45231" spans="7:16" s="1634" customFormat="1">
      <c r="G45231" s="3336"/>
      <c r="P45231" s="3337"/>
    </row>
    <row r="45232" spans="7:16" s="1634" customFormat="1">
      <c r="G45232" s="3336"/>
      <c r="P45232" s="3337"/>
    </row>
    <row r="45233" spans="7:16" s="1634" customFormat="1">
      <c r="G45233" s="3336"/>
      <c r="P45233" s="3337"/>
    </row>
    <row r="45234" spans="7:16" s="1634" customFormat="1">
      <c r="G45234" s="3336"/>
      <c r="P45234" s="3337"/>
    </row>
    <row r="45235" spans="7:16" s="1634" customFormat="1">
      <c r="G45235" s="3336"/>
      <c r="P45235" s="3337"/>
    </row>
    <row r="45236" spans="7:16" s="1634" customFormat="1">
      <c r="G45236" s="3336"/>
      <c r="P45236" s="3337"/>
    </row>
    <row r="45237" spans="7:16" s="1634" customFormat="1">
      <c r="G45237" s="3336"/>
      <c r="P45237" s="3337"/>
    </row>
    <row r="45238" spans="7:16" s="1634" customFormat="1">
      <c r="G45238" s="3336"/>
      <c r="P45238" s="3337"/>
    </row>
    <row r="45239" spans="7:16" s="1634" customFormat="1">
      <c r="G45239" s="3336"/>
      <c r="P45239" s="3337"/>
    </row>
    <row r="45240" spans="7:16" s="1634" customFormat="1">
      <c r="G45240" s="3336"/>
      <c r="P45240" s="3337"/>
    </row>
    <row r="45241" spans="7:16" s="1634" customFormat="1">
      <c r="G45241" s="3336"/>
      <c r="P45241" s="3337"/>
    </row>
    <row r="45242" spans="7:16" s="1634" customFormat="1">
      <c r="G45242" s="3336"/>
      <c r="P45242" s="3337"/>
    </row>
    <row r="45243" spans="7:16" s="1634" customFormat="1">
      <c r="G45243" s="3336"/>
      <c r="P45243" s="3337"/>
    </row>
    <row r="45244" spans="7:16" s="1634" customFormat="1">
      <c r="G45244" s="3336"/>
      <c r="P45244" s="3337"/>
    </row>
    <row r="45245" spans="7:16" s="1634" customFormat="1">
      <c r="G45245" s="3336"/>
      <c r="P45245" s="3337"/>
    </row>
    <row r="45246" spans="7:16" s="1634" customFormat="1">
      <c r="G45246" s="3336"/>
      <c r="P45246" s="3337"/>
    </row>
    <row r="45247" spans="7:16" s="1634" customFormat="1">
      <c r="G45247" s="3336"/>
      <c r="P45247" s="3337"/>
    </row>
    <row r="45248" spans="7:16" s="1634" customFormat="1">
      <c r="G45248" s="3336"/>
      <c r="P45248" s="3337"/>
    </row>
    <row r="45249" spans="7:16" s="1634" customFormat="1">
      <c r="G45249" s="3336"/>
      <c r="P45249" s="3337"/>
    </row>
    <row r="45250" spans="7:16" s="1634" customFormat="1">
      <c r="G45250" s="3336"/>
      <c r="P45250" s="3337"/>
    </row>
    <row r="45251" spans="7:16" s="1634" customFormat="1">
      <c r="G45251" s="3336"/>
      <c r="P45251" s="3337"/>
    </row>
    <row r="45252" spans="7:16" s="1634" customFormat="1">
      <c r="G45252" s="3336"/>
      <c r="P45252" s="3337"/>
    </row>
    <row r="45253" spans="7:16" s="1634" customFormat="1">
      <c r="G45253" s="3336"/>
      <c r="P45253" s="3337"/>
    </row>
    <row r="45254" spans="7:16" s="1634" customFormat="1">
      <c r="G45254" s="3336"/>
      <c r="P45254" s="3337"/>
    </row>
    <row r="45255" spans="7:16" s="1634" customFormat="1">
      <c r="G45255" s="3336"/>
      <c r="P45255" s="3337"/>
    </row>
    <row r="45256" spans="7:16" s="1634" customFormat="1">
      <c r="G45256" s="3336"/>
      <c r="P45256" s="3337"/>
    </row>
    <row r="45257" spans="7:16" s="1634" customFormat="1">
      <c r="G45257" s="3336"/>
      <c r="P45257" s="3337"/>
    </row>
    <row r="45258" spans="7:16" s="1634" customFormat="1">
      <c r="G45258" s="3336"/>
      <c r="P45258" s="3337"/>
    </row>
    <row r="45259" spans="7:16" s="1634" customFormat="1">
      <c r="G45259" s="3336"/>
      <c r="P45259" s="3337"/>
    </row>
    <row r="45260" spans="7:16" s="1634" customFormat="1">
      <c r="G45260" s="3336"/>
      <c r="P45260" s="3337"/>
    </row>
    <row r="45261" spans="7:16" s="1634" customFormat="1">
      <c r="G45261" s="3336"/>
      <c r="P45261" s="3337"/>
    </row>
    <row r="45262" spans="7:16" s="1634" customFormat="1">
      <c r="G45262" s="3336"/>
      <c r="P45262" s="3337"/>
    </row>
    <row r="45263" spans="7:16" s="1634" customFormat="1">
      <c r="G45263" s="3336"/>
      <c r="P45263" s="3337"/>
    </row>
    <row r="45264" spans="7:16" s="1634" customFormat="1">
      <c r="G45264" s="3336"/>
      <c r="P45264" s="3337"/>
    </row>
    <row r="45265" spans="7:16" s="1634" customFormat="1">
      <c r="G45265" s="3336"/>
      <c r="P45265" s="3337"/>
    </row>
    <row r="45266" spans="7:16" s="1634" customFormat="1">
      <c r="G45266" s="3336"/>
      <c r="P45266" s="3337"/>
    </row>
    <row r="45267" spans="7:16" s="1634" customFormat="1">
      <c r="G45267" s="3336"/>
      <c r="P45267" s="3337"/>
    </row>
    <row r="45268" spans="7:16" s="1634" customFormat="1">
      <c r="G45268" s="3336"/>
      <c r="P45268" s="3337"/>
    </row>
    <row r="45269" spans="7:16" s="1634" customFormat="1">
      <c r="G45269" s="3336"/>
      <c r="P45269" s="3337"/>
    </row>
    <row r="45270" spans="7:16" s="1634" customFormat="1">
      <c r="G45270" s="3336"/>
      <c r="P45270" s="3337"/>
    </row>
    <row r="45271" spans="7:16" s="1634" customFormat="1">
      <c r="G45271" s="3336"/>
      <c r="P45271" s="3337"/>
    </row>
    <row r="45272" spans="7:16" s="1634" customFormat="1">
      <c r="G45272" s="3336"/>
      <c r="P45272" s="3337"/>
    </row>
    <row r="45273" spans="7:16" s="1634" customFormat="1">
      <c r="G45273" s="3336"/>
      <c r="P45273" s="3337"/>
    </row>
    <row r="45274" spans="7:16" s="1634" customFormat="1">
      <c r="G45274" s="3336"/>
      <c r="P45274" s="3337"/>
    </row>
    <row r="45275" spans="7:16" s="1634" customFormat="1">
      <c r="G45275" s="3336"/>
      <c r="P45275" s="3337"/>
    </row>
    <row r="45276" spans="7:16" s="1634" customFormat="1">
      <c r="G45276" s="3336"/>
      <c r="P45276" s="3337"/>
    </row>
    <row r="45277" spans="7:16" s="1634" customFormat="1">
      <c r="G45277" s="3336"/>
      <c r="P45277" s="3337"/>
    </row>
    <row r="45278" spans="7:16" s="1634" customFormat="1">
      <c r="G45278" s="3336"/>
      <c r="P45278" s="3337"/>
    </row>
    <row r="45279" spans="7:16" s="1634" customFormat="1">
      <c r="G45279" s="3336"/>
      <c r="P45279" s="3337"/>
    </row>
    <row r="45280" spans="7:16" s="1634" customFormat="1">
      <c r="G45280" s="3336"/>
      <c r="P45280" s="3337"/>
    </row>
    <row r="45281" spans="7:16" s="1634" customFormat="1">
      <c r="G45281" s="3336"/>
      <c r="P45281" s="3337"/>
    </row>
    <row r="45282" spans="7:16" s="1634" customFormat="1">
      <c r="G45282" s="3336"/>
      <c r="P45282" s="3337"/>
    </row>
    <row r="45283" spans="7:16" s="1634" customFormat="1">
      <c r="G45283" s="3336"/>
      <c r="P45283" s="3337"/>
    </row>
    <row r="45284" spans="7:16" s="1634" customFormat="1">
      <c r="G45284" s="3336"/>
      <c r="P45284" s="3337"/>
    </row>
    <row r="45285" spans="7:16" s="1634" customFormat="1">
      <c r="G45285" s="3336"/>
      <c r="P45285" s="3337"/>
    </row>
    <row r="45286" spans="7:16" s="1634" customFormat="1">
      <c r="G45286" s="3336"/>
      <c r="P45286" s="3337"/>
    </row>
    <row r="45287" spans="7:16" s="1634" customFormat="1">
      <c r="G45287" s="3336"/>
      <c r="P45287" s="3337"/>
    </row>
    <row r="45288" spans="7:16" s="1634" customFormat="1">
      <c r="G45288" s="3336"/>
      <c r="P45288" s="3337"/>
    </row>
    <row r="45289" spans="7:16" s="1634" customFormat="1">
      <c r="G45289" s="3336"/>
      <c r="P45289" s="3337"/>
    </row>
    <row r="45290" spans="7:16" s="1634" customFormat="1">
      <c r="G45290" s="3336"/>
      <c r="P45290" s="3337"/>
    </row>
    <row r="45291" spans="7:16" s="1634" customFormat="1">
      <c r="G45291" s="3336"/>
      <c r="P45291" s="3337"/>
    </row>
    <row r="45292" spans="7:16" s="1634" customFormat="1">
      <c r="G45292" s="3336"/>
      <c r="P45292" s="3337"/>
    </row>
    <row r="45293" spans="7:16" s="1634" customFormat="1">
      <c r="G45293" s="3336"/>
      <c r="P45293" s="3337"/>
    </row>
    <row r="45294" spans="7:16" s="1634" customFormat="1">
      <c r="G45294" s="3336"/>
      <c r="P45294" s="3337"/>
    </row>
    <row r="45295" spans="7:16" s="1634" customFormat="1">
      <c r="G45295" s="3336"/>
      <c r="P45295" s="3337"/>
    </row>
    <row r="45296" spans="7:16" s="1634" customFormat="1">
      <c r="G45296" s="3336"/>
      <c r="P45296" s="3337"/>
    </row>
    <row r="45297" spans="7:16" s="1634" customFormat="1">
      <c r="G45297" s="3336"/>
      <c r="P45297" s="3337"/>
    </row>
    <row r="45298" spans="7:16" s="1634" customFormat="1">
      <c r="G45298" s="3336"/>
      <c r="P45298" s="3337"/>
    </row>
    <row r="45299" spans="7:16" s="1634" customFormat="1">
      <c r="G45299" s="3336"/>
      <c r="P45299" s="3337"/>
    </row>
    <row r="45300" spans="7:16" s="1634" customFormat="1">
      <c r="G45300" s="3336"/>
      <c r="P45300" s="3337"/>
    </row>
    <row r="45301" spans="7:16" s="1634" customFormat="1">
      <c r="G45301" s="3336"/>
      <c r="P45301" s="3337"/>
    </row>
    <row r="45302" spans="7:16" s="1634" customFormat="1">
      <c r="G45302" s="3336"/>
      <c r="P45302" s="3337"/>
    </row>
    <row r="45303" spans="7:16" s="1634" customFormat="1">
      <c r="G45303" s="3336"/>
      <c r="P45303" s="3337"/>
    </row>
    <row r="45304" spans="7:16" s="1634" customFormat="1">
      <c r="G45304" s="3336"/>
      <c r="P45304" s="3337"/>
    </row>
    <row r="45305" spans="7:16" s="1634" customFormat="1">
      <c r="G45305" s="3336"/>
      <c r="P45305" s="3337"/>
    </row>
    <row r="45306" spans="7:16" s="1634" customFormat="1">
      <c r="G45306" s="3336"/>
      <c r="P45306" s="3337"/>
    </row>
    <row r="45307" spans="7:16" s="1634" customFormat="1">
      <c r="G45307" s="3336"/>
      <c r="P45307" s="3337"/>
    </row>
    <row r="45308" spans="7:16" s="1634" customFormat="1">
      <c r="G45308" s="3336"/>
      <c r="P45308" s="3337"/>
    </row>
    <row r="45309" spans="7:16" s="1634" customFormat="1">
      <c r="G45309" s="3336"/>
      <c r="P45309" s="3337"/>
    </row>
    <row r="45310" spans="7:16" s="1634" customFormat="1">
      <c r="G45310" s="3336"/>
      <c r="P45310" s="3337"/>
    </row>
    <row r="45311" spans="7:16" s="1634" customFormat="1">
      <c r="G45311" s="3336"/>
      <c r="P45311" s="3337"/>
    </row>
    <row r="45312" spans="7:16" s="1634" customFormat="1">
      <c r="G45312" s="3336"/>
      <c r="P45312" s="3337"/>
    </row>
    <row r="45313" spans="7:16" s="1634" customFormat="1">
      <c r="G45313" s="3336"/>
      <c r="P45313" s="3337"/>
    </row>
    <row r="45314" spans="7:16" s="1634" customFormat="1">
      <c r="G45314" s="3336"/>
      <c r="P45314" s="3337"/>
    </row>
    <row r="45315" spans="7:16" s="1634" customFormat="1">
      <c r="G45315" s="3336"/>
      <c r="P45315" s="3337"/>
    </row>
    <row r="45316" spans="7:16" s="1634" customFormat="1">
      <c r="G45316" s="3336"/>
      <c r="P45316" s="3337"/>
    </row>
    <row r="45317" spans="7:16" s="1634" customFormat="1">
      <c r="G45317" s="3336"/>
      <c r="P45317" s="3337"/>
    </row>
    <row r="45318" spans="7:16" s="1634" customFormat="1">
      <c r="G45318" s="3336"/>
      <c r="P45318" s="3337"/>
    </row>
    <row r="45319" spans="7:16" s="1634" customFormat="1">
      <c r="G45319" s="3336"/>
      <c r="P45319" s="3337"/>
    </row>
    <row r="45320" spans="7:16" s="1634" customFormat="1">
      <c r="G45320" s="3336"/>
      <c r="P45320" s="3337"/>
    </row>
    <row r="45321" spans="7:16" s="1634" customFormat="1">
      <c r="G45321" s="3336"/>
      <c r="P45321" s="3337"/>
    </row>
    <row r="45322" spans="7:16" s="1634" customFormat="1">
      <c r="G45322" s="3336"/>
      <c r="P45322" s="3337"/>
    </row>
    <row r="45323" spans="7:16" s="1634" customFormat="1">
      <c r="G45323" s="3336"/>
      <c r="P45323" s="3337"/>
    </row>
    <row r="45324" spans="7:16" s="1634" customFormat="1">
      <c r="G45324" s="3336"/>
      <c r="P45324" s="3337"/>
    </row>
    <row r="45325" spans="7:16" s="1634" customFormat="1">
      <c r="G45325" s="3336"/>
      <c r="P45325" s="3337"/>
    </row>
    <row r="45326" spans="7:16" s="1634" customFormat="1">
      <c r="G45326" s="3336"/>
      <c r="P45326" s="3337"/>
    </row>
    <row r="45327" spans="7:16" s="1634" customFormat="1">
      <c r="G45327" s="3336"/>
      <c r="P45327" s="3337"/>
    </row>
    <row r="45328" spans="7:16" s="1634" customFormat="1">
      <c r="G45328" s="3336"/>
      <c r="P45328" s="3337"/>
    </row>
    <row r="45329" spans="7:16" s="1634" customFormat="1">
      <c r="G45329" s="3336"/>
      <c r="P45329" s="3337"/>
    </row>
    <row r="45330" spans="7:16" s="1634" customFormat="1">
      <c r="G45330" s="3336"/>
      <c r="P45330" s="3337"/>
    </row>
    <row r="45331" spans="7:16" s="1634" customFormat="1">
      <c r="G45331" s="3336"/>
      <c r="P45331" s="3337"/>
    </row>
    <row r="45332" spans="7:16" s="1634" customFormat="1">
      <c r="G45332" s="3336"/>
      <c r="P45332" s="3337"/>
    </row>
    <row r="45333" spans="7:16" s="1634" customFormat="1">
      <c r="G45333" s="3336"/>
      <c r="P45333" s="3337"/>
    </row>
    <row r="45334" spans="7:16" s="1634" customFormat="1">
      <c r="G45334" s="3336"/>
      <c r="P45334" s="3337"/>
    </row>
    <row r="45335" spans="7:16" s="1634" customFormat="1">
      <c r="G45335" s="3336"/>
      <c r="P45335" s="3337"/>
    </row>
    <row r="45336" spans="7:16" s="1634" customFormat="1">
      <c r="G45336" s="3336"/>
      <c r="P45336" s="3337"/>
    </row>
    <row r="45337" spans="7:16" s="1634" customFormat="1">
      <c r="G45337" s="3336"/>
      <c r="P45337" s="3337"/>
    </row>
    <row r="45338" spans="7:16" s="1634" customFormat="1">
      <c r="G45338" s="3336"/>
      <c r="P45338" s="3337"/>
    </row>
    <row r="45339" spans="7:16" s="1634" customFormat="1">
      <c r="G45339" s="3336"/>
      <c r="P45339" s="3337"/>
    </row>
    <row r="45340" spans="7:16" s="1634" customFormat="1">
      <c r="G45340" s="3336"/>
      <c r="P45340" s="3337"/>
    </row>
    <row r="45341" spans="7:16" s="1634" customFormat="1">
      <c r="G45341" s="3336"/>
      <c r="P45341" s="3337"/>
    </row>
    <row r="45342" spans="7:16" s="1634" customFormat="1">
      <c r="G45342" s="3336"/>
      <c r="P45342" s="3337"/>
    </row>
    <row r="45343" spans="7:16" s="1634" customFormat="1">
      <c r="G45343" s="3336"/>
      <c r="P45343" s="3337"/>
    </row>
    <row r="45344" spans="7:16" s="1634" customFormat="1">
      <c r="G45344" s="3336"/>
      <c r="P45344" s="3337"/>
    </row>
    <row r="45345" spans="7:16" s="1634" customFormat="1">
      <c r="G45345" s="3336"/>
      <c r="P45345" s="3337"/>
    </row>
    <row r="45346" spans="7:16" s="1634" customFormat="1">
      <c r="G45346" s="3336"/>
      <c r="P45346" s="3337"/>
    </row>
    <row r="45347" spans="7:16" s="1634" customFormat="1">
      <c r="G45347" s="3336"/>
      <c r="P45347" s="3337"/>
    </row>
    <row r="45348" spans="7:16" s="1634" customFormat="1">
      <c r="G45348" s="3336"/>
      <c r="P45348" s="3337"/>
    </row>
    <row r="45349" spans="7:16" s="1634" customFormat="1">
      <c r="G45349" s="3336"/>
      <c r="P45349" s="3337"/>
    </row>
    <row r="45350" spans="7:16" s="1634" customFormat="1">
      <c r="G45350" s="3336"/>
      <c r="P45350" s="3337"/>
    </row>
    <row r="45351" spans="7:16" s="1634" customFormat="1">
      <c r="G45351" s="3336"/>
      <c r="P45351" s="3337"/>
    </row>
    <row r="45352" spans="7:16" s="1634" customFormat="1">
      <c r="G45352" s="3336"/>
      <c r="P45352" s="3337"/>
    </row>
    <row r="45353" spans="7:16" s="1634" customFormat="1">
      <c r="G45353" s="3336"/>
      <c r="P45353" s="3337"/>
    </row>
    <row r="45354" spans="7:16" s="1634" customFormat="1">
      <c r="G45354" s="3336"/>
      <c r="P45354" s="3337"/>
    </row>
    <row r="45355" spans="7:16" s="1634" customFormat="1">
      <c r="G45355" s="3336"/>
      <c r="P45355" s="3337"/>
    </row>
    <row r="45356" spans="7:16" s="1634" customFormat="1">
      <c r="G45356" s="3336"/>
      <c r="P45356" s="3337"/>
    </row>
    <row r="45357" spans="7:16" s="1634" customFormat="1">
      <c r="G45357" s="3336"/>
      <c r="P45357" s="3337"/>
    </row>
    <row r="45358" spans="7:16" s="1634" customFormat="1">
      <c r="G45358" s="3336"/>
      <c r="P45358" s="3337"/>
    </row>
    <row r="45359" spans="7:16" s="1634" customFormat="1">
      <c r="G45359" s="3336"/>
      <c r="P45359" s="3337"/>
    </row>
    <row r="45360" spans="7:16" s="1634" customFormat="1">
      <c r="G45360" s="3336"/>
      <c r="P45360" s="3337"/>
    </row>
    <row r="45361" spans="7:16" s="1634" customFormat="1">
      <c r="G45361" s="3336"/>
      <c r="P45361" s="3337"/>
    </row>
    <row r="45362" spans="7:16" s="1634" customFormat="1">
      <c r="G45362" s="3336"/>
      <c r="P45362" s="3337"/>
    </row>
    <row r="45363" spans="7:16" s="1634" customFormat="1">
      <c r="G45363" s="3336"/>
      <c r="P45363" s="3337"/>
    </row>
    <row r="45364" spans="7:16" s="1634" customFormat="1">
      <c r="G45364" s="3336"/>
      <c r="P45364" s="3337"/>
    </row>
    <row r="45365" spans="7:16" s="1634" customFormat="1">
      <c r="G45365" s="3336"/>
      <c r="P45365" s="3337"/>
    </row>
    <row r="45366" spans="7:16" s="1634" customFormat="1">
      <c r="G45366" s="3336"/>
      <c r="P45366" s="3337"/>
    </row>
    <row r="45367" spans="7:16" s="1634" customFormat="1">
      <c r="G45367" s="3336"/>
      <c r="P45367" s="3337"/>
    </row>
    <row r="45368" spans="7:16" s="1634" customFormat="1">
      <c r="G45368" s="3336"/>
      <c r="P45368" s="3337"/>
    </row>
    <row r="45369" spans="7:16" s="1634" customFormat="1">
      <c r="G45369" s="3336"/>
      <c r="P45369" s="3337"/>
    </row>
    <row r="45370" spans="7:16" s="1634" customFormat="1">
      <c r="G45370" s="3336"/>
      <c r="P45370" s="3337"/>
    </row>
    <row r="45371" spans="7:16" s="1634" customFormat="1">
      <c r="G45371" s="3336"/>
      <c r="P45371" s="3337"/>
    </row>
    <row r="45372" spans="7:16" s="1634" customFormat="1">
      <c r="G45372" s="3336"/>
      <c r="P45372" s="3337"/>
    </row>
    <row r="45373" spans="7:16" s="1634" customFormat="1">
      <c r="G45373" s="3336"/>
      <c r="P45373" s="3337"/>
    </row>
    <row r="45374" spans="7:16" s="1634" customFormat="1">
      <c r="G45374" s="3336"/>
      <c r="P45374" s="3337"/>
    </row>
    <row r="45375" spans="7:16" s="1634" customFormat="1">
      <c r="G45375" s="3336"/>
      <c r="P45375" s="3337"/>
    </row>
    <row r="45376" spans="7:16" s="1634" customFormat="1">
      <c r="G45376" s="3336"/>
      <c r="P45376" s="3337"/>
    </row>
    <row r="45377" spans="7:16" s="1634" customFormat="1">
      <c r="G45377" s="3336"/>
      <c r="P45377" s="3337"/>
    </row>
    <row r="45378" spans="7:16" s="1634" customFormat="1">
      <c r="G45378" s="3336"/>
      <c r="P45378" s="3337"/>
    </row>
    <row r="45379" spans="7:16" s="1634" customFormat="1">
      <c r="G45379" s="3336"/>
      <c r="P45379" s="3337"/>
    </row>
    <row r="45380" spans="7:16" s="1634" customFormat="1">
      <c r="G45380" s="3336"/>
      <c r="P45380" s="3337"/>
    </row>
    <row r="45381" spans="7:16" s="1634" customFormat="1">
      <c r="G45381" s="3336"/>
      <c r="P45381" s="3337"/>
    </row>
    <row r="45382" spans="7:16" s="1634" customFormat="1">
      <c r="G45382" s="3336"/>
      <c r="P45382" s="3337"/>
    </row>
    <row r="45383" spans="7:16" s="1634" customFormat="1">
      <c r="G45383" s="3336"/>
      <c r="P45383" s="3337"/>
    </row>
    <row r="45384" spans="7:16" s="1634" customFormat="1">
      <c r="G45384" s="3336"/>
      <c r="P45384" s="3337"/>
    </row>
    <row r="45385" spans="7:16" s="1634" customFormat="1">
      <c r="G45385" s="3336"/>
      <c r="P45385" s="3337"/>
    </row>
    <row r="45386" spans="7:16" s="1634" customFormat="1">
      <c r="G45386" s="3336"/>
      <c r="P45386" s="3337"/>
    </row>
    <row r="45387" spans="7:16" s="1634" customFormat="1">
      <c r="G45387" s="3336"/>
      <c r="P45387" s="3337"/>
    </row>
    <row r="45388" spans="7:16" s="1634" customFormat="1">
      <c r="G45388" s="3336"/>
      <c r="P45388" s="3337"/>
    </row>
    <row r="45389" spans="7:16" s="1634" customFormat="1">
      <c r="G45389" s="3336"/>
      <c r="P45389" s="3337"/>
    </row>
    <row r="45390" spans="7:16" s="1634" customFormat="1">
      <c r="G45390" s="3336"/>
      <c r="P45390" s="3337"/>
    </row>
    <row r="45391" spans="7:16" s="1634" customFormat="1">
      <c r="G45391" s="3336"/>
      <c r="P45391" s="3337"/>
    </row>
    <row r="45392" spans="7:16" s="1634" customFormat="1">
      <c r="G45392" s="3336"/>
      <c r="P45392" s="3337"/>
    </row>
    <row r="45393" spans="7:16" s="1634" customFormat="1">
      <c r="G45393" s="3336"/>
      <c r="P45393" s="3337"/>
    </row>
    <row r="45394" spans="7:16" s="1634" customFormat="1">
      <c r="G45394" s="3336"/>
      <c r="P45394" s="3337"/>
    </row>
    <row r="45395" spans="7:16" s="1634" customFormat="1">
      <c r="G45395" s="3336"/>
      <c r="P45395" s="3337"/>
    </row>
    <row r="45396" spans="7:16" s="1634" customFormat="1">
      <c r="G45396" s="3336"/>
      <c r="P45396" s="3337"/>
    </row>
    <row r="45397" spans="7:16" s="1634" customFormat="1">
      <c r="G45397" s="3336"/>
      <c r="P45397" s="3337"/>
    </row>
    <row r="45398" spans="7:16" s="1634" customFormat="1">
      <c r="G45398" s="3336"/>
      <c r="P45398" s="3337"/>
    </row>
    <row r="45399" spans="7:16" s="1634" customFormat="1">
      <c r="G45399" s="3336"/>
      <c r="P45399" s="3337"/>
    </row>
    <row r="45400" spans="7:16" s="1634" customFormat="1">
      <c r="G45400" s="3336"/>
      <c r="P45400" s="3337"/>
    </row>
    <row r="45401" spans="7:16" s="1634" customFormat="1">
      <c r="G45401" s="3336"/>
      <c r="P45401" s="3337"/>
    </row>
    <row r="45402" spans="7:16" s="1634" customFormat="1">
      <c r="G45402" s="3336"/>
      <c r="P45402" s="3337"/>
    </row>
    <row r="45403" spans="7:16" s="1634" customFormat="1">
      <c r="G45403" s="3336"/>
      <c r="P45403" s="3337"/>
    </row>
    <row r="45404" spans="7:16" s="1634" customFormat="1">
      <c r="G45404" s="3336"/>
      <c r="P45404" s="3337"/>
    </row>
    <row r="45405" spans="7:16" s="1634" customFormat="1">
      <c r="G45405" s="3336"/>
      <c r="P45405" s="3337"/>
    </row>
    <row r="45406" spans="7:16" s="1634" customFormat="1">
      <c r="G45406" s="3336"/>
      <c r="P45406" s="3337"/>
    </row>
    <row r="45407" spans="7:16" s="1634" customFormat="1">
      <c r="G45407" s="3336"/>
      <c r="P45407" s="3337"/>
    </row>
    <row r="45408" spans="7:16" s="1634" customFormat="1">
      <c r="G45408" s="3336"/>
      <c r="P45408" s="3337"/>
    </row>
    <row r="45409" spans="7:16" s="1634" customFormat="1">
      <c r="G45409" s="3336"/>
      <c r="P45409" s="3337"/>
    </row>
    <row r="45410" spans="7:16" s="1634" customFormat="1">
      <c r="G45410" s="3336"/>
      <c r="P45410" s="3337"/>
    </row>
    <row r="45411" spans="7:16" s="1634" customFormat="1">
      <c r="G45411" s="3336"/>
      <c r="P45411" s="3337"/>
    </row>
    <row r="45412" spans="7:16" s="1634" customFormat="1">
      <c r="G45412" s="3336"/>
      <c r="P45412" s="3337"/>
    </row>
    <row r="45413" spans="7:16" s="1634" customFormat="1">
      <c r="G45413" s="3336"/>
      <c r="P45413" s="3337"/>
    </row>
    <row r="45414" spans="7:16" s="1634" customFormat="1">
      <c r="G45414" s="3336"/>
      <c r="P45414" s="3337"/>
    </row>
    <row r="45415" spans="7:16" s="1634" customFormat="1">
      <c r="G45415" s="3336"/>
      <c r="P45415" s="3337"/>
    </row>
    <row r="45416" spans="7:16" s="1634" customFormat="1">
      <c r="G45416" s="3336"/>
      <c r="P45416" s="3337"/>
    </row>
    <row r="45417" spans="7:16" s="1634" customFormat="1">
      <c r="G45417" s="3336"/>
      <c r="P45417" s="3337"/>
    </row>
    <row r="45418" spans="7:16" s="1634" customFormat="1">
      <c r="G45418" s="3336"/>
      <c r="P45418" s="3337"/>
    </row>
    <row r="45419" spans="7:16" s="1634" customFormat="1">
      <c r="G45419" s="3336"/>
      <c r="P45419" s="3337"/>
    </row>
    <row r="45420" spans="7:16" s="1634" customFormat="1">
      <c r="G45420" s="3336"/>
      <c r="P45420" s="3337"/>
    </row>
    <row r="45421" spans="7:16" s="1634" customFormat="1">
      <c r="G45421" s="3336"/>
      <c r="P45421" s="3337"/>
    </row>
    <row r="45422" spans="7:16" s="1634" customFormat="1">
      <c r="G45422" s="3336"/>
      <c r="P45422" s="3337"/>
    </row>
    <row r="45423" spans="7:16" s="1634" customFormat="1">
      <c r="G45423" s="3336"/>
      <c r="P45423" s="3337"/>
    </row>
    <row r="45424" spans="7:16" s="1634" customFormat="1">
      <c r="G45424" s="3336"/>
      <c r="P45424" s="3337"/>
    </row>
    <row r="45425" spans="7:16" s="1634" customFormat="1">
      <c r="G45425" s="3336"/>
      <c r="P45425" s="3337"/>
    </row>
    <row r="45426" spans="7:16" s="1634" customFormat="1">
      <c r="G45426" s="3336"/>
      <c r="P45426" s="3337"/>
    </row>
    <row r="45427" spans="7:16" s="1634" customFormat="1">
      <c r="G45427" s="3336"/>
      <c r="P45427" s="3337"/>
    </row>
    <row r="45428" spans="7:16" s="1634" customFormat="1">
      <c r="G45428" s="3336"/>
      <c r="P45428" s="3337"/>
    </row>
    <row r="45429" spans="7:16" s="1634" customFormat="1">
      <c r="G45429" s="3336"/>
      <c r="P45429" s="3337"/>
    </row>
    <row r="45430" spans="7:16" s="1634" customFormat="1">
      <c r="G45430" s="3336"/>
      <c r="P45430" s="3337"/>
    </row>
    <row r="45431" spans="7:16" s="1634" customFormat="1">
      <c r="G45431" s="3336"/>
      <c r="P45431" s="3337"/>
    </row>
    <row r="45432" spans="7:16" s="1634" customFormat="1">
      <c r="G45432" s="3336"/>
      <c r="P45432" s="3337"/>
    </row>
    <row r="45433" spans="7:16" s="1634" customFormat="1">
      <c r="G45433" s="3336"/>
      <c r="P45433" s="3337"/>
    </row>
    <row r="45434" spans="7:16" s="1634" customFormat="1">
      <c r="G45434" s="3336"/>
      <c r="P45434" s="3337"/>
    </row>
    <row r="45435" spans="7:16" s="1634" customFormat="1">
      <c r="G45435" s="3336"/>
      <c r="P45435" s="3337"/>
    </row>
    <row r="45436" spans="7:16" s="1634" customFormat="1">
      <c r="G45436" s="3336"/>
      <c r="P45436" s="3337"/>
    </row>
    <row r="45437" spans="7:16" s="1634" customFormat="1">
      <c r="G45437" s="3336"/>
      <c r="P45437" s="3337"/>
    </row>
    <row r="45438" spans="7:16" s="1634" customFormat="1">
      <c r="G45438" s="3336"/>
      <c r="P45438" s="3337"/>
    </row>
    <row r="45439" spans="7:16" s="1634" customFormat="1">
      <c r="G45439" s="3336"/>
      <c r="P45439" s="3337"/>
    </row>
    <row r="45440" spans="7:16" s="1634" customFormat="1">
      <c r="G45440" s="3336"/>
      <c r="P45440" s="3337"/>
    </row>
    <row r="45441" spans="7:16" s="1634" customFormat="1">
      <c r="G45441" s="3336"/>
      <c r="P45441" s="3337"/>
    </row>
    <row r="45442" spans="7:16" s="1634" customFormat="1">
      <c r="G45442" s="3336"/>
      <c r="P45442" s="3337"/>
    </row>
    <row r="45443" spans="7:16" s="1634" customFormat="1">
      <c r="G45443" s="3336"/>
      <c r="P45443" s="3337"/>
    </row>
    <row r="45444" spans="7:16" s="1634" customFormat="1">
      <c r="G45444" s="3336"/>
      <c r="P45444" s="3337"/>
    </row>
    <row r="45445" spans="7:16" s="1634" customFormat="1">
      <c r="G45445" s="3336"/>
      <c r="P45445" s="3337"/>
    </row>
    <row r="45446" spans="7:16" s="1634" customFormat="1">
      <c r="G45446" s="3336"/>
      <c r="P45446" s="3337"/>
    </row>
    <row r="45447" spans="7:16" s="1634" customFormat="1">
      <c r="G45447" s="3336"/>
      <c r="P45447" s="3337"/>
    </row>
    <row r="45448" spans="7:16" s="1634" customFormat="1">
      <c r="G45448" s="3336"/>
      <c r="P45448" s="3337"/>
    </row>
    <row r="45449" spans="7:16" s="1634" customFormat="1">
      <c r="G45449" s="3336"/>
      <c r="P45449" s="3337"/>
    </row>
    <row r="45450" spans="7:16" s="1634" customFormat="1">
      <c r="G45450" s="3336"/>
      <c r="P45450" s="3337"/>
    </row>
    <row r="45451" spans="7:16" s="1634" customFormat="1">
      <c r="G45451" s="3336"/>
      <c r="P45451" s="3337"/>
    </row>
    <row r="45452" spans="7:16" s="1634" customFormat="1">
      <c r="G45452" s="3336"/>
      <c r="P45452" s="3337"/>
    </row>
    <row r="45453" spans="7:16" s="1634" customFormat="1">
      <c r="G45453" s="3336"/>
      <c r="P45453" s="3337"/>
    </row>
    <row r="45454" spans="7:16" s="1634" customFormat="1">
      <c r="G45454" s="3336"/>
      <c r="P45454" s="3337"/>
    </row>
    <row r="45455" spans="7:16" s="1634" customFormat="1">
      <c r="G45455" s="3336"/>
      <c r="P45455" s="3337"/>
    </row>
    <row r="45456" spans="7:16" s="1634" customFormat="1">
      <c r="G45456" s="3336"/>
      <c r="P45456" s="3337"/>
    </row>
    <row r="45457" spans="7:16" s="1634" customFormat="1">
      <c r="G45457" s="3336"/>
      <c r="P45457" s="3337"/>
    </row>
    <row r="45458" spans="7:16" s="1634" customFormat="1">
      <c r="G45458" s="3336"/>
      <c r="P45458" s="3337"/>
    </row>
    <row r="45459" spans="7:16" s="1634" customFormat="1">
      <c r="G45459" s="3336"/>
      <c r="P45459" s="3337"/>
    </row>
    <row r="45460" spans="7:16" s="1634" customFormat="1">
      <c r="G45460" s="3336"/>
      <c r="P45460" s="3337"/>
    </row>
    <row r="45461" spans="7:16" s="1634" customFormat="1">
      <c r="G45461" s="3336"/>
      <c r="P45461" s="3337"/>
    </row>
    <row r="45462" spans="7:16" s="1634" customFormat="1">
      <c r="G45462" s="3336"/>
      <c r="P45462" s="3337"/>
    </row>
    <row r="45463" spans="7:16" s="1634" customFormat="1">
      <c r="G45463" s="3336"/>
      <c r="P45463" s="3337"/>
    </row>
    <row r="45464" spans="7:16" s="1634" customFormat="1">
      <c r="G45464" s="3336"/>
      <c r="P45464" s="3337"/>
    </row>
    <row r="45465" spans="7:16" s="1634" customFormat="1">
      <c r="G45465" s="3336"/>
      <c r="P45465" s="3337"/>
    </row>
    <row r="45466" spans="7:16" s="1634" customFormat="1">
      <c r="G45466" s="3336"/>
      <c r="P45466" s="3337"/>
    </row>
    <row r="45467" spans="7:16" s="1634" customFormat="1">
      <c r="G45467" s="3336"/>
      <c r="P45467" s="3337"/>
    </row>
    <row r="45468" spans="7:16" s="1634" customFormat="1">
      <c r="G45468" s="3336"/>
      <c r="P45468" s="3337"/>
    </row>
    <row r="45469" spans="7:16" s="1634" customFormat="1">
      <c r="G45469" s="3336"/>
      <c r="P45469" s="3337"/>
    </row>
    <row r="45470" spans="7:16" s="1634" customFormat="1">
      <c r="G45470" s="3336"/>
      <c r="P45470" s="3337"/>
    </row>
    <row r="45471" spans="7:16" s="1634" customFormat="1">
      <c r="G45471" s="3336"/>
      <c r="P45471" s="3337"/>
    </row>
    <row r="45472" spans="7:16" s="1634" customFormat="1">
      <c r="G45472" s="3336"/>
      <c r="P45472" s="3337"/>
    </row>
    <row r="45473" spans="7:16" s="1634" customFormat="1">
      <c r="G45473" s="3336"/>
      <c r="P45473" s="3337"/>
    </row>
    <row r="45474" spans="7:16" s="1634" customFormat="1">
      <c r="G45474" s="3336"/>
      <c r="P45474" s="3337"/>
    </row>
    <row r="45475" spans="7:16" s="1634" customFormat="1">
      <c r="G45475" s="3336"/>
      <c r="P45475" s="3337"/>
    </row>
    <row r="45476" spans="7:16" s="1634" customFormat="1">
      <c r="G45476" s="3336"/>
      <c r="P45476" s="3337"/>
    </row>
    <row r="45477" spans="7:16" s="1634" customFormat="1">
      <c r="G45477" s="3336"/>
      <c r="P45477" s="3337"/>
    </row>
    <row r="45478" spans="7:16" s="1634" customFormat="1">
      <c r="G45478" s="3336"/>
      <c r="P45478" s="3337"/>
    </row>
    <row r="45479" spans="7:16" s="1634" customFormat="1">
      <c r="G45479" s="3336"/>
      <c r="P45479" s="3337"/>
    </row>
    <row r="45480" spans="7:16" s="1634" customFormat="1">
      <c r="G45480" s="3336"/>
      <c r="P45480" s="3337"/>
    </row>
    <row r="45481" spans="7:16" s="1634" customFormat="1">
      <c r="G45481" s="3336"/>
      <c r="P45481" s="3337"/>
    </row>
    <row r="45482" spans="7:16" s="1634" customFormat="1">
      <c r="G45482" s="3336"/>
      <c r="P45482" s="3337"/>
    </row>
    <row r="45483" spans="7:16" s="1634" customFormat="1">
      <c r="G45483" s="3336"/>
      <c r="P45483" s="3337"/>
    </row>
    <row r="45484" spans="7:16" s="1634" customFormat="1">
      <c r="G45484" s="3336"/>
      <c r="P45484" s="3337"/>
    </row>
    <row r="45485" spans="7:16" s="1634" customFormat="1">
      <c r="G45485" s="3336"/>
      <c r="P45485" s="3337"/>
    </row>
    <row r="45486" spans="7:16" s="1634" customFormat="1">
      <c r="G45486" s="3336"/>
      <c r="P45486" s="3337"/>
    </row>
    <row r="45487" spans="7:16" s="1634" customFormat="1">
      <c r="G45487" s="3336"/>
      <c r="P45487" s="3337"/>
    </row>
    <row r="45488" spans="7:16" s="1634" customFormat="1">
      <c r="G45488" s="3336"/>
      <c r="P45488" s="3337"/>
    </row>
    <row r="45489" spans="7:16" s="1634" customFormat="1">
      <c r="G45489" s="3336"/>
      <c r="P45489" s="3337"/>
    </row>
    <row r="45490" spans="7:16" s="1634" customFormat="1">
      <c r="G45490" s="3336"/>
      <c r="P45490" s="3337"/>
    </row>
    <row r="45491" spans="7:16" s="1634" customFormat="1">
      <c r="G45491" s="3336"/>
      <c r="P45491" s="3337"/>
    </row>
    <row r="45492" spans="7:16" s="1634" customFormat="1">
      <c r="G45492" s="3336"/>
      <c r="P45492" s="3337"/>
    </row>
    <row r="45493" spans="7:16" s="1634" customFormat="1">
      <c r="G45493" s="3336"/>
      <c r="P45493" s="3337"/>
    </row>
    <row r="45494" spans="7:16" s="1634" customFormat="1">
      <c r="G45494" s="3336"/>
      <c r="P45494" s="3337"/>
    </row>
    <row r="45495" spans="7:16" s="1634" customFormat="1">
      <c r="G45495" s="3336"/>
      <c r="P45495" s="3337"/>
    </row>
    <row r="45496" spans="7:16" s="1634" customFormat="1">
      <c r="G45496" s="3336"/>
      <c r="P45496" s="3337"/>
    </row>
    <row r="45497" spans="7:16" s="1634" customFormat="1">
      <c r="G45497" s="3336"/>
      <c r="P45497" s="3337"/>
    </row>
    <row r="45498" spans="7:16" s="1634" customFormat="1">
      <c r="G45498" s="3336"/>
      <c r="P45498" s="3337"/>
    </row>
    <row r="45499" spans="7:16" s="1634" customFormat="1">
      <c r="G45499" s="3336"/>
      <c r="P45499" s="3337"/>
    </row>
    <row r="45500" spans="7:16" s="1634" customFormat="1">
      <c r="G45500" s="3336"/>
      <c r="P45500" s="3337"/>
    </row>
    <row r="45501" spans="7:16" s="1634" customFormat="1">
      <c r="G45501" s="3336"/>
      <c r="P45501" s="3337"/>
    </row>
    <row r="45502" spans="7:16" s="1634" customFormat="1">
      <c r="G45502" s="3336"/>
      <c r="P45502" s="3337"/>
    </row>
    <row r="45503" spans="7:16" s="1634" customFormat="1">
      <c r="G45503" s="3336"/>
      <c r="P45503" s="3337"/>
    </row>
    <row r="45504" spans="7:16" s="1634" customFormat="1">
      <c r="G45504" s="3336"/>
      <c r="P45504" s="3337"/>
    </row>
    <row r="45505" spans="7:16" s="1634" customFormat="1">
      <c r="G45505" s="3336"/>
      <c r="P45505" s="3337"/>
    </row>
    <row r="45506" spans="7:16" s="1634" customFormat="1">
      <c r="G45506" s="3336"/>
      <c r="P45506" s="3337"/>
    </row>
    <row r="45507" spans="7:16" s="1634" customFormat="1">
      <c r="G45507" s="3336"/>
      <c r="P45507" s="3337"/>
    </row>
    <row r="45508" spans="7:16" s="1634" customFormat="1">
      <c r="G45508" s="3336"/>
      <c r="P45508" s="3337"/>
    </row>
    <row r="45509" spans="7:16" s="1634" customFormat="1">
      <c r="G45509" s="3336"/>
      <c r="P45509" s="3337"/>
    </row>
    <row r="45510" spans="7:16" s="1634" customFormat="1">
      <c r="G45510" s="3336"/>
      <c r="P45510" s="3337"/>
    </row>
    <row r="45511" spans="7:16" s="1634" customFormat="1">
      <c r="G45511" s="3336"/>
      <c r="P45511" s="3337"/>
    </row>
    <row r="45512" spans="7:16" s="1634" customFormat="1">
      <c r="G45512" s="3336"/>
      <c r="P45512" s="3337"/>
    </row>
    <row r="45513" spans="7:16" s="1634" customFormat="1">
      <c r="G45513" s="3336"/>
      <c r="P45513" s="3337"/>
    </row>
    <row r="45514" spans="7:16" s="1634" customFormat="1">
      <c r="G45514" s="3336"/>
      <c r="P45514" s="3337"/>
    </row>
    <row r="45515" spans="7:16" s="1634" customFormat="1">
      <c r="G45515" s="3336"/>
      <c r="P45515" s="3337"/>
    </row>
    <row r="45516" spans="7:16" s="1634" customFormat="1">
      <c r="G45516" s="3336"/>
      <c r="P45516" s="3337"/>
    </row>
    <row r="45517" spans="7:16" s="1634" customFormat="1">
      <c r="G45517" s="3336"/>
      <c r="P45517" s="3337"/>
    </row>
    <row r="45518" spans="7:16" s="1634" customFormat="1">
      <c r="G45518" s="3336"/>
      <c r="P45518" s="3337"/>
    </row>
    <row r="45519" spans="7:16" s="1634" customFormat="1">
      <c r="G45519" s="3336"/>
      <c r="P45519" s="3337"/>
    </row>
    <row r="45520" spans="7:16" s="1634" customFormat="1">
      <c r="G45520" s="3336"/>
      <c r="P45520" s="3337"/>
    </row>
    <row r="45521" spans="7:16" s="1634" customFormat="1">
      <c r="G45521" s="3336"/>
      <c r="P45521" s="3337"/>
    </row>
    <row r="45522" spans="7:16" s="1634" customFormat="1">
      <c r="G45522" s="3336"/>
      <c r="P45522" s="3337"/>
    </row>
    <row r="45523" spans="7:16" s="1634" customFormat="1">
      <c r="G45523" s="3336"/>
      <c r="P45523" s="3337"/>
    </row>
    <row r="45524" spans="7:16" s="1634" customFormat="1">
      <c r="G45524" s="3336"/>
      <c r="P45524" s="3337"/>
    </row>
    <row r="45525" spans="7:16" s="1634" customFormat="1">
      <c r="G45525" s="3336"/>
      <c r="P45525" s="3337"/>
    </row>
    <row r="45526" spans="7:16" s="1634" customFormat="1">
      <c r="G45526" s="3336"/>
      <c r="P45526" s="3337"/>
    </row>
    <row r="45527" spans="7:16" s="1634" customFormat="1">
      <c r="G45527" s="3336"/>
      <c r="P45527" s="3337"/>
    </row>
    <row r="45528" spans="7:16" s="1634" customFormat="1">
      <c r="G45528" s="3336"/>
      <c r="P45528" s="3337"/>
    </row>
    <row r="45529" spans="7:16" s="1634" customFormat="1">
      <c r="G45529" s="3336"/>
      <c r="P45529" s="3337"/>
    </row>
    <row r="45530" spans="7:16" s="1634" customFormat="1">
      <c r="G45530" s="3336"/>
      <c r="P45530" s="3337"/>
    </row>
    <row r="45531" spans="7:16" s="1634" customFormat="1">
      <c r="G45531" s="3336"/>
      <c r="P45531" s="3337"/>
    </row>
    <row r="45532" spans="7:16" s="1634" customFormat="1">
      <c r="G45532" s="3336"/>
      <c r="P45532" s="3337"/>
    </row>
    <row r="45533" spans="7:16" s="1634" customFormat="1">
      <c r="G45533" s="3336"/>
      <c r="P45533" s="3337"/>
    </row>
    <row r="45534" spans="7:16" s="1634" customFormat="1">
      <c r="G45534" s="3336"/>
      <c r="P45534" s="3337"/>
    </row>
    <row r="45535" spans="7:16" s="1634" customFormat="1">
      <c r="G45535" s="3336"/>
      <c r="P45535" s="3337"/>
    </row>
    <row r="45536" spans="7:16" s="1634" customFormat="1">
      <c r="G45536" s="3336"/>
      <c r="P45536" s="3337"/>
    </row>
    <row r="45537" spans="7:16" s="1634" customFormat="1">
      <c r="G45537" s="3336"/>
      <c r="P45537" s="3337"/>
    </row>
    <row r="45538" spans="7:16" s="1634" customFormat="1">
      <c r="G45538" s="3336"/>
      <c r="P45538" s="3337"/>
    </row>
    <row r="45539" spans="7:16" s="1634" customFormat="1">
      <c r="G45539" s="3336"/>
      <c r="P45539" s="3337"/>
    </row>
    <row r="45540" spans="7:16" s="1634" customFormat="1">
      <c r="G45540" s="3336"/>
      <c r="P45540" s="3337"/>
    </row>
    <row r="45541" spans="7:16" s="1634" customFormat="1">
      <c r="G45541" s="3336"/>
      <c r="P45541" s="3337"/>
    </row>
    <row r="45542" spans="7:16" s="1634" customFormat="1">
      <c r="G45542" s="3336"/>
      <c r="P45542" s="3337"/>
    </row>
    <row r="45543" spans="7:16" s="1634" customFormat="1">
      <c r="G45543" s="3336"/>
      <c r="P45543" s="3337"/>
    </row>
    <row r="45544" spans="7:16" s="1634" customFormat="1">
      <c r="G45544" s="3336"/>
      <c r="P45544" s="3337"/>
    </row>
    <row r="45545" spans="7:16" s="1634" customFormat="1">
      <c r="G45545" s="3336"/>
      <c r="P45545" s="3337"/>
    </row>
    <row r="45546" spans="7:16" s="1634" customFormat="1">
      <c r="G45546" s="3336"/>
      <c r="P45546" s="3337"/>
    </row>
    <row r="45547" spans="7:16" s="1634" customFormat="1">
      <c r="G45547" s="3336"/>
      <c r="P45547" s="3337"/>
    </row>
    <row r="45548" spans="7:16" s="1634" customFormat="1">
      <c r="G45548" s="3336"/>
      <c r="P45548" s="3337"/>
    </row>
    <row r="45549" spans="7:16" s="1634" customFormat="1">
      <c r="G45549" s="3336"/>
      <c r="P45549" s="3337"/>
    </row>
    <row r="45550" spans="7:16" s="1634" customFormat="1">
      <c r="G45550" s="3336"/>
      <c r="P45550" s="3337"/>
    </row>
    <row r="45551" spans="7:16" s="1634" customFormat="1">
      <c r="G45551" s="3336"/>
      <c r="P45551" s="3337"/>
    </row>
    <row r="45552" spans="7:16" s="1634" customFormat="1">
      <c r="G45552" s="3336"/>
      <c r="P45552" s="3337"/>
    </row>
    <row r="45553" spans="7:16" s="1634" customFormat="1">
      <c r="G45553" s="3336"/>
      <c r="P45553" s="3337"/>
    </row>
    <row r="45554" spans="7:16" s="1634" customFormat="1">
      <c r="G45554" s="3336"/>
      <c r="P45554" s="3337"/>
    </row>
    <row r="45555" spans="7:16" s="1634" customFormat="1">
      <c r="G45555" s="3336"/>
      <c r="P45555" s="3337"/>
    </row>
    <row r="45556" spans="7:16" s="1634" customFormat="1">
      <c r="G45556" s="3336"/>
      <c r="P45556" s="3337"/>
    </row>
    <row r="45557" spans="7:16" s="1634" customFormat="1">
      <c r="G45557" s="3336"/>
      <c r="P45557" s="3337"/>
    </row>
    <row r="45558" spans="7:16" s="1634" customFormat="1">
      <c r="G45558" s="3336"/>
      <c r="P45558" s="3337"/>
    </row>
    <row r="45559" spans="7:16" s="1634" customFormat="1">
      <c r="G45559" s="3336"/>
      <c r="P45559" s="3337"/>
    </row>
    <row r="45560" spans="7:16" s="1634" customFormat="1">
      <c r="G45560" s="3336"/>
      <c r="P45560" s="3337"/>
    </row>
    <row r="45561" spans="7:16" s="1634" customFormat="1">
      <c r="G45561" s="3336"/>
      <c r="P45561" s="3337"/>
    </row>
    <row r="45562" spans="7:16" s="1634" customFormat="1">
      <c r="G45562" s="3336"/>
      <c r="P45562" s="3337"/>
    </row>
    <row r="45563" spans="7:16" s="1634" customFormat="1">
      <c r="G45563" s="3336"/>
      <c r="P45563" s="3337"/>
    </row>
    <row r="45564" spans="7:16" s="1634" customFormat="1">
      <c r="G45564" s="3336"/>
      <c r="P45564" s="3337"/>
    </row>
    <row r="45565" spans="7:16" s="1634" customFormat="1">
      <c r="G45565" s="3336"/>
      <c r="P45565" s="3337"/>
    </row>
    <row r="45566" spans="7:16" s="1634" customFormat="1">
      <c r="G45566" s="3336"/>
      <c r="P45566" s="3337"/>
    </row>
    <row r="45567" spans="7:16" s="1634" customFormat="1">
      <c r="G45567" s="3336"/>
      <c r="P45567" s="3337"/>
    </row>
    <row r="45568" spans="7:16" s="1634" customFormat="1">
      <c r="G45568" s="3336"/>
      <c r="P45568" s="3337"/>
    </row>
    <row r="45569" spans="7:16" s="1634" customFormat="1">
      <c r="G45569" s="3336"/>
      <c r="P45569" s="3337"/>
    </row>
    <row r="45570" spans="7:16" s="1634" customFormat="1">
      <c r="G45570" s="3336"/>
      <c r="P45570" s="3337"/>
    </row>
    <row r="45571" spans="7:16" s="1634" customFormat="1">
      <c r="G45571" s="3336"/>
      <c r="P45571" s="3337"/>
    </row>
    <row r="45572" spans="7:16" s="1634" customFormat="1">
      <c r="G45572" s="3336"/>
      <c r="P45572" s="3337"/>
    </row>
    <row r="45573" spans="7:16" s="1634" customFormat="1">
      <c r="G45573" s="3336"/>
      <c r="P45573" s="3337"/>
    </row>
    <row r="45574" spans="7:16" s="1634" customFormat="1">
      <c r="G45574" s="3336"/>
      <c r="P45574" s="3337"/>
    </row>
    <row r="45575" spans="7:16" s="1634" customFormat="1">
      <c r="G45575" s="3336"/>
      <c r="P45575" s="3337"/>
    </row>
    <row r="45576" spans="7:16" s="1634" customFormat="1">
      <c r="G45576" s="3336"/>
      <c r="P45576" s="3337"/>
    </row>
    <row r="45577" spans="7:16" s="1634" customFormat="1">
      <c r="G45577" s="3336"/>
      <c r="P45577" s="3337"/>
    </row>
    <row r="45578" spans="7:16" s="1634" customFormat="1">
      <c r="G45578" s="3336"/>
      <c r="P45578" s="3337"/>
    </row>
    <row r="45579" spans="7:16" s="1634" customFormat="1">
      <c r="G45579" s="3336"/>
      <c r="P45579" s="3337"/>
    </row>
    <row r="45580" spans="7:16" s="1634" customFormat="1">
      <c r="G45580" s="3336"/>
      <c r="P45580" s="3337"/>
    </row>
    <row r="45581" spans="7:16" s="1634" customFormat="1">
      <c r="G45581" s="3336"/>
      <c r="P45581" s="3337"/>
    </row>
    <row r="45582" spans="7:16" s="1634" customFormat="1">
      <c r="G45582" s="3336"/>
      <c r="P45582" s="3337"/>
    </row>
    <row r="45583" spans="7:16" s="1634" customFormat="1">
      <c r="G45583" s="3336"/>
      <c r="P45583" s="3337"/>
    </row>
    <row r="45584" spans="7:16" s="1634" customFormat="1">
      <c r="G45584" s="3336"/>
      <c r="P45584" s="3337"/>
    </row>
    <row r="45585" spans="7:16" s="1634" customFormat="1">
      <c r="G45585" s="3336"/>
      <c r="P45585" s="3337"/>
    </row>
    <row r="45586" spans="7:16" s="1634" customFormat="1">
      <c r="G45586" s="3336"/>
      <c r="P45586" s="3337"/>
    </row>
    <row r="45587" spans="7:16" s="1634" customFormat="1">
      <c r="G45587" s="3336"/>
      <c r="P45587" s="3337"/>
    </row>
    <row r="45588" spans="7:16" s="1634" customFormat="1">
      <c r="G45588" s="3336"/>
      <c r="P45588" s="3337"/>
    </row>
    <row r="45589" spans="7:16" s="1634" customFormat="1">
      <c r="G45589" s="3336"/>
      <c r="P45589" s="3337"/>
    </row>
    <row r="45590" spans="7:16" s="1634" customFormat="1">
      <c r="G45590" s="3336"/>
      <c r="P45590" s="3337"/>
    </row>
    <row r="45591" spans="7:16" s="1634" customFormat="1">
      <c r="G45591" s="3336"/>
      <c r="P45591" s="3337"/>
    </row>
    <row r="45592" spans="7:16" s="1634" customFormat="1">
      <c r="G45592" s="3336"/>
      <c r="P45592" s="3337"/>
    </row>
    <row r="45593" spans="7:16" s="1634" customFormat="1">
      <c r="G45593" s="3336"/>
      <c r="P45593" s="3337"/>
    </row>
    <row r="45594" spans="7:16" s="1634" customFormat="1">
      <c r="G45594" s="3336"/>
      <c r="P45594" s="3337"/>
    </row>
    <row r="45595" spans="7:16" s="1634" customFormat="1">
      <c r="G45595" s="3336"/>
      <c r="P45595" s="3337"/>
    </row>
    <row r="45596" spans="7:16" s="1634" customFormat="1">
      <c r="G45596" s="3336"/>
      <c r="P45596" s="3337"/>
    </row>
    <row r="45597" spans="7:16" s="1634" customFormat="1">
      <c r="G45597" s="3336"/>
      <c r="P45597" s="3337"/>
    </row>
    <row r="45598" spans="7:16" s="1634" customFormat="1">
      <c r="G45598" s="3336"/>
      <c r="P45598" s="3337"/>
    </row>
    <row r="45599" spans="7:16" s="1634" customFormat="1">
      <c r="G45599" s="3336"/>
      <c r="P45599" s="3337"/>
    </row>
    <row r="45600" spans="7:16" s="1634" customFormat="1">
      <c r="G45600" s="3336"/>
      <c r="P45600" s="3337"/>
    </row>
    <row r="45601" spans="7:16" s="1634" customFormat="1">
      <c r="G45601" s="3336"/>
      <c r="P45601" s="3337"/>
    </row>
    <row r="45602" spans="7:16" s="1634" customFormat="1">
      <c r="G45602" s="3336"/>
      <c r="P45602" s="3337"/>
    </row>
    <row r="45603" spans="7:16" s="1634" customFormat="1">
      <c r="G45603" s="3336"/>
      <c r="P45603" s="3337"/>
    </row>
    <row r="45604" spans="7:16" s="1634" customFormat="1">
      <c r="G45604" s="3336"/>
      <c r="P45604" s="3337"/>
    </row>
    <row r="45605" spans="7:16" s="1634" customFormat="1">
      <c r="G45605" s="3336"/>
      <c r="P45605" s="3337"/>
    </row>
    <row r="45606" spans="7:16" s="1634" customFormat="1">
      <c r="G45606" s="3336"/>
      <c r="P45606" s="3337"/>
    </row>
    <row r="45607" spans="7:16" s="1634" customFormat="1">
      <c r="G45607" s="3336"/>
      <c r="P45607" s="3337"/>
    </row>
    <row r="45608" spans="7:16" s="1634" customFormat="1">
      <c r="G45608" s="3336"/>
      <c r="P45608" s="3337"/>
    </row>
    <row r="45609" spans="7:16" s="1634" customFormat="1">
      <c r="G45609" s="3336"/>
      <c r="P45609" s="3337"/>
    </row>
    <row r="45610" spans="7:16" s="1634" customFormat="1">
      <c r="G45610" s="3336"/>
      <c r="P45610" s="3337"/>
    </row>
    <row r="45611" spans="7:16" s="1634" customFormat="1">
      <c r="G45611" s="3336"/>
      <c r="P45611" s="3337"/>
    </row>
    <row r="45612" spans="7:16" s="1634" customFormat="1">
      <c r="G45612" s="3336"/>
      <c r="P45612" s="3337"/>
    </row>
    <row r="45613" spans="7:16" s="1634" customFormat="1">
      <c r="G45613" s="3336"/>
      <c r="P45613" s="3337"/>
    </row>
    <row r="45614" spans="7:16" s="1634" customFormat="1">
      <c r="G45614" s="3336"/>
      <c r="P45614" s="3337"/>
    </row>
    <row r="45615" spans="7:16" s="1634" customFormat="1">
      <c r="G45615" s="3336"/>
      <c r="P45615" s="3337"/>
    </row>
    <row r="45616" spans="7:16" s="1634" customFormat="1">
      <c r="G45616" s="3336"/>
      <c r="P45616" s="3337"/>
    </row>
    <row r="45617" spans="7:16" s="1634" customFormat="1">
      <c r="G45617" s="3336"/>
      <c r="P45617" s="3337"/>
    </row>
    <row r="45618" spans="7:16" s="1634" customFormat="1">
      <c r="G45618" s="3336"/>
      <c r="P45618" s="3337"/>
    </row>
    <row r="45619" spans="7:16" s="1634" customFormat="1">
      <c r="G45619" s="3336"/>
      <c r="P45619" s="3337"/>
    </row>
    <row r="45620" spans="7:16" s="1634" customFormat="1">
      <c r="G45620" s="3336"/>
      <c r="P45620" s="3337"/>
    </row>
    <row r="45621" spans="7:16" s="1634" customFormat="1">
      <c r="G45621" s="3336"/>
      <c r="P45621" s="3337"/>
    </row>
    <row r="45622" spans="7:16" s="1634" customFormat="1">
      <c r="G45622" s="3336"/>
      <c r="P45622" s="3337"/>
    </row>
    <row r="45623" spans="7:16" s="1634" customFormat="1">
      <c r="G45623" s="3336"/>
      <c r="P45623" s="3337"/>
    </row>
    <row r="45624" spans="7:16" s="1634" customFormat="1">
      <c r="G45624" s="3336"/>
      <c r="P45624" s="3337"/>
    </row>
    <row r="45625" spans="7:16" s="1634" customFormat="1">
      <c r="G45625" s="3336"/>
      <c r="P45625" s="3337"/>
    </row>
    <row r="45626" spans="7:16" s="1634" customFormat="1">
      <c r="G45626" s="3336"/>
      <c r="P45626" s="3337"/>
    </row>
    <row r="45627" spans="7:16" s="1634" customFormat="1">
      <c r="G45627" s="3336"/>
      <c r="P45627" s="3337"/>
    </row>
    <row r="45628" spans="7:16" s="1634" customFormat="1">
      <c r="G45628" s="3336"/>
      <c r="P45628" s="3337"/>
    </row>
    <row r="45629" spans="7:16" s="1634" customFormat="1">
      <c r="G45629" s="3336"/>
      <c r="P45629" s="3337"/>
    </row>
    <row r="45630" spans="7:16" s="1634" customFormat="1">
      <c r="G45630" s="3336"/>
      <c r="P45630" s="3337"/>
    </row>
    <row r="45631" spans="7:16" s="1634" customFormat="1">
      <c r="G45631" s="3336"/>
      <c r="P45631" s="3337"/>
    </row>
    <row r="45632" spans="7:16" s="1634" customFormat="1">
      <c r="G45632" s="3336"/>
      <c r="P45632" s="3337"/>
    </row>
    <row r="45633" spans="7:16" s="1634" customFormat="1">
      <c r="G45633" s="3336"/>
      <c r="P45633" s="3337"/>
    </row>
    <row r="45634" spans="7:16" s="1634" customFormat="1">
      <c r="G45634" s="3336"/>
      <c r="P45634" s="3337"/>
    </row>
    <row r="45635" spans="7:16" s="1634" customFormat="1">
      <c r="G45635" s="3336"/>
      <c r="P45635" s="3337"/>
    </row>
    <row r="45636" spans="7:16" s="1634" customFormat="1">
      <c r="G45636" s="3336"/>
      <c r="P45636" s="3337"/>
    </row>
    <row r="45637" spans="7:16" s="1634" customFormat="1">
      <c r="G45637" s="3336"/>
      <c r="P45637" s="3337"/>
    </row>
    <row r="45638" spans="7:16" s="1634" customFormat="1">
      <c r="G45638" s="3336"/>
      <c r="P45638" s="3337"/>
    </row>
    <row r="45639" spans="7:16" s="1634" customFormat="1">
      <c r="G45639" s="3336"/>
      <c r="P45639" s="3337"/>
    </row>
    <row r="45640" spans="7:16" s="1634" customFormat="1">
      <c r="G45640" s="3336"/>
      <c r="P45640" s="3337"/>
    </row>
    <row r="45641" spans="7:16" s="1634" customFormat="1">
      <c r="G45641" s="3336"/>
      <c r="P45641" s="3337"/>
    </row>
    <row r="45642" spans="7:16" s="1634" customFormat="1">
      <c r="G45642" s="3336"/>
      <c r="P45642" s="3337"/>
    </row>
    <row r="45643" spans="7:16" s="1634" customFormat="1">
      <c r="G45643" s="3336"/>
      <c r="P45643" s="3337"/>
    </row>
    <row r="45644" spans="7:16" s="1634" customFormat="1">
      <c r="G45644" s="3336"/>
      <c r="P45644" s="3337"/>
    </row>
    <row r="45645" spans="7:16" s="1634" customFormat="1">
      <c r="G45645" s="3336"/>
      <c r="P45645" s="3337"/>
    </row>
    <row r="45646" spans="7:16" s="1634" customFormat="1">
      <c r="G45646" s="3336"/>
      <c r="P45646" s="3337"/>
    </row>
    <row r="45647" spans="7:16" s="1634" customFormat="1">
      <c r="G45647" s="3336"/>
      <c r="P45647" s="3337"/>
    </row>
    <row r="45648" spans="7:16" s="1634" customFormat="1">
      <c r="G45648" s="3336"/>
      <c r="P45648" s="3337"/>
    </row>
    <row r="45649" spans="7:16" s="1634" customFormat="1">
      <c r="G45649" s="3336"/>
      <c r="P45649" s="3337"/>
    </row>
    <row r="45650" spans="7:16" s="1634" customFormat="1">
      <c r="G45650" s="3336"/>
      <c r="P45650" s="3337"/>
    </row>
    <row r="45651" spans="7:16" s="1634" customFormat="1">
      <c r="G45651" s="3336"/>
      <c r="P45651" s="3337"/>
    </row>
    <row r="45652" spans="7:16" s="1634" customFormat="1">
      <c r="G45652" s="3336"/>
      <c r="P45652" s="3337"/>
    </row>
    <row r="45653" spans="7:16" s="1634" customFormat="1">
      <c r="G45653" s="3336"/>
      <c r="P45653" s="3337"/>
    </row>
    <row r="45654" spans="7:16" s="1634" customFormat="1">
      <c r="G45654" s="3336"/>
      <c r="P45654" s="3337"/>
    </row>
    <row r="45655" spans="7:16" s="1634" customFormat="1">
      <c r="G45655" s="3336"/>
      <c r="P45655" s="3337"/>
    </row>
    <row r="45656" spans="7:16" s="1634" customFormat="1">
      <c r="G45656" s="3336"/>
      <c r="P45656" s="3337"/>
    </row>
    <row r="45657" spans="7:16" s="1634" customFormat="1">
      <c r="G45657" s="3336"/>
      <c r="P45657" s="3337"/>
    </row>
    <row r="45658" spans="7:16" s="1634" customFormat="1">
      <c r="G45658" s="3336"/>
      <c r="P45658" s="3337"/>
    </row>
    <row r="45659" spans="7:16" s="1634" customFormat="1">
      <c r="G45659" s="3336"/>
      <c r="P45659" s="3337"/>
    </row>
    <row r="45660" spans="7:16" s="1634" customFormat="1">
      <c r="G45660" s="3336"/>
      <c r="P45660" s="3337"/>
    </row>
    <row r="45661" spans="7:16" s="1634" customFormat="1">
      <c r="G45661" s="3336"/>
      <c r="P45661" s="3337"/>
    </row>
    <row r="45662" spans="7:16" s="1634" customFormat="1">
      <c r="G45662" s="3336"/>
      <c r="P45662" s="3337"/>
    </row>
    <row r="45663" spans="7:16" s="1634" customFormat="1">
      <c r="G45663" s="3336"/>
      <c r="P45663" s="3337"/>
    </row>
    <row r="45664" spans="7:16" s="1634" customFormat="1">
      <c r="G45664" s="3336"/>
      <c r="P45664" s="3337"/>
    </row>
    <row r="45665" spans="7:16" s="1634" customFormat="1">
      <c r="G45665" s="3336"/>
      <c r="P45665" s="3337"/>
    </row>
    <row r="45666" spans="7:16" s="1634" customFormat="1">
      <c r="G45666" s="3336"/>
      <c r="P45666" s="3337"/>
    </row>
    <row r="45667" spans="7:16" s="1634" customFormat="1">
      <c r="G45667" s="3336"/>
      <c r="P45667" s="3337"/>
    </row>
    <row r="45668" spans="7:16" s="1634" customFormat="1">
      <c r="G45668" s="3336"/>
      <c r="P45668" s="3337"/>
    </row>
    <row r="45669" spans="7:16" s="1634" customFormat="1">
      <c r="G45669" s="3336"/>
      <c r="P45669" s="3337"/>
    </row>
    <row r="45670" spans="7:16" s="1634" customFormat="1">
      <c r="G45670" s="3336"/>
      <c r="P45670" s="3337"/>
    </row>
    <row r="45671" spans="7:16" s="1634" customFormat="1">
      <c r="G45671" s="3336"/>
      <c r="P45671" s="3337"/>
    </row>
    <row r="45672" spans="7:16" s="1634" customFormat="1">
      <c r="G45672" s="3336"/>
      <c r="P45672" s="3337"/>
    </row>
    <row r="45673" spans="7:16" s="1634" customFormat="1">
      <c r="G45673" s="3336"/>
      <c r="P45673" s="3337"/>
    </row>
    <row r="45674" spans="7:16" s="1634" customFormat="1">
      <c r="G45674" s="3336"/>
      <c r="P45674" s="3337"/>
    </row>
    <row r="45675" spans="7:16" s="1634" customFormat="1">
      <c r="G45675" s="3336"/>
      <c r="P45675" s="3337"/>
    </row>
    <row r="45676" spans="7:16" s="1634" customFormat="1">
      <c r="G45676" s="3336"/>
      <c r="P45676" s="3337"/>
    </row>
    <row r="45677" spans="7:16" s="1634" customFormat="1">
      <c r="G45677" s="3336"/>
      <c r="P45677" s="3337"/>
    </row>
    <row r="45678" spans="7:16" s="1634" customFormat="1">
      <c r="G45678" s="3336"/>
      <c r="P45678" s="3337"/>
    </row>
    <row r="45679" spans="7:16" s="1634" customFormat="1">
      <c r="G45679" s="3336"/>
      <c r="P45679" s="3337"/>
    </row>
    <row r="45680" spans="7:16" s="1634" customFormat="1">
      <c r="G45680" s="3336"/>
      <c r="P45680" s="3337"/>
    </row>
    <row r="45681" spans="7:16" s="1634" customFormat="1">
      <c r="G45681" s="3336"/>
      <c r="P45681" s="3337"/>
    </row>
    <row r="45682" spans="7:16" s="1634" customFormat="1">
      <c r="G45682" s="3336"/>
      <c r="P45682" s="3337"/>
    </row>
    <row r="45683" spans="7:16" s="1634" customFormat="1">
      <c r="G45683" s="3336"/>
      <c r="P45683" s="3337"/>
    </row>
    <row r="45684" spans="7:16" s="1634" customFormat="1">
      <c r="G45684" s="3336"/>
      <c r="P45684" s="3337"/>
    </row>
    <row r="45685" spans="7:16" s="1634" customFormat="1">
      <c r="G45685" s="3336"/>
      <c r="P45685" s="3337"/>
    </row>
    <row r="45686" spans="7:16" s="1634" customFormat="1">
      <c r="G45686" s="3336"/>
      <c r="P45686" s="3337"/>
    </row>
    <row r="45687" spans="7:16" s="1634" customFormat="1">
      <c r="G45687" s="3336"/>
      <c r="P45687" s="3337"/>
    </row>
    <row r="45688" spans="7:16" s="1634" customFormat="1">
      <c r="G45688" s="3336"/>
      <c r="P45688" s="3337"/>
    </row>
    <row r="45689" spans="7:16" s="1634" customFormat="1">
      <c r="G45689" s="3336"/>
      <c r="P45689" s="3337"/>
    </row>
    <row r="45690" spans="7:16" s="1634" customFormat="1">
      <c r="G45690" s="3336"/>
      <c r="P45690" s="3337"/>
    </row>
    <row r="45691" spans="7:16" s="1634" customFormat="1">
      <c r="G45691" s="3336"/>
      <c r="P45691" s="3337"/>
    </row>
    <row r="45692" spans="7:16" s="1634" customFormat="1">
      <c r="G45692" s="3336"/>
      <c r="P45692" s="3337"/>
    </row>
    <row r="45693" spans="7:16" s="1634" customFormat="1">
      <c r="G45693" s="3336"/>
      <c r="P45693" s="3337"/>
    </row>
    <row r="45694" spans="7:16" s="1634" customFormat="1">
      <c r="G45694" s="3336"/>
      <c r="P45694" s="3337"/>
    </row>
    <row r="45695" spans="7:16" s="1634" customFormat="1">
      <c r="G45695" s="3336"/>
      <c r="P45695" s="3337"/>
    </row>
    <row r="45696" spans="7:16" s="1634" customFormat="1">
      <c r="G45696" s="3336"/>
      <c r="P45696" s="3337"/>
    </row>
    <row r="45697" spans="7:16" s="1634" customFormat="1">
      <c r="G45697" s="3336"/>
      <c r="P45697" s="3337"/>
    </row>
    <row r="45698" spans="7:16" s="1634" customFormat="1">
      <c r="G45698" s="3336"/>
      <c r="P45698" s="3337"/>
    </row>
    <row r="45699" spans="7:16" s="1634" customFormat="1">
      <c r="G45699" s="3336"/>
      <c r="P45699" s="3337"/>
    </row>
    <row r="45700" spans="7:16" s="1634" customFormat="1">
      <c r="G45700" s="3336"/>
      <c r="P45700" s="3337"/>
    </row>
    <row r="45701" spans="7:16" s="1634" customFormat="1">
      <c r="G45701" s="3336"/>
      <c r="P45701" s="3337"/>
    </row>
    <row r="45702" spans="7:16" s="1634" customFormat="1">
      <c r="G45702" s="3336"/>
      <c r="P45702" s="3337"/>
    </row>
    <row r="45703" spans="7:16" s="1634" customFormat="1">
      <c r="G45703" s="3336"/>
      <c r="P45703" s="3337"/>
    </row>
    <row r="45704" spans="7:16" s="1634" customFormat="1">
      <c r="G45704" s="3336"/>
      <c r="P45704" s="3337"/>
    </row>
    <row r="45705" spans="7:16" s="1634" customFormat="1">
      <c r="G45705" s="3336"/>
      <c r="P45705" s="3337"/>
    </row>
    <row r="45706" spans="7:16" s="1634" customFormat="1">
      <c r="G45706" s="3336"/>
      <c r="P45706" s="3337"/>
    </row>
    <row r="45707" spans="7:16" s="1634" customFormat="1">
      <c r="G45707" s="3336"/>
      <c r="P45707" s="3337"/>
    </row>
    <row r="45708" spans="7:16" s="1634" customFormat="1">
      <c r="G45708" s="3336"/>
      <c r="P45708" s="3337"/>
    </row>
    <row r="45709" spans="7:16" s="1634" customFormat="1">
      <c r="G45709" s="3336"/>
      <c r="P45709" s="3337"/>
    </row>
    <row r="45710" spans="7:16" s="1634" customFormat="1">
      <c r="G45710" s="3336"/>
      <c r="P45710" s="3337"/>
    </row>
    <row r="45711" spans="7:16" s="1634" customFormat="1">
      <c r="G45711" s="3336"/>
      <c r="P45711" s="3337"/>
    </row>
    <row r="45712" spans="7:16" s="1634" customFormat="1">
      <c r="G45712" s="3336"/>
      <c r="P45712" s="3337"/>
    </row>
    <row r="45713" spans="7:16" s="1634" customFormat="1">
      <c r="G45713" s="3336"/>
      <c r="P45713" s="3337"/>
    </row>
    <row r="45714" spans="7:16" s="1634" customFormat="1">
      <c r="G45714" s="3336"/>
      <c r="P45714" s="3337"/>
    </row>
    <row r="45715" spans="7:16" s="1634" customFormat="1">
      <c r="G45715" s="3336"/>
      <c r="P45715" s="3337"/>
    </row>
    <row r="45716" spans="7:16" s="1634" customFormat="1">
      <c r="G45716" s="3336"/>
      <c r="P45716" s="3337"/>
    </row>
    <row r="45717" spans="7:16" s="1634" customFormat="1">
      <c r="G45717" s="3336"/>
      <c r="P45717" s="3337"/>
    </row>
    <row r="45718" spans="7:16" s="1634" customFormat="1">
      <c r="G45718" s="3336"/>
      <c r="P45718" s="3337"/>
    </row>
    <row r="45719" spans="7:16" s="1634" customFormat="1">
      <c r="G45719" s="3336"/>
      <c r="P45719" s="3337"/>
    </row>
    <row r="45720" spans="7:16" s="1634" customFormat="1">
      <c r="G45720" s="3336"/>
      <c r="P45720" s="3337"/>
    </row>
    <row r="45721" spans="7:16" s="1634" customFormat="1">
      <c r="G45721" s="3336"/>
      <c r="P45721" s="3337"/>
    </row>
    <row r="45722" spans="7:16" s="1634" customFormat="1">
      <c r="G45722" s="3336"/>
      <c r="P45722" s="3337"/>
    </row>
    <row r="45723" spans="7:16" s="1634" customFormat="1">
      <c r="G45723" s="3336"/>
      <c r="P45723" s="3337"/>
    </row>
    <row r="45724" spans="7:16" s="1634" customFormat="1">
      <c r="G45724" s="3336"/>
      <c r="P45724" s="3337"/>
    </row>
    <row r="45725" spans="7:16" s="1634" customFormat="1">
      <c r="G45725" s="3336"/>
      <c r="P45725" s="3337"/>
    </row>
    <row r="45726" spans="7:16" s="1634" customFormat="1">
      <c r="G45726" s="3336"/>
      <c r="P45726" s="3337"/>
    </row>
    <row r="45727" spans="7:16" s="1634" customFormat="1">
      <c r="G45727" s="3336"/>
      <c r="P45727" s="3337"/>
    </row>
    <row r="45728" spans="7:16" s="1634" customFormat="1">
      <c r="G45728" s="3336"/>
      <c r="P45728" s="3337"/>
    </row>
    <row r="45729" spans="7:16" s="1634" customFormat="1">
      <c r="G45729" s="3336"/>
      <c r="P45729" s="3337"/>
    </row>
    <row r="45730" spans="7:16" s="1634" customFormat="1">
      <c r="G45730" s="3336"/>
      <c r="P45730" s="3337"/>
    </row>
    <row r="45731" spans="7:16" s="1634" customFormat="1">
      <c r="G45731" s="3336"/>
      <c r="P45731" s="3337"/>
    </row>
    <row r="45732" spans="7:16" s="1634" customFormat="1">
      <c r="G45732" s="3336"/>
      <c r="P45732" s="3337"/>
    </row>
    <row r="45733" spans="7:16" s="1634" customFormat="1">
      <c r="G45733" s="3336"/>
      <c r="P45733" s="3337"/>
    </row>
    <row r="45734" spans="7:16" s="1634" customFormat="1">
      <c r="G45734" s="3336"/>
      <c r="P45734" s="3337"/>
    </row>
    <row r="45735" spans="7:16" s="1634" customFormat="1">
      <c r="G45735" s="3336"/>
      <c r="P45735" s="3337"/>
    </row>
    <row r="45736" spans="7:16" s="1634" customFormat="1">
      <c r="G45736" s="3336"/>
      <c r="P45736" s="3337"/>
    </row>
    <row r="45737" spans="7:16" s="1634" customFormat="1">
      <c r="G45737" s="3336"/>
      <c r="P45737" s="3337"/>
    </row>
    <row r="45738" spans="7:16" s="1634" customFormat="1">
      <c r="G45738" s="3336"/>
      <c r="P45738" s="3337"/>
    </row>
    <row r="45739" spans="7:16" s="1634" customFormat="1">
      <c r="G45739" s="3336"/>
      <c r="P45739" s="3337"/>
    </row>
    <row r="45740" spans="7:16" s="1634" customFormat="1">
      <c r="G45740" s="3336"/>
      <c r="P45740" s="3337"/>
    </row>
    <row r="45741" spans="7:16" s="1634" customFormat="1">
      <c r="G45741" s="3336"/>
      <c r="P45741" s="3337"/>
    </row>
    <row r="45742" spans="7:16" s="1634" customFormat="1">
      <c r="G45742" s="3336"/>
      <c r="P45742" s="3337"/>
    </row>
    <row r="45743" spans="7:16" s="1634" customFormat="1">
      <c r="G45743" s="3336"/>
      <c r="P45743" s="3337"/>
    </row>
    <row r="45744" spans="7:16" s="1634" customFormat="1">
      <c r="G45744" s="3336"/>
      <c r="P45744" s="3337"/>
    </row>
    <row r="45745" spans="7:16" s="1634" customFormat="1">
      <c r="G45745" s="3336"/>
      <c r="P45745" s="3337"/>
    </row>
    <row r="45746" spans="7:16" s="1634" customFormat="1">
      <c r="G45746" s="3336"/>
      <c r="P45746" s="3337"/>
    </row>
    <row r="45747" spans="7:16" s="1634" customFormat="1">
      <c r="G45747" s="3336"/>
      <c r="P45747" s="3337"/>
    </row>
    <row r="45748" spans="7:16" s="1634" customFormat="1">
      <c r="G45748" s="3336"/>
      <c r="P45748" s="3337"/>
    </row>
    <row r="45749" spans="7:16" s="1634" customFormat="1">
      <c r="G45749" s="3336"/>
      <c r="P45749" s="3337"/>
    </row>
    <row r="45750" spans="7:16" s="1634" customFormat="1">
      <c r="G45750" s="3336"/>
      <c r="P45750" s="3337"/>
    </row>
    <row r="45751" spans="7:16" s="1634" customFormat="1">
      <c r="G45751" s="3336"/>
      <c r="P45751" s="3337"/>
    </row>
    <row r="45752" spans="7:16" s="1634" customFormat="1">
      <c r="G45752" s="3336"/>
      <c r="P45752" s="3337"/>
    </row>
    <row r="45753" spans="7:16" s="1634" customFormat="1">
      <c r="G45753" s="3336"/>
      <c r="P45753" s="3337"/>
    </row>
    <row r="45754" spans="7:16" s="1634" customFormat="1">
      <c r="G45754" s="3336"/>
      <c r="P45754" s="3337"/>
    </row>
    <row r="45755" spans="7:16" s="1634" customFormat="1">
      <c r="G45755" s="3336"/>
      <c r="P45755" s="3337"/>
    </row>
    <row r="45756" spans="7:16" s="1634" customFormat="1">
      <c r="G45756" s="3336"/>
      <c r="P45756" s="3337"/>
    </row>
    <row r="45757" spans="7:16" s="1634" customFormat="1">
      <c r="G45757" s="3336"/>
      <c r="P45757" s="3337"/>
    </row>
    <row r="45758" spans="7:16" s="1634" customFormat="1">
      <c r="G45758" s="3336"/>
      <c r="P45758" s="3337"/>
    </row>
    <row r="45759" spans="7:16" s="1634" customFormat="1">
      <c r="G45759" s="3336"/>
      <c r="P45759" s="3337"/>
    </row>
    <row r="45760" spans="7:16" s="1634" customFormat="1">
      <c r="G45760" s="3336"/>
      <c r="P45760" s="3337"/>
    </row>
    <row r="45761" spans="7:16" s="1634" customFormat="1">
      <c r="G45761" s="3336"/>
      <c r="P45761" s="3337"/>
    </row>
    <row r="45762" spans="7:16" s="1634" customFormat="1">
      <c r="G45762" s="3336"/>
      <c r="P45762" s="3337"/>
    </row>
    <row r="45763" spans="7:16" s="1634" customFormat="1">
      <c r="G45763" s="3336"/>
      <c r="P45763" s="3337"/>
    </row>
    <row r="45764" spans="7:16" s="1634" customFormat="1">
      <c r="G45764" s="3336"/>
      <c r="P45764" s="3337"/>
    </row>
    <row r="45765" spans="7:16" s="1634" customFormat="1">
      <c r="G45765" s="3336"/>
      <c r="P45765" s="3337"/>
    </row>
    <row r="45766" spans="7:16" s="1634" customFormat="1">
      <c r="G45766" s="3336"/>
      <c r="P45766" s="3337"/>
    </row>
    <row r="45767" spans="7:16" s="1634" customFormat="1">
      <c r="G45767" s="3336"/>
      <c r="P45767" s="3337"/>
    </row>
    <row r="45768" spans="7:16" s="1634" customFormat="1">
      <c r="G45768" s="3336"/>
      <c r="P45768" s="3337"/>
    </row>
    <row r="45769" spans="7:16" s="1634" customFormat="1">
      <c r="G45769" s="3336"/>
      <c r="P45769" s="3337"/>
    </row>
    <row r="45770" spans="7:16" s="1634" customFormat="1">
      <c r="G45770" s="3336"/>
      <c r="P45770" s="3337"/>
    </row>
    <row r="45771" spans="7:16" s="1634" customFormat="1">
      <c r="G45771" s="3336"/>
      <c r="P45771" s="3337"/>
    </row>
    <row r="45772" spans="7:16" s="1634" customFormat="1">
      <c r="G45772" s="3336"/>
      <c r="P45772" s="3337"/>
    </row>
    <row r="45773" spans="7:16" s="1634" customFormat="1">
      <c r="G45773" s="3336"/>
      <c r="P45773" s="3337"/>
    </row>
    <row r="45774" spans="7:16" s="1634" customFormat="1">
      <c r="G45774" s="3336"/>
      <c r="P45774" s="3337"/>
    </row>
    <row r="45775" spans="7:16" s="1634" customFormat="1">
      <c r="G45775" s="3336"/>
      <c r="P45775" s="3337"/>
    </row>
    <row r="45776" spans="7:16" s="1634" customFormat="1">
      <c r="G45776" s="3336"/>
      <c r="P45776" s="3337"/>
    </row>
    <row r="45777" spans="7:16" s="1634" customFormat="1">
      <c r="G45777" s="3336"/>
      <c r="P45777" s="3337"/>
    </row>
    <row r="45778" spans="7:16" s="1634" customFormat="1">
      <c r="G45778" s="3336"/>
      <c r="P45778" s="3337"/>
    </row>
    <row r="45779" spans="7:16" s="1634" customFormat="1">
      <c r="G45779" s="3336"/>
      <c r="P45779" s="3337"/>
    </row>
    <row r="45780" spans="7:16" s="1634" customFormat="1">
      <c r="G45780" s="3336"/>
      <c r="P45780" s="3337"/>
    </row>
    <row r="45781" spans="7:16" s="1634" customFormat="1">
      <c r="G45781" s="3336"/>
      <c r="P45781" s="3337"/>
    </row>
    <row r="45782" spans="7:16" s="1634" customFormat="1">
      <c r="G45782" s="3336"/>
      <c r="P45782" s="3337"/>
    </row>
    <row r="45783" spans="7:16" s="1634" customFormat="1">
      <c r="G45783" s="3336"/>
      <c r="P45783" s="3337"/>
    </row>
    <row r="45784" spans="7:16" s="1634" customFormat="1">
      <c r="G45784" s="3336"/>
      <c r="P45784" s="3337"/>
    </row>
    <row r="45785" spans="7:16" s="1634" customFormat="1">
      <c r="G45785" s="3336"/>
      <c r="P45785" s="3337"/>
    </row>
    <row r="45786" spans="7:16" s="1634" customFormat="1">
      <c r="G45786" s="3336"/>
      <c r="P45786" s="3337"/>
    </row>
    <row r="45787" spans="7:16" s="1634" customFormat="1">
      <c r="G45787" s="3336"/>
      <c r="P45787" s="3337"/>
    </row>
    <row r="45788" spans="7:16" s="1634" customFormat="1">
      <c r="G45788" s="3336"/>
      <c r="P45788" s="3337"/>
    </row>
    <row r="45789" spans="7:16" s="1634" customFormat="1">
      <c r="G45789" s="3336"/>
      <c r="P45789" s="3337"/>
    </row>
    <row r="45790" spans="7:16" s="1634" customFormat="1">
      <c r="G45790" s="3336"/>
      <c r="P45790" s="3337"/>
    </row>
    <row r="45791" spans="7:16" s="1634" customFormat="1">
      <c r="G45791" s="3336"/>
      <c r="P45791" s="3337"/>
    </row>
    <row r="45792" spans="7:16" s="1634" customFormat="1">
      <c r="G45792" s="3336"/>
      <c r="P45792" s="3337"/>
    </row>
    <row r="45793" spans="7:16" s="1634" customFormat="1">
      <c r="G45793" s="3336"/>
      <c r="P45793" s="3337"/>
    </row>
    <row r="45794" spans="7:16" s="1634" customFormat="1">
      <c r="G45794" s="3336"/>
      <c r="P45794" s="3337"/>
    </row>
    <row r="45795" spans="7:16" s="1634" customFormat="1">
      <c r="G45795" s="3336"/>
      <c r="P45795" s="3337"/>
    </row>
    <row r="45796" spans="7:16" s="1634" customFormat="1">
      <c r="G45796" s="3336"/>
      <c r="P45796" s="3337"/>
    </row>
    <row r="45797" spans="7:16" s="1634" customFormat="1">
      <c r="G45797" s="3336"/>
      <c r="P45797" s="3337"/>
    </row>
    <row r="45798" spans="7:16" s="1634" customFormat="1">
      <c r="G45798" s="3336"/>
      <c r="P45798" s="3337"/>
    </row>
    <row r="45799" spans="7:16" s="1634" customFormat="1">
      <c r="G45799" s="3336"/>
      <c r="P45799" s="3337"/>
    </row>
    <row r="45800" spans="7:16" s="1634" customFormat="1">
      <c r="G45800" s="3336"/>
      <c r="P45800" s="3337"/>
    </row>
    <row r="45801" spans="7:16" s="1634" customFormat="1">
      <c r="G45801" s="3336"/>
      <c r="P45801" s="3337"/>
    </row>
    <row r="45802" spans="7:16" s="1634" customFormat="1">
      <c r="G45802" s="3336"/>
      <c r="P45802" s="3337"/>
    </row>
    <row r="45803" spans="7:16" s="1634" customFormat="1">
      <c r="G45803" s="3336"/>
      <c r="P45803" s="3337"/>
    </row>
    <row r="45804" spans="7:16" s="1634" customFormat="1">
      <c r="G45804" s="3336"/>
      <c r="P45804" s="3337"/>
    </row>
    <row r="45805" spans="7:16" s="1634" customFormat="1">
      <c r="G45805" s="3336"/>
      <c r="P45805" s="3337"/>
    </row>
    <row r="45806" spans="7:16" s="1634" customFormat="1">
      <c r="G45806" s="3336"/>
      <c r="P45806" s="3337"/>
    </row>
    <row r="45807" spans="7:16" s="1634" customFormat="1">
      <c r="G45807" s="3336"/>
      <c r="P45807" s="3337"/>
    </row>
    <row r="45808" spans="7:16" s="1634" customFormat="1">
      <c r="G45808" s="3336"/>
      <c r="P45808" s="3337"/>
    </row>
    <row r="45809" spans="7:16" s="1634" customFormat="1">
      <c r="G45809" s="3336"/>
      <c r="P45809" s="3337"/>
    </row>
    <row r="45810" spans="7:16" s="1634" customFormat="1">
      <c r="G45810" s="3336"/>
      <c r="P45810" s="3337"/>
    </row>
    <row r="45811" spans="7:16" s="1634" customFormat="1">
      <c r="G45811" s="3336"/>
      <c r="P45811" s="3337"/>
    </row>
    <row r="45812" spans="7:16" s="1634" customFormat="1">
      <c r="G45812" s="3336"/>
      <c r="P45812" s="3337"/>
    </row>
    <row r="45813" spans="7:16" s="1634" customFormat="1">
      <c r="G45813" s="3336"/>
      <c r="P45813" s="3337"/>
    </row>
    <row r="45814" spans="7:16" s="1634" customFormat="1">
      <c r="G45814" s="3336"/>
      <c r="P45814" s="3337"/>
    </row>
    <row r="45815" spans="7:16" s="1634" customFormat="1">
      <c r="G45815" s="3336"/>
      <c r="P45815" s="3337"/>
    </row>
    <row r="45816" spans="7:16" s="1634" customFormat="1">
      <c r="G45816" s="3336"/>
      <c r="P45816" s="3337"/>
    </row>
    <row r="45817" spans="7:16" s="1634" customFormat="1">
      <c r="G45817" s="3336"/>
      <c r="P45817" s="3337"/>
    </row>
    <row r="45818" spans="7:16" s="1634" customFormat="1">
      <c r="G45818" s="3336"/>
      <c r="P45818" s="3337"/>
    </row>
    <row r="45819" spans="7:16" s="1634" customFormat="1">
      <c r="G45819" s="3336"/>
      <c r="P45819" s="3337"/>
    </row>
    <row r="45820" spans="7:16" s="1634" customFormat="1">
      <c r="G45820" s="3336"/>
      <c r="P45820" s="3337"/>
    </row>
    <row r="45821" spans="7:16" s="1634" customFormat="1">
      <c r="G45821" s="3336"/>
      <c r="P45821" s="3337"/>
    </row>
    <row r="45822" spans="7:16" s="1634" customFormat="1">
      <c r="G45822" s="3336"/>
      <c r="P45822" s="3337"/>
    </row>
    <row r="45823" spans="7:16" s="1634" customFormat="1">
      <c r="G45823" s="3336"/>
      <c r="P45823" s="3337"/>
    </row>
    <row r="45824" spans="7:16" s="1634" customFormat="1">
      <c r="G45824" s="3336"/>
      <c r="P45824" s="3337"/>
    </row>
    <row r="45825" spans="7:16" s="1634" customFormat="1">
      <c r="G45825" s="3336"/>
      <c r="P45825" s="3337"/>
    </row>
    <row r="45826" spans="7:16" s="1634" customFormat="1">
      <c r="G45826" s="3336"/>
      <c r="P45826" s="3337"/>
    </row>
    <row r="45827" spans="7:16" s="1634" customFormat="1">
      <c r="G45827" s="3336"/>
      <c r="P45827" s="3337"/>
    </row>
    <row r="45828" spans="7:16" s="1634" customFormat="1">
      <c r="G45828" s="3336"/>
      <c r="P45828" s="3337"/>
    </row>
    <row r="45829" spans="7:16" s="1634" customFormat="1">
      <c r="G45829" s="3336"/>
      <c r="P45829" s="3337"/>
    </row>
    <row r="45830" spans="7:16" s="1634" customFormat="1">
      <c r="G45830" s="3336"/>
      <c r="P45830" s="3337"/>
    </row>
    <row r="45831" spans="7:16" s="1634" customFormat="1">
      <c r="G45831" s="3336"/>
      <c r="P45831" s="3337"/>
    </row>
    <row r="45832" spans="7:16" s="1634" customFormat="1">
      <c r="G45832" s="3336"/>
      <c r="P45832" s="3337"/>
    </row>
    <row r="45833" spans="7:16" s="1634" customFormat="1">
      <c r="G45833" s="3336"/>
      <c r="P45833" s="3337"/>
    </row>
    <row r="45834" spans="7:16" s="1634" customFormat="1">
      <c r="G45834" s="3336"/>
      <c r="P45834" s="3337"/>
    </row>
    <row r="45835" spans="7:16" s="1634" customFormat="1">
      <c r="G45835" s="3336"/>
      <c r="P45835" s="3337"/>
    </row>
    <row r="45836" spans="7:16" s="1634" customFormat="1">
      <c r="G45836" s="3336"/>
      <c r="P45836" s="3337"/>
    </row>
    <row r="45837" spans="7:16" s="1634" customFormat="1">
      <c r="G45837" s="3336"/>
      <c r="P45837" s="3337"/>
    </row>
    <row r="45838" spans="7:16" s="1634" customFormat="1">
      <c r="G45838" s="3336"/>
      <c r="P45838" s="3337"/>
    </row>
    <row r="45839" spans="7:16" s="1634" customFormat="1">
      <c r="G45839" s="3336"/>
      <c r="P45839" s="3337"/>
    </row>
    <row r="45840" spans="7:16" s="1634" customFormat="1">
      <c r="G45840" s="3336"/>
      <c r="P45840" s="3337"/>
    </row>
    <row r="45841" spans="7:16" s="1634" customFormat="1">
      <c r="G45841" s="3336"/>
      <c r="P45841" s="3337"/>
    </row>
    <row r="45842" spans="7:16" s="1634" customFormat="1">
      <c r="G45842" s="3336"/>
      <c r="P45842" s="3337"/>
    </row>
    <row r="45843" spans="7:16" s="1634" customFormat="1">
      <c r="G45843" s="3336"/>
      <c r="P45843" s="3337"/>
    </row>
    <row r="45844" spans="7:16" s="1634" customFormat="1">
      <c r="G45844" s="3336"/>
      <c r="P45844" s="3337"/>
    </row>
    <row r="45845" spans="7:16" s="1634" customFormat="1">
      <c r="G45845" s="3336"/>
      <c r="P45845" s="3337"/>
    </row>
    <row r="45846" spans="7:16" s="1634" customFormat="1">
      <c r="G45846" s="3336"/>
      <c r="P45846" s="3337"/>
    </row>
    <row r="45847" spans="7:16" s="1634" customFormat="1">
      <c r="G45847" s="3336"/>
      <c r="P45847" s="3337"/>
    </row>
    <row r="45848" spans="7:16" s="1634" customFormat="1">
      <c r="G45848" s="3336"/>
      <c r="P45848" s="3337"/>
    </row>
    <row r="45849" spans="7:16" s="1634" customFormat="1">
      <c r="G45849" s="3336"/>
      <c r="P45849" s="3337"/>
    </row>
    <row r="45850" spans="7:16" s="1634" customFormat="1">
      <c r="G45850" s="3336"/>
      <c r="P45850" s="3337"/>
    </row>
    <row r="45851" spans="7:16" s="1634" customFormat="1">
      <c r="G45851" s="3336"/>
      <c r="P45851" s="3337"/>
    </row>
    <row r="45852" spans="7:16" s="1634" customFormat="1">
      <c r="G45852" s="3336"/>
      <c r="P45852" s="3337"/>
    </row>
    <row r="45853" spans="7:16" s="1634" customFormat="1">
      <c r="G45853" s="3336"/>
      <c r="P45853" s="3337"/>
    </row>
    <row r="45854" spans="7:16" s="1634" customFormat="1">
      <c r="G45854" s="3336"/>
      <c r="P45854" s="3337"/>
    </row>
    <row r="45855" spans="7:16" s="1634" customFormat="1">
      <c r="G45855" s="3336"/>
      <c r="P45855" s="3337"/>
    </row>
    <row r="45856" spans="7:16" s="1634" customFormat="1">
      <c r="G45856" s="3336"/>
      <c r="P45856" s="3337"/>
    </row>
    <row r="45857" spans="7:16" s="1634" customFormat="1">
      <c r="G45857" s="3336"/>
      <c r="P45857" s="3337"/>
    </row>
    <row r="45858" spans="7:16" s="1634" customFormat="1">
      <c r="G45858" s="3336"/>
      <c r="P45858" s="3337"/>
    </row>
    <row r="45859" spans="7:16" s="1634" customFormat="1">
      <c r="G45859" s="3336"/>
      <c r="P45859" s="3337"/>
    </row>
    <row r="45860" spans="7:16" s="1634" customFormat="1">
      <c r="G45860" s="3336"/>
      <c r="P45860" s="3337"/>
    </row>
    <row r="45861" spans="7:16" s="1634" customFormat="1">
      <c r="G45861" s="3336"/>
      <c r="P45861" s="3337"/>
    </row>
    <row r="45862" spans="7:16" s="1634" customFormat="1">
      <c r="G45862" s="3336"/>
      <c r="P45862" s="3337"/>
    </row>
    <row r="45863" spans="7:16" s="1634" customFormat="1">
      <c r="G45863" s="3336"/>
      <c r="P45863" s="3337"/>
    </row>
    <row r="45864" spans="7:16" s="1634" customFormat="1">
      <c r="G45864" s="3336"/>
      <c r="P45864" s="3337"/>
    </row>
    <row r="45865" spans="7:16" s="1634" customFormat="1">
      <c r="G45865" s="3336"/>
      <c r="P45865" s="3337"/>
    </row>
    <row r="45866" spans="7:16" s="1634" customFormat="1">
      <c r="G45866" s="3336"/>
      <c r="P45866" s="3337"/>
    </row>
    <row r="45867" spans="7:16" s="1634" customFormat="1">
      <c r="G45867" s="3336"/>
      <c r="P45867" s="3337"/>
    </row>
    <row r="45868" spans="7:16" s="1634" customFormat="1">
      <c r="G45868" s="3336"/>
      <c r="P45868" s="3337"/>
    </row>
    <row r="45869" spans="7:16" s="1634" customFormat="1">
      <c r="G45869" s="3336"/>
      <c r="P45869" s="3337"/>
    </row>
    <row r="45870" spans="7:16" s="1634" customFormat="1">
      <c r="G45870" s="3336"/>
      <c r="P45870" s="3337"/>
    </row>
    <row r="45871" spans="7:16" s="1634" customFormat="1">
      <c r="G45871" s="3336"/>
      <c r="P45871" s="3337"/>
    </row>
    <row r="45872" spans="7:16" s="1634" customFormat="1">
      <c r="G45872" s="3336"/>
      <c r="P45872" s="3337"/>
    </row>
    <row r="45873" spans="7:16" s="1634" customFormat="1">
      <c r="G45873" s="3336"/>
      <c r="P45873" s="3337"/>
    </row>
    <row r="45874" spans="7:16" s="1634" customFormat="1">
      <c r="G45874" s="3336"/>
      <c r="P45874" s="3337"/>
    </row>
    <row r="45875" spans="7:16" s="1634" customFormat="1">
      <c r="G45875" s="3336"/>
      <c r="P45875" s="3337"/>
    </row>
    <row r="45876" spans="7:16" s="1634" customFormat="1">
      <c r="G45876" s="3336"/>
      <c r="P45876" s="3337"/>
    </row>
    <row r="45877" spans="7:16" s="1634" customFormat="1">
      <c r="G45877" s="3336"/>
      <c r="P45877" s="3337"/>
    </row>
    <row r="45878" spans="7:16" s="1634" customFormat="1">
      <c r="G45878" s="3336"/>
      <c r="P45878" s="3337"/>
    </row>
    <row r="45879" spans="7:16" s="1634" customFormat="1">
      <c r="G45879" s="3336"/>
      <c r="P45879" s="3337"/>
    </row>
    <row r="45880" spans="7:16" s="1634" customFormat="1">
      <c r="G45880" s="3336"/>
      <c r="P45880" s="3337"/>
    </row>
    <row r="45881" spans="7:16" s="1634" customFormat="1">
      <c r="G45881" s="3336"/>
      <c r="P45881" s="3337"/>
    </row>
    <row r="45882" spans="7:16" s="1634" customFormat="1">
      <c r="G45882" s="3336"/>
      <c r="P45882" s="3337"/>
    </row>
    <row r="45883" spans="7:16" s="1634" customFormat="1">
      <c r="G45883" s="3336"/>
      <c r="P45883" s="3337"/>
    </row>
    <row r="45884" spans="7:16" s="1634" customFormat="1">
      <c r="G45884" s="3336"/>
      <c r="P45884" s="3337"/>
    </row>
    <row r="45885" spans="7:16" s="1634" customFormat="1">
      <c r="G45885" s="3336"/>
      <c r="P45885" s="3337"/>
    </row>
    <row r="45886" spans="7:16" s="1634" customFormat="1">
      <c r="G45886" s="3336"/>
      <c r="P45886" s="3337"/>
    </row>
    <row r="45887" spans="7:16" s="1634" customFormat="1">
      <c r="G45887" s="3336"/>
      <c r="P45887" s="3337"/>
    </row>
    <row r="45888" spans="7:16" s="1634" customFormat="1">
      <c r="G45888" s="3336"/>
      <c r="P45888" s="3337"/>
    </row>
    <row r="45889" spans="7:16" s="1634" customFormat="1">
      <c r="G45889" s="3336"/>
      <c r="P45889" s="3337"/>
    </row>
    <row r="45890" spans="7:16" s="1634" customFormat="1">
      <c r="G45890" s="3336"/>
      <c r="P45890" s="3337"/>
    </row>
    <row r="45891" spans="7:16" s="1634" customFormat="1">
      <c r="G45891" s="3336"/>
      <c r="P45891" s="3337"/>
    </row>
    <row r="45892" spans="7:16" s="1634" customFormat="1">
      <c r="G45892" s="3336"/>
      <c r="P45892" s="3337"/>
    </row>
    <row r="45893" spans="7:16" s="1634" customFormat="1">
      <c r="G45893" s="3336"/>
      <c r="P45893" s="3337"/>
    </row>
    <row r="45894" spans="7:16" s="1634" customFormat="1">
      <c r="G45894" s="3336"/>
      <c r="P45894" s="3337"/>
    </row>
    <row r="45895" spans="7:16" s="1634" customFormat="1">
      <c r="G45895" s="3336"/>
      <c r="P45895" s="3337"/>
    </row>
    <row r="45896" spans="7:16" s="1634" customFormat="1">
      <c r="G45896" s="3336"/>
      <c r="P45896" s="3337"/>
    </row>
    <row r="45897" spans="7:16" s="1634" customFormat="1">
      <c r="G45897" s="3336"/>
      <c r="P45897" s="3337"/>
    </row>
    <row r="45898" spans="7:16" s="1634" customFormat="1">
      <c r="G45898" s="3336"/>
      <c r="P45898" s="3337"/>
    </row>
    <row r="45899" spans="7:16" s="1634" customFormat="1">
      <c r="G45899" s="3336"/>
      <c r="P45899" s="3337"/>
    </row>
    <row r="45900" spans="7:16" s="1634" customFormat="1">
      <c r="G45900" s="3336"/>
      <c r="P45900" s="3337"/>
    </row>
    <row r="45901" spans="7:16" s="1634" customFormat="1">
      <c r="G45901" s="3336"/>
      <c r="P45901" s="3337"/>
    </row>
    <row r="45902" spans="7:16" s="1634" customFormat="1">
      <c r="G45902" s="3336"/>
      <c r="P45902" s="3337"/>
    </row>
    <row r="45903" spans="7:16" s="1634" customFormat="1">
      <c r="G45903" s="3336"/>
      <c r="P45903" s="3337"/>
    </row>
    <row r="45904" spans="7:16" s="1634" customFormat="1">
      <c r="G45904" s="3336"/>
      <c r="P45904" s="3337"/>
    </row>
    <row r="45905" spans="7:16" s="1634" customFormat="1">
      <c r="G45905" s="3336"/>
      <c r="P45905" s="3337"/>
    </row>
    <row r="45906" spans="7:16" s="1634" customFormat="1">
      <c r="G45906" s="3336"/>
      <c r="P45906" s="3337"/>
    </row>
    <row r="45907" spans="7:16" s="1634" customFormat="1">
      <c r="G45907" s="3336"/>
      <c r="P45907" s="3337"/>
    </row>
    <row r="45908" spans="7:16" s="1634" customFormat="1">
      <c r="G45908" s="3336"/>
      <c r="P45908" s="3337"/>
    </row>
    <row r="45909" spans="7:16" s="1634" customFormat="1">
      <c r="G45909" s="3336"/>
      <c r="P45909" s="3337"/>
    </row>
    <row r="45910" spans="7:16" s="1634" customFormat="1">
      <c r="G45910" s="3336"/>
      <c r="P45910" s="3337"/>
    </row>
    <row r="45911" spans="7:16" s="1634" customFormat="1">
      <c r="G45911" s="3336"/>
      <c r="P45911" s="3337"/>
    </row>
    <row r="45912" spans="7:16" s="1634" customFormat="1">
      <c r="G45912" s="3336"/>
      <c r="P45912" s="3337"/>
    </row>
    <row r="45913" spans="7:16" s="1634" customFormat="1">
      <c r="G45913" s="3336"/>
      <c r="P45913" s="3337"/>
    </row>
    <row r="45914" spans="7:16" s="1634" customFormat="1">
      <c r="G45914" s="3336"/>
      <c r="P45914" s="3337"/>
    </row>
    <row r="45915" spans="7:16" s="1634" customFormat="1">
      <c r="G45915" s="3336"/>
      <c r="P45915" s="3337"/>
    </row>
    <row r="45916" spans="7:16" s="1634" customFormat="1">
      <c r="G45916" s="3336"/>
      <c r="P45916" s="3337"/>
    </row>
    <row r="45917" spans="7:16" s="1634" customFormat="1">
      <c r="G45917" s="3336"/>
      <c r="P45917" s="3337"/>
    </row>
    <row r="45918" spans="7:16" s="1634" customFormat="1">
      <c r="G45918" s="3336"/>
      <c r="P45918" s="3337"/>
    </row>
    <row r="45919" spans="7:16" s="1634" customFormat="1">
      <c r="G45919" s="3336"/>
      <c r="P45919" s="3337"/>
    </row>
    <row r="45920" spans="7:16" s="1634" customFormat="1">
      <c r="G45920" s="3336"/>
      <c r="P45920" s="3337"/>
    </row>
    <row r="45921" spans="7:16" s="1634" customFormat="1">
      <c r="G45921" s="3336"/>
      <c r="P45921" s="3337"/>
    </row>
    <row r="45922" spans="7:16" s="1634" customFormat="1">
      <c r="G45922" s="3336"/>
      <c r="P45922" s="3337"/>
    </row>
    <row r="45923" spans="7:16" s="1634" customFormat="1">
      <c r="G45923" s="3336"/>
      <c r="P45923" s="3337"/>
    </row>
    <row r="45924" spans="7:16" s="1634" customFormat="1">
      <c r="G45924" s="3336"/>
      <c r="P45924" s="3337"/>
    </row>
    <row r="45925" spans="7:16" s="1634" customFormat="1">
      <c r="G45925" s="3336"/>
      <c r="P45925" s="3337"/>
    </row>
    <row r="45926" spans="7:16" s="1634" customFormat="1">
      <c r="G45926" s="3336"/>
      <c r="P45926" s="3337"/>
    </row>
    <row r="45927" spans="7:16" s="1634" customFormat="1">
      <c r="G45927" s="3336"/>
      <c r="P45927" s="3337"/>
    </row>
    <row r="45928" spans="7:16" s="1634" customFormat="1">
      <c r="G45928" s="3336"/>
      <c r="P45928" s="3337"/>
    </row>
    <row r="45929" spans="7:16" s="1634" customFormat="1">
      <c r="G45929" s="3336"/>
      <c r="P45929" s="3337"/>
    </row>
    <row r="45930" spans="7:16" s="1634" customFormat="1">
      <c r="G45930" s="3336"/>
      <c r="P45930" s="3337"/>
    </row>
    <row r="45931" spans="7:16" s="1634" customFormat="1">
      <c r="G45931" s="3336"/>
      <c r="P45931" s="3337"/>
    </row>
    <row r="45932" spans="7:16" s="1634" customFormat="1">
      <c r="G45932" s="3336"/>
      <c r="P45932" s="3337"/>
    </row>
    <row r="45933" spans="7:16" s="1634" customFormat="1">
      <c r="G45933" s="3336"/>
      <c r="P45933" s="3337"/>
    </row>
    <row r="45934" spans="7:16" s="1634" customFormat="1">
      <c r="G45934" s="3336"/>
      <c r="P45934" s="3337"/>
    </row>
    <row r="45935" spans="7:16" s="1634" customFormat="1">
      <c r="G45935" s="3336"/>
      <c r="P45935" s="3337"/>
    </row>
    <row r="45936" spans="7:16" s="1634" customFormat="1">
      <c r="G45936" s="3336"/>
      <c r="P45936" s="3337"/>
    </row>
    <row r="45937" spans="7:16" s="1634" customFormat="1">
      <c r="G45937" s="3336"/>
      <c r="P45937" s="3337"/>
    </row>
    <row r="45938" spans="7:16" s="1634" customFormat="1">
      <c r="G45938" s="3336"/>
      <c r="P45938" s="3337"/>
    </row>
    <row r="45939" spans="7:16" s="1634" customFormat="1">
      <c r="G45939" s="3336"/>
      <c r="P45939" s="3337"/>
    </row>
    <row r="45940" spans="7:16" s="1634" customFormat="1">
      <c r="G45940" s="3336"/>
      <c r="P45940" s="3337"/>
    </row>
    <row r="45941" spans="7:16" s="1634" customFormat="1">
      <c r="G45941" s="3336"/>
      <c r="P45941" s="3337"/>
    </row>
    <row r="45942" spans="7:16" s="1634" customFormat="1">
      <c r="G45942" s="3336"/>
      <c r="P45942" s="3337"/>
    </row>
    <row r="45943" spans="7:16" s="1634" customFormat="1">
      <c r="G45943" s="3336"/>
      <c r="P45943" s="3337"/>
    </row>
    <row r="45944" spans="7:16" s="1634" customFormat="1">
      <c r="G45944" s="3336"/>
      <c r="P45944" s="3337"/>
    </row>
    <row r="45945" spans="7:16" s="1634" customFormat="1">
      <c r="G45945" s="3336"/>
      <c r="P45945" s="3337"/>
    </row>
    <row r="45946" spans="7:16" s="1634" customFormat="1">
      <c r="G45946" s="3336"/>
      <c r="P45946" s="3337"/>
    </row>
    <row r="45947" spans="7:16" s="1634" customFormat="1">
      <c r="G45947" s="3336"/>
      <c r="P45947" s="3337"/>
    </row>
    <row r="45948" spans="7:16" s="1634" customFormat="1">
      <c r="G45948" s="3336"/>
      <c r="P45948" s="3337"/>
    </row>
    <row r="45949" spans="7:16" s="1634" customFormat="1">
      <c r="G45949" s="3336"/>
      <c r="P45949" s="3337"/>
    </row>
    <row r="45950" spans="7:16" s="1634" customFormat="1">
      <c r="G45950" s="3336"/>
      <c r="P45950" s="3337"/>
    </row>
    <row r="45951" spans="7:16" s="1634" customFormat="1">
      <c r="G45951" s="3336"/>
      <c r="P45951" s="3337"/>
    </row>
    <row r="45952" spans="7:16" s="1634" customFormat="1">
      <c r="G45952" s="3336"/>
      <c r="P45952" s="3337"/>
    </row>
    <row r="45953" spans="7:16" s="1634" customFormat="1">
      <c r="G45953" s="3336"/>
      <c r="P45953" s="3337"/>
    </row>
    <row r="45954" spans="7:16" s="1634" customFormat="1">
      <c r="G45954" s="3336"/>
      <c r="P45954" s="3337"/>
    </row>
    <row r="45955" spans="7:16" s="1634" customFormat="1">
      <c r="G45955" s="3336"/>
      <c r="P45955" s="3337"/>
    </row>
    <row r="45956" spans="7:16" s="1634" customFormat="1">
      <c r="G45956" s="3336"/>
      <c r="P45956" s="3337"/>
    </row>
    <row r="45957" spans="7:16" s="1634" customFormat="1">
      <c r="G45957" s="3336"/>
      <c r="P45957" s="3337"/>
    </row>
    <row r="45958" spans="7:16" s="1634" customFormat="1">
      <c r="G45958" s="3336"/>
      <c r="P45958" s="3337"/>
    </row>
    <row r="45959" spans="7:16" s="1634" customFormat="1">
      <c r="G45959" s="3336"/>
      <c r="P45959" s="3337"/>
    </row>
    <row r="45960" spans="7:16" s="1634" customFormat="1">
      <c r="G45960" s="3336"/>
      <c r="P45960" s="3337"/>
    </row>
    <row r="45961" spans="7:16" s="1634" customFormat="1">
      <c r="G45961" s="3336"/>
      <c r="P45961" s="3337"/>
    </row>
    <row r="45962" spans="7:16" s="1634" customFormat="1">
      <c r="G45962" s="3336"/>
      <c r="P45962" s="3337"/>
    </row>
    <row r="45963" spans="7:16" s="1634" customFormat="1">
      <c r="G45963" s="3336"/>
      <c r="P45963" s="3337"/>
    </row>
    <row r="45964" spans="7:16" s="1634" customFormat="1">
      <c r="G45964" s="3336"/>
      <c r="P45964" s="3337"/>
    </row>
    <row r="45965" spans="7:16" s="1634" customFormat="1">
      <c r="G45965" s="3336"/>
      <c r="P45965" s="3337"/>
    </row>
    <row r="45966" spans="7:16" s="1634" customFormat="1">
      <c r="G45966" s="3336"/>
      <c r="P45966" s="3337"/>
    </row>
    <row r="45967" spans="7:16" s="1634" customFormat="1">
      <c r="G45967" s="3336"/>
      <c r="P45967" s="3337"/>
    </row>
    <row r="45968" spans="7:16" s="1634" customFormat="1">
      <c r="G45968" s="3336"/>
      <c r="P45968" s="3337"/>
    </row>
    <row r="45969" spans="7:16" s="1634" customFormat="1">
      <c r="G45969" s="3336"/>
      <c r="P45969" s="3337"/>
    </row>
    <row r="45970" spans="7:16" s="1634" customFormat="1">
      <c r="G45970" s="3336"/>
      <c r="P45970" s="3337"/>
    </row>
    <row r="45971" spans="7:16" s="1634" customFormat="1">
      <c r="G45971" s="3336"/>
      <c r="P45971" s="3337"/>
    </row>
    <row r="45972" spans="7:16" s="1634" customFormat="1">
      <c r="G45972" s="3336"/>
      <c r="P45972" s="3337"/>
    </row>
    <row r="45973" spans="7:16" s="1634" customFormat="1">
      <c r="G45973" s="3336"/>
      <c r="P45973" s="3337"/>
    </row>
    <row r="45974" spans="7:16" s="1634" customFormat="1">
      <c r="G45974" s="3336"/>
      <c r="P45974" s="3337"/>
    </row>
    <row r="45975" spans="7:16" s="1634" customFormat="1">
      <c r="G45975" s="3336"/>
      <c r="P45975" s="3337"/>
    </row>
    <row r="45976" spans="7:16" s="1634" customFormat="1">
      <c r="G45976" s="3336"/>
      <c r="P45976" s="3337"/>
    </row>
    <row r="45977" spans="7:16" s="1634" customFormat="1">
      <c r="G45977" s="3336"/>
      <c r="P45977" s="3337"/>
    </row>
    <row r="45978" spans="7:16" s="1634" customFormat="1">
      <c r="G45978" s="3336"/>
      <c r="P45978" s="3337"/>
    </row>
    <row r="45979" spans="7:16" s="1634" customFormat="1">
      <c r="G45979" s="3336"/>
      <c r="P45979" s="3337"/>
    </row>
    <row r="45980" spans="7:16" s="1634" customFormat="1">
      <c r="G45980" s="3336"/>
      <c r="P45980" s="3337"/>
    </row>
    <row r="45981" spans="7:16" s="1634" customFormat="1">
      <c r="G45981" s="3336"/>
      <c r="P45981" s="3337"/>
    </row>
    <row r="45982" spans="7:16" s="1634" customFormat="1">
      <c r="G45982" s="3336"/>
      <c r="P45982" s="3337"/>
    </row>
    <row r="45983" spans="7:16" s="1634" customFormat="1">
      <c r="G45983" s="3336"/>
      <c r="P45983" s="3337"/>
    </row>
    <row r="45984" spans="7:16" s="1634" customFormat="1">
      <c r="G45984" s="3336"/>
      <c r="P45984" s="3337"/>
    </row>
    <row r="45985" spans="7:16" s="1634" customFormat="1">
      <c r="G45985" s="3336"/>
      <c r="P45985" s="3337"/>
    </row>
    <row r="45986" spans="7:16" s="1634" customFormat="1">
      <c r="G45986" s="3336"/>
      <c r="P45986" s="3337"/>
    </row>
    <row r="45987" spans="7:16" s="1634" customFormat="1">
      <c r="G45987" s="3336"/>
      <c r="P45987" s="3337"/>
    </row>
    <row r="45988" spans="7:16" s="1634" customFormat="1">
      <c r="G45988" s="3336"/>
      <c r="P45988" s="3337"/>
    </row>
    <row r="45989" spans="7:16" s="1634" customFormat="1">
      <c r="G45989" s="3336"/>
      <c r="P45989" s="3337"/>
    </row>
    <row r="45990" spans="7:16" s="1634" customFormat="1">
      <c r="G45990" s="3336"/>
      <c r="P45990" s="3337"/>
    </row>
    <row r="45991" spans="7:16" s="1634" customFormat="1">
      <c r="G45991" s="3336"/>
      <c r="P45991" s="3337"/>
    </row>
    <row r="45992" spans="7:16" s="1634" customFormat="1">
      <c r="G45992" s="3336"/>
      <c r="P45992" s="3337"/>
    </row>
    <row r="45993" spans="7:16" s="1634" customFormat="1">
      <c r="G45993" s="3336"/>
      <c r="P45993" s="3337"/>
    </row>
    <row r="45994" spans="7:16" s="1634" customFormat="1">
      <c r="G45994" s="3336"/>
      <c r="P45994" s="3337"/>
    </row>
    <row r="45995" spans="7:16" s="1634" customFormat="1">
      <c r="G45995" s="3336"/>
      <c r="P45995" s="3337"/>
    </row>
    <row r="45996" spans="7:16" s="1634" customFormat="1">
      <c r="G45996" s="3336"/>
      <c r="P45996" s="3337"/>
    </row>
    <row r="45997" spans="7:16" s="1634" customFormat="1">
      <c r="G45997" s="3336"/>
      <c r="P45997" s="3337"/>
    </row>
    <row r="45998" spans="7:16" s="1634" customFormat="1">
      <c r="G45998" s="3336"/>
      <c r="P45998" s="3337"/>
    </row>
    <row r="45999" spans="7:16" s="1634" customFormat="1">
      <c r="G45999" s="3336"/>
      <c r="P45999" s="3337"/>
    </row>
    <row r="46000" spans="7:16" s="1634" customFormat="1">
      <c r="G46000" s="3336"/>
      <c r="P46000" s="3337"/>
    </row>
    <row r="46001" spans="7:16" s="1634" customFormat="1">
      <c r="G46001" s="3336"/>
      <c r="P46001" s="3337"/>
    </row>
    <row r="46002" spans="7:16" s="1634" customFormat="1">
      <c r="G46002" s="3336"/>
      <c r="P46002" s="3337"/>
    </row>
    <row r="46003" spans="7:16" s="1634" customFormat="1">
      <c r="G46003" s="3336"/>
      <c r="P46003" s="3337"/>
    </row>
    <row r="46004" spans="7:16" s="1634" customFormat="1">
      <c r="G46004" s="3336"/>
      <c r="P46004" s="3337"/>
    </row>
    <row r="46005" spans="7:16" s="1634" customFormat="1">
      <c r="G46005" s="3336"/>
      <c r="P46005" s="3337"/>
    </row>
    <row r="46006" spans="7:16" s="1634" customFormat="1">
      <c r="G46006" s="3336"/>
      <c r="P46006" s="3337"/>
    </row>
    <row r="46007" spans="7:16" s="1634" customFormat="1">
      <c r="G46007" s="3336"/>
      <c r="P46007" s="3337"/>
    </row>
    <row r="46008" spans="7:16" s="1634" customFormat="1">
      <c r="G46008" s="3336"/>
      <c r="P46008" s="3337"/>
    </row>
    <row r="46009" spans="7:16" s="1634" customFormat="1">
      <c r="G46009" s="3336"/>
      <c r="P46009" s="3337"/>
    </row>
    <row r="46010" spans="7:16" s="1634" customFormat="1">
      <c r="G46010" s="3336"/>
      <c r="P46010" s="3337"/>
    </row>
    <row r="46011" spans="7:16" s="1634" customFormat="1">
      <c r="G46011" s="3336"/>
      <c r="P46011" s="3337"/>
    </row>
    <row r="46012" spans="7:16" s="1634" customFormat="1">
      <c r="G46012" s="3336"/>
      <c r="P46012" s="3337"/>
    </row>
    <row r="46013" spans="7:16" s="1634" customFormat="1">
      <c r="G46013" s="3336"/>
      <c r="P46013" s="3337"/>
    </row>
    <row r="46014" spans="7:16" s="1634" customFormat="1">
      <c r="G46014" s="3336"/>
      <c r="P46014" s="3337"/>
    </row>
    <row r="46015" spans="7:16" s="1634" customFormat="1">
      <c r="G46015" s="3336"/>
      <c r="P46015" s="3337"/>
    </row>
    <row r="46016" spans="7:16" s="1634" customFormat="1">
      <c r="G46016" s="3336"/>
      <c r="P46016" s="3337"/>
    </row>
    <row r="46017" spans="7:16" s="1634" customFormat="1">
      <c r="G46017" s="3336"/>
      <c r="P46017" s="3337"/>
    </row>
    <row r="46018" spans="7:16" s="1634" customFormat="1">
      <c r="G46018" s="3336"/>
      <c r="P46018" s="3337"/>
    </row>
    <row r="46019" spans="7:16" s="1634" customFormat="1">
      <c r="G46019" s="3336"/>
      <c r="P46019" s="3337"/>
    </row>
    <row r="46020" spans="7:16" s="1634" customFormat="1">
      <c r="G46020" s="3336"/>
      <c r="P46020" s="3337"/>
    </row>
    <row r="46021" spans="7:16" s="1634" customFormat="1">
      <c r="G46021" s="3336"/>
      <c r="P46021" s="3337"/>
    </row>
    <row r="46022" spans="7:16" s="1634" customFormat="1">
      <c r="G46022" s="3336"/>
      <c r="P46022" s="3337"/>
    </row>
    <row r="46023" spans="7:16" s="1634" customFormat="1">
      <c r="G46023" s="3336"/>
      <c r="P46023" s="3337"/>
    </row>
    <row r="46024" spans="7:16" s="1634" customFormat="1">
      <c r="G46024" s="3336"/>
      <c r="P46024" s="3337"/>
    </row>
    <row r="46025" spans="7:16" s="1634" customFormat="1">
      <c r="G46025" s="3336"/>
      <c r="P46025" s="3337"/>
    </row>
    <row r="46026" spans="7:16" s="1634" customFormat="1">
      <c r="G46026" s="3336"/>
      <c r="P46026" s="3337"/>
    </row>
    <row r="46027" spans="7:16" s="1634" customFormat="1">
      <c r="G46027" s="3336"/>
      <c r="P46027" s="3337"/>
    </row>
    <row r="46028" spans="7:16" s="1634" customFormat="1">
      <c r="G46028" s="3336"/>
      <c r="P46028" s="3337"/>
    </row>
    <row r="46029" spans="7:16" s="1634" customFormat="1">
      <c r="G46029" s="3336"/>
      <c r="P46029" s="3337"/>
    </row>
    <row r="46030" spans="7:16" s="1634" customFormat="1">
      <c r="G46030" s="3336"/>
      <c r="P46030" s="3337"/>
    </row>
    <row r="46031" spans="7:16" s="1634" customFormat="1">
      <c r="G46031" s="3336"/>
      <c r="P46031" s="3337"/>
    </row>
    <row r="46032" spans="7:16" s="1634" customFormat="1">
      <c r="G46032" s="3336"/>
      <c r="P46032" s="3337"/>
    </row>
    <row r="46033" spans="7:16" s="1634" customFormat="1">
      <c r="G46033" s="3336"/>
      <c r="P46033" s="3337"/>
    </row>
    <row r="46034" spans="7:16" s="1634" customFormat="1">
      <c r="G46034" s="3336"/>
      <c r="P46034" s="3337"/>
    </row>
    <row r="46035" spans="7:16" s="1634" customFormat="1">
      <c r="G46035" s="3336"/>
      <c r="P46035" s="3337"/>
    </row>
    <row r="46036" spans="7:16" s="1634" customFormat="1">
      <c r="G46036" s="3336"/>
      <c r="P46036" s="3337"/>
    </row>
    <row r="46037" spans="7:16" s="1634" customFormat="1">
      <c r="G46037" s="3336"/>
      <c r="P46037" s="3337"/>
    </row>
    <row r="46038" spans="7:16" s="1634" customFormat="1">
      <c r="G46038" s="3336"/>
      <c r="P46038" s="3337"/>
    </row>
    <row r="46039" spans="7:16" s="1634" customFormat="1">
      <c r="G46039" s="3336"/>
      <c r="P46039" s="3337"/>
    </row>
    <row r="46040" spans="7:16" s="1634" customFormat="1">
      <c r="G46040" s="3336"/>
      <c r="P46040" s="3337"/>
    </row>
    <row r="46041" spans="7:16" s="1634" customFormat="1">
      <c r="G46041" s="3336"/>
      <c r="P46041" s="3337"/>
    </row>
    <row r="46042" spans="7:16" s="1634" customFormat="1">
      <c r="G46042" s="3336"/>
      <c r="P46042" s="3337"/>
    </row>
    <row r="46043" spans="7:16" s="1634" customFormat="1">
      <c r="G46043" s="3336"/>
      <c r="P46043" s="3337"/>
    </row>
    <row r="46044" spans="7:16" s="1634" customFormat="1">
      <c r="G46044" s="3336"/>
      <c r="P46044" s="3337"/>
    </row>
    <row r="46045" spans="7:16" s="1634" customFormat="1">
      <c r="G46045" s="3336"/>
      <c r="P46045" s="3337"/>
    </row>
    <row r="46046" spans="7:16" s="1634" customFormat="1">
      <c r="G46046" s="3336"/>
      <c r="P46046" s="3337"/>
    </row>
    <row r="46047" spans="7:16" s="1634" customFormat="1">
      <c r="G46047" s="3336"/>
      <c r="P46047" s="3337"/>
    </row>
    <row r="46048" spans="7:16" s="1634" customFormat="1">
      <c r="G46048" s="3336"/>
      <c r="P46048" s="3337"/>
    </row>
    <row r="46049" spans="7:16" s="1634" customFormat="1">
      <c r="G46049" s="3336"/>
      <c r="P46049" s="3337"/>
    </row>
    <row r="46050" spans="7:16" s="1634" customFormat="1">
      <c r="G46050" s="3336"/>
      <c r="P46050" s="3337"/>
    </row>
    <row r="46051" spans="7:16" s="1634" customFormat="1">
      <c r="G46051" s="3336"/>
      <c r="P46051" s="3337"/>
    </row>
    <row r="46052" spans="7:16" s="1634" customFormat="1">
      <c r="G46052" s="3336"/>
      <c r="P46052" s="3337"/>
    </row>
    <row r="46053" spans="7:16" s="1634" customFormat="1">
      <c r="G46053" s="3336"/>
      <c r="P46053" s="3337"/>
    </row>
    <row r="46054" spans="7:16" s="1634" customFormat="1">
      <c r="G46054" s="3336"/>
      <c r="P46054" s="3337"/>
    </row>
    <row r="46055" spans="7:16" s="1634" customFormat="1">
      <c r="G46055" s="3336"/>
      <c r="P46055" s="3337"/>
    </row>
    <row r="46056" spans="7:16" s="1634" customFormat="1">
      <c r="G46056" s="3336"/>
      <c r="P46056" s="3337"/>
    </row>
    <row r="46057" spans="7:16" s="1634" customFormat="1">
      <c r="G46057" s="3336"/>
      <c r="P46057" s="3337"/>
    </row>
    <row r="46058" spans="7:16" s="1634" customFormat="1">
      <c r="G46058" s="3336"/>
      <c r="P46058" s="3337"/>
    </row>
    <row r="46059" spans="7:16" s="1634" customFormat="1">
      <c r="G46059" s="3336"/>
      <c r="P46059" s="3337"/>
    </row>
    <row r="46060" spans="7:16" s="1634" customFormat="1">
      <c r="G46060" s="3336"/>
      <c r="P46060" s="3337"/>
    </row>
    <row r="46061" spans="7:16" s="1634" customFormat="1">
      <c r="G46061" s="3336"/>
      <c r="P46061" s="3337"/>
    </row>
    <row r="46062" spans="7:16" s="1634" customFormat="1">
      <c r="G46062" s="3336"/>
      <c r="P46062" s="3337"/>
    </row>
    <row r="46063" spans="7:16" s="1634" customFormat="1">
      <c r="G46063" s="3336"/>
      <c r="P46063" s="3337"/>
    </row>
    <row r="46064" spans="7:16" s="1634" customFormat="1">
      <c r="G46064" s="3336"/>
      <c r="P46064" s="3337"/>
    </row>
    <row r="46065" spans="7:16" s="1634" customFormat="1">
      <c r="G46065" s="3336"/>
      <c r="P46065" s="3337"/>
    </row>
    <row r="46066" spans="7:16" s="1634" customFormat="1">
      <c r="G46066" s="3336"/>
      <c r="P46066" s="3337"/>
    </row>
    <row r="46067" spans="7:16" s="1634" customFormat="1">
      <c r="G46067" s="3336"/>
      <c r="P46067" s="3337"/>
    </row>
    <row r="46068" spans="7:16" s="1634" customFormat="1">
      <c r="G46068" s="3336"/>
      <c r="P46068" s="3337"/>
    </row>
    <row r="46069" spans="7:16" s="1634" customFormat="1">
      <c r="G46069" s="3336"/>
      <c r="P46069" s="3337"/>
    </row>
    <row r="46070" spans="7:16" s="1634" customFormat="1">
      <c r="G46070" s="3336"/>
      <c r="P46070" s="3337"/>
    </row>
    <row r="46071" spans="7:16" s="1634" customFormat="1">
      <c r="G46071" s="3336"/>
      <c r="P46071" s="3337"/>
    </row>
    <row r="46072" spans="7:16" s="1634" customFormat="1">
      <c r="G46072" s="3336"/>
      <c r="P46072" s="3337"/>
    </row>
    <row r="46073" spans="7:16" s="1634" customFormat="1">
      <c r="G46073" s="3336"/>
      <c r="P46073" s="3337"/>
    </row>
    <row r="46074" spans="7:16" s="1634" customFormat="1">
      <c r="G46074" s="3336"/>
      <c r="P46074" s="3337"/>
    </row>
    <row r="46075" spans="7:16" s="1634" customFormat="1">
      <c r="G46075" s="3336"/>
      <c r="P46075" s="3337"/>
    </row>
    <row r="46076" spans="7:16" s="1634" customFormat="1">
      <c r="G46076" s="3336"/>
      <c r="P46076" s="3337"/>
    </row>
    <row r="46077" spans="7:16" s="1634" customFormat="1">
      <c r="G46077" s="3336"/>
      <c r="P46077" s="3337"/>
    </row>
    <row r="46078" spans="7:16" s="1634" customFormat="1">
      <c r="G46078" s="3336"/>
      <c r="P46078" s="3337"/>
    </row>
    <row r="46079" spans="7:16" s="1634" customFormat="1">
      <c r="G46079" s="3336"/>
      <c r="P46079" s="3337"/>
    </row>
    <row r="46080" spans="7:16" s="1634" customFormat="1">
      <c r="G46080" s="3336"/>
      <c r="P46080" s="3337"/>
    </row>
    <row r="46081" spans="7:16" s="1634" customFormat="1">
      <c r="G46081" s="3336"/>
      <c r="P46081" s="3337"/>
    </row>
    <row r="46082" spans="7:16" s="1634" customFormat="1">
      <c r="G46082" s="3336"/>
      <c r="P46082" s="3337"/>
    </row>
    <row r="46083" spans="7:16" s="1634" customFormat="1">
      <c r="G46083" s="3336"/>
      <c r="P46083" s="3337"/>
    </row>
    <row r="46084" spans="7:16" s="1634" customFormat="1">
      <c r="G46084" s="3336"/>
      <c r="P46084" s="3337"/>
    </row>
    <row r="46085" spans="7:16" s="1634" customFormat="1">
      <c r="G46085" s="3336"/>
      <c r="P46085" s="3337"/>
    </row>
    <row r="46086" spans="7:16" s="1634" customFormat="1">
      <c r="G46086" s="3336"/>
      <c r="P46086" s="3337"/>
    </row>
    <row r="46087" spans="7:16" s="1634" customFormat="1">
      <c r="G46087" s="3336"/>
      <c r="P46087" s="3337"/>
    </row>
    <row r="46088" spans="7:16" s="1634" customFormat="1">
      <c r="G46088" s="3336"/>
      <c r="P46088" s="3337"/>
    </row>
    <row r="46089" spans="7:16" s="1634" customFormat="1">
      <c r="G46089" s="3336"/>
      <c r="P46089" s="3337"/>
    </row>
    <row r="46090" spans="7:16" s="1634" customFormat="1">
      <c r="G46090" s="3336"/>
      <c r="P46090" s="3337"/>
    </row>
    <row r="46091" spans="7:16" s="1634" customFormat="1">
      <c r="G46091" s="3336"/>
      <c r="P46091" s="3337"/>
    </row>
    <row r="46092" spans="7:16" s="1634" customFormat="1">
      <c r="G46092" s="3336"/>
      <c r="P46092" s="3337"/>
    </row>
    <row r="46093" spans="7:16" s="1634" customFormat="1">
      <c r="G46093" s="3336"/>
      <c r="P46093" s="3337"/>
    </row>
    <row r="46094" spans="7:16" s="1634" customFormat="1">
      <c r="G46094" s="3336"/>
      <c r="P46094" s="3337"/>
    </row>
    <row r="46095" spans="7:16" s="1634" customFormat="1">
      <c r="G46095" s="3336"/>
      <c r="P46095" s="3337"/>
    </row>
    <row r="46096" spans="7:16" s="1634" customFormat="1">
      <c r="G46096" s="3336"/>
      <c r="P46096" s="3337"/>
    </row>
    <row r="46097" spans="7:16" s="1634" customFormat="1">
      <c r="G46097" s="3336"/>
      <c r="P46097" s="3337"/>
    </row>
    <row r="46098" spans="7:16" s="1634" customFormat="1">
      <c r="G46098" s="3336"/>
      <c r="P46098" s="3337"/>
    </row>
    <row r="46099" spans="7:16" s="1634" customFormat="1">
      <c r="G46099" s="3336"/>
      <c r="P46099" s="3337"/>
    </row>
    <row r="46100" spans="7:16" s="1634" customFormat="1">
      <c r="G46100" s="3336"/>
      <c r="P46100" s="3337"/>
    </row>
    <row r="46101" spans="7:16" s="1634" customFormat="1">
      <c r="G46101" s="3336"/>
      <c r="P46101" s="3337"/>
    </row>
    <row r="46102" spans="7:16" s="1634" customFormat="1">
      <c r="G46102" s="3336"/>
      <c r="P46102" s="3337"/>
    </row>
    <row r="46103" spans="7:16" s="1634" customFormat="1">
      <c r="G46103" s="3336"/>
      <c r="P46103" s="3337"/>
    </row>
    <row r="46104" spans="7:16" s="1634" customFormat="1">
      <c r="G46104" s="3336"/>
      <c r="P46104" s="3337"/>
    </row>
    <row r="46105" spans="7:16" s="1634" customFormat="1">
      <c r="G46105" s="3336"/>
      <c r="P46105" s="3337"/>
    </row>
    <row r="46106" spans="7:16" s="1634" customFormat="1">
      <c r="G46106" s="3336"/>
      <c r="P46106" s="3337"/>
    </row>
    <row r="46107" spans="7:16" s="1634" customFormat="1">
      <c r="G46107" s="3336"/>
      <c r="P46107" s="3337"/>
    </row>
    <row r="46108" spans="7:16" s="1634" customFormat="1">
      <c r="G46108" s="3336"/>
      <c r="P46108" s="3337"/>
    </row>
    <row r="46109" spans="7:16" s="1634" customFormat="1">
      <c r="G46109" s="3336"/>
      <c r="P46109" s="3337"/>
    </row>
    <row r="46110" spans="7:16" s="1634" customFormat="1">
      <c r="G46110" s="3336"/>
      <c r="P46110" s="3337"/>
    </row>
    <row r="46111" spans="7:16" s="1634" customFormat="1">
      <c r="G46111" s="3336"/>
      <c r="P46111" s="3337"/>
    </row>
    <row r="46112" spans="7:16" s="1634" customFormat="1">
      <c r="G46112" s="3336"/>
      <c r="P46112" s="3337"/>
    </row>
    <row r="46113" spans="7:16" s="1634" customFormat="1">
      <c r="G46113" s="3336"/>
      <c r="P46113" s="3337"/>
    </row>
    <row r="46114" spans="7:16" s="1634" customFormat="1">
      <c r="G46114" s="3336"/>
      <c r="P46114" s="3337"/>
    </row>
    <row r="46115" spans="7:16" s="1634" customFormat="1">
      <c r="G46115" s="3336"/>
      <c r="P46115" s="3337"/>
    </row>
    <row r="46116" spans="7:16" s="1634" customFormat="1">
      <c r="G46116" s="3336"/>
      <c r="P46116" s="3337"/>
    </row>
    <row r="46117" spans="7:16" s="1634" customFormat="1">
      <c r="G46117" s="3336"/>
      <c r="P46117" s="3337"/>
    </row>
    <row r="46118" spans="7:16" s="1634" customFormat="1">
      <c r="G46118" s="3336"/>
      <c r="P46118" s="3337"/>
    </row>
    <row r="46119" spans="7:16" s="1634" customFormat="1">
      <c r="G46119" s="3336"/>
      <c r="P46119" s="3337"/>
    </row>
    <row r="46120" spans="7:16" s="1634" customFormat="1">
      <c r="G46120" s="3336"/>
      <c r="P46120" s="3337"/>
    </row>
    <row r="46121" spans="7:16" s="1634" customFormat="1">
      <c r="G46121" s="3336"/>
      <c r="P46121" s="3337"/>
    </row>
    <row r="46122" spans="7:16" s="1634" customFormat="1">
      <c r="G46122" s="3336"/>
      <c r="P46122" s="3337"/>
    </row>
    <row r="46123" spans="7:16" s="1634" customFormat="1">
      <c r="G46123" s="3336"/>
      <c r="P46123" s="3337"/>
    </row>
    <row r="46124" spans="7:16" s="1634" customFormat="1">
      <c r="G46124" s="3336"/>
      <c r="P46124" s="3337"/>
    </row>
    <row r="46125" spans="7:16" s="1634" customFormat="1">
      <c r="G46125" s="3336"/>
      <c r="P46125" s="3337"/>
    </row>
    <row r="46126" spans="7:16" s="1634" customFormat="1">
      <c r="G46126" s="3336"/>
      <c r="P46126" s="3337"/>
    </row>
    <row r="46127" spans="7:16" s="1634" customFormat="1">
      <c r="G46127" s="3336"/>
      <c r="P46127" s="3337"/>
    </row>
    <row r="46128" spans="7:16" s="1634" customFormat="1">
      <c r="G46128" s="3336"/>
      <c r="P46128" s="3337"/>
    </row>
    <row r="46129" spans="7:16" s="1634" customFormat="1">
      <c r="G46129" s="3336"/>
      <c r="P46129" s="3337"/>
    </row>
    <row r="46130" spans="7:16" s="1634" customFormat="1">
      <c r="G46130" s="3336"/>
      <c r="P46130" s="3337"/>
    </row>
    <row r="46131" spans="7:16" s="1634" customFormat="1">
      <c r="G46131" s="3336"/>
      <c r="P46131" s="3337"/>
    </row>
    <row r="46132" spans="7:16" s="1634" customFormat="1">
      <c r="G46132" s="3336"/>
      <c r="P46132" s="3337"/>
    </row>
    <row r="46133" spans="7:16" s="1634" customFormat="1">
      <c r="G46133" s="3336"/>
      <c r="P46133" s="3337"/>
    </row>
    <row r="46134" spans="7:16" s="1634" customFormat="1">
      <c r="G46134" s="3336"/>
      <c r="P46134" s="3337"/>
    </row>
    <row r="46135" spans="7:16" s="1634" customFormat="1">
      <c r="G46135" s="3336"/>
      <c r="P46135" s="3337"/>
    </row>
    <row r="46136" spans="7:16" s="1634" customFormat="1">
      <c r="G46136" s="3336"/>
      <c r="P46136" s="3337"/>
    </row>
    <row r="46137" spans="7:16" s="1634" customFormat="1">
      <c r="G46137" s="3336"/>
      <c r="P46137" s="3337"/>
    </row>
    <row r="46138" spans="7:16" s="1634" customFormat="1">
      <c r="G46138" s="3336"/>
      <c r="P46138" s="3337"/>
    </row>
    <row r="46139" spans="7:16" s="1634" customFormat="1">
      <c r="G46139" s="3336"/>
      <c r="P46139" s="3337"/>
    </row>
    <row r="46140" spans="7:16" s="1634" customFormat="1">
      <c r="G46140" s="3336"/>
      <c r="P46140" s="3337"/>
    </row>
    <row r="46141" spans="7:16" s="1634" customFormat="1">
      <c r="G46141" s="3336"/>
      <c r="P46141" s="3337"/>
    </row>
    <row r="46142" spans="7:16" s="1634" customFormat="1">
      <c r="G46142" s="3336"/>
      <c r="P46142" s="3337"/>
    </row>
    <row r="46143" spans="7:16" s="1634" customFormat="1">
      <c r="G46143" s="3336"/>
      <c r="P46143" s="3337"/>
    </row>
    <row r="46144" spans="7:16" s="1634" customFormat="1">
      <c r="G46144" s="3336"/>
      <c r="P46144" s="3337"/>
    </row>
    <row r="46145" spans="7:16" s="1634" customFormat="1">
      <c r="G46145" s="3336"/>
      <c r="P46145" s="3337"/>
    </row>
    <row r="46146" spans="7:16" s="1634" customFormat="1">
      <c r="G46146" s="3336"/>
      <c r="P46146" s="3337"/>
    </row>
    <row r="46147" spans="7:16" s="1634" customFormat="1">
      <c r="G46147" s="3336"/>
      <c r="P46147" s="3337"/>
    </row>
    <row r="46148" spans="7:16" s="1634" customFormat="1">
      <c r="G46148" s="3336"/>
      <c r="P46148" s="3337"/>
    </row>
    <row r="46149" spans="7:16" s="1634" customFormat="1">
      <c r="G46149" s="3336"/>
      <c r="P46149" s="3337"/>
    </row>
    <row r="46150" spans="7:16" s="1634" customFormat="1">
      <c r="G46150" s="3336"/>
      <c r="P46150" s="3337"/>
    </row>
    <row r="46151" spans="7:16" s="1634" customFormat="1">
      <c r="G46151" s="3336"/>
      <c r="P46151" s="3337"/>
    </row>
    <row r="46152" spans="7:16" s="1634" customFormat="1">
      <c r="G46152" s="3336"/>
      <c r="P46152" s="3337"/>
    </row>
    <row r="46153" spans="7:16" s="1634" customFormat="1">
      <c r="G46153" s="3336"/>
      <c r="P46153" s="3337"/>
    </row>
    <row r="46154" spans="7:16" s="1634" customFormat="1">
      <c r="G46154" s="3336"/>
      <c r="P46154" s="3337"/>
    </row>
    <row r="46155" spans="7:16" s="1634" customFormat="1">
      <c r="G46155" s="3336"/>
      <c r="P46155" s="3337"/>
    </row>
    <row r="46156" spans="7:16" s="1634" customFormat="1">
      <c r="G46156" s="3336"/>
      <c r="P46156" s="3337"/>
    </row>
    <row r="46157" spans="7:16" s="1634" customFormat="1">
      <c r="G46157" s="3336"/>
      <c r="P46157" s="3337"/>
    </row>
    <row r="46158" spans="7:16" s="1634" customFormat="1">
      <c r="G46158" s="3336"/>
      <c r="P46158" s="3337"/>
    </row>
    <row r="46159" spans="7:16" s="1634" customFormat="1">
      <c r="G46159" s="3336"/>
      <c r="P46159" s="3337"/>
    </row>
    <row r="46160" spans="7:16" s="1634" customFormat="1">
      <c r="G46160" s="3336"/>
      <c r="P46160" s="3337"/>
    </row>
    <row r="46161" spans="7:16" s="1634" customFormat="1">
      <c r="G46161" s="3336"/>
      <c r="P46161" s="3337"/>
    </row>
    <row r="46162" spans="7:16" s="1634" customFormat="1">
      <c r="G46162" s="3336"/>
      <c r="P46162" s="3337"/>
    </row>
    <row r="46163" spans="7:16" s="1634" customFormat="1">
      <c r="G46163" s="3336"/>
      <c r="P46163" s="3337"/>
    </row>
    <row r="46164" spans="7:16" s="1634" customFormat="1">
      <c r="G46164" s="3336"/>
      <c r="P46164" s="3337"/>
    </row>
    <row r="46165" spans="7:16" s="1634" customFormat="1">
      <c r="G46165" s="3336"/>
      <c r="P46165" s="3337"/>
    </row>
    <row r="46166" spans="7:16" s="1634" customFormat="1">
      <c r="G46166" s="3336"/>
      <c r="P46166" s="3337"/>
    </row>
    <row r="46167" spans="7:16" s="1634" customFormat="1">
      <c r="G46167" s="3336"/>
      <c r="P46167" s="3337"/>
    </row>
    <row r="46168" spans="7:16" s="1634" customFormat="1">
      <c r="G46168" s="3336"/>
      <c r="P46168" s="3337"/>
    </row>
    <row r="46169" spans="7:16" s="1634" customFormat="1">
      <c r="G46169" s="3336"/>
      <c r="P46169" s="3337"/>
    </row>
    <row r="46170" spans="7:16" s="1634" customFormat="1">
      <c r="G46170" s="3336"/>
      <c r="P46170" s="3337"/>
    </row>
    <row r="46171" spans="7:16" s="1634" customFormat="1">
      <c r="G46171" s="3336"/>
      <c r="P46171" s="3337"/>
    </row>
    <row r="46172" spans="7:16" s="1634" customFormat="1">
      <c r="G46172" s="3336"/>
      <c r="P46172" s="3337"/>
    </row>
    <row r="46173" spans="7:16" s="1634" customFormat="1">
      <c r="G46173" s="3336"/>
      <c r="P46173" s="3337"/>
    </row>
    <row r="46174" spans="7:16" s="1634" customFormat="1">
      <c r="G46174" s="3336"/>
      <c r="P46174" s="3337"/>
    </row>
    <row r="46175" spans="7:16" s="1634" customFormat="1">
      <c r="G46175" s="3336"/>
      <c r="P46175" s="3337"/>
    </row>
    <row r="46176" spans="7:16" s="1634" customFormat="1">
      <c r="G46176" s="3336"/>
      <c r="P46176" s="3337"/>
    </row>
    <row r="46177" spans="7:16" s="1634" customFormat="1">
      <c r="G46177" s="3336"/>
      <c r="P46177" s="3337"/>
    </row>
    <row r="46178" spans="7:16" s="1634" customFormat="1">
      <c r="G46178" s="3336"/>
      <c r="P46178" s="3337"/>
    </row>
    <row r="46179" spans="7:16" s="1634" customFormat="1">
      <c r="G46179" s="3336"/>
      <c r="P46179" s="3337"/>
    </row>
    <row r="46180" spans="7:16" s="1634" customFormat="1">
      <c r="G46180" s="3336"/>
      <c r="P46180" s="3337"/>
    </row>
    <row r="46181" spans="7:16" s="1634" customFormat="1">
      <c r="G46181" s="3336"/>
      <c r="P46181" s="3337"/>
    </row>
    <row r="46182" spans="7:16" s="1634" customFormat="1">
      <c r="G46182" s="3336"/>
      <c r="P46182" s="3337"/>
    </row>
    <row r="46183" spans="7:16" s="1634" customFormat="1">
      <c r="G46183" s="3336"/>
      <c r="P46183" s="3337"/>
    </row>
    <row r="46184" spans="7:16" s="1634" customFormat="1">
      <c r="G46184" s="3336"/>
      <c r="P46184" s="3337"/>
    </row>
    <row r="46185" spans="7:16" s="1634" customFormat="1">
      <c r="G46185" s="3336"/>
      <c r="P46185" s="3337"/>
    </row>
    <row r="46186" spans="7:16" s="1634" customFormat="1">
      <c r="G46186" s="3336"/>
      <c r="P46186" s="3337"/>
    </row>
    <row r="46187" spans="7:16" s="1634" customFormat="1">
      <c r="G46187" s="3336"/>
      <c r="P46187" s="3337"/>
    </row>
    <row r="46188" spans="7:16" s="1634" customFormat="1">
      <c r="G46188" s="3336"/>
      <c r="P46188" s="3337"/>
    </row>
    <row r="46189" spans="7:16" s="1634" customFormat="1">
      <c r="G46189" s="3336"/>
      <c r="P46189" s="3337"/>
    </row>
    <row r="46190" spans="7:16" s="1634" customFormat="1">
      <c r="G46190" s="3336"/>
      <c r="P46190" s="3337"/>
    </row>
    <row r="46191" spans="7:16" s="1634" customFormat="1">
      <c r="G46191" s="3336"/>
      <c r="P46191" s="3337"/>
    </row>
    <row r="46192" spans="7:16" s="1634" customFormat="1">
      <c r="G46192" s="3336"/>
      <c r="P46192" s="3337"/>
    </row>
    <row r="46193" spans="7:16" s="1634" customFormat="1">
      <c r="G46193" s="3336"/>
      <c r="P46193" s="3337"/>
    </row>
    <row r="46194" spans="7:16" s="1634" customFormat="1">
      <c r="G46194" s="3336"/>
      <c r="P46194" s="3337"/>
    </row>
    <row r="46195" spans="7:16" s="1634" customFormat="1">
      <c r="G46195" s="3336"/>
      <c r="P46195" s="3337"/>
    </row>
    <row r="46196" spans="7:16" s="1634" customFormat="1">
      <c r="G46196" s="3336"/>
      <c r="P46196" s="3337"/>
    </row>
    <row r="46197" spans="7:16" s="1634" customFormat="1">
      <c r="G46197" s="3336"/>
      <c r="P46197" s="3337"/>
    </row>
    <row r="46198" spans="7:16" s="1634" customFormat="1">
      <c r="G46198" s="3336"/>
      <c r="P46198" s="3337"/>
    </row>
    <row r="46199" spans="7:16" s="1634" customFormat="1">
      <c r="G46199" s="3336"/>
      <c r="P46199" s="3337"/>
    </row>
    <row r="46200" spans="7:16" s="1634" customFormat="1">
      <c r="G46200" s="3336"/>
      <c r="P46200" s="3337"/>
    </row>
    <row r="46201" spans="7:16" s="1634" customFormat="1">
      <c r="G46201" s="3336"/>
      <c r="P46201" s="3337"/>
    </row>
    <row r="46202" spans="7:16" s="1634" customFormat="1">
      <c r="G46202" s="3336"/>
      <c r="P46202" s="3337"/>
    </row>
    <row r="46203" spans="7:16" s="1634" customFormat="1">
      <c r="G46203" s="3336"/>
      <c r="P46203" s="3337"/>
    </row>
    <row r="46204" spans="7:16" s="1634" customFormat="1">
      <c r="G46204" s="3336"/>
      <c r="P46204" s="3337"/>
    </row>
    <row r="46205" spans="7:16" s="1634" customFormat="1">
      <c r="G46205" s="3336"/>
      <c r="P46205" s="3337"/>
    </row>
    <row r="46206" spans="7:16" s="1634" customFormat="1">
      <c r="G46206" s="3336"/>
      <c r="P46206" s="3337"/>
    </row>
    <row r="46207" spans="7:16" s="1634" customFormat="1">
      <c r="G46207" s="3336"/>
      <c r="P46207" s="3337"/>
    </row>
    <row r="46208" spans="7:16" s="1634" customFormat="1">
      <c r="G46208" s="3336"/>
      <c r="P46208" s="3337"/>
    </row>
    <row r="46209" spans="7:16" s="1634" customFormat="1">
      <c r="G46209" s="3336"/>
      <c r="P46209" s="3337"/>
    </row>
    <row r="46210" spans="7:16" s="1634" customFormat="1">
      <c r="G46210" s="3336"/>
      <c r="P46210" s="3337"/>
    </row>
    <row r="46211" spans="7:16" s="1634" customFormat="1">
      <c r="G46211" s="3336"/>
      <c r="P46211" s="3337"/>
    </row>
    <row r="46212" spans="7:16" s="1634" customFormat="1">
      <c r="G46212" s="3336"/>
      <c r="P46212" s="3337"/>
    </row>
    <row r="46213" spans="7:16" s="1634" customFormat="1">
      <c r="G46213" s="3336"/>
      <c r="P46213" s="3337"/>
    </row>
    <row r="46214" spans="7:16" s="1634" customFormat="1">
      <c r="G46214" s="3336"/>
      <c r="P46214" s="3337"/>
    </row>
    <row r="46215" spans="7:16" s="1634" customFormat="1">
      <c r="G46215" s="3336"/>
      <c r="P46215" s="3337"/>
    </row>
    <row r="46216" spans="7:16" s="1634" customFormat="1">
      <c r="G46216" s="3336"/>
      <c r="P46216" s="3337"/>
    </row>
    <row r="46217" spans="7:16" s="1634" customFormat="1">
      <c r="G46217" s="3336"/>
      <c r="P46217" s="3337"/>
    </row>
    <row r="46218" spans="7:16" s="1634" customFormat="1">
      <c r="G46218" s="3336"/>
      <c r="P46218" s="3337"/>
    </row>
    <row r="46219" spans="7:16" s="1634" customFormat="1">
      <c r="G46219" s="3336"/>
      <c r="P46219" s="3337"/>
    </row>
    <row r="46220" spans="7:16" s="1634" customFormat="1">
      <c r="G46220" s="3336"/>
      <c r="P46220" s="3337"/>
    </row>
    <row r="46221" spans="7:16" s="1634" customFormat="1">
      <c r="G46221" s="3336"/>
      <c r="P46221" s="3337"/>
    </row>
    <row r="46222" spans="7:16" s="1634" customFormat="1">
      <c r="G46222" s="3336"/>
      <c r="P46222" s="3337"/>
    </row>
    <row r="46223" spans="7:16" s="1634" customFormat="1">
      <c r="G46223" s="3336"/>
      <c r="P46223" s="3337"/>
    </row>
    <row r="46224" spans="7:16" s="1634" customFormat="1">
      <c r="G46224" s="3336"/>
      <c r="P46224" s="3337"/>
    </row>
    <row r="46225" spans="7:16" s="1634" customFormat="1">
      <c r="G46225" s="3336"/>
      <c r="P46225" s="3337"/>
    </row>
    <row r="46226" spans="7:16" s="1634" customFormat="1">
      <c r="G46226" s="3336"/>
      <c r="P46226" s="3337"/>
    </row>
    <row r="46227" spans="7:16" s="1634" customFormat="1">
      <c r="G46227" s="3336"/>
      <c r="P46227" s="3337"/>
    </row>
    <row r="46228" spans="7:16" s="1634" customFormat="1">
      <c r="G46228" s="3336"/>
      <c r="P46228" s="3337"/>
    </row>
    <row r="46229" spans="7:16" s="1634" customFormat="1">
      <c r="G46229" s="3336"/>
      <c r="P46229" s="3337"/>
    </row>
    <row r="46230" spans="7:16" s="1634" customFormat="1">
      <c r="G46230" s="3336"/>
      <c r="P46230" s="3337"/>
    </row>
    <row r="46231" spans="7:16" s="1634" customFormat="1">
      <c r="G46231" s="3336"/>
      <c r="P46231" s="3337"/>
    </row>
    <row r="46232" spans="7:16" s="1634" customFormat="1">
      <c r="G46232" s="3336"/>
      <c r="P46232" s="3337"/>
    </row>
    <row r="46233" spans="7:16" s="1634" customFormat="1">
      <c r="G46233" s="3336"/>
      <c r="P46233" s="3337"/>
    </row>
    <row r="46234" spans="7:16" s="1634" customFormat="1">
      <c r="G46234" s="3336"/>
      <c r="P46234" s="3337"/>
    </row>
    <row r="46235" spans="7:16" s="1634" customFormat="1">
      <c r="G46235" s="3336"/>
      <c r="P46235" s="3337"/>
    </row>
    <row r="46236" spans="7:16" s="1634" customFormat="1">
      <c r="G46236" s="3336"/>
      <c r="P46236" s="3337"/>
    </row>
    <row r="46237" spans="7:16" s="1634" customFormat="1">
      <c r="G46237" s="3336"/>
      <c r="P46237" s="3337"/>
    </row>
    <row r="46238" spans="7:16" s="1634" customFormat="1">
      <c r="G46238" s="3336"/>
      <c r="P46238" s="3337"/>
    </row>
    <row r="46239" spans="7:16" s="1634" customFormat="1">
      <c r="G46239" s="3336"/>
      <c r="P46239" s="3337"/>
    </row>
    <row r="46240" spans="7:16" s="1634" customFormat="1">
      <c r="G46240" s="3336"/>
      <c r="P46240" s="3337"/>
    </row>
    <row r="46241" spans="7:16" s="1634" customFormat="1">
      <c r="G46241" s="3336"/>
      <c r="P46241" s="3337"/>
    </row>
    <row r="46242" spans="7:16" s="1634" customFormat="1">
      <c r="G46242" s="3336"/>
      <c r="P46242" s="3337"/>
    </row>
    <row r="46243" spans="7:16" s="1634" customFormat="1">
      <c r="G46243" s="3336"/>
      <c r="P46243" s="3337"/>
    </row>
    <row r="46244" spans="7:16" s="1634" customFormat="1">
      <c r="G46244" s="3336"/>
      <c r="P46244" s="3337"/>
    </row>
    <row r="46245" spans="7:16" s="1634" customFormat="1">
      <c r="G46245" s="3336"/>
      <c r="P46245" s="3337"/>
    </row>
    <row r="46246" spans="7:16" s="1634" customFormat="1">
      <c r="G46246" s="3336"/>
      <c r="P46246" s="3337"/>
    </row>
    <row r="46247" spans="7:16" s="1634" customFormat="1">
      <c r="G46247" s="3336"/>
      <c r="P46247" s="3337"/>
    </row>
    <row r="46248" spans="7:16" s="1634" customFormat="1">
      <c r="G46248" s="3336"/>
      <c r="P46248" s="3337"/>
    </row>
    <row r="46249" spans="7:16" s="1634" customFormat="1">
      <c r="G46249" s="3336"/>
      <c r="P46249" s="3337"/>
    </row>
    <row r="46250" spans="7:16" s="1634" customFormat="1">
      <c r="G46250" s="3336"/>
      <c r="P46250" s="3337"/>
    </row>
    <row r="46251" spans="7:16" s="1634" customFormat="1">
      <c r="G46251" s="3336"/>
      <c r="P46251" s="3337"/>
    </row>
    <row r="46252" spans="7:16" s="1634" customFormat="1">
      <c r="G46252" s="3336"/>
      <c r="P46252" s="3337"/>
    </row>
    <row r="46253" spans="7:16" s="1634" customFormat="1">
      <c r="G46253" s="3336"/>
      <c r="P46253" s="3337"/>
    </row>
    <row r="46254" spans="7:16" s="1634" customFormat="1">
      <c r="G46254" s="3336"/>
      <c r="P46254" s="3337"/>
    </row>
    <row r="46255" spans="7:16" s="1634" customFormat="1">
      <c r="G46255" s="3336"/>
      <c r="P46255" s="3337"/>
    </row>
    <row r="46256" spans="7:16" s="1634" customFormat="1">
      <c r="G46256" s="3336"/>
      <c r="P46256" s="3337"/>
    </row>
    <row r="46257" spans="7:16" s="1634" customFormat="1">
      <c r="G46257" s="3336"/>
      <c r="P46257" s="3337"/>
    </row>
    <row r="46258" spans="7:16" s="1634" customFormat="1">
      <c r="G46258" s="3336"/>
      <c r="P46258" s="3337"/>
    </row>
    <row r="46259" spans="7:16" s="1634" customFormat="1">
      <c r="G46259" s="3336"/>
      <c r="P46259" s="3337"/>
    </row>
    <row r="46260" spans="7:16" s="1634" customFormat="1">
      <c r="G46260" s="3336"/>
      <c r="P46260" s="3337"/>
    </row>
    <row r="46261" spans="7:16" s="1634" customFormat="1">
      <c r="G46261" s="3336"/>
      <c r="P46261" s="3337"/>
    </row>
    <row r="46262" spans="7:16" s="1634" customFormat="1">
      <c r="G46262" s="3336"/>
      <c r="P46262" s="3337"/>
    </row>
    <row r="46263" spans="7:16" s="1634" customFormat="1">
      <c r="G46263" s="3336"/>
      <c r="P46263" s="3337"/>
    </row>
    <row r="46264" spans="7:16" s="1634" customFormat="1">
      <c r="G46264" s="3336"/>
      <c r="P46264" s="3337"/>
    </row>
    <row r="46265" spans="7:16" s="1634" customFormat="1">
      <c r="G46265" s="3336"/>
      <c r="P46265" s="3337"/>
    </row>
    <row r="46266" spans="7:16" s="1634" customFormat="1">
      <c r="G46266" s="3336"/>
      <c r="P46266" s="3337"/>
    </row>
    <row r="46267" spans="7:16" s="1634" customFormat="1">
      <c r="G46267" s="3336"/>
      <c r="P46267" s="3337"/>
    </row>
    <row r="46268" spans="7:16" s="1634" customFormat="1">
      <c r="G46268" s="3336"/>
      <c r="P46268" s="3337"/>
    </row>
    <row r="46269" spans="7:16" s="1634" customFormat="1">
      <c r="G46269" s="3336"/>
      <c r="P46269" s="3337"/>
    </row>
    <row r="46270" spans="7:16" s="1634" customFormat="1">
      <c r="G46270" s="3336"/>
      <c r="P46270" s="3337"/>
    </row>
    <row r="46271" spans="7:16" s="1634" customFormat="1">
      <c r="G46271" s="3336"/>
      <c r="P46271" s="3337"/>
    </row>
    <row r="46272" spans="7:16" s="1634" customFormat="1">
      <c r="G46272" s="3336"/>
      <c r="P46272" s="3337"/>
    </row>
    <row r="46273" spans="7:16" s="1634" customFormat="1">
      <c r="G46273" s="3336"/>
      <c r="P46273" s="3337"/>
    </row>
    <row r="46274" spans="7:16" s="1634" customFormat="1">
      <c r="G46274" s="3336"/>
      <c r="P46274" s="3337"/>
    </row>
    <row r="46275" spans="7:16" s="1634" customFormat="1">
      <c r="G46275" s="3336"/>
      <c r="P46275" s="3337"/>
    </row>
    <row r="46276" spans="7:16" s="1634" customFormat="1">
      <c r="G46276" s="3336"/>
      <c r="P46276" s="3337"/>
    </row>
    <row r="46277" spans="7:16" s="1634" customFormat="1">
      <c r="G46277" s="3336"/>
      <c r="P46277" s="3337"/>
    </row>
    <row r="46278" spans="7:16" s="1634" customFormat="1">
      <c r="G46278" s="3336"/>
      <c r="P46278" s="3337"/>
    </row>
    <row r="46279" spans="7:16" s="1634" customFormat="1">
      <c r="G46279" s="3336"/>
      <c r="P46279" s="3337"/>
    </row>
    <row r="46280" spans="7:16" s="1634" customFormat="1">
      <c r="G46280" s="3336"/>
      <c r="P46280" s="3337"/>
    </row>
    <row r="46281" spans="7:16" s="1634" customFormat="1">
      <c r="G46281" s="3336"/>
      <c r="P46281" s="3337"/>
    </row>
    <row r="46282" spans="7:16" s="1634" customFormat="1">
      <c r="G46282" s="3336"/>
      <c r="P46282" s="3337"/>
    </row>
    <row r="46283" spans="7:16" s="1634" customFormat="1">
      <c r="G46283" s="3336"/>
      <c r="P46283" s="3337"/>
    </row>
    <row r="46284" spans="7:16" s="1634" customFormat="1">
      <c r="G46284" s="3336"/>
      <c r="P46284" s="3337"/>
    </row>
    <row r="46285" spans="7:16" s="1634" customFormat="1">
      <c r="G46285" s="3336"/>
      <c r="P46285" s="3337"/>
    </row>
    <row r="46286" spans="7:16" s="1634" customFormat="1">
      <c r="G46286" s="3336"/>
      <c r="P46286" s="3337"/>
    </row>
    <row r="46287" spans="7:16" s="1634" customFormat="1">
      <c r="G46287" s="3336"/>
      <c r="P46287" s="3337"/>
    </row>
    <row r="46288" spans="7:16" s="1634" customFormat="1">
      <c r="G46288" s="3336"/>
      <c r="P46288" s="3337"/>
    </row>
    <row r="46289" spans="7:16" s="1634" customFormat="1">
      <c r="G46289" s="3336"/>
      <c r="P46289" s="3337"/>
    </row>
    <row r="46290" spans="7:16" s="1634" customFormat="1">
      <c r="G46290" s="3336"/>
      <c r="P46290" s="3337"/>
    </row>
    <row r="46291" spans="7:16" s="1634" customFormat="1">
      <c r="G46291" s="3336"/>
      <c r="P46291" s="3337"/>
    </row>
    <row r="46292" spans="7:16" s="1634" customFormat="1">
      <c r="G46292" s="3336"/>
      <c r="P46292" s="3337"/>
    </row>
    <row r="46293" spans="7:16" s="1634" customFormat="1">
      <c r="G46293" s="3336"/>
      <c r="P46293" s="3337"/>
    </row>
    <row r="46294" spans="7:16" s="1634" customFormat="1">
      <c r="G46294" s="3336"/>
      <c r="P46294" s="3337"/>
    </row>
    <row r="46295" spans="7:16" s="1634" customFormat="1">
      <c r="G46295" s="3336"/>
      <c r="P46295" s="3337"/>
    </row>
    <row r="46296" spans="7:16" s="1634" customFormat="1">
      <c r="G46296" s="3336"/>
      <c r="P46296" s="3337"/>
    </row>
    <row r="46297" spans="7:16" s="1634" customFormat="1">
      <c r="G46297" s="3336"/>
      <c r="P46297" s="3337"/>
    </row>
    <row r="46298" spans="7:16" s="1634" customFormat="1">
      <c r="G46298" s="3336"/>
      <c r="P46298" s="3337"/>
    </row>
    <row r="46299" spans="7:16" s="1634" customFormat="1">
      <c r="G46299" s="3336"/>
      <c r="P46299" s="3337"/>
    </row>
    <row r="46300" spans="7:16" s="1634" customFormat="1">
      <c r="G46300" s="3336"/>
      <c r="P46300" s="3337"/>
    </row>
    <row r="46301" spans="7:16" s="1634" customFormat="1">
      <c r="G46301" s="3336"/>
      <c r="P46301" s="3337"/>
    </row>
    <row r="46302" spans="7:16" s="1634" customFormat="1">
      <c r="G46302" s="3336"/>
      <c r="P46302" s="3337"/>
    </row>
    <row r="46303" spans="7:16" s="1634" customFormat="1">
      <c r="G46303" s="3336"/>
      <c r="P46303" s="3337"/>
    </row>
    <row r="46304" spans="7:16" s="1634" customFormat="1">
      <c r="G46304" s="3336"/>
      <c r="P46304" s="3337"/>
    </row>
    <row r="46305" spans="7:16" s="1634" customFormat="1">
      <c r="G46305" s="3336"/>
      <c r="P46305" s="3337"/>
    </row>
    <row r="46306" spans="7:16" s="1634" customFormat="1">
      <c r="G46306" s="3336"/>
      <c r="P46306" s="3337"/>
    </row>
    <row r="46307" spans="7:16" s="1634" customFormat="1">
      <c r="G46307" s="3336"/>
      <c r="P46307" s="3337"/>
    </row>
    <row r="46308" spans="7:16" s="1634" customFormat="1">
      <c r="G46308" s="3336"/>
      <c r="P46308" s="3337"/>
    </row>
    <row r="46309" spans="7:16" s="1634" customFormat="1">
      <c r="G46309" s="3336"/>
      <c r="P46309" s="3337"/>
    </row>
    <row r="46310" spans="7:16" s="1634" customFormat="1">
      <c r="G46310" s="3336"/>
      <c r="P46310" s="3337"/>
    </row>
    <row r="46311" spans="7:16" s="1634" customFormat="1">
      <c r="G46311" s="3336"/>
      <c r="P46311" s="3337"/>
    </row>
    <row r="46312" spans="7:16" s="1634" customFormat="1">
      <c r="G46312" s="3336"/>
      <c r="P46312" s="3337"/>
    </row>
    <row r="46313" spans="7:16" s="1634" customFormat="1">
      <c r="G46313" s="3336"/>
      <c r="P46313" s="3337"/>
    </row>
    <row r="46314" spans="7:16" s="1634" customFormat="1">
      <c r="G46314" s="3336"/>
      <c r="P46314" s="3337"/>
    </row>
    <row r="46315" spans="7:16" s="1634" customFormat="1">
      <c r="G46315" s="3336"/>
      <c r="P46315" s="3337"/>
    </row>
    <row r="46316" spans="7:16" s="1634" customFormat="1">
      <c r="G46316" s="3336"/>
      <c r="P46316" s="3337"/>
    </row>
    <row r="46317" spans="7:16" s="1634" customFormat="1">
      <c r="G46317" s="3336"/>
      <c r="P46317" s="3337"/>
    </row>
    <row r="46318" spans="7:16" s="1634" customFormat="1">
      <c r="G46318" s="3336"/>
      <c r="P46318" s="3337"/>
    </row>
    <row r="46319" spans="7:16" s="1634" customFormat="1">
      <c r="G46319" s="3336"/>
      <c r="P46319" s="3337"/>
    </row>
    <row r="46320" spans="7:16" s="1634" customFormat="1">
      <c r="G46320" s="3336"/>
      <c r="P46320" s="3337"/>
    </row>
    <row r="46321" spans="7:16" s="1634" customFormat="1">
      <c r="G46321" s="3336"/>
      <c r="P46321" s="3337"/>
    </row>
    <row r="46322" spans="7:16" s="1634" customFormat="1">
      <c r="G46322" s="3336"/>
      <c r="P46322" s="3337"/>
    </row>
    <row r="46323" spans="7:16" s="1634" customFormat="1">
      <c r="G46323" s="3336"/>
      <c r="P46323" s="3337"/>
    </row>
    <row r="46324" spans="7:16" s="1634" customFormat="1">
      <c r="G46324" s="3336"/>
      <c r="P46324" s="3337"/>
    </row>
    <row r="46325" spans="7:16" s="1634" customFormat="1">
      <c r="G46325" s="3336"/>
      <c r="P46325" s="3337"/>
    </row>
    <row r="46326" spans="7:16" s="1634" customFormat="1">
      <c r="G46326" s="3336"/>
      <c r="P46326" s="3337"/>
    </row>
    <row r="46327" spans="7:16" s="1634" customFormat="1">
      <c r="G46327" s="3336"/>
      <c r="P46327" s="3337"/>
    </row>
    <row r="46328" spans="7:16" s="1634" customFormat="1">
      <c r="G46328" s="3336"/>
      <c r="P46328" s="3337"/>
    </row>
    <row r="46329" spans="7:16" s="1634" customFormat="1">
      <c r="G46329" s="3336"/>
      <c r="P46329" s="3337"/>
    </row>
    <row r="46330" spans="7:16" s="1634" customFormat="1">
      <c r="G46330" s="3336"/>
      <c r="P46330" s="3337"/>
    </row>
    <row r="46331" spans="7:16" s="1634" customFormat="1">
      <c r="G46331" s="3336"/>
      <c r="P46331" s="3337"/>
    </row>
    <row r="46332" spans="7:16" s="1634" customFormat="1">
      <c r="G46332" s="3336"/>
      <c r="P46332" s="3337"/>
    </row>
    <row r="46333" spans="7:16" s="1634" customFormat="1">
      <c r="G46333" s="3336"/>
      <c r="P46333" s="3337"/>
    </row>
    <row r="46334" spans="7:16" s="1634" customFormat="1">
      <c r="G46334" s="3336"/>
      <c r="P46334" s="3337"/>
    </row>
    <row r="46335" spans="7:16" s="1634" customFormat="1">
      <c r="G46335" s="3336"/>
      <c r="P46335" s="3337"/>
    </row>
    <row r="46336" spans="7:16" s="1634" customFormat="1">
      <c r="G46336" s="3336"/>
      <c r="P46336" s="3337"/>
    </row>
    <row r="46337" spans="7:16" s="1634" customFormat="1">
      <c r="G46337" s="3336"/>
      <c r="P46337" s="3337"/>
    </row>
    <row r="46338" spans="7:16" s="1634" customFormat="1">
      <c r="G46338" s="3336"/>
      <c r="P46338" s="3337"/>
    </row>
    <row r="46339" spans="7:16" s="1634" customFormat="1">
      <c r="G46339" s="3336"/>
      <c r="P46339" s="3337"/>
    </row>
    <row r="46340" spans="7:16" s="1634" customFormat="1">
      <c r="G46340" s="3336"/>
      <c r="P46340" s="3337"/>
    </row>
    <row r="46341" spans="7:16" s="1634" customFormat="1">
      <c r="G46341" s="3336"/>
      <c r="P46341" s="3337"/>
    </row>
    <row r="46342" spans="7:16" s="1634" customFormat="1">
      <c r="G46342" s="3336"/>
      <c r="P46342" s="3337"/>
    </row>
    <row r="46343" spans="7:16" s="1634" customFormat="1">
      <c r="G46343" s="3336"/>
      <c r="P46343" s="3337"/>
    </row>
    <row r="46344" spans="7:16" s="1634" customFormat="1">
      <c r="G46344" s="3336"/>
      <c r="P46344" s="3337"/>
    </row>
    <row r="46345" spans="7:16" s="1634" customFormat="1">
      <c r="G46345" s="3336"/>
      <c r="P46345" s="3337"/>
    </row>
    <row r="46346" spans="7:16" s="1634" customFormat="1">
      <c r="G46346" s="3336"/>
      <c r="P46346" s="3337"/>
    </row>
    <row r="46347" spans="7:16" s="1634" customFormat="1">
      <c r="G46347" s="3336"/>
      <c r="P46347" s="3337"/>
    </row>
    <row r="46348" spans="7:16" s="1634" customFormat="1">
      <c r="G46348" s="3336"/>
      <c r="P46348" s="3337"/>
    </row>
    <row r="46349" spans="7:16" s="1634" customFormat="1">
      <c r="G46349" s="3336"/>
      <c r="P46349" s="3337"/>
    </row>
    <row r="46350" spans="7:16" s="1634" customFormat="1">
      <c r="G46350" s="3336"/>
      <c r="P46350" s="3337"/>
    </row>
    <row r="46351" spans="7:16" s="1634" customFormat="1">
      <c r="G46351" s="3336"/>
      <c r="P46351" s="3337"/>
    </row>
    <row r="46352" spans="7:16" s="1634" customFormat="1">
      <c r="G46352" s="3336"/>
      <c r="P46352" s="3337"/>
    </row>
    <row r="46353" spans="7:16" s="1634" customFormat="1">
      <c r="G46353" s="3336"/>
      <c r="P46353" s="3337"/>
    </row>
    <row r="46354" spans="7:16" s="1634" customFormat="1">
      <c r="G46354" s="3336"/>
      <c r="P46354" s="3337"/>
    </row>
    <row r="46355" spans="7:16" s="1634" customFormat="1">
      <c r="G46355" s="3336"/>
      <c r="P46355" s="3337"/>
    </row>
    <row r="46356" spans="7:16" s="1634" customFormat="1">
      <c r="G46356" s="3336"/>
      <c r="P46356" s="3337"/>
    </row>
    <row r="46357" spans="7:16" s="1634" customFormat="1">
      <c r="G46357" s="3336"/>
      <c r="P46357" s="3337"/>
    </row>
    <row r="46358" spans="7:16" s="1634" customFormat="1">
      <c r="G46358" s="3336"/>
      <c r="P46358" s="3337"/>
    </row>
    <row r="46359" spans="7:16" s="1634" customFormat="1">
      <c r="G46359" s="3336"/>
      <c r="P46359" s="3337"/>
    </row>
    <row r="46360" spans="7:16" s="1634" customFormat="1">
      <c r="G46360" s="3336"/>
      <c r="P46360" s="3337"/>
    </row>
    <row r="46361" spans="7:16" s="1634" customFormat="1">
      <c r="G46361" s="3336"/>
      <c r="P46361" s="3337"/>
    </row>
    <row r="46362" spans="7:16" s="1634" customFormat="1">
      <c r="G46362" s="3336"/>
      <c r="P46362" s="3337"/>
    </row>
    <row r="46363" spans="7:16" s="1634" customFormat="1">
      <c r="G46363" s="3336"/>
      <c r="P46363" s="3337"/>
    </row>
    <row r="46364" spans="7:16" s="1634" customFormat="1">
      <c r="G46364" s="3336"/>
      <c r="P46364" s="3337"/>
    </row>
    <row r="46365" spans="7:16" s="1634" customFormat="1">
      <c r="G46365" s="3336"/>
      <c r="P46365" s="3337"/>
    </row>
    <row r="46366" spans="7:16" s="1634" customFormat="1">
      <c r="G46366" s="3336"/>
      <c r="P46366" s="3337"/>
    </row>
    <row r="46367" spans="7:16" s="1634" customFormat="1">
      <c r="G46367" s="3336"/>
      <c r="P46367" s="3337"/>
    </row>
    <row r="46368" spans="7:16" s="1634" customFormat="1">
      <c r="G46368" s="3336"/>
      <c r="P46368" s="3337"/>
    </row>
    <row r="46369" spans="7:16" s="1634" customFormat="1">
      <c r="G46369" s="3336"/>
      <c r="P46369" s="3337"/>
    </row>
    <row r="46370" spans="7:16" s="1634" customFormat="1">
      <c r="G46370" s="3336"/>
      <c r="P46370" s="3337"/>
    </row>
    <row r="46371" spans="7:16" s="1634" customFormat="1">
      <c r="G46371" s="3336"/>
      <c r="P46371" s="3337"/>
    </row>
    <row r="46372" spans="7:16" s="1634" customFormat="1">
      <c r="G46372" s="3336"/>
      <c r="P46372" s="3337"/>
    </row>
    <row r="46373" spans="7:16" s="1634" customFormat="1">
      <c r="G46373" s="3336"/>
      <c r="P46373" s="3337"/>
    </row>
    <row r="46374" spans="7:16" s="1634" customFormat="1">
      <c r="G46374" s="3336"/>
      <c r="P46374" s="3337"/>
    </row>
    <row r="46375" spans="7:16" s="1634" customFormat="1">
      <c r="G46375" s="3336"/>
      <c r="P46375" s="3337"/>
    </row>
    <row r="46376" spans="7:16" s="1634" customFormat="1">
      <c r="G46376" s="3336"/>
      <c r="P46376" s="3337"/>
    </row>
    <row r="46377" spans="7:16" s="1634" customFormat="1">
      <c r="G46377" s="3336"/>
      <c r="P46377" s="3337"/>
    </row>
    <row r="46378" spans="7:16" s="1634" customFormat="1">
      <c r="G46378" s="3336"/>
      <c r="P46378" s="3337"/>
    </row>
    <row r="46379" spans="7:16" s="1634" customFormat="1">
      <c r="G46379" s="3336"/>
      <c r="P46379" s="3337"/>
    </row>
    <row r="46380" spans="7:16" s="1634" customFormat="1">
      <c r="G46380" s="3336"/>
      <c r="P46380" s="3337"/>
    </row>
    <row r="46381" spans="7:16" s="1634" customFormat="1">
      <c r="G46381" s="3336"/>
      <c r="P46381" s="3337"/>
    </row>
    <row r="46382" spans="7:16" s="1634" customFormat="1">
      <c r="G46382" s="3336"/>
      <c r="P46382" s="3337"/>
    </row>
    <row r="46383" spans="7:16" s="1634" customFormat="1">
      <c r="G46383" s="3336"/>
      <c r="P46383" s="3337"/>
    </row>
    <row r="46384" spans="7:16" s="1634" customFormat="1">
      <c r="G46384" s="3336"/>
      <c r="P46384" s="3337"/>
    </row>
    <row r="46385" spans="7:16" s="1634" customFormat="1">
      <c r="G46385" s="3336"/>
      <c r="P46385" s="3337"/>
    </row>
    <row r="46386" spans="7:16" s="1634" customFormat="1">
      <c r="G46386" s="3336"/>
      <c r="P46386" s="3337"/>
    </row>
    <row r="46387" spans="7:16" s="1634" customFormat="1">
      <c r="G46387" s="3336"/>
      <c r="P46387" s="3337"/>
    </row>
    <row r="46388" spans="7:16" s="1634" customFormat="1">
      <c r="G46388" s="3336"/>
      <c r="P46388" s="3337"/>
    </row>
    <row r="46389" spans="7:16" s="1634" customFormat="1">
      <c r="G46389" s="3336"/>
      <c r="P46389" s="3337"/>
    </row>
    <row r="46390" spans="7:16" s="1634" customFormat="1">
      <c r="G46390" s="3336"/>
      <c r="P46390" s="3337"/>
    </row>
    <row r="46391" spans="7:16" s="1634" customFormat="1">
      <c r="G46391" s="3336"/>
      <c r="P46391" s="3337"/>
    </row>
    <row r="46392" spans="7:16" s="1634" customFormat="1">
      <c r="G46392" s="3336"/>
      <c r="P46392" s="3337"/>
    </row>
    <row r="46393" spans="7:16" s="1634" customFormat="1">
      <c r="G46393" s="3336"/>
      <c r="P46393" s="3337"/>
    </row>
    <row r="46394" spans="7:16" s="1634" customFormat="1">
      <c r="G46394" s="3336"/>
      <c r="P46394" s="3337"/>
    </row>
    <row r="46395" spans="7:16" s="1634" customFormat="1">
      <c r="G46395" s="3336"/>
      <c r="P46395" s="3337"/>
    </row>
    <row r="46396" spans="7:16" s="1634" customFormat="1">
      <c r="G46396" s="3336"/>
      <c r="P46396" s="3337"/>
    </row>
    <row r="46397" spans="7:16" s="1634" customFormat="1">
      <c r="G46397" s="3336"/>
      <c r="P46397" s="3337"/>
    </row>
    <row r="46398" spans="7:16" s="1634" customFormat="1">
      <c r="G46398" s="3336"/>
      <c r="P46398" s="3337"/>
    </row>
    <row r="46399" spans="7:16" s="1634" customFormat="1">
      <c r="G46399" s="3336"/>
      <c r="P46399" s="3337"/>
    </row>
    <row r="46400" spans="7:16" s="1634" customFormat="1">
      <c r="G46400" s="3336"/>
      <c r="P46400" s="3337"/>
    </row>
    <row r="46401" spans="7:16" s="1634" customFormat="1">
      <c r="G46401" s="3336"/>
      <c r="P46401" s="3337"/>
    </row>
    <row r="46402" spans="7:16" s="1634" customFormat="1">
      <c r="G46402" s="3336"/>
      <c r="P46402" s="3337"/>
    </row>
    <row r="46403" spans="7:16" s="1634" customFormat="1">
      <c r="G46403" s="3336"/>
      <c r="P46403" s="3337"/>
    </row>
    <row r="46404" spans="7:16" s="1634" customFormat="1">
      <c r="G46404" s="3336"/>
      <c r="P46404" s="3337"/>
    </row>
    <row r="46405" spans="7:16" s="1634" customFormat="1">
      <c r="G46405" s="3336"/>
      <c r="P46405" s="3337"/>
    </row>
    <row r="46406" spans="7:16" s="1634" customFormat="1">
      <c r="G46406" s="3336"/>
      <c r="P46406" s="3337"/>
    </row>
    <row r="46407" spans="7:16" s="1634" customFormat="1">
      <c r="G46407" s="3336"/>
      <c r="P46407" s="3337"/>
    </row>
    <row r="46408" spans="7:16" s="1634" customFormat="1">
      <c r="G46408" s="3336"/>
      <c r="P46408" s="3337"/>
    </row>
    <row r="46409" spans="7:16" s="1634" customFormat="1">
      <c r="G46409" s="3336"/>
      <c r="P46409" s="3337"/>
    </row>
    <row r="46410" spans="7:16" s="1634" customFormat="1">
      <c r="G46410" s="3336"/>
      <c r="P46410" s="3337"/>
    </row>
    <row r="46411" spans="7:16" s="1634" customFormat="1">
      <c r="G46411" s="3336"/>
      <c r="P46411" s="3337"/>
    </row>
    <row r="46412" spans="7:16" s="1634" customFormat="1">
      <c r="G46412" s="3336"/>
      <c r="P46412" s="3337"/>
    </row>
    <row r="46413" spans="7:16" s="1634" customFormat="1">
      <c r="G46413" s="3336"/>
      <c r="P46413" s="3337"/>
    </row>
    <row r="46414" spans="7:16" s="1634" customFormat="1">
      <c r="G46414" s="3336"/>
      <c r="P46414" s="3337"/>
    </row>
    <row r="46415" spans="7:16" s="1634" customFormat="1">
      <c r="G46415" s="3336"/>
      <c r="P46415" s="3337"/>
    </row>
    <row r="46416" spans="7:16" s="1634" customFormat="1">
      <c r="G46416" s="3336"/>
      <c r="P46416" s="3337"/>
    </row>
    <row r="46417" spans="7:16" s="1634" customFormat="1">
      <c r="G46417" s="3336"/>
      <c r="P46417" s="3337"/>
    </row>
    <row r="46418" spans="7:16" s="1634" customFormat="1">
      <c r="G46418" s="3336"/>
      <c r="P46418" s="3337"/>
    </row>
    <row r="46419" spans="7:16" s="1634" customFormat="1">
      <c r="G46419" s="3336"/>
      <c r="P46419" s="3337"/>
    </row>
    <row r="46420" spans="7:16" s="1634" customFormat="1">
      <c r="G46420" s="3336"/>
      <c r="P46420" s="3337"/>
    </row>
    <row r="46421" spans="7:16" s="1634" customFormat="1">
      <c r="G46421" s="3336"/>
      <c r="P46421" s="3337"/>
    </row>
    <row r="46422" spans="7:16" s="1634" customFormat="1">
      <c r="G46422" s="3336"/>
      <c r="P46422" s="3337"/>
    </row>
    <row r="46423" spans="7:16" s="1634" customFormat="1">
      <c r="G46423" s="3336"/>
      <c r="P46423" s="3337"/>
    </row>
    <row r="46424" spans="7:16" s="1634" customFormat="1">
      <c r="G46424" s="3336"/>
      <c r="P46424" s="3337"/>
    </row>
    <row r="46425" spans="7:16" s="1634" customFormat="1">
      <c r="G46425" s="3336"/>
      <c r="P46425" s="3337"/>
    </row>
    <row r="46426" spans="7:16" s="1634" customFormat="1">
      <c r="G46426" s="3336"/>
      <c r="P46426" s="3337"/>
    </row>
    <row r="46427" spans="7:16" s="1634" customFormat="1">
      <c r="G46427" s="3336"/>
      <c r="P46427" s="3337"/>
    </row>
    <row r="46428" spans="7:16" s="1634" customFormat="1">
      <c r="G46428" s="3336"/>
      <c r="P46428" s="3337"/>
    </row>
    <row r="46429" spans="7:16" s="1634" customFormat="1">
      <c r="G46429" s="3336"/>
      <c r="P46429" s="3337"/>
    </row>
    <row r="46430" spans="7:16" s="1634" customFormat="1">
      <c r="G46430" s="3336"/>
      <c r="P46430" s="3337"/>
    </row>
    <row r="46431" spans="7:16" s="1634" customFormat="1">
      <c r="G46431" s="3336"/>
      <c r="P46431" s="3337"/>
    </row>
    <row r="46432" spans="7:16" s="1634" customFormat="1">
      <c r="G46432" s="3336"/>
      <c r="P46432" s="3337"/>
    </row>
    <row r="46433" spans="7:16" s="1634" customFormat="1">
      <c r="G46433" s="3336"/>
      <c r="P46433" s="3337"/>
    </row>
    <row r="46434" spans="7:16" s="1634" customFormat="1">
      <c r="G46434" s="3336"/>
      <c r="P46434" s="3337"/>
    </row>
    <row r="46435" spans="7:16" s="1634" customFormat="1">
      <c r="G46435" s="3336"/>
      <c r="P46435" s="3337"/>
    </row>
    <row r="46436" spans="7:16" s="1634" customFormat="1">
      <c r="G46436" s="3336"/>
      <c r="P46436" s="3337"/>
    </row>
    <row r="46437" spans="7:16" s="1634" customFormat="1">
      <c r="G46437" s="3336"/>
      <c r="P46437" s="3337"/>
    </row>
    <row r="46438" spans="7:16" s="1634" customFormat="1">
      <c r="G46438" s="3336"/>
      <c r="P46438" s="3337"/>
    </row>
    <row r="46439" spans="7:16" s="1634" customFormat="1">
      <c r="G46439" s="3336"/>
      <c r="P46439" s="3337"/>
    </row>
    <row r="46440" spans="7:16" s="1634" customFormat="1">
      <c r="G46440" s="3336"/>
      <c r="P46440" s="3337"/>
    </row>
    <row r="46441" spans="7:16" s="1634" customFormat="1">
      <c r="G46441" s="3336"/>
      <c r="P46441" s="3337"/>
    </row>
    <row r="46442" spans="7:16" s="1634" customFormat="1">
      <c r="G46442" s="3336"/>
      <c r="P46442" s="3337"/>
    </row>
    <row r="46443" spans="7:16" s="1634" customFormat="1">
      <c r="G46443" s="3336"/>
      <c r="P46443" s="3337"/>
    </row>
    <row r="46444" spans="7:16" s="1634" customFormat="1">
      <c r="G46444" s="3336"/>
      <c r="P46444" s="3337"/>
    </row>
    <row r="46445" spans="7:16" s="1634" customFormat="1">
      <c r="G46445" s="3336"/>
      <c r="P46445" s="3337"/>
    </row>
    <row r="46446" spans="7:16" s="1634" customFormat="1">
      <c r="G46446" s="3336"/>
      <c r="P46446" s="3337"/>
    </row>
    <row r="46447" spans="7:16" s="1634" customFormat="1">
      <c r="G46447" s="3336"/>
      <c r="P46447" s="3337"/>
    </row>
    <row r="46448" spans="7:16" s="1634" customFormat="1">
      <c r="G46448" s="3336"/>
      <c r="P46448" s="3337"/>
    </row>
    <row r="46449" spans="7:16" s="1634" customFormat="1">
      <c r="G46449" s="3336"/>
      <c r="P46449" s="3337"/>
    </row>
    <row r="46450" spans="7:16" s="1634" customFormat="1">
      <c r="G46450" s="3336"/>
      <c r="P46450" s="3337"/>
    </row>
    <row r="46451" spans="7:16" s="1634" customFormat="1">
      <c r="G46451" s="3336"/>
      <c r="P46451" s="3337"/>
    </row>
    <row r="46452" spans="7:16" s="1634" customFormat="1">
      <c r="G46452" s="3336"/>
      <c r="P46452" s="3337"/>
    </row>
    <row r="46453" spans="7:16" s="1634" customFormat="1">
      <c r="G46453" s="3336"/>
      <c r="P46453" s="3337"/>
    </row>
    <row r="46454" spans="7:16" s="1634" customFormat="1">
      <c r="G46454" s="3336"/>
      <c r="P46454" s="3337"/>
    </row>
    <row r="46455" spans="7:16" s="1634" customFormat="1">
      <c r="G46455" s="3336"/>
      <c r="P46455" s="3337"/>
    </row>
    <row r="46456" spans="7:16" s="1634" customFormat="1">
      <c r="G46456" s="3336"/>
      <c r="P46456" s="3337"/>
    </row>
    <row r="46457" spans="7:16" s="1634" customFormat="1">
      <c r="G46457" s="3336"/>
      <c r="P46457" s="3337"/>
    </row>
    <row r="46458" spans="7:16" s="1634" customFormat="1">
      <c r="G46458" s="3336"/>
      <c r="P46458" s="3337"/>
    </row>
    <row r="46459" spans="7:16" s="1634" customFormat="1">
      <c r="G46459" s="3336"/>
      <c r="P46459" s="3337"/>
    </row>
    <row r="46460" spans="7:16" s="1634" customFormat="1">
      <c r="G46460" s="3336"/>
      <c r="P46460" s="3337"/>
    </row>
    <row r="46461" spans="7:16" s="1634" customFormat="1">
      <c r="G46461" s="3336"/>
      <c r="P46461" s="3337"/>
    </row>
    <row r="46462" spans="7:16" s="1634" customFormat="1">
      <c r="G46462" s="3336"/>
      <c r="P46462" s="3337"/>
    </row>
    <row r="46463" spans="7:16" s="1634" customFormat="1">
      <c r="G46463" s="3336"/>
      <c r="P46463" s="3337"/>
    </row>
    <row r="46464" spans="7:16" s="1634" customFormat="1">
      <c r="G46464" s="3336"/>
      <c r="P46464" s="3337"/>
    </row>
    <row r="46465" spans="7:16" s="1634" customFormat="1">
      <c r="G46465" s="3336"/>
      <c r="P46465" s="3337"/>
    </row>
    <row r="46466" spans="7:16" s="1634" customFormat="1">
      <c r="G46466" s="3336"/>
      <c r="P46466" s="3337"/>
    </row>
    <row r="46467" spans="7:16" s="1634" customFormat="1">
      <c r="G46467" s="3336"/>
      <c r="P46467" s="3337"/>
    </row>
    <row r="46468" spans="7:16" s="1634" customFormat="1">
      <c r="G46468" s="3336"/>
      <c r="P46468" s="3337"/>
    </row>
    <row r="46469" spans="7:16" s="1634" customFormat="1">
      <c r="G46469" s="3336"/>
      <c r="P46469" s="3337"/>
    </row>
    <row r="46470" spans="7:16" s="1634" customFormat="1">
      <c r="G46470" s="3336"/>
      <c r="P46470" s="3337"/>
    </row>
    <row r="46471" spans="7:16" s="1634" customFormat="1">
      <c r="G46471" s="3336"/>
      <c r="P46471" s="3337"/>
    </row>
    <row r="46472" spans="7:16" s="1634" customFormat="1">
      <c r="G46472" s="3336"/>
      <c r="P46472" s="3337"/>
    </row>
    <row r="46473" spans="7:16" s="1634" customFormat="1">
      <c r="G46473" s="3336"/>
      <c r="P46473" s="3337"/>
    </row>
    <row r="46474" spans="7:16" s="1634" customFormat="1">
      <c r="G46474" s="3336"/>
      <c r="P46474" s="3337"/>
    </row>
    <row r="46475" spans="7:16" s="1634" customFormat="1">
      <c r="G46475" s="3336"/>
      <c r="P46475" s="3337"/>
    </row>
    <row r="46476" spans="7:16" s="1634" customFormat="1">
      <c r="G46476" s="3336"/>
      <c r="P46476" s="3337"/>
    </row>
    <row r="46477" spans="7:16" s="1634" customFormat="1">
      <c r="G46477" s="3336"/>
      <c r="P46477" s="3337"/>
    </row>
    <row r="46478" spans="7:16" s="1634" customFormat="1">
      <c r="G46478" s="3336"/>
      <c r="P46478" s="3337"/>
    </row>
    <row r="46479" spans="7:16" s="1634" customFormat="1">
      <c r="G46479" s="3336"/>
      <c r="P46479" s="3337"/>
    </row>
    <row r="46480" spans="7:16" s="1634" customFormat="1">
      <c r="G46480" s="3336"/>
      <c r="P46480" s="3337"/>
    </row>
    <row r="46481" spans="7:16" s="1634" customFormat="1">
      <c r="G46481" s="3336"/>
      <c r="P46481" s="3337"/>
    </row>
    <row r="46482" spans="7:16" s="1634" customFormat="1">
      <c r="G46482" s="3336"/>
      <c r="P46482" s="3337"/>
    </row>
    <row r="46483" spans="7:16" s="1634" customFormat="1">
      <c r="G46483" s="3336"/>
      <c r="P46483" s="3337"/>
    </row>
    <row r="46484" spans="7:16" s="1634" customFormat="1">
      <c r="G46484" s="3336"/>
      <c r="P46484" s="3337"/>
    </row>
    <row r="46485" spans="7:16" s="1634" customFormat="1">
      <c r="G46485" s="3336"/>
      <c r="P46485" s="3337"/>
    </row>
    <row r="46486" spans="7:16" s="1634" customFormat="1">
      <c r="G46486" s="3336"/>
      <c r="P46486" s="3337"/>
    </row>
    <row r="46487" spans="7:16" s="1634" customFormat="1">
      <c r="G46487" s="3336"/>
      <c r="P46487" s="3337"/>
    </row>
    <row r="46488" spans="7:16" s="1634" customFormat="1">
      <c r="G46488" s="3336"/>
      <c r="P46488" s="3337"/>
    </row>
    <row r="46489" spans="7:16" s="1634" customFormat="1">
      <c r="G46489" s="3336"/>
      <c r="P46489" s="3337"/>
    </row>
    <row r="46490" spans="7:16" s="1634" customFormat="1">
      <c r="G46490" s="3336"/>
      <c r="P46490" s="3337"/>
    </row>
    <row r="46491" spans="7:16" s="1634" customFormat="1">
      <c r="G46491" s="3336"/>
      <c r="P46491" s="3337"/>
    </row>
    <row r="46492" spans="7:16" s="1634" customFormat="1">
      <c r="G46492" s="3336"/>
      <c r="P46492" s="3337"/>
    </row>
    <row r="46493" spans="7:16" s="1634" customFormat="1">
      <c r="G46493" s="3336"/>
      <c r="P46493" s="3337"/>
    </row>
    <row r="46494" spans="7:16" s="1634" customFormat="1">
      <c r="G46494" s="3336"/>
      <c r="P46494" s="3337"/>
    </row>
    <row r="46495" spans="7:16" s="1634" customFormat="1">
      <c r="G46495" s="3336"/>
      <c r="P46495" s="3337"/>
    </row>
    <row r="46496" spans="7:16" s="1634" customFormat="1">
      <c r="G46496" s="3336"/>
      <c r="P46496" s="3337"/>
    </row>
    <row r="46497" spans="7:16" s="1634" customFormat="1">
      <c r="G46497" s="3336"/>
      <c r="P46497" s="3337"/>
    </row>
    <row r="46498" spans="7:16" s="1634" customFormat="1">
      <c r="G46498" s="3336"/>
      <c r="P46498" s="3337"/>
    </row>
    <row r="46499" spans="7:16" s="1634" customFormat="1">
      <c r="G46499" s="3336"/>
      <c r="P46499" s="3337"/>
    </row>
    <row r="46500" spans="7:16" s="1634" customFormat="1">
      <c r="G46500" s="3336"/>
      <c r="P46500" s="3337"/>
    </row>
    <row r="46501" spans="7:16" s="1634" customFormat="1">
      <c r="G46501" s="3336"/>
      <c r="P46501" s="3337"/>
    </row>
    <row r="46502" spans="7:16" s="1634" customFormat="1">
      <c r="G46502" s="3336"/>
      <c r="P46502" s="3337"/>
    </row>
    <row r="46503" spans="7:16" s="1634" customFormat="1">
      <c r="G46503" s="3336"/>
      <c r="P46503" s="3337"/>
    </row>
    <row r="46504" spans="7:16" s="1634" customFormat="1">
      <c r="G46504" s="3336"/>
      <c r="P46504" s="3337"/>
    </row>
    <row r="46505" spans="7:16" s="1634" customFormat="1">
      <c r="G46505" s="3336"/>
      <c r="P46505" s="3337"/>
    </row>
    <row r="46506" spans="7:16" s="1634" customFormat="1">
      <c r="G46506" s="3336"/>
      <c r="P46506" s="3337"/>
    </row>
    <row r="46507" spans="7:16" s="1634" customFormat="1">
      <c r="G46507" s="3336"/>
      <c r="P46507" s="3337"/>
    </row>
    <row r="46508" spans="7:16" s="1634" customFormat="1">
      <c r="G46508" s="3336"/>
      <c r="P46508" s="3337"/>
    </row>
    <row r="46509" spans="7:16" s="1634" customFormat="1">
      <c r="G46509" s="3336"/>
      <c r="P46509" s="3337"/>
    </row>
    <row r="46510" spans="7:16" s="1634" customFormat="1">
      <c r="G46510" s="3336"/>
      <c r="P46510" s="3337"/>
    </row>
    <row r="46511" spans="7:16" s="1634" customFormat="1">
      <c r="G46511" s="3336"/>
      <c r="P46511" s="3337"/>
    </row>
    <row r="46512" spans="7:16" s="1634" customFormat="1">
      <c r="G46512" s="3336"/>
      <c r="P46512" s="3337"/>
    </row>
    <row r="46513" spans="7:16" s="1634" customFormat="1">
      <c r="G46513" s="3336"/>
      <c r="P46513" s="3337"/>
    </row>
    <row r="46514" spans="7:16" s="1634" customFormat="1">
      <c r="G46514" s="3336"/>
      <c r="P46514" s="3337"/>
    </row>
    <row r="46515" spans="7:16" s="1634" customFormat="1">
      <c r="G46515" s="3336"/>
      <c r="P46515" s="3337"/>
    </row>
    <row r="46516" spans="7:16" s="1634" customFormat="1">
      <c r="G46516" s="3336"/>
      <c r="P46516" s="3337"/>
    </row>
    <row r="46517" spans="7:16" s="1634" customFormat="1">
      <c r="G46517" s="3336"/>
      <c r="P46517" s="3337"/>
    </row>
    <row r="46518" spans="7:16" s="1634" customFormat="1">
      <c r="G46518" s="3336"/>
      <c r="P46518" s="3337"/>
    </row>
    <row r="46519" spans="7:16" s="1634" customFormat="1">
      <c r="G46519" s="3336"/>
      <c r="P46519" s="3337"/>
    </row>
    <row r="46520" spans="7:16" s="1634" customFormat="1">
      <c r="G46520" s="3336"/>
      <c r="P46520" s="3337"/>
    </row>
    <row r="46521" spans="7:16" s="1634" customFormat="1">
      <c r="G46521" s="3336"/>
      <c r="P46521" s="3337"/>
    </row>
    <row r="46522" spans="7:16" s="1634" customFormat="1">
      <c r="G46522" s="3336"/>
      <c r="P46522" s="3337"/>
    </row>
    <row r="46523" spans="7:16" s="1634" customFormat="1">
      <c r="G46523" s="3336"/>
      <c r="P46523" s="3337"/>
    </row>
    <row r="46524" spans="7:16" s="1634" customFormat="1">
      <c r="G46524" s="3336"/>
      <c r="P46524" s="3337"/>
    </row>
    <row r="46525" spans="7:16" s="1634" customFormat="1">
      <c r="G46525" s="3336"/>
      <c r="P46525" s="3337"/>
    </row>
    <row r="46526" spans="7:16" s="1634" customFormat="1">
      <c r="G46526" s="3336"/>
      <c r="P46526" s="3337"/>
    </row>
    <row r="46527" spans="7:16" s="1634" customFormat="1">
      <c r="G46527" s="3336"/>
      <c r="P46527" s="3337"/>
    </row>
    <row r="46528" spans="7:16" s="1634" customFormat="1">
      <c r="G46528" s="3336"/>
      <c r="P46528" s="3337"/>
    </row>
    <row r="46529" spans="7:16" s="1634" customFormat="1">
      <c r="G46529" s="3336"/>
      <c r="P46529" s="3337"/>
    </row>
    <row r="46530" spans="7:16" s="1634" customFormat="1">
      <c r="G46530" s="3336"/>
      <c r="P46530" s="3337"/>
    </row>
    <row r="46531" spans="7:16" s="1634" customFormat="1">
      <c r="G46531" s="3336"/>
      <c r="P46531" s="3337"/>
    </row>
    <row r="46532" spans="7:16" s="1634" customFormat="1">
      <c r="G46532" s="3336"/>
      <c r="P46532" s="3337"/>
    </row>
    <row r="46533" spans="7:16" s="1634" customFormat="1">
      <c r="G46533" s="3336"/>
      <c r="P46533" s="3337"/>
    </row>
    <row r="46534" spans="7:16" s="1634" customFormat="1">
      <c r="G46534" s="3336"/>
      <c r="P46534" s="3337"/>
    </row>
    <row r="46535" spans="7:16" s="1634" customFormat="1">
      <c r="G46535" s="3336"/>
      <c r="P46535" s="3337"/>
    </row>
    <row r="46536" spans="7:16" s="1634" customFormat="1">
      <c r="G46536" s="3336"/>
      <c r="P46536" s="3337"/>
    </row>
    <row r="46537" spans="7:16" s="1634" customFormat="1">
      <c r="G46537" s="3336"/>
      <c r="P46537" s="3337"/>
    </row>
    <row r="46538" spans="7:16" s="1634" customFormat="1">
      <c r="G46538" s="3336"/>
      <c r="P46538" s="3337"/>
    </row>
    <row r="46539" spans="7:16" s="1634" customFormat="1">
      <c r="G46539" s="3336"/>
      <c r="P46539" s="3337"/>
    </row>
    <row r="46540" spans="7:16" s="1634" customFormat="1">
      <c r="G46540" s="3336"/>
      <c r="P46540" s="3337"/>
    </row>
    <row r="46541" spans="7:16" s="1634" customFormat="1">
      <c r="G46541" s="3336"/>
      <c r="P46541" s="3337"/>
    </row>
    <row r="46542" spans="7:16" s="1634" customFormat="1">
      <c r="G46542" s="3336"/>
      <c r="P46542" s="3337"/>
    </row>
    <row r="46543" spans="7:16" s="1634" customFormat="1">
      <c r="G46543" s="3336"/>
      <c r="P46543" s="3337"/>
    </row>
    <row r="46544" spans="7:16" s="1634" customFormat="1">
      <c r="G46544" s="3336"/>
      <c r="P46544" s="3337"/>
    </row>
    <row r="46545" spans="7:16" s="1634" customFormat="1">
      <c r="G46545" s="3336"/>
      <c r="P46545" s="3337"/>
    </row>
    <row r="46546" spans="7:16" s="1634" customFormat="1">
      <c r="G46546" s="3336"/>
      <c r="P46546" s="3337"/>
    </row>
    <row r="46547" spans="7:16" s="1634" customFormat="1">
      <c r="G46547" s="3336"/>
      <c r="P46547" s="3337"/>
    </row>
    <row r="46548" spans="7:16" s="1634" customFormat="1">
      <c r="G46548" s="3336"/>
      <c r="P46548" s="3337"/>
    </row>
    <row r="46549" spans="7:16" s="1634" customFormat="1">
      <c r="G46549" s="3336"/>
      <c r="P46549" s="3337"/>
    </row>
    <row r="46550" spans="7:16" s="1634" customFormat="1">
      <c r="G46550" s="3336"/>
      <c r="P46550" s="3337"/>
    </row>
    <row r="46551" spans="7:16" s="1634" customFormat="1">
      <c r="G46551" s="3336"/>
      <c r="P46551" s="3337"/>
    </row>
    <row r="46552" spans="7:16" s="1634" customFormat="1">
      <c r="G46552" s="3336"/>
      <c r="P46552" s="3337"/>
    </row>
    <row r="46553" spans="7:16" s="1634" customFormat="1">
      <c r="G46553" s="3336"/>
      <c r="P46553" s="3337"/>
    </row>
    <row r="46554" spans="7:16" s="1634" customFormat="1">
      <c r="G46554" s="3336"/>
      <c r="P46554" s="3337"/>
    </row>
    <row r="46555" spans="7:16" s="1634" customFormat="1">
      <c r="G46555" s="3336"/>
      <c r="P46555" s="3337"/>
    </row>
    <row r="46556" spans="7:16" s="1634" customFormat="1">
      <c r="G46556" s="3336"/>
      <c r="P46556" s="3337"/>
    </row>
    <row r="46557" spans="7:16" s="1634" customFormat="1">
      <c r="G46557" s="3336"/>
      <c r="P46557" s="3337"/>
    </row>
    <row r="46558" spans="7:16" s="1634" customFormat="1">
      <c r="G46558" s="3336"/>
      <c r="P46558" s="3337"/>
    </row>
    <row r="46559" spans="7:16" s="1634" customFormat="1">
      <c r="G46559" s="3336"/>
      <c r="P46559" s="3337"/>
    </row>
    <row r="46560" spans="7:16" s="1634" customFormat="1">
      <c r="G46560" s="3336"/>
      <c r="P46560" s="3337"/>
    </row>
    <row r="46561" spans="7:16" s="1634" customFormat="1">
      <c r="G46561" s="3336"/>
      <c r="P46561" s="3337"/>
    </row>
    <row r="46562" spans="7:16" s="1634" customFormat="1">
      <c r="G46562" s="3336"/>
      <c r="P46562" s="3337"/>
    </row>
    <row r="46563" spans="7:16" s="1634" customFormat="1">
      <c r="G46563" s="3336"/>
      <c r="P46563" s="3337"/>
    </row>
    <row r="46564" spans="7:16" s="1634" customFormat="1">
      <c r="G46564" s="3336"/>
      <c r="P46564" s="3337"/>
    </row>
    <row r="46565" spans="7:16" s="1634" customFormat="1">
      <c r="G46565" s="3336"/>
      <c r="P46565" s="3337"/>
    </row>
    <row r="46566" spans="7:16" s="1634" customFormat="1">
      <c r="G46566" s="3336"/>
      <c r="P46566" s="3337"/>
    </row>
    <row r="46567" spans="7:16" s="1634" customFormat="1">
      <c r="G46567" s="3336"/>
      <c r="P46567" s="3337"/>
    </row>
    <row r="46568" spans="7:16" s="1634" customFormat="1">
      <c r="G46568" s="3336"/>
      <c r="P46568" s="3337"/>
    </row>
    <row r="46569" spans="7:16" s="1634" customFormat="1">
      <c r="G46569" s="3336"/>
      <c r="P46569" s="3337"/>
    </row>
    <row r="46570" spans="7:16" s="1634" customFormat="1">
      <c r="G46570" s="3336"/>
      <c r="P46570" s="3337"/>
    </row>
    <row r="46571" spans="7:16" s="1634" customFormat="1">
      <c r="G46571" s="3336"/>
      <c r="P46571" s="3337"/>
    </row>
    <row r="46572" spans="7:16" s="1634" customFormat="1">
      <c r="G46572" s="3336"/>
      <c r="P46572" s="3337"/>
    </row>
    <row r="46573" spans="7:16" s="1634" customFormat="1">
      <c r="G46573" s="3336"/>
      <c r="P46573" s="3337"/>
    </row>
    <row r="46574" spans="7:16" s="1634" customFormat="1">
      <c r="G46574" s="3336"/>
      <c r="P46574" s="3337"/>
    </row>
    <row r="46575" spans="7:16" s="1634" customFormat="1">
      <c r="G46575" s="3336"/>
      <c r="P46575" s="3337"/>
    </row>
    <row r="46576" spans="7:16" s="1634" customFormat="1">
      <c r="G46576" s="3336"/>
      <c r="P46576" s="3337"/>
    </row>
    <row r="46577" spans="7:16" s="1634" customFormat="1">
      <c r="G46577" s="3336"/>
      <c r="P46577" s="3337"/>
    </row>
    <row r="46578" spans="7:16" s="1634" customFormat="1">
      <c r="G46578" s="3336"/>
      <c r="P46578" s="3337"/>
    </row>
    <row r="46579" spans="7:16" s="1634" customFormat="1">
      <c r="G46579" s="3336"/>
      <c r="P46579" s="3337"/>
    </row>
    <row r="46580" spans="7:16" s="1634" customFormat="1">
      <c r="G46580" s="3336"/>
      <c r="P46580" s="3337"/>
    </row>
    <row r="46581" spans="7:16" s="1634" customFormat="1">
      <c r="G46581" s="3336"/>
      <c r="P46581" s="3337"/>
    </row>
    <row r="46582" spans="7:16" s="1634" customFormat="1">
      <c r="G46582" s="3336"/>
      <c r="P46582" s="3337"/>
    </row>
    <row r="46583" spans="7:16" s="1634" customFormat="1">
      <c r="G46583" s="3336"/>
      <c r="P46583" s="3337"/>
    </row>
    <row r="46584" spans="7:16" s="1634" customFormat="1">
      <c r="G46584" s="3336"/>
      <c r="P46584" s="3337"/>
    </row>
    <row r="46585" spans="7:16" s="1634" customFormat="1">
      <c r="G46585" s="3336"/>
      <c r="P46585" s="3337"/>
    </row>
    <row r="46586" spans="7:16" s="1634" customFormat="1">
      <c r="G46586" s="3336"/>
      <c r="P46586" s="3337"/>
    </row>
    <row r="46587" spans="7:16" s="1634" customFormat="1">
      <c r="G46587" s="3336"/>
      <c r="P46587" s="3337"/>
    </row>
    <row r="46588" spans="7:16" s="1634" customFormat="1">
      <c r="G46588" s="3336"/>
      <c r="P46588" s="3337"/>
    </row>
    <row r="46589" spans="7:16" s="1634" customFormat="1">
      <c r="G46589" s="3336"/>
      <c r="P46589" s="3337"/>
    </row>
    <row r="46590" spans="7:16" s="1634" customFormat="1">
      <c r="G46590" s="3336"/>
      <c r="P46590" s="3337"/>
    </row>
    <row r="46591" spans="7:16" s="1634" customFormat="1">
      <c r="G46591" s="3336"/>
      <c r="P46591" s="3337"/>
    </row>
    <row r="46592" spans="7:16" s="1634" customFormat="1">
      <c r="G46592" s="3336"/>
      <c r="P46592" s="3337"/>
    </row>
    <row r="46593" spans="7:16" s="1634" customFormat="1">
      <c r="G46593" s="3336"/>
      <c r="P46593" s="3337"/>
    </row>
    <row r="46594" spans="7:16" s="1634" customFormat="1">
      <c r="G46594" s="3336"/>
      <c r="P46594" s="3337"/>
    </row>
    <row r="46595" spans="7:16" s="1634" customFormat="1">
      <c r="G46595" s="3336"/>
      <c r="P46595" s="3337"/>
    </row>
    <row r="46596" spans="7:16" s="1634" customFormat="1">
      <c r="G46596" s="3336"/>
      <c r="P46596" s="3337"/>
    </row>
    <row r="46597" spans="7:16" s="1634" customFormat="1">
      <c r="G46597" s="3336"/>
      <c r="P46597" s="3337"/>
    </row>
    <row r="46598" spans="7:16" s="1634" customFormat="1">
      <c r="G46598" s="3336"/>
      <c r="P46598" s="3337"/>
    </row>
    <row r="46599" spans="7:16" s="1634" customFormat="1">
      <c r="G46599" s="3336"/>
      <c r="P46599" s="3337"/>
    </row>
    <row r="46600" spans="7:16" s="1634" customFormat="1">
      <c r="G46600" s="3336"/>
      <c r="P46600" s="3337"/>
    </row>
    <row r="46601" spans="7:16" s="1634" customFormat="1">
      <c r="G46601" s="3336"/>
      <c r="P46601" s="3337"/>
    </row>
    <row r="46602" spans="7:16" s="1634" customFormat="1">
      <c r="G46602" s="3336"/>
      <c r="P46602" s="3337"/>
    </row>
    <row r="46603" spans="7:16" s="1634" customFormat="1">
      <c r="G46603" s="3336"/>
      <c r="P46603" s="3337"/>
    </row>
    <row r="46604" spans="7:16" s="1634" customFormat="1">
      <c r="G46604" s="3336"/>
      <c r="P46604" s="3337"/>
    </row>
    <row r="46605" spans="7:16" s="1634" customFormat="1">
      <c r="G46605" s="3336"/>
      <c r="P46605" s="3337"/>
    </row>
    <row r="46606" spans="7:16" s="1634" customFormat="1">
      <c r="G46606" s="3336"/>
      <c r="P46606" s="3337"/>
    </row>
    <row r="46607" spans="7:16" s="1634" customFormat="1">
      <c r="G46607" s="3336"/>
      <c r="P46607" s="3337"/>
    </row>
    <row r="46608" spans="7:16" s="1634" customFormat="1">
      <c r="G46608" s="3336"/>
      <c r="P46608" s="3337"/>
    </row>
    <row r="46609" spans="7:16" s="1634" customFormat="1">
      <c r="G46609" s="3336"/>
      <c r="P46609" s="3337"/>
    </row>
    <row r="46610" spans="7:16" s="1634" customFormat="1">
      <c r="G46610" s="3336"/>
      <c r="P46610" s="3337"/>
    </row>
    <row r="46611" spans="7:16" s="1634" customFormat="1">
      <c r="G46611" s="3336"/>
      <c r="P46611" s="3337"/>
    </row>
    <row r="46612" spans="7:16" s="1634" customFormat="1">
      <c r="G46612" s="3336"/>
      <c r="P46612" s="3337"/>
    </row>
    <row r="46613" spans="7:16" s="1634" customFormat="1">
      <c r="G46613" s="3336"/>
      <c r="P46613" s="3337"/>
    </row>
    <row r="46614" spans="7:16" s="1634" customFormat="1">
      <c r="G46614" s="3336"/>
      <c r="P46614" s="3337"/>
    </row>
    <row r="46615" spans="7:16" s="1634" customFormat="1">
      <c r="G46615" s="3336"/>
      <c r="P46615" s="3337"/>
    </row>
    <row r="46616" spans="7:16" s="1634" customFormat="1">
      <c r="G46616" s="3336"/>
      <c r="P46616" s="3337"/>
    </row>
    <row r="46617" spans="7:16" s="1634" customFormat="1">
      <c r="G46617" s="3336"/>
      <c r="P46617" s="3337"/>
    </row>
    <row r="46618" spans="7:16" s="1634" customFormat="1">
      <c r="G46618" s="3336"/>
      <c r="P46618" s="3337"/>
    </row>
    <row r="46619" spans="7:16" s="1634" customFormat="1">
      <c r="G46619" s="3336"/>
      <c r="P46619" s="3337"/>
    </row>
    <row r="46620" spans="7:16" s="1634" customFormat="1">
      <c r="G46620" s="3336"/>
      <c r="P46620" s="3337"/>
    </row>
    <row r="46621" spans="7:16" s="1634" customFormat="1">
      <c r="G46621" s="3336"/>
      <c r="P46621" s="3337"/>
    </row>
    <row r="46622" spans="7:16" s="1634" customFormat="1">
      <c r="G46622" s="3336"/>
      <c r="P46622" s="3337"/>
    </row>
    <row r="46623" spans="7:16" s="1634" customFormat="1">
      <c r="G46623" s="3336"/>
      <c r="P46623" s="3337"/>
    </row>
    <row r="46624" spans="7:16" s="1634" customFormat="1">
      <c r="G46624" s="3336"/>
      <c r="P46624" s="3337"/>
    </row>
    <row r="46625" spans="7:16" s="1634" customFormat="1">
      <c r="G46625" s="3336"/>
      <c r="P46625" s="3337"/>
    </row>
    <row r="46626" spans="7:16" s="1634" customFormat="1">
      <c r="G46626" s="3336"/>
      <c r="P46626" s="3337"/>
    </row>
    <row r="46627" spans="7:16" s="1634" customFormat="1">
      <c r="G46627" s="3336"/>
      <c r="P46627" s="3337"/>
    </row>
    <row r="46628" spans="7:16" s="1634" customFormat="1">
      <c r="G46628" s="3336"/>
      <c r="P46628" s="3337"/>
    </row>
    <row r="46629" spans="7:16" s="1634" customFormat="1">
      <c r="G46629" s="3336"/>
      <c r="P46629" s="3337"/>
    </row>
    <row r="46630" spans="7:16" s="1634" customFormat="1">
      <c r="G46630" s="3336"/>
      <c r="P46630" s="3337"/>
    </row>
    <row r="46631" spans="7:16" s="1634" customFormat="1">
      <c r="G46631" s="3336"/>
      <c r="P46631" s="3337"/>
    </row>
    <row r="46632" spans="7:16" s="1634" customFormat="1">
      <c r="G46632" s="3336"/>
      <c r="P46632" s="3337"/>
    </row>
    <row r="46633" spans="7:16" s="1634" customFormat="1">
      <c r="G46633" s="3336"/>
      <c r="P46633" s="3337"/>
    </row>
    <row r="46634" spans="7:16" s="1634" customFormat="1">
      <c r="G46634" s="3336"/>
      <c r="P46634" s="3337"/>
    </row>
    <row r="46635" spans="7:16" s="1634" customFormat="1">
      <c r="G46635" s="3336"/>
      <c r="P46635" s="3337"/>
    </row>
    <row r="46636" spans="7:16" s="1634" customFormat="1">
      <c r="G46636" s="3336"/>
      <c r="P46636" s="3337"/>
    </row>
    <row r="46637" spans="7:16" s="1634" customFormat="1">
      <c r="G46637" s="3336"/>
      <c r="P46637" s="3337"/>
    </row>
    <row r="46638" spans="7:16" s="1634" customFormat="1">
      <c r="G46638" s="3336"/>
      <c r="P46638" s="3337"/>
    </row>
    <row r="46639" spans="7:16" s="1634" customFormat="1">
      <c r="G46639" s="3336"/>
      <c r="P46639" s="3337"/>
    </row>
    <row r="46640" spans="7:16" s="1634" customFormat="1">
      <c r="G46640" s="3336"/>
      <c r="P46640" s="3337"/>
    </row>
    <row r="46641" spans="7:16" s="1634" customFormat="1">
      <c r="G46641" s="3336"/>
      <c r="P46641" s="3337"/>
    </row>
    <row r="46642" spans="7:16" s="1634" customFormat="1">
      <c r="G46642" s="3336"/>
      <c r="P46642" s="3337"/>
    </row>
    <row r="46643" spans="7:16" s="1634" customFormat="1">
      <c r="G46643" s="3336"/>
      <c r="P46643" s="3337"/>
    </row>
    <row r="46644" spans="7:16" s="1634" customFormat="1">
      <c r="G46644" s="3336"/>
      <c r="P46644" s="3337"/>
    </row>
    <row r="46645" spans="7:16" s="1634" customFormat="1">
      <c r="G46645" s="3336"/>
      <c r="P46645" s="3337"/>
    </row>
    <row r="46646" spans="7:16" s="1634" customFormat="1">
      <c r="G46646" s="3336"/>
      <c r="P46646" s="3337"/>
    </row>
    <row r="46647" spans="7:16" s="1634" customFormat="1">
      <c r="G46647" s="3336"/>
      <c r="P46647" s="3337"/>
    </row>
    <row r="46648" spans="7:16" s="1634" customFormat="1">
      <c r="G46648" s="3336"/>
      <c r="P46648" s="3337"/>
    </row>
    <row r="46649" spans="7:16" s="1634" customFormat="1">
      <c r="G46649" s="3336"/>
      <c r="P46649" s="3337"/>
    </row>
    <row r="46650" spans="7:16" s="1634" customFormat="1">
      <c r="G46650" s="3336"/>
      <c r="P46650" s="3337"/>
    </row>
    <row r="46651" spans="7:16" s="1634" customFormat="1">
      <c r="G46651" s="3336"/>
      <c r="P46651" s="3337"/>
    </row>
    <row r="46652" spans="7:16" s="1634" customFormat="1">
      <c r="G46652" s="3336"/>
      <c r="P46652" s="3337"/>
    </row>
    <row r="46653" spans="7:16" s="1634" customFormat="1">
      <c r="G46653" s="3336"/>
      <c r="P46653" s="3337"/>
    </row>
    <row r="46654" spans="7:16" s="1634" customFormat="1">
      <c r="G46654" s="3336"/>
      <c r="P46654" s="3337"/>
    </row>
    <row r="46655" spans="7:16" s="1634" customFormat="1">
      <c r="G46655" s="3336"/>
      <c r="P46655" s="3337"/>
    </row>
    <row r="46656" spans="7:16" s="1634" customFormat="1">
      <c r="G46656" s="3336"/>
      <c r="P46656" s="3337"/>
    </row>
    <row r="46657" spans="7:16" s="1634" customFormat="1">
      <c r="G46657" s="3336"/>
      <c r="P46657" s="3337"/>
    </row>
    <row r="46658" spans="7:16" s="1634" customFormat="1">
      <c r="G46658" s="3336"/>
      <c r="P46658" s="3337"/>
    </row>
    <row r="46659" spans="7:16" s="1634" customFormat="1">
      <c r="G46659" s="3336"/>
      <c r="P46659" s="3337"/>
    </row>
    <row r="46660" spans="7:16" s="1634" customFormat="1">
      <c r="G46660" s="3336"/>
      <c r="P46660" s="3337"/>
    </row>
    <row r="46661" spans="7:16" s="1634" customFormat="1">
      <c r="G46661" s="3336"/>
      <c r="P46661" s="3337"/>
    </row>
    <row r="46662" spans="7:16" s="1634" customFormat="1">
      <c r="G46662" s="3336"/>
      <c r="P46662" s="3337"/>
    </row>
    <row r="46663" spans="7:16" s="1634" customFormat="1">
      <c r="G46663" s="3336"/>
      <c r="P46663" s="3337"/>
    </row>
    <row r="46664" spans="7:16" s="1634" customFormat="1">
      <c r="G46664" s="3336"/>
      <c r="P46664" s="3337"/>
    </row>
    <row r="46665" spans="7:16" s="1634" customFormat="1">
      <c r="G46665" s="3336"/>
      <c r="P46665" s="3337"/>
    </row>
    <row r="46666" spans="7:16" s="1634" customFormat="1">
      <c r="G46666" s="3336"/>
      <c r="P46666" s="3337"/>
    </row>
    <row r="46667" spans="7:16" s="1634" customFormat="1">
      <c r="G46667" s="3336"/>
      <c r="P46667" s="3337"/>
    </row>
    <row r="46668" spans="7:16" s="1634" customFormat="1">
      <c r="G46668" s="3336"/>
      <c r="P46668" s="3337"/>
    </row>
    <row r="46669" spans="7:16" s="1634" customFormat="1">
      <c r="G46669" s="3336"/>
      <c r="P46669" s="3337"/>
    </row>
    <row r="46670" spans="7:16" s="1634" customFormat="1">
      <c r="G46670" s="3336"/>
      <c r="P46670" s="3337"/>
    </row>
    <row r="46671" spans="7:16" s="1634" customFormat="1">
      <c r="G46671" s="3336"/>
      <c r="P46671" s="3337"/>
    </row>
    <row r="46672" spans="7:16" s="1634" customFormat="1">
      <c r="G46672" s="3336"/>
      <c r="P46672" s="3337"/>
    </row>
    <row r="46673" spans="7:16" s="1634" customFormat="1">
      <c r="G46673" s="3336"/>
      <c r="P46673" s="3337"/>
    </row>
    <row r="46674" spans="7:16" s="1634" customFormat="1">
      <c r="G46674" s="3336"/>
      <c r="P46674" s="3337"/>
    </row>
    <row r="46675" spans="7:16" s="1634" customFormat="1">
      <c r="G46675" s="3336"/>
      <c r="P46675" s="3337"/>
    </row>
    <row r="46676" spans="7:16" s="1634" customFormat="1">
      <c r="G46676" s="3336"/>
      <c r="P46676" s="3337"/>
    </row>
    <row r="46677" spans="7:16" s="1634" customFormat="1">
      <c r="G46677" s="3336"/>
      <c r="P46677" s="3337"/>
    </row>
    <row r="46678" spans="7:16" s="1634" customFormat="1">
      <c r="G46678" s="3336"/>
      <c r="P46678" s="3337"/>
    </row>
    <row r="46679" spans="7:16" s="1634" customFormat="1">
      <c r="G46679" s="3336"/>
      <c r="P46679" s="3337"/>
    </row>
    <row r="46680" spans="7:16" s="1634" customFormat="1">
      <c r="G46680" s="3336"/>
      <c r="P46680" s="3337"/>
    </row>
    <row r="46681" spans="7:16" s="1634" customFormat="1">
      <c r="G46681" s="3336"/>
      <c r="P46681" s="3337"/>
    </row>
    <row r="46682" spans="7:16" s="1634" customFormat="1">
      <c r="G46682" s="3336"/>
      <c r="P46682" s="3337"/>
    </row>
    <row r="46683" spans="7:16" s="1634" customFormat="1">
      <c r="G46683" s="3336"/>
      <c r="P46683" s="3337"/>
    </row>
    <row r="46684" spans="7:16" s="1634" customFormat="1">
      <c r="G46684" s="3336"/>
      <c r="P46684" s="3337"/>
    </row>
    <row r="46685" spans="7:16" s="1634" customFormat="1">
      <c r="G46685" s="3336"/>
      <c r="P46685" s="3337"/>
    </row>
    <row r="46686" spans="7:16" s="1634" customFormat="1">
      <c r="G46686" s="3336"/>
      <c r="P46686" s="3337"/>
    </row>
    <row r="46687" spans="7:16" s="1634" customFormat="1">
      <c r="G46687" s="3336"/>
      <c r="P46687" s="3337"/>
    </row>
    <row r="46688" spans="7:16" s="1634" customFormat="1">
      <c r="G46688" s="3336"/>
      <c r="P46688" s="3337"/>
    </row>
    <row r="46689" spans="7:16" s="1634" customFormat="1">
      <c r="G46689" s="3336"/>
      <c r="P46689" s="3337"/>
    </row>
    <row r="46690" spans="7:16" s="1634" customFormat="1">
      <c r="G46690" s="3336"/>
      <c r="P46690" s="3337"/>
    </row>
    <row r="46691" spans="7:16" s="1634" customFormat="1">
      <c r="G46691" s="3336"/>
      <c r="P46691" s="3337"/>
    </row>
    <row r="46692" spans="7:16" s="1634" customFormat="1">
      <c r="G46692" s="3336"/>
      <c r="P46692" s="3337"/>
    </row>
    <row r="46693" spans="7:16" s="1634" customFormat="1">
      <c r="G46693" s="3336"/>
      <c r="P46693" s="3337"/>
    </row>
    <row r="46694" spans="7:16" s="1634" customFormat="1">
      <c r="G46694" s="3336"/>
      <c r="P46694" s="3337"/>
    </row>
    <row r="46695" spans="7:16" s="1634" customFormat="1">
      <c r="G46695" s="3336"/>
      <c r="P46695" s="3337"/>
    </row>
    <row r="46696" spans="7:16" s="1634" customFormat="1">
      <c r="G46696" s="3336"/>
      <c r="P46696" s="3337"/>
    </row>
    <row r="46697" spans="7:16" s="1634" customFormat="1">
      <c r="G46697" s="3336"/>
      <c r="P46697" s="3337"/>
    </row>
    <row r="46698" spans="7:16" s="1634" customFormat="1">
      <c r="G46698" s="3336"/>
      <c r="P46698" s="3337"/>
    </row>
    <row r="46699" spans="7:16" s="1634" customFormat="1">
      <c r="G46699" s="3336"/>
      <c r="P46699" s="3337"/>
    </row>
    <row r="46700" spans="7:16" s="1634" customFormat="1">
      <c r="G46700" s="3336"/>
      <c r="P46700" s="3337"/>
    </row>
    <row r="46701" spans="7:16" s="1634" customFormat="1">
      <c r="G46701" s="3336"/>
      <c r="P46701" s="3337"/>
    </row>
    <row r="46702" spans="7:16" s="1634" customFormat="1">
      <c r="G46702" s="3336"/>
      <c r="P46702" s="3337"/>
    </row>
    <row r="46703" spans="7:16" s="1634" customFormat="1">
      <c r="G46703" s="3336"/>
      <c r="P46703" s="3337"/>
    </row>
    <row r="46704" spans="7:16" s="1634" customFormat="1">
      <c r="G46704" s="3336"/>
      <c r="P46704" s="3337"/>
    </row>
    <row r="46705" spans="7:16" s="1634" customFormat="1">
      <c r="G46705" s="3336"/>
      <c r="P46705" s="3337"/>
    </row>
    <row r="46706" spans="7:16" s="1634" customFormat="1">
      <c r="G46706" s="3336"/>
      <c r="P46706" s="3337"/>
    </row>
    <row r="46707" spans="7:16" s="1634" customFormat="1">
      <c r="G46707" s="3336"/>
      <c r="P46707" s="3337"/>
    </row>
    <row r="46708" spans="7:16" s="1634" customFormat="1">
      <c r="G46708" s="3336"/>
      <c r="P46708" s="3337"/>
    </row>
    <row r="46709" spans="7:16" s="1634" customFormat="1">
      <c r="G46709" s="3336"/>
      <c r="P46709" s="3337"/>
    </row>
    <row r="46710" spans="7:16" s="1634" customFormat="1">
      <c r="G46710" s="3336"/>
      <c r="P46710" s="3337"/>
    </row>
    <row r="46711" spans="7:16" s="1634" customFormat="1">
      <c r="G46711" s="3336"/>
      <c r="P46711" s="3337"/>
    </row>
    <row r="46712" spans="7:16" s="1634" customFormat="1">
      <c r="G46712" s="3336"/>
      <c r="P46712" s="3337"/>
    </row>
    <row r="46713" spans="7:16" s="1634" customFormat="1">
      <c r="G46713" s="3336"/>
      <c r="P46713" s="3337"/>
    </row>
    <row r="46714" spans="7:16" s="1634" customFormat="1">
      <c r="G46714" s="3336"/>
      <c r="P46714" s="3337"/>
    </row>
    <row r="46715" spans="7:16" s="1634" customFormat="1">
      <c r="G46715" s="3336"/>
      <c r="P46715" s="3337"/>
    </row>
    <row r="46716" spans="7:16" s="1634" customFormat="1">
      <c r="G46716" s="3336"/>
      <c r="P46716" s="3337"/>
    </row>
    <row r="46717" spans="7:16" s="1634" customFormat="1">
      <c r="G46717" s="3336"/>
      <c r="P46717" s="3337"/>
    </row>
    <row r="46718" spans="7:16" s="1634" customFormat="1">
      <c r="G46718" s="3336"/>
      <c r="P46718" s="3337"/>
    </row>
    <row r="46719" spans="7:16" s="1634" customFormat="1">
      <c r="G46719" s="3336"/>
      <c r="P46719" s="3337"/>
    </row>
    <row r="46720" spans="7:16" s="1634" customFormat="1">
      <c r="G46720" s="3336"/>
      <c r="P46720" s="3337"/>
    </row>
    <row r="46721" spans="7:16" s="1634" customFormat="1">
      <c r="G46721" s="3336"/>
      <c r="P46721" s="3337"/>
    </row>
    <row r="46722" spans="7:16" s="1634" customFormat="1">
      <c r="G46722" s="3336"/>
      <c r="P46722" s="3337"/>
    </row>
    <row r="46723" spans="7:16" s="1634" customFormat="1">
      <c r="G46723" s="3336"/>
      <c r="P46723" s="3337"/>
    </row>
    <row r="46724" spans="7:16" s="1634" customFormat="1">
      <c r="G46724" s="3336"/>
      <c r="P46724" s="3337"/>
    </row>
    <row r="46725" spans="7:16" s="1634" customFormat="1">
      <c r="G46725" s="3336"/>
      <c r="P46725" s="3337"/>
    </row>
    <row r="46726" spans="7:16" s="1634" customFormat="1">
      <c r="G46726" s="3336"/>
      <c r="P46726" s="3337"/>
    </row>
    <row r="46727" spans="7:16" s="1634" customFormat="1">
      <c r="G46727" s="3336"/>
      <c r="P46727" s="3337"/>
    </row>
    <row r="46728" spans="7:16" s="1634" customFormat="1">
      <c r="G46728" s="3336"/>
      <c r="P46728" s="3337"/>
    </row>
    <row r="46729" spans="7:16" s="1634" customFormat="1">
      <c r="G46729" s="3336"/>
      <c r="P46729" s="3337"/>
    </row>
    <row r="46730" spans="7:16" s="1634" customFormat="1">
      <c r="G46730" s="3336"/>
      <c r="P46730" s="3337"/>
    </row>
    <row r="46731" spans="7:16" s="1634" customFormat="1">
      <c r="G46731" s="3336"/>
      <c r="P46731" s="3337"/>
    </row>
    <row r="46732" spans="7:16" s="1634" customFormat="1">
      <c r="G46732" s="3336"/>
      <c r="P46732" s="3337"/>
    </row>
    <row r="46733" spans="7:16" s="1634" customFormat="1">
      <c r="G46733" s="3336"/>
      <c r="P46733" s="3337"/>
    </row>
    <row r="46734" spans="7:16" s="1634" customFormat="1">
      <c r="G46734" s="3336"/>
      <c r="P46734" s="3337"/>
    </row>
    <row r="46735" spans="7:16" s="1634" customFormat="1">
      <c r="G46735" s="3336"/>
      <c r="P46735" s="3337"/>
    </row>
    <row r="46736" spans="7:16" s="1634" customFormat="1">
      <c r="G46736" s="3336"/>
      <c r="P46736" s="3337"/>
    </row>
    <row r="46737" spans="7:16" s="1634" customFormat="1">
      <c r="G46737" s="3336"/>
      <c r="P46737" s="3337"/>
    </row>
    <row r="46738" spans="7:16" s="1634" customFormat="1">
      <c r="G46738" s="3336"/>
      <c r="P46738" s="3337"/>
    </row>
    <row r="46739" spans="7:16" s="1634" customFormat="1">
      <c r="G46739" s="3336"/>
      <c r="P46739" s="3337"/>
    </row>
    <row r="46740" spans="7:16" s="1634" customFormat="1">
      <c r="G46740" s="3336"/>
      <c r="P46740" s="3337"/>
    </row>
    <row r="46741" spans="7:16" s="1634" customFormat="1">
      <c r="G46741" s="3336"/>
      <c r="P46741" s="3337"/>
    </row>
    <row r="46742" spans="7:16" s="1634" customFormat="1">
      <c r="G46742" s="3336"/>
      <c r="P46742" s="3337"/>
    </row>
    <row r="46743" spans="7:16" s="1634" customFormat="1">
      <c r="G46743" s="3336"/>
      <c r="P46743" s="3337"/>
    </row>
    <row r="46744" spans="7:16" s="1634" customFormat="1">
      <c r="G46744" s="3336"/>
      <c r="P46744" s="3337"/>
    </row>
    <row r="46745" spans="7:16" s="1634" customFormat="1">
      <c r="G46745" s="3336"/>
      <c r="P46745" s="3337"/>
    </row>
    <row r="46746" spans="7:16" s="1634" customFormat="1">
      <c r="G46746" s="3336"/>
      <c r="P46746" s="3337"/>
    </row>
    <row r="46747" spans="7:16" s="1634" customFormat="1">
      <c r="G46747" s="3336"/>
      <c r="P46747" s="3337"/>
    </row>
    <row r="46748" spans="7:16" s="1634" customFormat="1">
      <c r="G46748" s="3336"/>
      <c r="P46748" s="3337"/>
    </row>
    <row r="46749" spans="7:16" s="1634" customFormat="1">
      <c r="G46749" s="3336"/>
      <c r="P46749" s="3337"/>
    </row>
    <row r="46750" spans="7:16" s="1634" customFormat="1">
      <c r="G46750" s="3336"/>
      <c r="P46750" s="3337"/>
    </row>
    <row r="46751" spans="7:16" s="1634" customFormat="1">
      <c r="G46751" s="3336"/>
      <c r="P46751" s="3337"/>
    </row>
    <row r="46752" spans="7:16" s="1634" customFormat="1">
      <c r="G46752" s="3336"/>
      <c r="P46752" s="3337"/>
    </row>
    <row r="46753" spans="7:16" s="1634" customFormat="1">
      <c r="G46753" s="3336"/>
      <c r="P46753" s="3337"/>
    </row>
    <row r="46754" spans="7:16" s="1634" customFormat="1">
      <c r="G46754" s="3336"/>
      <c r="P46754" s="3337"/>
    </row>
    <row r="46755" spans="7:16" s="1634" customFormat="1">
      <c r="G46755" s="3336"/>
      <c r="P46755" s="3337"/>
    </row>
    <row r="46756" spans="7:16" s="1634" customFormat="1">
      <c r="G46756" s="3336"/>
      <c r="P46756" s="3337"/>
    </row>
    <row r="46757" spans="7:16" s="1634" customFormat="1">
      <c r="G46757" s="3336"/>
      <c r="P46757" s="3337"/>
    </row>
    <row r="46758" spans="7:16" s="1634" customFormat="1">
      <c r="G46758" s="3336"/>
      <c r="P46758" s="3337"/>
    </row>
    <row r="46759" spans="7:16" s="1634" customFormat="1">
      <c r="G46759" s="3336"/>
      <c r="P46759" s="3337"/>
    </row>
    <row r="46760" spans="7:16" s="1634" customFormat="1">
      <c r="G46760" s="3336"/>
      <c r="P46760" s="3337"/>
    </row>
    <row r="46761" spans="7:16" s="1634" customFormat="1">
      <c r="G46761" s="3336"/>
      <c r="P46761" s="3337"/>
    </row>
    <row r="46762" spans="7:16" s="1634" customFormat="1">
      <c r="G46762" s="3336"/>
      <c r="P46762" s="3337"/>
    </row>
    <row r="46763" spans="7:16" s="1634" customFormat="1">
      <c r="G46763" s="3336"/>
      <c r="P46763" s="3337"/>
    </row>
    <row r="46764" spans="7:16" s="1634" customFormat="1">
      <c r="G46764" s="3336"/>
      <c r="P46764" s="3337"/>
    </row>
    <row r="46765" spans="7:16" s="1634" customFormat="1">
      <c r="G46765" s="3336"/>
      <c r="P46765" s="3337"/>
    </row>
    <row r="46766" spans="7:16" s="1634" customFormat="1">
      <c r="G46766" s="3336"/>
      <c r="P46766" s="3337"/>
    </row>
    <row r="46767" spans="7:16" s="1634" customFormat="1">
      <c r="G46767" s="3336"/>
      <c r="P46767" s="3337"/>
    </row>
    <row r="46768" spans="7:16" s="1634" customFormat="1">
      <c r="G46768" s="3336"/>
      <c r="P46768" s="3337"/>
    </row>
    <row r="46769" spans="7:16" s="1634" customFormat="1">
      <c r="G46769" s="3336"/>
      <c r="P46769" s="3337"/>
    </row>
    <row r="46770" spans="7:16" s="1634" customFormat="1">
      <c r="G46770" s="3336"/>
      <c r="P46770" s="3337"/>
    </row>
    <row r="46771" spans="7:16" s="1634" customFormat="1">
      <c r="G46771" s="3336"/>
      <c r="P46771" s="3337"/>
    </row>
    <row r="46772" spans="7:16" s="1634" customFormat="1">
      <c r="G46772" s="3336"/>
      <c r="P46772" s="3337"/>
    </row>
    <row r="46773" spans="7:16" s="1634" customFormat="1">
      <c r="G46773" s="3336"/>
      <c r="P46773" s="3337"/>
    </row>
    <row r="46774" spans="7:16" s="1634" customFormat="1">
      <c r="G46774" s="3336"/>
      <c r="P46774" s="3337"/>
    </row>
    <row r="46775" spans="7:16" s="1634" customFormat="1">
      <c r="G46775" s="3336"/>
      <c r="P46775" s="3337"/>
    </row>
    <row r="46776" spans="7:16" s="1634" customFormat="1">
      <c r="G46776" s="3336"/>
      <c r="P46776" s="3337"/>
    </row>
    <row r="46777" spans="7:16" s="1634" customFormat="1">
      <c r="G46777" s="3336"/>
      <c r="P46777" s="3337"/>
    </row>
    <row r="46778" spans="7:16" s="1634" customFormat="1">
      <c r="G46778" s="3336"/>
      <c r="P46778" s="3337"/>
    </row>
    <row r="46779" spans="7:16" s="1634" customFormat="1">
      <c r="G46779" s="3336"/>
      <c r="P46779" s="3337"/>
    </row>
    <row r="46780" spans="7:16" s="1634" customFormat="1">
      <c r="G46780" s="3336"/>
      <c r="P46780" s="3337"/>
    </row>
    <row r="46781" spans="7:16" s="1634" customFormat="1">
      <c r="G46781" s="3336"/>
      <c r="P46781" s="3337"/>
    </row>
    <row r="46782" spans="7:16" s="1634" customFormat="1">
      <c r="G46782" s="3336"/>
      <c r="P46782" s="3337"/>
    </row>
    <row r="46783" spans="7:16" s="1634" customFormat="1">
      <c r="G46783" s="3336"/>
      <c r="P46783" s="3337"/>
    </row>
    <row r="46784" spans="7:16" s="1634" customFormat="1">
      <c r="G46784" s="3336"/>
      <c r="P46784" s="3337"/>
    </row>
    <row r="46785" spans="7:16" s="1634" customFormat="1">
      <c r="G46785" s="3336"/>
      <c r="P46785" s="3337"/>
    </row>
    <row r="46786" spans="7:16" s="1634" customFormat="1">
      <c r="G46786" s="3336"/>
      <c r="P46786" s="3337"/>
    </row>
    <row r="46787" spans="7:16" s="1634" customFormat="1">
      <c r="G46787" s="3336"/>
      <c r="P46787" s="3337"/>
    </row>
    <row r="46788" spans="7:16" s="1634" customFormat="1">
      <c r="G46788" s="3336"/>
      <c r="P46788" s="3337"/>
    </row>
    <row r="46789" spans="7:16" s="1634" customFormat="1">
      <c r="G46789" s="3336"/>
      <c r="P46789" s="3337"/>
    </row>
    <row r="46790" spans="7:16" s="1634" customFormat="1">
      <c r="G46790" s="3336"/>
      <c r="P46790" s="3337"/>
    </row>
    <row r="46791" spans="7:16" s="1634" customFormat="1">
      <c r="G46791" s="3336"/>
      <c r="P46791" s="3337"/>
    </row>
    <row r="46792" spans="7:16" s="1634" customFormat="1">
      <c r="G46792" s="3336"/>
      <c r="P46792" s="3337"/>
    </row>
    <row r="46793" spans="7:16" s="1634" customFormat="1">
      <c r="G46793" s="3336"/>
      <c r="P46793" s="3337"/>
    </row>
    <row r="46794" spans="7:16" s="1634" customFormat="1">
      <c r="G46794" s="3336"/>
      <c r="P46794" s="3337"/>
    </row>
    <row r="46795" spans="7:16" s="1634" customFormat="1">
      <c r="G46795" s="3336"/>
      <c r="P46795" s="3337"/>
    </row>
    <row r="46796" spans="7:16" s="1634" customFormat="1">
      <c r="G46796" s="3336"/>
      <c r="P46796" s="3337"/>
    </row>
    <row r="46797" spans="7:16" s="1634" customFormat="1">
      <c r="G46797" s="3336"/>
      <c r="P46797" s="3337"/>
    </row>
    <row r="46798" spans="7:16" s="1634" customFormat="1">
      <c r="G46798" s="3336"/>
      <c r="P46798" s="3337"/>
    </row>
    <row r="46799" spans="7:16" s="1634" customFormat="1">
      <c r="G46799" s="3336"/>
      <c r="P46799" s="3337"/>
    </row>
    <row r="46800" spans="7:16" s="1634" customFormat="1">
      <c r="G46800" s="3336"/>
      <c r="P46800" s="3337"/>
    </row>
    <row r="46801" spans="7:16" s="1634" customFormat="1">
      <c r="G46801" s="3336"/>
      <c r="P46801" s="3337"/>
    </row>
    <row r="46802" spans="7:16" s="1634" customFormat="1">
      <c r="G46802" s="3336"/>
      <c r="P46802" s="3337"/>
    </row>
    <row r="46803" spans="7:16" s="1634" customFormat="1">
      <c r="G46803" s="3336"/>
      <c r="P46803" s="3337"/>
    </row>
    <row r="46804" spans="7:16" s="1634" customFormat="1">
      <c r="G46804" s="3336"/>
      <c r="P46804" s="3337"/>
    </row>
    <row r="46805" spans="7:16" s="1634" customFormat="1">
      <c r="G46805" s="3336"/>
      <c r="P46805" s="3337"/>
    </row>
    <row r="46806" spans="7:16" s="1634" customFormat="1">
      <c r="G46806" s="3336"/>
      <c r="P46806" s="3337"/>
    </row>
    <row r="46807" spans="7:16" s="1634" customFormat="1">
      <c r="G46807" s="3336"/>
      <c r="P46807" s="3337"/>
    </row>
    <row r="46808" spans="7:16" s="1634" customFormat="1">
      <c r="G46808" s="3336"/>
      <c r="P46808" s="3337"/>
    </row>
    <row r="46809" spans="7:16" s="1634" customFormat="1">
      <c r="G46809" s="3336"/>
      <c r="P46809" s="3337"/>
    </row>
    <row r="46810" spans="7:16" s="1634" customFormat="1">
      <c r="G46810" s="3336"/>
      <c r="P46810" s="3337"/>
    </row>
    <row r="46811" spans="7:16" s="1634" customFormat="1">
      <c r="G46811" s="3336"/>
      <c r="P46811" s="3337"/>
    </row>
    <row r="46812" spans="7:16" s="1634" customFormat="1">
      <c r="G46812" s="3336"/>
      <c r="P46812" s="3337"/>
    </row>
    <row r="46813" spans="7:16" s="1634" customFormat="1">
      <c r="G46813" s="3336"/>
      <c r="P46813" s="3337"/>
    </row>
    <row r="46814" spans="7:16" s="1634" customFormat="1">
      <c r="G46814" s="3336"/>
      <c r="P46814" s="3337"/>
    </row>
    <row r="46815" spans="7:16" s="1634" customFormat="1">
      <c r="G46815" s="3336"/>
      <c r="P46815" s="3337"/>
    </row>
    <row r="46816" spans="7:16" s="1634" customFormat="1">
      <c r="G46816" s="3336"/>
      <c r="P46816" s="3337"/>
    </row>
    <row r="46817" spans="7:16" s="1634" customFormat="1">
      <c r="G46817" s="3336"/>
      <c r="P46817" s="3337"/>
    </row>
    <row r="46818" spans="7:16" s="1634" customFormat="1">
      <c r="G46818" s="3336"/>
      <c r="P46818" s="3337"/>
    </row>
    <row r="46819" spans="7:16" s="1634" customFormat="1">
      <c r="G46819" s="3336"/>
      <c r="P46819" s="3337"/>
    </row>
    <row r="46820" spans="7:16" s="1634" customFormat="1">
      <c r="G46820" s="3336"/>
      <c r="P46820" s="3337"/>
    </row>
    <row r="46821" spans="7:16" s="1634" customFormat="1">
      <c r="G46821" s="3336"/>
      <c r="P46821" s="3337"/>
    </row>
    <row r="46822" spans="7:16" s="1634" customFormat="1">
      <c r="G46822" s="3336"/>
      <c r="P46822" s="3337"/>
    </row>
    <row r="46823" spans="7:16" s="1634" customFormat="1">
      <c r="G46823" s="3336"/>
      <c r="P46823" s="3337"/>
    </row>
    <row r="46824" spans="7:16" s="1634" customFormat="1">
      <c r="G46824" s="3336"/>
      <c r="P46824" s="3337"/>
    </row>
    <row r="46825" spans="7:16" s="1634" customFormat="1">
      <c r="G46825" s="3336"/>
      <c r="P46825" s="3337"/>
    </row>
    <row r="46826" spans="7:16" s="1634" customFormat="1">
      <c r="G46826" s="3336"/>
      <c r="P46826" s="3337"/>
    </row>
    <row r="46827" spans="7:16" s="1634" customFormat="1">
      <c r="G46827" s="3336"/>
      <c r="P46827" s="3337"/>
    </row>
    <row r="46828" spans="7:16" s="1634" customFormat="1">
      <c r="G46828" s="3336"/>
      <c r="P46828" s="3337"/>
    </row>
    <row r="46829" spans="7:16" s="1634" customFormat="1">
      <c r="G46829" s="3336"/>
      <c r="P46829" s="3337"/>
    </row>
    <row r="46830" spans="7:16" s="1634" customFormat="1">
      <c r="G46830" s="3336"/>
      <c r="P46830" s="3337"/>
    </row>
    <row r="46831" spans="7:16" s="1634" customFormat="1">
      <c r="G46831" s="3336"/>
      <c r="P46831" s="3337"/>
    </row>
    <row r="46832" spans="7:16" s="1634" customFormat="1">
      <c r="G46832" s="3336"/>
      <c r="P46832" s="3337"/>
    </row>
    <row r="46833" spans="7:16" s="1634" customFormat="1">
      <c r="G46833" s="3336"/>
      <c r="P46833" s="3337"/>
    </row>
    <row r="46834" spans="7:16" s="1634" customFormat="1">
      <c r="G46834" s="3336"/>
      <c r="P46834" s="3337"/>
    </row>
    <row r="46835" spans="7:16" s="1634" customFormat="1">
      <c r="G46835" s="3336"/>
      <c r="P46835" s="3337"/>
    </row>
    <row r="46836" spans="7:16" s="1634" customFormat="1">
      <c r="G46836" s="3336"/>
      <c r="P46836" s="3337"/>
    </row>
    <row r="46837" spans="7:16" s="1634" customFormat="1">
      <c r="G46837" s="3336"/>
      <c r="P46837" s="3337"/>
    </row>
    <row r="46838" spans="7:16" s="1634" customFormat="1">
      <c r="G46838" s="3336"/>
      <c r="P46838" s="3337"/>
    </row>
    <row r="46839" spans="7:16" s="1634" customFormat="1">
      <c r="G46839" s="3336"/>
      <c r="P46839" s="3337"/>
    </row>
    <row r="46840" spans="7:16" s="1634" customFormat="1">
      <c r="G46840" s="3336"/>
      <c r="P46840" s="3337"/>
    </row>
    <row r="46841" spans="7:16" s="1634" customFormat="1">
      <c r="G46841" s="3336"/>
      <c r="P46841" s="3337"/>
    </row>
    <row r="46842" spans="7:16" s="1634" customFormat="1">
      <c r="G46842" s="3336"/>
      <c r="P46842" s="3337"/>
    </row>
    <row r="46843" spans="7:16" s="1634" customFormat="1">
      <c r="G46843" s="3336"/>
      <c r="P46843" s="3337"/>
    </row>
    <row r="46844" spans="7:16" s="1634" customFormat="1">
      <c r="G46844" s="3336"/>
      <c r="P46844" s="3337"/>
    </row>
    <row r="46845" spans="7:16" s="1634" customFormat="1">
      <c r="G46845" s="3336"/>
      <c r="P46845" s="3337"/>
    </row>
    <row r="46846" spans="7:16" s="1634" customFormat="1">
      <c r="G46846" s="3336"/>
      <c r="P46846" s="3337"/>
    </row>
    <row r="46847" spans="7:16" s="1634" customFormat="1">
      <c r="G46847" s="3336"/>
      <c r="P46847" s="3337"/>
    </row>
    <row r="46848" spans="7:16" s="1634" customFormat="1">
      <c r="G46848" s="3336"/>
      <c r="P46848" s="3337"/>
    </row>
    <row r="46849" spans="7:16" s="1634" customFormat="1">
      <c r="G46849" s="3336"/>
      <c r="P46849" s="3337"/>
    </row>
    <row r="46850" spans="7:16" s="1634" customFormat="1">
      <c r="G46850" s="3336"/>
      <c r="P46850" s="3337"/>
    </row>
    <row r="46851" spans="7:16" s="1634" customFormat="1">
      <c r="G46851" s="3336"/>
      <c r="P46851" s="3337"/>
    </row>
    <row r="46852" spans="7:16" s="1634" customFormat="1">
      <c r="G46852" s="3336"/>
      <c r="P46852" s="3337"/>
    </row>
    <row r="46853" spans="7:16" s="1634" customFormat="1">
      <c r="G46853" s="3336"/>
      <c r="P46853" s="3337"/>
    </row>
    <row r="46854" spans="7:16" s="1634" customFormat="1">
      <c r="G46854" s="3336"/>
      <c r="P46854" s="3337"/>
    </row>
    <row r="46855" spans="7:16" s="1634" customFormat="1">
      <c r="G46855" s="3336"/>
      <c r="P46855" s="3337"/>
    </row>
    <row r="46856" spans="7:16" s="1634" customFormat="1">
      <c r="G46856" s="3336"/>
      <c r="P46856" s="3337"/>
    </row>
    <row r="46857" spans="7:16" s="1634" customFormat="1">
      <c r="G46857" s="3336"/>
      <c r="P46857" s="3337"/>
    </row>
    <row r="46858" spans="7:16" s="1634" customFormat="1">
      <c r="G46858" s="3336"/>
      <c r="P46858" s="3337"/>
    </row>
    <row r="46859" spans="7:16" s="1634" customFormat="1">
      <c r="G46859" s="3336"/>
      <c r="P46859" s="3337"/>
    </row>
    <row r="46860" spans="7:16" s="1634" customFormat="1">
      <c r="G46860" s="3336"/>
      <c r="P46860" s="3337"/>
    </row>
    <row r="46861" spans="7:16" s="1634" customFormat="1">
      <c r="G46861" s="3336"/>
      <c r="P46861" s="3337"/>
    </row>
    <row r="46862" spans="7:16" s="1634" customFormat="1">
      <c r="G46862" s="3336"/>
      <c r="P46862" s="3337"/>
    </row>
    <row r="46863" spans="7:16" s="1634" customFormat="1">
      <c r="G46863" s="3336"/>
      <c r="P46863" s="3337"/>
    </row>
    <row r="46864" spans="7:16" s="1634" customFormat="1">
      <c r="G46864" s="3336"/>
      <c r="P46864" s="3337"/>
    </row>
    <row r="46865" spans="7:16" s="1634" customFormat="1">
      <c r="G46865" s="3336"/>
      <c r="P46865" s="3337"/>
    </row>
    <row r="46866" spans="7:16" s="1634" customFormat="1">
      <c r="G46866" s="3336"/>
      <c r="P46866" s="3337"/>
    </row>
    <row r="46867" spans="7:16" s="1634" customFormat="1">
      <c r="G46867" s="3336"/>
      <c r="P46867" s="3337"/>
    </row>
    <row r="46868" spans="7:16" s="1634" customFormat="1">
      <c r="G46868" s="3336"/>
      <c r="P46868" s="3337"/>
    </row>
    <row r="46869" spans="7:16" s="1634" customFormat="1">
      <c r="G46869" s="3336"/>
      <c r="P46869" s="3337"/>
    </row>
    <row r="46870" spans="7:16" s="1634" customFormat="1">
      <c r="G46870" s="3336"/>
      <c r="P46870" s="3337"/>
    </row>
    <row r="46871" spans="7:16" s="1634" customFormat="1">
      <c r="G46871" s="3336"/>
      <c r="P46871" s="3337"/>
    </row>
    <row r="46872" spans="7:16" s="1634" customFormat="1">
      <c r="G46872" s="3336"/>
      <c r="P46872" s="3337"/>
    </row>
    <row r="46873" spans="7:16" s="1634" customFormat="1">
      <c r="G46873" s="3336"/>
      <c r="P46873" s="3337"/>
    </row>
    <row r="46874" spans="7:16" s="1634" customFormat="1">
      <c r="G46874" s="3336"/>
      <c r="P46874" s="3337"/>
    </row>
    <row r="46875" spans="7:16" s="1634" customFormat="1">
      <c r="G46875" s="3336"/>
      <c r="P46875" s="3337"/>
    </row>
    <row r="46876" spans="7:16" s="1634" customFormat="1">
      <c r="G46876" s="3336"/>
      <c r="P46876" s="3337"/>
    </row>
    <row r="46877" spans="7:16" s="1634" customFormat="1">
      <c r="G46877" s="3336"/>
      <c r="P46877" s="3337"/>
    </row>
    <row r="46878" spans="7:16" s="1634" customFormat="1">
      <c r="G46878" s="3336"/>
      <c r="P46878" s="3337"/>
    </row>
    <row r="46879" spans="7:16" s="1634" customFormat="1">
      <c r="G46879" s="3336"/>
      <c r="P46879" s="3337"/>
    </row>
    <row r="46880" spans="7:16" s="1634" customFormat="1">
      <c r="G46880" s="3336"/>
      <c r="P46880" s="3337"/>
    </row>
    <row r="46881" spans="7:16" s="1634" customFormat="1">
      <c r="G46881" s="3336"/>
      <c r="P46881" s="3337"/>
    </row>
    <row r="46882" spans="7:16" s="1634" customFormat="1">
      <c r="G46882" s="3336"/>
      <c r="P46882" s="3337"/>
    </row>
    <row r="46883" spans="7:16" s="1634" customFormat="1">
      <c r="G46883" s="3336"/>
      <c r="P46883" s="3337"/>
    </row>
    <row r="46884" spans="7:16" s="1634" customFormat="1">
      <c r="G46884" s="3336"/>
      <c r="P46884" s="3337"/>
    </row>
    <row r="46885" spans="7:16" s="1634" customFormat="1">
      <c r="G46885" s="3336"/>
      <c r="P46885" s="3337"/>
    </row>
    <row r="46886" spans="7:16" s="1634" customFormat="1">
      <c r="G46886" s="3336"/>
      <c r="P46886" s="3337"/>
    </row>
    <row r="46887" spans="7:16" s="1634" customFormat="1">
      <c r="G46887" s="3336"/>
      <c r="P46887" s="3337"/>
    </row>
    <row r="46888" spans="7:16" s="1634" customFormat="1">
      <c r="G46888" s="3336"/>
      <c r="P46888" s="3337"/>
    </row>
    <row r="46889" spans="7:16" s="1634" customFormat="1">
      <c r="G46889" s="3336"/>
      <c r="P46889" s="3337"/>
    </row>
    <row r="46890" spans="7:16" s="1634" customFormat="1">
      <c r="G46890" s="3336"/>
      <c r="P46890" s="3337"/>
    </row>
    <row r="46891" spans="7:16" s="1634" customFormat="1">
      <c r="G46891" s="3336"/>
      <c r="P46891" s="3337"/>
    </row>
    <row r="46892" spans="7:16" s="1634" customFormat="1">
      <c r="G46892" s="3336"/>
      <c r="P46892" s="3337"/>
    </row>
    <row r="46893" spans="7:16" s="1634" customFormat="1">
      <c r="G46893" s="3336"/>
      <c r="P46893" s="3337"/>
    </row>
    <row r="46894" spans="7:16" s="1634" customFormat="1">
      <c r="G46894" s="3336"/>
      <c r="P46894" s="3337"/>
    </row>
    <row r="46895" spans="7:16" s="1634" customFormat="1">
      <c r="G46895" s="3336"/>
      <c r="P46895" s="3337"/>
    </row>
    <row r="46896" spans="7:16" s="1634" customFormat="1">
      <c r="G46896" s="3336"/>
      <c r="P46896" s="3337"/>
    </row>
    <row r="46897" spans="7:16" s="1634" customFormat="1">
      <c r="G46897" s="3336"/>
      <c r="P46897" s="3337"/>
    </row>
    <row r="46898" spans="7:16" s="1634" customFormat="1">
      <c r="G46898" s="3336"/>
      <c r="P46898" s="3337"/>
    </row>
    <row r="46899" spans="7:16" s="1634" customFormat="1">
      <c r="G46899" s="3336"/>
      <c r="P46899" s="3337"/>
    </row>
    <row r="46900" spans="7:16" s="1634" customFormat="1">
      <c r="G46900" s="3336"/>
      <c r="P46900" s="3337"/>
    </row>
    <row r="46901" spans="7:16" s="1634" customFormat="1">
      <c r="G46901" s="3336"/>
      <c r="P46901" s="3337"/>
    </row>
    <row r="46902" spans="7:16" s="1634" customFormat="1">
      <c r="G46902" s="3336"/>
      <c r="P46902" s="3337"/>
    </row>
    <row r="46903" spans="7:16" s="1634" customFormat="1">
      <c r="G46903" s="3336"/>
      <c r="P46903" s="3337"/>
    </row>
    <row r="46904" spans="7:16" s="1634" customFormat="1">
      <c r="G46904" s="3336"/>
      <c r="P46904" s="3337"/>
    </row>
    <row r="46905" spans="7:16" s="1634" customFormat="1">
      <c r="G46905" s="3336"/>
      <c r="P46905" s="3337"/>
    </row>
    <row r="46906" spans="7:16" s="1634" customFormat="1">
      <c r="G46906" s="3336"/>
      <c r="P46906" s="3337"/>
    </row>
    <row r="46907" spans="7:16" s="1634" customFormat="1">
      <c r="G46907" s="3336"/>
      <c r="P46907" s="3337"/>
    </row>
    <row r="46908" spans="7:16" s="1634" customFormat="1">
      <c r="G46908" s="3336"/>
      <c r="P46908" s="3337"/>
    </row>
    <row r="46909" spans="7:16" s="1634" customFormat="1">
      <c r="G46909" s="3336"/>
      <c r="P46909" s="3337"/>
    </row>
    <row r="46910" spans="7:16" s="1634" customFormat="1">
      <c r="G46910" s="3336"/>
      <c r="P46910" s="3337"/>
    </row>
    <row r="46911" spans="7:16" s="1634" customFormat="1">
      <c r="G46911" s="3336"/>
      <c r="P46911" s="3337"/>
    </row>
    <row r="46912" spans="7:16" s="1634" customFormat="1">
      <c r="G46912" s="3336"/>
      <c r="P46912" s="3337"/>
    </row>
    <row r="46913" spans="7:16" s="1634" customFormat="1">
      <c r="G46913" s="3336"/>
      <c r="P46913" s="3337"/>
    </row>
    <row r="46914" spans="7:16" s="1634" customFormat="1">
      <c r="G46914" s="3336"/>
      <c r="P46914" s="3337"/>
    </row>
    <row r="46915" spans="7:16" s="1634" customFormat="1">
      <c r="G46915" s="3336"/>
      <c r="P46915" s="3337"/>
    </row>
    <row r="46916" spans="7:16" s="1634" customFormat="1">
      <c r="G46916" s="3336"/>
      <c r="P46916" s="3337"/>
    </row>
    <row r="46917" spans="7:16" s="1634" customFormat="1">
      <c r="G46917" s="3336"/>
      <c r="P46917" s="3337"/>
    </row>
    <row r="46918" spans="7:16" s="1634" customFormat="1">
      <c r="G46918" s="3336"/>
      <c r="P46918" s="3337"/>
    </row>
    <row r="46919" spans="7:16" s="1634" customFormat="1">
      <c r="G46919" s="3336"/>
      <c r="P46919" s="3337"/>
    </row>
    <row r="46920" spans="7:16" s="1634" customFormat="1">
      <c r="G46920" s="3336"/>
      <c r="P46920" s="3337"/>
    </row>
    <row r="46921" spans="7:16" s="1634" customFormat="1">
      <c r="G46921" s="3336"/>
      <c r="P46921" s="3337"/>
    </row>
    <row r="46922" spans="7:16" s="1634" customFormat="1">
      <c r="G46922" s="3336"/>
      <c r="P46922" s="3337"/>
    </row>
    <row r="46923" spans="7:16" s="1634" customFormat="1">
      <c r="G46923" s="3336"/>
      <c r="P46923" s="3337"/>
    </row>
    <row r="46924" spans="7:16" s="1634" customFormat="1">
      <c r="G46924" s="3336"/>
      <c r="P46924" s="3337"/>
    </row>
    <row r="46925" spans="7:16" s="1634" customFormat="1">
      <c r="G46925" s="3336"/>
      <c r="P46925" s="3337"/>
    </row>
    <row r="46926" spans="7:16" s="1634" customFormat="1">
      <c r="G46926" s="3336"/>
      <c r="P46926" s="3337"/>
    </row>
    <row r="46927" spans="7:16" s="1634" customFormat="1">
      <c r="G46927" s="3336"/>
      <c r="P46927" s="3337"/>
    </row>
    <row r="46928" spans="7:16" s="1634" customFormat="1">
      <c r="G46928" s="3336"/>
      <c r="P46928" s="3337"/>
    </row>
    <row r="46929" spans="7:16" s="1634" customFormat="1">
      <c r="G46929" s="3336"/>
      <c r="P46929" s="3337"/>
    </row>
    <row r="46930" spans="7:16" s="1634" customFormat="1">
      <c r="G46930" s="3336"/>
      <c r="P46930" s="3337"/>
    </row>
    <row r="46931" spans="7:16" s="1634" customFormat="1">
      <c r="G46931" s="3336"/>
      <c r="P46931" s="3337"/>
    </row>
    <row r="46932" spans="7:16" s="1634" customFormat="1">
      <c r="G46932" s="3336"/>
      <c r="P46932" s="3337"/>
    </row>
    <row r="46933" spans="7:16" s="1634" customFormat="1">
      <c r="G46933" s="3336"/>
      <c r="P46933" s="3337"/>
    </row>
    <row r="46934" spans="7:16" s="1634" customFormat="1">
      <c r="G46934" s="3336"/>
      <c r="P46934" s="3337"/>
    </row>
    <row r="46935" spans="7:16" s="1634" customFormat="1">
      <c r="G46935" s="3336"/>
      <c r="P46935" s="3337"/>
    </row>
    <row r="46936" spans="7:16" s="1634" customFormat="1">
      <c r="G46936" s="3336"/>
      <c r="P46936" s="3337"/>
    </row>
    <row r="46937" spans="7:16" s="1634" customFormat="1">
      <c r="G46937" s="3336"/>
      <c r="P46937" s="3337"/>
    </row>
    <row r="46938" spans="7:16" s="1634" customFormat="1">
      <c r="G46938" s="3336"/>
      <c r="P46938" s="3337"/>
    </row>
    <row r="46939" spans="7:16" s="1634" customFormat="1">
      <c r="G46939" s="3336"/>
      <c r="P46939" s="3337"/>
    </row>
    <row r="46940" spans="7:16" s="1634" customFormat="1">
      <c r="G46940" s="3336"/>
      <c r="P46940" s="3337"/>
    </row>
    <row r="46941" spans="7:16" s="1634" customFormat="1">
      <c r="G46941" s="3336"/>
      <c r="P46941" s="3337"/>
    </row>
    <row r="46942" spans="7:16" s="1634" customFormat="1">
      <c r="G46942" s="3336"/>
      <c r="P46942" s="3337"/>
    </row>
    <row r="46943" spans="7:16" s="1634" customFormat="1">
      <c r="G46943" s="3336"/>
      <c r="P46943" s="3337"/>
    </row>
    <row r="46944" spans="7:16" s="1634" customFormat="1">
      <c r="G46944" s="3336"/>
      <c r="P46944" s="3337"/>
    </row>
    <row r="46945" spans="7:16" s="1634" customFormat="1">
      <c r="G46945" s="3336"/>
      <c r="P46945" s="3337"/>
    </row>
    <row r="46946" spans="7:16" s="1634" customFormat="1">
      <c r="G46946" s="3336"/>
      <c r="P46946" s="3337"/>
    </row>
    <row r="46947" spans="7:16" s="1634" customFormat="1">
      <c r="G46947" s="3336"/>
      <c r="P46947" s="3337"/>
    </row>
    <row r="46948" spans="7:16" s="1634" customFormat="1">
      <c r="G46948" s="3336"/>
      <c r="P46948" s="3337"/>
    </row>
    <row r="46949" spans="7:16" s="1634" customFormat="1">
      <c r="G46949" s="3336"/>
      <c r="P46949" s="3337"/>
    </row>
    <row r="46950" spans="7:16" s="1634" customFormat="1">
      <c r="G46950" s="3336"/>
      <c r="P46950" s="3337"/>
    </row>
    <row r="46951" spans="7:16" s="1634" customFormat="1">
      <c r="G46951" s="3336"/>
      <c r="P46951" s="3337"/>
    </row>
    <row r="46952" spans="7:16" s="1634" customFormat="1">
      <c r="G46952" s="3336"/>
      <c r="P46952" s="3337"/>
    </row>
    <row r="46953" spans="7:16" s="1634" customFormat="1">
      <c r="G46953" s="3336"/>
      <c r="P46953" s="3337"/>
    </row>
    <row r="46954" spans="7:16" s="1634" customFormat="1">
      <c r="G46954" s="3336"/>
      <c r="P46954" s="3337"/>
    </row>
    <row r="46955" spans="7:16" s="1634" customFormat="1">
      <c r="G46955" s="3336"/>
      <c r="P46955" s="3337"/>
    </row>
    <row r="46956" spans="7:16" s="1634" customFormat="1">
      <c r="G46956" s="3336"/>
      <c r="P46956" s="3337"/>
    </row>
    <row r="46957" spans="7:16" s="1634" customFormat="1">
      <c r="G46957" s="3336"/>
      <c r="P46957" s="3337"/>
    </row>
    <row r="46958" spans="7:16" s="1634" customFormat="1">
      <c r="G46958" s="3336"/>
      <c r="P46958" s="3337"/>
    </row>
    <row r="46959" spans="7:16" s="1634" customFormat="1">
      <c r="G46959" s="3336"/>
      <c r="P46959" s="3337"/>
    </row>
    <row r="46960" spans="7:16" s="1634" customFormat="1">
      <c r="G46960" s="3336"/>
      <c r="P46960" s="3337"/>
    </row>
    <row r="46961" spans="7:16" s="1634" customFormat="1">
      <c r="G46961" s="3336"/>
      <c r="P46961" s="3337"/>
    </row>
    <row r="46962" spans="7:16" s="1634" customFormat="1">
      <c r="G46962" s="3336"/>
      <c r="P46962" s="3337"/>
    </row>
    <row r="46963" spans="7:16" s="1634" customFormat="1">
      <c r="G46963" s="3336"/>
      <c r="P46963" s="3337"/>
    </row>
    <row r="46964" spans="7:16" s="1634" customFormat="1">
      <c r="G46964" s="3336"/>
      <c r="P46964" s="3337"/>
    </row>
    <row r="46965" spans="7:16" s="1634" customFormat="1">
      <c r="G46965" s="3336"/>
      <c r="P46965" s="3337"/>
    </row>
    <row r="46966" spans="7:16" s="1634" customFormat="1">
      <c r="G46966" s="3336"/>
      <c r="P46966" s="3337"/>
    </row>
    <row r="46967" spans="7:16" s="1634" customFormat="1">
      <c r="G46967" s="3336"/>
      <c r="P46967" s="3337"/>
    </row>
    <row r="46968" spans="7:16" s="1634" customFormat="1">
      <c r="G46968" s="3336"/>
      <c r="P46968" s="3337"/>
    </row>
    <row r="46969" spans="7:16" s="1634" customFormat="1">
      <c r="G46969" s="3336"/>
      <c r="P46969" s="3337"/>
    </row>
    <row r="46970" spans="7:16" s="1634" customFormat="1">
      <c r="G46970" s="3336"/>
      <c r="P46970" s="3337"/>
    </row>
    <row r="46971" spans="7:16" s="1634" customFormat="1">
      <c r="G46971" s="3336"/>
      <c r="P46971" s="3337"/>
    </row>
    <row r="46972" spans="7:16" s="1634" customFormat="1">
      <c r="G46972" s="3336"/>
      <c r="P46972" s="3337"/>
    </row>
    <row r="46973" spans="7:16" s="1634" customFormat="1">
      <c r="G46973" s="3336"/>
      <c r="P46973" s="3337"/>
    </row>
    <row r="46974" spans="7:16" s="1634" customFormat="1">
      <c r="G46974" s="3336"/>
      <c r="P46974" s="3337"/>
    </row>
    <row r="46975" spans="7:16" s="1634" customFormat="1">
      <c r="G46975" s="3336"/>
      <c r="P46975" s="3337"/>
    </row>
    <row r="46976" spans="7:16" s="1634" customFormat="1">
      <c r="G46976" s="3336"/>
      <c r="P46976" s="3337"/>
    </row>
    <row r="46977" spans="7:16" s="1634" customFormat="1">
      <c r="G46977" s="3336"/>
      <c r="P46977" s="3337"/>
    </row>
    <row r="46978" spans="7:16" s="1634" customFormat="1">
      <c r="G46978" s="3336"/>
      <c r="P46978" s="3337"/>
    </row>
    <row r="46979" spans="7:16" s="1634" customFormat="1">
      <c r="G46979" s="3336"/>
      <c r="P46979" s="3337"/>
    </row>
    <row r="46980" spans="7:16" s="1634" customFormat="1">
      <c r="G46980" s="3336"/>
      <c r="P46980" s="3337"/>
    </row>
    <row r="46981" spans="7:16" s="1634" customFormat="1">
      <c r="G46981" s="3336"/>
      <c r="P46981" s="3337"/>
    </row>
    <row r="46982" spans="7:16" s="1634" customFormat="1">
      <c r="G46982" s="3336"/>
      <c r="P46982" s="3337"/>
    </row>
    <row r="46983" spans="7:16" s="1634" customFormat="1">
      <c r="G46983" s="3336"/>
      <c r="P46983" s="3337"/>
    </row>
    <row r="46984" spans="7:16" s="1634" customFormat="1">
      <c r="G46984" s="3336"/>
      <c r="P46984" s="3337"/>
    </row>
    <row r="46985" spans="7:16" s="1634" customFormat="1">
      <c r="G46985" s="3336"/>
      <c r="P46985" s="3337"/>
    </row>
    <row r="46986" spans="7:16" s="1634" customFormat="1">
      <c r="G46986" s="3336"/>
      <c r="P46986" s="3337"/>
    </row>
    <row r="46987" spans="7:16" s="1634" customFormat="1">
      <c r="G46987" s="3336"/>
      <c r="P46987" s="3337"/>
    </row>
    <row r="46988" spans="7:16" s="1634" customFormat="1">
      <c r="G46988" s="3336"/>
      <c r="P46988" s="3337"/>
    </row>
    <row r="46989" spans="7:16" s="1634" customFormat="1">
      <c r="G46989" s="3336"/>
      <c r="P46989" s="3337"/>
    </row>
    <row r="46990" spans="7:16" s="1634" customFormat="1">
      <c r="G46990" s="3336"/>
      <c r="P46990" s="3337"/>
    </row>
    <row r="46991" spans="7:16" s="1634" customFormat="1">
      <c r="G46991" s="3336"/>
      <c r="P46991" s="3337"/>
    </row>
    <row r="46992" spans="7:16" s="1634" customFormat="1">
      <c r="G46992" s="3336"/>
      <c r="P46992" s="3337"/>
    </row>
    <row r="46993" spans="7:16" s="1634" customFormat="1">
      <c r="G46993" s="3336"/>
      <c r="P46993" s="3337"/>
    </row>
    <row r="46994" spans="7:16" s="1634" customFormat="1">
      <c r="G46994" s="3336"/>
      <c r="P46994" s="3337"/>
    </row>
    <row r="46995" spans="7:16" s="1634" customFormat="1">
      <c r="G46995" s="3336"/>
      <c r="P46995" s="3337"/>
    </row>
    <row r="46996" spans="7:16" s="1634" customFormat="1">
      <c r="G46996" s="3336"/>
      <c r="P46996" s="3337"/>
    </row>
    <row r="46997" spans="7:16" s="1634" customFormat="1">
      <c r="G46997" s="3336"/>
      <c r="P46997" s="3337"/>
    </row>
    <row r="46998" spans="7:16" s="1634" customFormat="1">
      <c r="G46998" s="3336"/>
      <c r="P46998" s="3337"/>
    </row>
    <row r="46999" spans="7:16" s="1634" customFormat="1">
      <c r="G46999" s="3336"/>
      <c r="P46999" s="3337"/>
    </row>
    <row r="47000" spans="7:16" s="1634" customFormat="1">
      <c r="G47000" s="3336"/>
      <c r="P47000" s="3337"/>
    </row>
    <row r="47001" spans="7:16" s="1634" customFormat="1">
      <c r="G47001" s="3336"/>
      <c r="P47001" s="3337"/>
    </row>
    <row r="47002" spans="7:16" s="1634" customFormat="1">
      <c r="G47002" s="3336"/>
      <c r="P47002" s="3337"/>
    </row>
    <row r="47003" spans="7:16" s="1634" customFormat="1">
      <c r="G47003" s="3336"/>
      <c r="P47003" s="3337"/>
    </row>
    <row r="47004" spans="7:16" s="1634" customFormat="1">
      <c r="G47004" s="3336"/>
      <c r="P47004" s="3337"/>
    </row>
    <row r="47005" spans="7:16" s="1634" customFormat="1">
      <c r="G47005" s="3336"/>
      <c r="P47005" s="3337"/>
    </row>
    <row r="47006" spans="7:16" s="1634" customFormat="1">
      <c r="G47006" s="3336"/>
      <c r="P47006" s="3337"/>
    </row>
    <row r="47007" spans="7:16" s="1634" customFormat="1">
      <c r="G47007" s="3336"/>
      <c r="P47007" s="3337"/>
    </row>
    <row r="47008" spans="7:16" s="1634" customFormat="1">
      <c r="G47008" s="3336"/>
      <c r="P47008" s="3337"/>
    </row>
    <row r="47009" spans="7:16" s="1634" customFormat="1">
      <c r="G47009" s="3336"/>
      <c r="P47009" s="3337"/>
    </row>
    <row r="47010" spans="7:16" s="1634" customFormat="1">
      <c r="G47010" s="3336"/>
      <c r="P47010" s="3337"/>
    </row>
    <row r="47011" spans="7:16" s="1634" customFormat="1">
      <c r="G47011" s="3336"/>
      <c r="P47011" s="3337"/>
    </row>
    <row r="47012" spans="7:16" s="1634" customFormat="1">
      <c r="G47012" s="3336"/>
      <c r="P47012" s="3337"/>
    </row>
    <row r="47013" spans="7:16" s="1634" customFormat="1">
      <c r="G47013" s="3336"/>
      <c r="P47013" s="3337"/>
    </row>
    <row r="47014" spans="7:16" s="1634" customFormat="1">
      <c r="G47014" s="3336"/>
      <c r="P47014" s="3337"/>
    </row>
    <row r="47015" spans="7:16" s="1634" customFormat="1">
      <c r="G47015" s="3336"/>
      <c r="P47015" s="3337"/>
    </row>
    <row r="47016" spans="7:16" s="1634" customFormat="1">
      <c r="G47016" s="3336"/>
      <c r="P47016" s="3337"/>
    </row>
    <row r="47017" spans="7:16" s="1634" customFormat="1">
      <c r="G47017" s="3336"/>
      <c r="P47017" s="3337"/>
    </row>
    <row r="47018" spans="7:16" s="1634" customFormat="1">
      <c r="G47018" s="3336"/>
      <c r="P47018" s="3337"/>
    </row>
    <row r="47019" spans="7:16" s="1634" customFormat="1">
      <c r="G47019" s="3336"/>
      <c r="P47019" s="3337"/>
    </row>
    <row r="47020" spans="7:16" s="1634" customFormat="1">
      <c r="G47020" s="3336"/>
      <c r="P47020" s="3337"/>
    </row>
    <row r="47021" spans="7:16" s="1634" customFormat="1">
      <c r="G47021" s="3336"/>
      <c r="P47021" s="3337"/>
    </row>
    <row r="47022" spans="7:16" s="1634" customFormat="1">
      <c r="G47022" s="3336"/>
      <c r="P47022" s="3337"/>
    </row>
    <row r="47023" spans="7:16" s="1634" customFormat="1">
      <c r="G47023" s="3336"/>
      <c r="P47023" s="3337"/>
    </row>
    <row r="47024" spans="7:16" s="1634" customFormat="1">
      <c r="G47024" s="3336"/>
      <c r="P47024" s="3337"/>
    </row>
    <row r="47025" spans="7:16" s="1634" customFormat="1">
      <c r="G47025" s="3336"/>
      <c r="P47025" s="3337"/>
    </row>
    <row r="47026" spans="7:16" s="1634" customFormat="1">
      <c r="G47026" s="3336"/>
      <c r="P47026" s="3337"/>
    </row>
    <row r="47027" spans="7:16" s="1634" customFormat="1">
      <c r="G47027" s="3336"/>
      <c r="P47027" s="3337"/>
    </row>
    <row r="47028" spans="7:16" s="1634" customFormat="1">
      <c r="G47028" s="3336"/>
      <c r="P47028" s="3337"/>
    </row>
    <row r="47029" spans="7:16" s="1634" customFormat="1">
      <c r="G47029" s="3336"/>
      <c r="P47029" s="3337"/>
    </row>
    <row r="47030" spans="7:16" s="1634" customFormat="1">
      <c r="G47030" s="3336"/>
      <c r="P47030" s="3337"/>
    </row>
    <row r="47031" spans="7:16" s="1634" customFormat="1">
      <c r="G47031" s="3336"/>
      <c r="P47031" s="3337"/>
    </row>
    <row r="47032" spans="7:16" s="1634" customFormat="1">
      <c r="G47032" s="3336"/>
      <c r="P47032" s="3337"/>
    </row>
    <row r="47033" spans="7:16" s="1634" customFormat="1">
      <c r="G47033" s="3336"/>
      <c r="P47033" s="3337"/>
    </row>
    <row r="47034" spans="7:16" s="1634" customFormat="1">
      <c r="G47034" s="3336"/>
      <c r="P47034" s="3337"/>
    </row>
    <row r="47035" spans="7:16" s="1634" customFormat="1">
      <c r="G47035" s="3336"/>
      <c r="P47035" s="3337"/>
    </row>
    <row r="47036" spans="7:16" s="1634" customFormat="1">
      <c r="G47036" s="3336"/>
      <c r="P47036" s="3337"/>
    </row>
    <row r="47037" spans="7:16" s="1634" customFormat="1">
      <c r="G47037" s="3336"/>
      <c r="P47037" s="3337"/>
    </row>
    <row r="47038" spans="7:16" s="1634" customFormat="1">
      <c r="G47038" s="3336"/>
      <c r="P47038" s="3337"/>
    </row>
    <row r="47039" spans="7:16" s="1634" customFormat="1">
      <c r="G47039" s="3336"/>
      <c r="P47039" s="3337"/>
    </row>
    <row r="47040" spans="7:16" s="1634" customFormat="1">
      <c r="G47040" s="3336"/>
      <c r="P47040" s="3337"/>
    </row>
    <row r="47041" spans="7:16" s="1634" customFormat="1">
      <c r="G47041" s="3336"/>
      <c r="P47041" s="3337"/>
    </row>
    <row r="47042" spans="7:16" s="1634" customFormat="1">
      <c r="G47042" s="3336"/>
      <c r="P47042" s="3337"/>
    </row>
    <row r="47043" spans="7:16" s="1634" customFormat="1">
      <c r="G47043" s="3336"/>
      <c r="P47043" s="3337"/>
    </row>
    <row r="47044" spans="7:16" s="1634" customFormat="1">
      <c r="G47044" s="3336"/>
      <c r="P47044" s="3337"/>
    </row>
    <row r="47045" spans="7:16" s="1634" customFormat="1">
      <c r="G47045" s="3336"/>
      <c r="P47045" s="3337"/>
    </row>
    <row r="47046" spans="7:16" s="1634" customFormat="1">
      <c r="G47046" s="3336"/>
      <c r="P47046" s="3337"/>
    </row>
    <row r="47047" spans="7:16" s="1634" customFormat="1">
      <c r="G47047" s="3336"/>
      <c r="P47047" s="3337"/>
    </row>
    <row r="47048" spans="7:16" s="1634" customFormat="1">
      <c r="G47048" s="3336"/>
      <c r="P47048" s="3337"/>
    </row>
    <row r="47049" spans="7:16" s="1634" customFormat="1">
      <c r="G47049" s="3336"/>
      <c r="P47049" s="3337"/>
    </row>
    <row r="47050" spans="7:16" s="1634" customFormat="1">
      <c r="G47050" s="3336"/>
      <c r="P47050" s="3337"/>
    </row>
    <row r="47051" spans="7:16" s="1634" customFormat="1">
      <c r="G47051" s="3336"/>
      <c r="P47051" s="3337"/>
    </row>
    <row r="47052" spans="7:16" s="1634" customFormat="1">
      <c r="G47052" s="3336"/>
      <c r="P47052" s="3337"/>
    </row>
    <row r="47053" spans="7:16" s="1634" customFormat="1">
      <c r="G47053" s="3336"/>
      <c r="P47053" s="3337"/>
    </row>
    <row r="47054" spans="7:16" s="1634" customFormat="1">
      <c r="G47054" s="3336"/>
      <c r="P47054" s="3337"/>
    </row>
    <row r="47055" spans="7:16" s="1634" customFormat="1">
      <c r="G47055" s="3336"/>
      <c r="P47055" s="3337"/>
    </row>
    <row r="47056" spans="7:16" s="1634" customFormat="1">
      <c r="G47056" s="3336"/>
      <c r="P47056" s="3337"/>
    </row>
    <row r="47057" spans="7:16" s="1634" customFormat="1">
      <c r="G47057" s="3336"/>
      <c r="P47057" s="3337"/>
    </row>
    <row r="47058" spans="7:16" s="1634" customFormat="1">
      <c r="G47058" s="3336"/>
      <c r="P47058" s="3337"/>
    </row>
    <row r="47059" spans="7:16" s="1634" customFormat="1">
      <c r="G47059" s="3336"/>
      <c r="P47059" s="3337"/>
    </row>
    <row r="47060" spans="7:16" s="1634" customFormat="1">
      <c r="G47060" s="3336"/>
      <c r="P47060" s="3337"/>
    </row>
    <row r="47061" spans="7:16" s="1634" customFormat="1">
      <c r="G47061" s="3336"/>
      <c r="P47061" s="3337"/>
    </row>
    <row r="47062" spans="7:16" s="1634" customFormat="1">
      <c r="G47062" s="3336"/>
      <c r="P47062" s="3337"/>
    </row>
    <row r="47063" spans="7:16" s="1634" customFormat="1">
      <c r="G47063" s="3336"/>
      <c r="P47063" s="3337"/>
    </row>
    <row r="47064" spans="7:16" s="1634" customFormat="1">
      <c r="G47064" s="3336"/>
      <c r="P47064" s="3337"/>
    </row>
    <row r="47065" spans="7:16" s="1634" customFormat="1">
      <c r="G47065" s="3336"/>
      <c r="P47065" s="3337"/>
    </row>
    <row r="47066" spans="7:16" s="1634" customFormat="1">
      <c r="G47066" s="3336"/>
      <c r="P47066" s="3337"/>
    </row>
    <row r="47067" spans="7:16" s="1634" customFormat="1">
      <c r="G47067" s="3336"/>
      <c r="P47067" s="3337"/>
    </row>
    <row r="47068" spans="7:16" s="1634" customFormat="1">
      <c r="G47068" s="3336"/>
      <c r="P47068" s="3337"/>
    </row>
    <row r="47069" spans="7:16" s="1634" customFormat="1">
      <c r="G47069" s="3336"/>
      <c r="P47069" s="3337"/>
    </row>
    <row r="47070" spans="7:16" s="1634" customFormat="1">
      <c r="G47070" s="3336"/>
      <c r="P47070" s="3337"/>
    </row>
    <row r="47071" spans="7:16" s="1634" customFormat="1">
      <c r="G47071" s="3336"/>
      <c r="P47071" s="3337"/>
    </row>
    <row r="47072" spans="7:16" s="1634" customFormat="1">
      <c r="G47072" s="3336"/>
      <c r="P47072" s="3337"/>
    </row>
    <row r="47073" spans="7:16" s="1634" customFormat="1">
      <c r="G47073" s="3336"/>
      <c r="P47073" s="3337"/>
    </row>
    <row r="47074" spans="7:16" s="1634" customFormat="1">
      <c r="G47074" s="3336"/>
      <c r="P47074" s="3337"/>
    </row>
    <row r="47075" spans="7:16" s="1634" customFormat="1">
      <c r="G47075" s="3336"/>
      <c r="P47075" s="3337"/>
    </row>
    <row r="47076" spans="7:16" s="1634" customFormat="1">
      <c r="G47076" s="3336"/>
      <c r="P47076" s="3337"/>
    </row>
    <row r="47077" spans="7:16" s="1634" customFormat="1">
      <c r="G47077" s="3336"/>
      <c r="P47077" s="3337"/>
    </row>
    <row r="47078" spans="7:16" s="1634" customFormat="1">
      <c r="G47078" s="3336"/>
      <c r="P47078" s="3337"/>
    </row>
    <row r="47079" spans="7:16" s="1634" customFormat="1">
      <c r="G47079" s="3336"/>
      <c r="P47079" s="3337"/>
    </row>
    <row r="47080" spans="7:16" s="1634" customFormat="1">
      <c r="G47080" s="3336"/>
      <c r="P47080" s="3337"/>
    </row>
    <row r="47081" spans="7:16" s="1634" customFormat="1">
      <c r="G47081" s="3336"/>
      <c r="P47081" s="3337"/>
    </row>
    <row r="47082" spans="7:16" s="1634" customFormat="1">
      <c r="G47082" s="3336"/>
      <c r="P47082" s="3337"/>
    </row>
    <row r="47083" spans="7:16" s="1634" customFormat="1">
      <c r="G47083" s="3336"/>
      <c r="P47083" s="3337"/>
    </row>
    <row r="47084" spans="7:16" s="1634" customFormat="1">
      <c r="G47084" s="3336"/>
      <c r="P47084" s="3337"/>
    </row>
    <row r="47085" spans="7:16" s="1634" customFormat="1">
      <c r="G47085" s="3336"/>
      <c r="P47085" s="3337"/>
    </row>
    <row r="47086" spans="7:16" s="1634" customFormat="1">
      <c r="G47086" s="3336"/>
      <c r="P47086" s="3337"/>
    </row>
    <row r="47087" spans="7:16" s="1634" customFormat="1">
      <c r="G47087" s="3336"/>
      <c r="P47087" s="3337"/>
    </row>
    <row r="47088" spans="7:16" s="1634" customFormat="1">
      <c r="G47088" s="3336"/>
      <c r="P47088" s="3337"/>
    </row>
    <row r="47089" spans="7:16" s="1634" customFormat="1">
      <c r="G47089" s="3336"/>
      <c r="P47089" s="3337"/>
    </row>
    <row r="47090" spans="7:16" s="1634" customFormat="1">
      <c r="G47090" s="3336"/>
      <c r="P47090" s="3337"/>
    </row>
    <row r="47091" spans="7:16" s="1634" customFormat="1">
      <c r="G47091" s="3336"/>
      <c r="P47091" s="3337"/>
    </row>
    <row r="47092" spans="7:16" s="1634" customFormat="1">
      <c r="G47092" s="3336"/>
      <c r="P47092" s="3337"/>
    </row>
    <row r="47093" spans="7:16" s="1634" customFormat="1">
      <c r="G47093" s="3336"/>
      <c r="P47093" s="3337"/>
    </row>
    <row r="47094" spans="7:16" s="1634" customFormat="1">
      <c r="G47094" s="3336"/>
      <c r="P47094" s="3337"/>
    </row>
    <row r="47095" spans="7:16" s="1634" customFormat="1">
      <c r="G47095" s="3336"/>
      <c r="P47095" s="3337"/>
    </row>
    <row r="47096" spans="7:16" s="1634" customFormat="1">
      <c r="G47096" s="3336"/>
      <c r="P47096" s="3337"/>
    </row>
    <row r="47097" spans="7:16" s="1634" customFormat="1">
      <c r="G47097" s="3336"/>
      <c r="P47097" s="3337"/>
    </row>
    <row r="47098" spans="7:16" s="1634" customFormat="1">
      <c r="G47098" s="3336"/>
      <c r="P47098" s="3337"/>
    </row>
    <row r="47099" spans="7:16" s="1634" customFormat="1">
      <c r="G47099" s="3336"/>
      <c r="P47099" s="3337"/>
    </row>
    <row r="47100" spans="7:16" s="1634" customFormat="1">
      <c r="G47100" s="3336"/>
      <c r="P47100" s="3337"/>
    </row>
    <row r="47101" spans="7:16" s="1634" customFormat="1">
      <c r="G47101" s="3336"/>
      <c r="P47101" s="3337"/>
    </row>
    <row r="47102" spans="7:16" s="1634" customFormat="1">
      <c r="G47102" s="3336"/>
      <c r="P47102" s="3337"/>
    </row>
    <row r="47103" spans="7:16" s="1634" customFormat="1">
      <c r="G47103" s="3336"/>
      <c r="P47103" s="3337"/>
    </row>
    <row r="47104" spans="7:16" s="1634" customFormat="1">
      <c r="G47104" s="3336"/>
      <c r="P47104" s="3337"/>
    </row>
    <row r="47105" spans="7:16" s="1634" customFormat="1">
      <c r="G47105" s="3336"/>
      <c r="P47105" s="3337"/>
    </row>
    <row r="47106" spans="7:16" s="1634" customFormat="1">
      <c r="G47106" s="3336"/>
      <c r="P47106" s="3337"/>
    </row>
    <row r="47107" spans="7:16" s="1634" customFormat="1">
      <c r="G47107" s="3336"/>
      <c r="P47107" s="3337"/>
    </row>
    <row r="47108" spans="7:16" s="1634" customFormat="1">
      <c r="G47108" s="3336"/>
      <c r="P47108" s="3337"/>
    </row>
    <row r="47109" spans="7:16" s="1634" customFormat="1">
      <c r="G47109" s="3336"/>
      <c r="P47109" s="3337"/>
    </row>
    <row r="47110" spans="7:16" s="1634" customFormat="1">
      <c r="G47110" s="3336"/>
      <c r="P47110" s="3337"/>
    </row>
    <row r="47111" spans="7:16" s="1634" customFormat="1">
      <c r="G47111" s="3336"/>
      <c r="P47111" s="3337"/>
    </row>
    <row r="47112" spans="7:16" s="1634" customFormat="1">
      <c r="G47112" s="3336"/>
      <c r="P47112" s="3337"/>
    </row>
    <row r="47113" spans="7:16" s="1634" customFormat="1">
      <c r="G47113" s="3336"/>
      <c r="P47113" s="3337"/>
    </row>
    <row r="47114" spans="7:16" s="1634" customFormat="1">
      <c r="G47114" s="3336"/>
      <c r="P47114" s="3337"/>
    </row>
    <row r="47115" spans="7:16" s="1634" customFormat="1">
      <c r="G47115" s="3336"/>
      <c r="P47115" s="3337"/>
    </row>
    <row r="47116" spans="7:16" s="1634" customFormat="1">
      <c r="G47116" s="3336"/>
      <c r="P47116" s="3337"/>
    </row>
    <row r="47117" spans="7:16" s="1634" customFormat="1">
      <c r="G47117" s="3336"/>
      <c r="P47117" s="3337"/>
    </row>
    <row r="47118" spans="7:16" s="1634" customFormat="1">
      <c r="G47118" s="3336"/>
      <c r="P47118" s="3337"/>
    </row>
    <row r="47119" spans="7:16" s="1634" customFormat="1">
      <c r="G47119" s="3336"/>
      <c r="P47119" s="3337"/>
    </row>
    <row r="47120" spans="7:16" s="1634" customFormat="1">
      <c r="G47120" s="3336"/>
      <c r="P47120" s="3337"/>
    </row>
    <row r="47121" spans="7:16" s="1634" customFormat="1">
      <c r="G47121" s="3336"/>
      <c r="P47121" s="3337"/>
    </row>
    <row r="47122" spans="7:16" s="1634" customFormat="1">
      <c r="G47122" s="3336"/>
      <c r="P47122" s="3337"/>
    </row>
    <row r="47123" spans="7:16" s="1634" customFormat="1">
      <c r="G47123" s="3336"/>
      <c r="P47123" s="3337"/>
    </row>
    <row r="47124" spans="7:16" s="1634" customFormat="1">
      <c r="G47124" s="3336"/>
      <c r="P47124" s="3337"/>
    </row>
    <row r="47125" spans="7:16" s="1634" customFormat="1">
      <c r="G47125" s="3336"/>
      <c r="P47125" s="3337"/>
    </row>
    <row r="47126" spans="7:16" s="1634" customFormat="1">
      <c r="G47126" s="3336"/>
      <c r="P47126" s="3337"/>
    </row>
    <row r="47127" spans="7:16" s="1634" customFormat="1">
      <c r="G47127" s="3336"/>
      <c r="P47127" s="3337"/>
    </row>
    <row r="47128" spans="7:16" s="1634" customFormat="1">
      <c r="G47128" s="3336"/>
      <c r="P47128" s="3337"/>
    </row>
    <row r="47129" spans="7:16" s="1634" customFormat="1">
      <c r="G47129" s="3336"/>
      <c r="P47129" s="3337"/>
    </row>
    <row r="47130" spans="7:16" s="1634" customFormat="1">
      <c r="G47130" s="3336"/>
      <c r="P47130" s="3337"/>
    </row>
    <row r="47131" spans="7:16" s="1634" customFormat="1">
      <c r="G47131" s="3336"/>
      <c r="P47131" s="3337"/>
    </row>
    <row r="47132" spans="7:16" s="1634" customFormat="1">
      <c r="G47132" s="3336"/>
      <c r="P47132" s="3337"/>
    </row>
    <row r="47133" spans="7:16" s="1634" customFormat="1">
      <c r="G47133" s="3336"/>
      <c r="P47133" s="3337"/>
    </row>
    <row r="47134" spans="7:16" s="1634" customFormat="1">
      <c r="G47134" s="3336"/>
      <c r="P47134" s="3337"/>
    </row>
    <row r="47135" spans="7:16" s="1634" customFormat="1">
      <c r="G47135" s="3336"/>
      <c r="P47135" s="3337"/>
    </row>
    <row r="47136" spans="7:16" s="1634" customFormat="1">
      <c r="G47136" s="3336"/>
      <c r="P47136" s="3337"/>
    </row>
    <row r="47137" spans="7:16" s="1634" customFormat="1">
      <c r="G47137" s="3336"/>
      <c r="P47137" s="3337"/>
    </row>
    <row r="47138" spans="7:16" s="1634" customFormat="1">
      <c r="G47138" s="3336"/>
      <c r="P47138" s="3337"/>
    </row>
    <row r="47139" spans="7:16" s="1634" customFormat="1">
      <c r="G47139" s="3336"/>
      <c r="P47139" s="3337"/>
    </row>
    <row r="47140" spans="7:16" s="1634" customFormat="1">
      <c r="G47140" s="3336"/>
      <c r="P47140" s="3337"/>
    </row>
    <row r="47141" spans="7:16" s="1634" customFormat="1">
      <c r="G47141" s="3336"/>
      <c r="P47141" s="3337"/>
    </row>
    <row r="47142" spans="7:16" s="1634" customFormat="1">
      <c r="G47142" s="3336"/>
      <c r="P47142" s="3337"/>
    </row>
    <row r="47143" spans="7:16" s="1634" customFormat="1">
      <c r="G47143" s="3336"/>
      <c r="P47143" s="3337"/>
    </row>
    <row r="47144" spans="7:16" s="1634" customFormat="1">
      <c r="G47144" s="3336"/>
      <c r="P47144" s="3337"/>
    </row>
    <row r="47145" spans="7:16" s="1634" customFormat="1">
      <c r="G47145" s="3336"/>
      <c r="P47145" s="3337"/>
    </row>
    <row r="47146" spans="7:16" s="1634" customFormat="1">
      <c r="G47146" s="3336"/>
      <c r="P47146" s="3337"/>
    </row>
    <row r="47147" spans="7:16" s="1634" customFormat="1">
      <c r="G47147" s="3336"/>
      <c r="P47147" s="3337"/>
    </row>
    <row r="47148" spans="7:16" s="1634" customFormat="1">
      <c r="G47148" s="3336"/>
      <c r="P47148" s="3337"/>
    </row>
    <row r="47149" spans="7:16" s="1634" customFormat="1">
      <c r="G47149" s="3336"/>
      <c r="P47149" s="3337"/>
    </row>
    <row r="47150" spans="7:16" s="1634" customFormat="1">
      <c r="G47150" s="3336"/>
      <c r="P47150" s="3337"/>
    </row>
    <row r="47151" spans="7:16" s="1634" customFormat="1">
      <c r="G47151" s="3336"/>
      <c r="P47151" s="3337"/>
    </row>
    <row r="47152" spans="7:16" s="1634" customFormat="1">
      <c r="G47152" s="3336"/>
      <c r="P47152" s="3337"/>
    </row>
    <row r="47153" spans="7:16" s="1634" customFormat="1">
      <c r="G47153" s="3336"/>
      <c r="P47153" s="3337"/>
    </row>
    <row r="47154" spans="7:16" s="1634" customFormat="1">
      <c r="G47154" s="3336"/>
      <c r="P47154" s="3337"/>
    </row>
    <row r="47155" spans="7:16" s="1634" customFormat="1">
      <c r="G47155" s="3336"/>
      <c r="P47155" s="3337"/>
    </row>
    <row r="47156" spans="7:16" s="1634" customFormat="1">
      <c r="G47156" s="3336"/>
      <c r="P47156" s="3337"/>
    </row>
    <row r="47157" spans="7:16" s="1634" customFormat="1">
      <c r="G47157" s="3336"/>
      <c r="P47157" s="3337"/>
    </row>
    <row r="47158" spans="7:16" s="1634" customFormat="1">
      <c r="G47158" s="3336"/>
      <c r="P47158" s="3337"/>
    </row>
    <row r="47159" spans="7:16" s="1634" customFormat="1">
      <c r="G47159" s="3336"/>
      <c r="P47159" s="3337"/>
    </row>
    <row r="47160" spans="7:16" s="1634" customFormat="1">
      <c r="G47160" s="3336"/>
      <c r="P47160" s="3337"/>
    </row>
    <row r="47161" spans="7:16" s="1634" customFormat="1">
      <c r="G47161" s="3336"/>
      <c r="P47161" s="3337"/>
    </row>
    <row r="47162" spans="7:16" s="1634" customFormat="1">
      <c r="G47162" s="3336"/>
      <c r="P47162" s="3337"/>
    </row>
    <row r="47163" spans="7:16" s="1634" customFormat="1">
      <c r="G47163" s="3336"/>
      <c r="P47163" s="3337"/>
    </row>
    <row r="47164" spans="7:16" s="1634" customFormat="1">
      <c r="G47164" s="3336"/>
      <c r="P47164" s="3337"/>
    </row>
    <row r="47165" spans="7:16" s="1634" customFormat="1">
      <c r="G47165" s="3336"/>
      <c r="P47165" s="3337"/>
    </row>
    <row r="47166" spans="7:16" s="1634" customFormat="1">
      <c r="G47166" s="3336"/>
      <c r="P47166" s="3337"/>
    </row>
    <row r="47167" spans="7:16" s="1634" customFormat="1">
      <c r="G47167" s="3336"/>
      <c r="P47167" s="3337"/>
    </row>
    <row r="47168" spans="7:16" s="1634" customFormat="1">
      <c r="G47168" s="3336"/>
      <c r="P47168" s="3337"/>
    </row>
    <row r="47169" spans="7:16" s="1634" customFormat="1">
      <c r="G47169" s="3336"/>
      <c r="P47169" s="3337"/>
    </row>
    <row r="47170" spans="7:16" s="1634" customFormat="1">
      <c r="G47170" s="3336"/>
      <c r="P47170" s="3337"/>
    </row>
    <row r="47171" spans="7:16" s="1634" customFormat="1">
      <c r="G47171" s="3336"/>
      <c r="P47171" s="3337"/>
    </row>
    <row r="47172" spans="7:16" s="1634" customFormat="1">
      <c r="G47172" s="3336"/>
      <c r="P47172" s="3337"/>
    </row>
    <row r="47173" spans="7:16" s="1634" customFormat="1">
      <c r="G47173" s="3336"/>
      <c r="P47173" s="3337"/>
    </row>
    <row r="47174" spans="7:16" s="1634" customFormat="1">
      <c r="G47174" s="3336"/>
      <c r="P47174" s="3337"/>
    </row>
    <row r="47175" spans="7:16" s="1634" customFormat="1">
      <c r="G47175" s="3336"/>
      <c r="P47175" s="3337"/>
    </row>
    <row r="47176" spans="7:16" s="1634" customFormat="1">
      <c r="G47176" s="3336"/>
      <c r="P47176" s="3337"/>
    </row>
    <row r="47177" spans="7:16" s="1634" customFormat="1">
      <c r="G47177" s="3336"/>
      <c r="P47177" s="3337"/>
    </row>
    <row r="47178" spans="7:16" s="1634" customFormat="1">
      <c r="G47178" s="3336"/>
      <c r="P47178" s="3337"/>
    </row>
    <row r="47179" spans="7:16" s="1634" customFormat="1">
      <c r="G47179" s="3336"/>
      <c r="P47179" s="3337"/>
    </row>
    <row r="47180" spans="7:16" s="1634" customFormat="1">
      <c r="G47180" s="3336"/>
      <c r="P47180" s="3337"/>
    </row>
    <row r="47181" spans="7:16" s="1634" customFormat="1">
      <c r="G47181" s="3336"/>
      <c r="P47181" s="3337"/>
    </row>
    <row r="47182" spans="7:16" s="1634" customFormat="1">
      <c r="G47182" s="3336"/>
      <c r="P47182" s="3337"/>
    </row>
    <row r="47183" spans="7:16" s="1634" customFormat="1">
      <c r="G47183" s="3336"/>
      <c r="P47183" s="3337"/>
    </row>
    <row r="47184" spans="7:16" s="1634" customFormat="1">
      <c r="G47184" s="3336"/>
      <c r="P47184" s="3337"/>
    </row>
    <row r="47185" spans="7:16" s="1634" customFormat="1">
      <c r="G47185" s="3336"/>
      <c r="P47185" s="3337"/>
    </row>
    <row r="47186" spans="7:16" s="1634" customFormat="1">
      <c r="G47186" s="3336"/>
      <c r="P47186" s="3337"/>
    </row>
    <row r="47187" spans="7:16" s="1634" customFormat="1">
      <c r="G47187" s="3336"/>
      <c r="P47187" s="3337"/>
    </row>
    <row r="47188" spans="7:16" s="1634" customFormat="1">
      <c r="G47188" s="3336"/>
      <c r="P47188" s="3337"/>
    </row>
    <row r="47189" spans="7:16" s="1634" customFormat="1">
      <c r="G47189" s="3336"/>
      <c r="P47189" s="3337"/>
    </row>
    <row r="47190" spans="7:16" s="1634" customFormat="1">
      <c r="G47190" s="3336"/>
      <c r="P47190" s="3337"/>
    </row>
    <row r="47191" spans="7:16" s="1634" customFormat="1">
      <c r="G47191" s="3336"/>
      <c r="P47191" s="3337"/>
    </row>
    <row r="47192" spans="7:16" s="1634" customFormat="1">
      <c r="G47192" s="3336"/>
      <c r="P47192" s="3337"/>
    </row>
    <row r="47193" spans="7:16" s="1634" customFormat="1">
      <c r="G47193" s="3336"/>
      <c r="P47193" s="3337"/>
    </row>
    <row r="47194" spans="7:16" s="1634" customFormat="1">
      <c r="G47194" s="3336"/>
      <c r="P47194" s="3337"/>
    </row>
    <row r="47195" spans="7:16" s="1634" customFormat="1">
      <c r="G47195" s="3336"/>
      <c r="P47195" s="3337"/>
    </row>
    <row r="47196" spans="7:16" s="1634" customFormat="1">
      <c r="G47196" s="3336"/>
      <c r="P47196" s="3337"/>
    </row>
    <row r="47197" spans="7:16" s="1634" customFormat="1">
      <c r="G47197" s="3336"/>
      <c r="P47197" s="3337"/>
    </row>
    <row r="47198" spans="7:16" s="1634" customFormat="1">
      <c r="G47198" s="3336"/>
      <c r="P47198" s="3337"/>
    </row>
    <row r="47199" spans="7:16" s="1634" customFormat="1">
      <c r="G47199" s="3336"/>
      <c r="P47199" s="3337"/>
    </row>
    <row r="47200" spans="7:16" s="1634" customFormat="1">
      <c r="G47200" s="3336"/>
      <c r="P47200" s="3337"/>
    </row>
    <row r="47201" spans="7:16" s="1634" customFormat="1">
      <c r="G47201" s="3336"/>
      <c r="P47201" s="3337"/>
    </row>
    <row r="47202" spans="7:16" s="1634" customFormat="1">
      <c r="G47202" s="3336"/>
      <c r="P47202" s="3337"/>
    </row>
    <row r="47203" spans="7:16" s="1634" customFormat="1">
      <c r="G47203" s="3336"/>
      <c r="P47203" s="3337"/>
    </row>
    <row r="47204" spans="7:16" s="1634" customFormat="1">
      <c r="G47204" s="3336"/>
      <c r="P47204" s="3337"/>
    </row>
    <row r="47205" spans="7:16" s="1634" customFormat="1">
      <c r="G47205" s="3336"/>
      <c r="P47205" s="3337"/>
    </row>
    <row r="47206" spans="7:16" s="1634" customFormat="1">
      <c r="G47206" s="3336"/>
      <c r="P47206" s="3337"/>
    </row>
    <row r="47207" spans="7:16" s="1634" customFormat="1">
      <c r="G47207" s="3336"/>
      <c r="P47207" s="3337"/>
    </row>
    <row r="47208" spans="7:16" s="1634" customFormat="1">
      <c r="G47208" s="3336"/>
      <c r="P47208" s="3337"/>
    </row>
    <row r="47209" spans="7:16" s="1634" customFormat="1">
      <c r="G47209" s="3336"/>
      <c r="P47209" s="3337"/>
    </row>
    <row r="47210" spans="7:16" s="1634" customFormat="1">
      <c r="G47210" s="3336"/>
      <c r="P47210" s="3337"/>
    </row>
    <row r="47211" spans="7:16" s="1634" customFormat="1">
      <c r="G47211" s="3336"/>
      <c r="P47211" s="3337"/>
    </row>
    <row r="47212" spans="7:16" s="1634" customFormat="1">
      <c r="G47212" s="3336"/>
      <c r="P47212" s="3337"/>
    </row>
    <row r="47213" spans="7:16" s="1634" customFormat="1">
      <c r="G47213" s="3336"/>
      <c r="P47213" s="3337"/>
    </row>
    <row r="47214" spans="7:16" s="1634" customFormat="1">
      <c r="G47214" s="3336"/>
      <c r="P47214" s="3337"/>
    </row>
    <row r="47215" spans="7:16" s="1634" customFormat="1">
      <c r="G47215" s="3336"/>
      <c r="P47215" s="3337"/>
    </row>
    <row r="47216" spans="7:16" s="1634" customFormat="1">
      <c r="G47216" s="3336"/>
      <c r="P47216" s="3337"/>
    </row>
    <row r="47217" spans="7:16" s="1634" customFormat="1">
      <c r="G47217" s="3336"/>
      <c r="P47217" s="3337"/>
    </row>
    <row r="47218" spans="7:16" s="1634" customFormat="1">
      <c r="G47218" s="3336"/>
      <c r="P47218" s="3337"/>
    </row>
    <row r="47219" spans="7:16" s="1634" customFormat="1">
      <c r="G47219" s="3336"/>
      <c r="P47219" s="3337"/>
    </row>
    <row r="47220" spans="7:16" s="1634" customFormat="1">
      <c r="G47220" s="3336"/>
      <c r="P47220" s="3337"/>
    </row>
    <row r="47221" spans="7:16" s="1634" customFormat="1">
      <c r="G47221" s="3336"/>
      <c r="P47221" s="3337"/>
    </row>
    <row r="47222" spans="7:16" s="1634" customFormat="1">
      <c r="G47222" s="3336"/>
      <c r="P47222" s="3337"/>
    </row>
    <row r="47223" spans="7:16" s="1634" customFormat="1">
      <c r="G47223" s="3336"/>
      <c r="P47223" s="3337"/>
    </row>
    <row r="47224" spans="7:16" s="1634" customFormat="1">
      <c r="G47224" s="3336"/>
      <c r="P47224" s="3337"/>
    </row>
    <row r="47225" spans="7:16" s="1634" customFormat="1">
      <c r="G47225" s="3336"/>
      <c r="P47225" s="3337"/>
    </row>
    <row r="47226" spans="7:16" s="1634" customFormat="1">
      <c r="G47226" s="3336"/>
      <c r="P47226" s="3337"/>
    </row>
    <row r="47227" spans="7:16" s="1634" customFormat="1">
      <c r="G47227" s="3336"/>
      <c r="P47227" s="3337"/>
    </row>
    <row r="47228" spans="7:16" s="1634" customFormat="1">
      <c r="G47228" s="3336"/>
      <c r="P47228" s="3337"/>
    </row>
    <row r="47229" spans="7:16" s="1634" customFormat="1">
      <c r="G47229" s="3336"/>
      <c r="P47229" s="3337"/>
    </row>
    <row r="47230" spans="7:16" s="1634" customFormat="1">
      <c r="G47230" s="3336"/>
      <c r="P47230" s="3337"/>
    </row>
    <row r="47231" spans="7:16" s="1634" customFormat="1">
      <c r="G47231" s="3336"/>
      <c r="P47231" s="3337"/>
    </row>
    <row r="47232" spans="7:16" s="1634" customFormat="1">
      <c r="G47232" s="3336"/>
      <c r="P47232" s="3337"/>
    </row>
    <row r="47233" spans="7:16" s="1634" customFormat="1">
      <c r="G47233" s="3336"/>
      <c r="P47233" s="3337"/>
    </row>
    <row r="47234" spans="7:16" s="1634" customFormat="1">
      <c r="G47234" s="3336"/>
      <c r="P47234" s="3337"/>
    </row>
    <row r="47235" spans="7:16" s="1634" customFormat="1">
      <c r="G47235" s="3336"/>
      <c r="P47235" s="3337"/>
    </row>
    <row r="47236" spans="7:16" s="1634" customFormat="1">
      <c r="G47236" s="3336"/>
      <c r="P47236" s="3337"/>
    </row>
    <row r="47237" spans="7:16" s="1634" customFormat="1">
      <c r="G47237" s="3336"/>
      <c r="P47237" s="3337"/>
    </row>
    <row r="47238" spans="7:16" s="1634" customFormat="1">
      <c r="G47238" s="3336"/>
      <c r="P47238" s="3337"/>
    </row>
    <row r="47239" spans="7:16" s="1634" customFormat="1">
      <c r="G47239" s="3336"/>
      <c r="P47239" s="3337"/>
    </row>
    <row r="47240" spans="7:16" s="1634" customFormat="1">
      <c r="G47240" s="3336"/>
      <c r="P47240" s="3337"/>
    </row>
    <row r="47241" spans="7:16" s="1634" customFormat="1">
      <c r="G47241" s="3336"/>
      <c r="P47241" s="3337"/>
    </row>
    <row r="47242" spans="7:16" s="1634" customFormat="1">
      <c r="G47242" s="3336"/>
      <c r="P47242" s="3337"/>
    </row>
    <row r="47243" spans="7:16" s="1634" customFormat="1">
      <c r="G47243" s="3336"/>
      <c r="P47243" s="3337"/>
    </row>
    <row r="47244" spans="7:16" s="1634" customFormat="1">
      <c r="G47244" s="3336"/>
      <c r="P47244" s="3337"/>
    </row>
    <row r="47245" spans="7:16" s="1634" customFormat="1">
      <c r="G47245" s="3336"/>
      <c r="P47245" s="3337"/>
    </row>
    <row r="47246" spans="7:16" s="1634" customFormat="1">
      <c r="G47246" s="3336"/>
      <c r="P47246" s="3337"/>
    </row>
    <row r="47247" spans="7:16" s="1634" customFormat="1">
      <c r="G47247" s="3336"/>
      <c r="P47247" s="3337"/>
    </row>
    <row r="47248" spans="7:16" s="1634" customFormat="1">
      <c r="G47248" s="3336"/>
      <c r="P47248" s="3337"/>
    </row>
    <row r="47249" spans="7:16" s="1634" customFormat="1">
      <c r="G47249" s="3336"/>
      <c r="P47249" s="3337"/>
    </row>
    <row r="47250" spans="7:16" s="1634" customFormat="1">
      <c r="G47250" s="3336"/>
      <c r="P47250" s="3337"/>
    </row>
    <row r="47251" spans="7:16" s="1634" customFormat="1">
      <c r="G47251" s="3336"/>
      <c r="P47251" s="3337"/>
    </row>
    <row r="47252" spans="7:16" s="1634" customFormat="1">
      <c r="G47252" s="3336"/>
      <c r="P47252" s="3337"/>
    </row>
    <row r="47253" spans="7:16" s="1634" customFormat="1">
      <c r="G47253" s="3336"/>
      <c r="P47253" s="3337"/>
    </row>
    <row r="47254" spans="7:16" s="1634" customFormat="1">
      <c r="G47254" s="3336"/>
      <c r="P47254" s="3337"/>
    </row>
    <row r="47255" spans="7:16" s="1634" customFormat="1">
      <c r="G47255" s="3336"/>
      <c r="P47255" s="3337"/>
    </row>
    <row r="47256" spans="7:16" s="1634" customFormat="1">
      <c r="G47256" s="3336"/>
      <c r="P47256" s="3337"/>
    </row>
    <row r="47257" spans="7:16" s="1634" customFormat="1">
      <c r="G47257" s="3336"/>
      <c r="P47257" s="3337"/>
    </row>
    <row r="47258" spans="7:16" s="1634" customFormat="1">
      <c r="G47258" s="3336"/>
      <c r="P47258" s="3337"/>
    </row>
    <row r="47259" spans="7:16" s="1634" customFormat="1">
      <c r="G47259" s="3336"/>
      <c r="P47259" s="3337"/>
    </row>
    <row r="47260" spans="7:16" s="1634" customFormat="1">
      <c r="G47260" s="3336"/>
      <c r="P47260" s="3337"/>
    </row>
    <row r="47261" spans="7:16" s="1634" customFormat="1">
      <c r="G47261" s="3336"/>
      <c r="P47261" s="3337"/>
    </row>
    <row r="47262" spans="7:16" s="1634" customFormat="1">
      <c r="G47262" s="3336"/>
      <c r="P47262" s="3337"/>
    </row>
    <row r="47263" spans="7:16" s="1634" customFormat="1">
      <c r="G47263" s="3336"/>
      <c r="P47263" s="3337"/>
    </row>
    <row r="47264" spans="7:16" s="1634" customFormat="1">
      <c r="G47264" s="3336"/>
      <c r="P47264" s="3337"/>
    </row>
    <row r="47265" spans="7:16" s="1634" customFormat="1">
      <c r="G47265" s="3336"/>
      <c r="P47265" s="3337"/>
    </row>
    <row r="47266" spans="7:16" s="1634" customFormat="1">
      <c r="G47266" s="3336"/>
      <c r="P47266" s="3337"/>
    </row>
    <row r="47267" spans="7:16" s="1634" customFormat="1">
      <c r="G47267" s="3336"/>
      <c r="P47267" s="3337"/>
    </row>
    <row r="47268" spans="7:16" s="1634" customFormat="1">
      <c r="G47268" s="3336"/>
      <c r="P47268" s="3337"/>
    </row>
    <row r="47269" spans="7:16" s="1634" customFormat="1">
      <c r="G47269" s="3336"/>
      <c r="P47269" s="3337"/>
    </row>
    <row r="47270" spans="7:16" s="1634" customFormat="1">
      <c r="G47270" s="3336"/>
      <c r="P47270" s="3337"/>
    </row>
    <row r="47271" spans="7:16" s="1634" customFormat="1">
      <c r="G47271" s="3336"/>
      <c r="P47271" s="3337"/>
    </row>
    <row r="47272" spans="7:16" s="1634" customFormat="1">
      <c r="G47272" s="3336"/>
      <c r="P47272" s="3337"/>
    </row>
    <row r="47273" spans="7:16" s="1634" customFormat="1">
      <c r="G47273" s="3336"/>
      <c r="P47273" s="3337"/>
    </row>
    <row r="47274" spans="7:16" s="1634" customFormat="1">
      <c r="G47274" s="3336"/>
      <c r="P47274" s="3337"/>
    </row>
    <row r="47275" spans="7:16" s="1634" customFormat="1">
      <c r="G47275" s="3336"/>
      <c r="P47275" s="3337"/>
    </row>
    <row r="47276" spans="7:16" s="1634" customFormat="1">
      <c r="G47276" s="3336"/>
      <c r="P47276" s="3337"/>
    </row>
    <row r="47277" spans="7:16" s="1634" customFormat="1">
      <c r="G47277" s="3336"/>
      <c r="P47277" s="3337"/>
    </row>
    <row r="47278" spans="7:16" s="1634" customFormat="1">
      <c r="G47278" s="3336"/>
      <c r="P47278" s="3337"/>
    </row>
    <row r="47279" spans="7:16" s="1634" customFormat="1">
      <c r="G47279" s="3336"/>
      <c r="P47279" s="3337"/>
    </row>
    <row r="47280" spans="7:16" s="1634" customFormat="1">
      <c r="G47280" s="3336"/>
      <c r="P47280" s="3337"/>
    </row>
    <row r="47281" spans="7:16" s="1634" customFormat="1">
      <c r="G47281" s="3336"/>
      <c r="P47281" s="3337"/>
    </row>
    <row r="47282" spans="7:16" s="1634" customFormat="1">
      <c r="G47282" s="3336"/>
      <c r="P47282" s="3337"/>
    </row>
    <row r="47283" spans="7:16" s="1634" customFormat="1">
      <c r="G47283" s="3336"/>
      <c r="P47283" s="3337"/>
    </row>
    <row r="47284" spans="7:16" s="1634" customFormat="1">
      <c r="G47284" s="3336"/>
      <c r="P47284" s="3337"/>
    </row>
    <row r="47285" spans="7:16" s="1634" customFormat="1">
      <c r="G47285" s="3336"/>
      <c r="P47285" s="3337"/>
    </row>
    <row r="47286" spans="7:16" s="1634" customFormat="1">
      <c r="G47286" s="3336"/>
      <c r="P47286" s="3337"/>
    </row>
    <row r="47287" spans="7:16" s="1634" customFormat="1">
      <c r="G47287" s="3336"/>
      <c r="P47287" s="3337"/>
    </row>
    <row r="47288" spans="7:16" s="1634" customFormat="1">
      <c r="G47288" s="3336"/>
      <c r="P47288" s="3337"/>
    </row>
    <row r="47289" spans="7:16" s="1634" customFormat="1">
      <c r="G47289" s="3336"/>
      <c r="P47289" s="3337"/>
    </row>
    <row r="47290" spans="7:16" s="1634" customFormat="1">
      <c r="G47290" s="3336"/>
      <c r="P47290" s="3337"/>
    </row>
    <row r="47291" spans="7:16" s="1634" customFormat="1">
      <c r="G47291" s="3336"/>
      <c r="P47291" s="3337"/>
    </row>
    <row r="47292" spans="7:16" s="1634" customFormat="1">
      <c r="G47292" s="3336"/>
      <c r="P47292" s="3337"/>
    </row>
    <row r="47293" spans="7:16" s="1634" customFormat="1">
      <c r="G47293" s="3336"/>
      <c r="P47293" s="3337"/>
    </row>
    <row r="47294" spans="7:16" s="1634" customFormat="1">
      <c r="G47294" s="3336"/>
      <c r="P47294" s="3337"/>
    </row>
    <row r="47295" spans="7:16" s="1634" customFormat="1">
      <c r="G47295" s="3336"/>
      <c r="P47295" s="3337"/>
    </row>
    <row r="47296" spans="7:16" s="1634" customFormat="1">
      <c r="G47296" s="3336"/>
      <c r="P47296" s="3337"/>
    </row>
    <row r="47297" spans="7:16" s="1634" customFormat="1">
      <c r="G47297" s="3336"/>
      <c r="P47297" s="3337"/>
    </row>
    <row r="47298" spans="7:16" s="1634" customFormat="1">
      <c r="G47298" s="3336"/>
      <c r="P47298" s="3337"/>
    </row>
    <row r="47299" spans="7:16" s="1634" customFormat="1">
      <c r="G47299" s="3336"/>
      <c r="P47299" s="3337"/>
    </row>
    <row r="47300" spans="7:16" s="1634" customFormat="1">
      <c r="G47300" s="3336"/>
      <c r="P47300" s="3337"/>
    </row>
    <row r="47301" spans="7:16" s="1634" customFormat="1">
      <c r="G47301" s="3336"/>
      <c r="P47301" s="3337"/>
    </row>
    <row r="47302" spans="7:16" s="1634" customFormat="1">
      <c r="G47302" s="3336"/>
      <c r="P47302" s="3337"/>
    </row>
    <row r="47303" spans="7:16" s="1634" customFormat="1">
      <c r="G47303" s="3336"/>
      <c r="P47303" s="3337"/>
    </row>
    <row r="47304" spans="7:16" s="1634" customFormat="1">
      <c r="G47304" s="3336"/>
      <c r="P47304" s="3337"/>
    </row>
    <row r="47305" spans="7:16" s="1634" customFormat="1">
      <c r="G47305" s="3336"/>
      <c r="P47305" s="3337"/>
    </row>
    <row r="47306" spans="7:16" s="1634" customFormat="1">
      <c r="G47306" s="3336"/>
      <c r="P47306" s="3337"/>
    </row>
    <row r="47307" spans="7:16" s="1634" customFormat="1">
      <c r="G47307" s="3336"/>
      <c r="P47307" s="3337"/>
    </row>
    <row r="47308" spans="7:16" s="1634" customFormat="1">
      <c r="G47308" s="3336"/>
      <c r="P47308" s="3337"/>
    </row>
    <row r="47309" spans="7:16" s="1634" customFormat="1">
      <c r="G47309" s="3336"/>
      <c r="P47309" s="3337"/>
    </row>
    <row r="47310" spans="7:16" s="1634" customFormat="1">
      <c r="G47310" s="3336"/>
      <c r="P47310" s="3337"/>
    </row>
    <row r="47311" spans="7:16" s="1634" customFormat="1">
      <c r="G47311" s="3336"/>
      <c r="P47311" s="3337"/>
    </row>
    <row r="47312" spans="7:16" s="1634" customFormat="1">
      <c r="G47312" s="3336"/>
      <c r="P47312" s="3337"/>
    </row>
    <row r="47313" spans="7:16" s="1634" customFormat="1">
      <c r="G47313" s="3336"/>
      <c r="P47313" s="3337"/>
    </row>
    <row r="47314" spans="7:16" s="1634" customFormat="1">
      <c r="G47314" s="3336"/>
      <c r="P47314" s="3337"/>
    </row>
    <row r="47315" spans="7:16" s="1634" customFormat="1">
      <c r="G47315" s="3336"/>
      <c r="P47315" s="3337"/>
    </row>
    <row r="47316" spans="7:16" s="1634" customFormat="1">
      <c r="G47316" s="3336"/>
      <c r="P47316" s="3337"/>
    </row>
    <row r="47317" spans="7:16" s="1634" customFormat="1">
      <c r="G47317" s="3336"/>
      <c r="P47317" s="3337"/>
    </row>
    <row r="47318" spans="7:16" s="1634" customFormat="1">
      <c r="G47318" s="3336"/>
      <c r="P47318" s="3337"/>
    </row>
    <row r="47319" spans="7:16" s="1634" customFormat="1">
      <c r="G47319" s="3336"/>
      <c r="P47319" s="3337"/>
    </row>
    <row r="47320" spans="7:16" s="1634" customFormat="1">
      <c r="G47320" s="3336"/>
      <c r="P47320" s="3337"/>
    </row>
    <row r="47321" spans="7:16" s="1634" customFormat="1">
      <c r="G47321" s="3336"/>
      <c r="P47321" s="3337"/>
    </row>
    <row r="47322" spans="7:16" s="1634" customFormat="1">
      <c r="G47322" s="3336"/>
      <c r="P47322" s="3337"/>
    </row>
    <row r="47323" spans="7:16" s="1634" customFormat="1">
      <c r="G47323" s="3336"/>
      <c r="P47323" s="3337"/>
    </row>
    <row r="47324" spans="7:16" s="1634" customFormat="1">
      <c r="G47324" s="3336"/>
      <c r="P47324" s="3337"/>
    </row>
    <row r="47325" spans="7:16" s="1634" customFormat="1">
      <c r="G47325" s="3336"/>
      <c r="P47325" s="3337"/>
    </row>
    <row r="47326" spans="7:16" s="1634" customFormat="1">
      <c r="G47326" s="3336"/>
      <c r="P47326" s="3337"/>
    </row>
    <row r="47327" spans="7:16" s="1634" customFormat="1">
      <c r="G47327" s="3336"/>
      <c r="P47327" s="3337"/>
    </row>
    <row r="47328" spans="7:16" s="1634" customFormat="1">
      <c r="G47328" s="3336"/>
      <c r="P47328" s="3337"/>
    </row>
    <row r="47329" spans="7:16" s="1634" customFormat="1">
      <c r="G47329" s="3336"/>
      <c r="P47329" s="3337"/>
    </row>
    <row r="47330" spans="7:16" s="1634" customFormat="1">
      <c r="G47330" s="3336"/>
      <c r="P47330" s="3337"/>
    </row>
    <row r="47331" spans="7:16" s="1634" customFormat="1">
      <c r="G47331" s="3336"/>
      <c r="P47331" s="3337"/>
    </row>
    <row r="47332" spans="7:16" s="1634" customFormat="1">
      <c r="G47332" s="3336"/>
      <c r="P47332" s="3337"/>
    </row>
    <row r="47333" spans="7:16" s="1634" customFormat="1">
      <c r="G47333" s="3336"/>
      <c r="P47333" s="3337"/>
    </row>
    <row r="47334" spans="7:16" s="1634" customFormat="1">
      <c r="G47334" s="3336"/>
      <c r="P47334" s="3337"/>
    </row>
    <row r="47335" spans="7:16" s="1634" customFormat="1">
      <c r="G47335" s="3336"/>
      <c r="P47335" s="3337"/>
    </row>
    <row r="47336" spans="7:16" s="1634" customFormat="1">
      <c r="G47336" s="3336"/>
      <c r="P47336" s="3337"/>
    </row>
    <row r="47337" spans="7:16" s="1634" customFormat="1">
      <c r="G47337" s="3336"/>
      <c r="P47337" s="3337"/>
    </row>
    <row r="47338" spans="7:16" s="1634" customFormat="1">
      <c r="G47338" s="3336"/>
      <c r="P47338" s="3337"/>
    </row>
    <row r="47339" spans="7:16" s="1634" customFormat="1">
      <c r="G47339" s="3336"/>
      <c r="P47339" s="3337"/>
    </row>
    <row r="47340" spans="7:16" s="1634" customFormat="1">
      <c r="G47340" s="3336"/>
      <c r="P47340" s="3337"/>
    </row>
    <row r="47341" spans="7:16" s="1634" customFormat="1">
      <c r="G47341" s="3336"/>
      <c r="P47341" s="3337"/>
    </row>
    <row r="47342" spans="7:16" s="1634" customFormat="1">
      <c r="G47342" s="3336"/>
      <c r="P47342" s="3337"/>
    </row>
    <row r="47343" spans="7:16" s="1634" customFormat="1">
      <c r="G47343" s="3336"/>
      <c r="P47343" s="3337"/>
    </row>
    <row r="47344" spans="7:16" s="1634" customFormat="1">
      <c r="G47344" s="3336"/>
      <c r="P47344" s="3337"/>
    </row>
    <row r="47345" spans="7:16" s="1634" customFormat="1">
      <c r="G47345" s="3336"/>
      <c r="P47345" s="3337"/>
    </row>
    <row r="47346" spans="7:16" s="1634" customFormat="1">
      <c r="G47346" s="3336"/>
      <c r="P47346" s="3337"/>
    </row>
    <row r="47347" spans="7:16" s="1634" customFormat="1">
      <c r="G47347" s="3336"/>
      <c r="P47347" s="3337"/>
    </row>
    <row r="47348" spans="7:16" s="1634" customFormat="1">
      <c r="G47348" s="3336"/>
      <c r="P47348" s="3337"/>
    </row>
    <row r="47349" spans="7:16" s="1634" customFormat="1">
      <c r="G47349" s="3336"/>
      <c r="P47349" s="3337"/>
    </row>
    <row r="47350" spans="7:16" s="1634" customFormat="1">
      <c r="G47350" s="3336"/>
      <c r="P47350" s="3337"/>
    </row>
    <row r="47351" spans="7:16" s="1634" customFormat="1">
      <c r="G47351" s="3336"/>
      <c r="P47351" s="3337"/>
    </row>
    <row r="47352" spans="7:16" s="1634" customFormat="1">
      <c r="G47352" s="3336"/>
      <c r="P47352" s="3337"/>
    </row>
    <row r="47353" spans="7:16" s="1634" customFormat="1">
      <c r="G47353" s="3336"/>
      <c r="P47353" s="3337"/>
    </row>
    <row r="47354" spans="7:16" s="1634" customFormat="1">
      <c r="G47354" s="3336"/>
      <c r="P47354" s="3337"/>
    </row>
    <row r="47355" spans="7:16" s="1634" customFormat="1">
      <c r="G47355" s="3336"/>
      <c r="P47355" s="3337"/>
    </row>
    <row r="47356" spans="7:16" s="1634" customFormat="1">
      <c r="G47356" s="3336"/>
      <c r="P47356" s="3337"/>
    </row>
    <row r="47357" spans="7:16" s="1634" customFormat="1">
      <c r="G47357" s="3336"/>
      <c r="P47357" s="3337"/>
    </row>
    <row r="47358" spans="7:16" s="1634" customFormat="1">
      <c r="G47358" s="3336"/>
      <c r="P47358" s="3337"/>
    </row>
    <row r="47359" spans="7:16" s="1634" customFormat="1">
      <c r="G47359" s="3336"/>
      <c r="P47359" s="3337"/>
    </row>
    <row r="47360" spans="7:16" s="1634" customFormat="1">
      <c r="G47360" s="3336"/>
      <c r="P47360" s="3337"/>
    </row>
    <row r="47361" spans="7:16" s="1634" customFormat="1">
      <c r="G47361" s="3336"/>
      <c r="P47361" s="3337"/>
    </row>
    <row r="47362" spans="7:16" s="1634" customFormat="1">
      <c r="G47362" s="3336"/>
      <c r="P47362" s="3337"/>
    </row>
    <row r="47363" spans="7:16" s="1634" customFormat="1">
      <c r="G47363" s="3336"/>
      <c r="P47363" s="3337"/>
    </row>
    <row r="47364" spans="7:16" s="1634" customFormat="1">
      <c r="G47364" s="3336"/>
      <c r="P47364" s="3337"/>
    </row>
    <row r="47365" spans="7:16" s="1634" customFormat="1">
      <c r="G47365" s="3336"/>
      <c r="P47365" s="3337"/>
    </row>
    <row r="47366" spans="7:16" s="1634" customFormat="1">
      <c r="G47366" s="3336"/>
      <c r="P47366" s="3337"/>
    </row>
    <row r="47367" spans="7:16" s="1634" customFormat="1">
      <c r="G47367" s="3336"/>
      <c r="P47367" s="3337"/>
    </row>
    <row r="47368" spans="7:16" s="1634" customFormat="1">
      <c r="G47368" s="3336"/>
      <c r="P47368" s="3337"/>
    </row>
    <row r="47369" spans="7:16" s="1634" customFormat="1">
      <c r="G47369" s="3336"/>
      <c r="P47369" s="3337"/>
    </row>
    <row r="47370" spans="7:16" s="1634" customFormat="1">
      <c r="G47370" s="3336"/>
      <c r="P47370" s="3337"/>
    </row>
    <row r="47371" spans="7:16" s="1634" customFormat="1">
      <c r="G47371" s="3336"/>
      <c r="P47371" s="3337"/>
    </row>
    <row r="47372" spans="7:16" s="1634" customFormat="1">
      <c r="G47372" s="3336"/>
      <c r="P47372" s="3337"/>
    </row>
    <row r="47373" spans="7:16" s="1634" customFormat="1">
      <c r="G47373" s="3336"/>
      <c r="P47373" s="3337"/>
    </row>
    <row r="47374" spans="7:16" s="1634" customFormat="1">
      <c r="G47374" s="3336"/>
      <c r="P47374" s="3337"/>
    </row>
    <row r="47375" spans="7:16" s="1634" customFormat="1">
      <c r="G47375" s="3336"/>
      <c r="P47375" s="3337"/>
    </row>
    <row r="47376" spans="7:16" s="1634" customFormat="1">
      <c r="G47376" s="3336"/>
      <c r="P47376" s="3337"/>
    </row>
    <row r="47377" spans="7:16" s="1634" customFormat="1">
      <c r="G47377" s="3336"/>
      <c r="P47377" s="3337"/>
    </row>
    <row r="47378" spans="7:16" s="1634" customFormat="1">
      <c r="G47378" s="3336"/>
      <c r="P47378" s="3337"/>
    </row>
    <row r="47379" spans="7:16" s="1634" customFormat="1">
      <c r="G47379" s="3336"/>
      <c r="P47379" s="3337"/>
    </row>
    <row r="47380" spans="7:16" s="1634" customFormat="1">
      <c r="G47380" s="3336"/>
      <c r="P47380" s="3337"/>
    </row>
    <row r="47381" spans="7:16" s="1634" customFormat="1">
      <c r="G47381" s="3336"/>
      <c r="P47381" s="3337"/>
    </row>
    <row r="47382" spans="7:16" s="1634" customFormat="1">
      <c r="G47382" s="3336"/>
      <c r="P47382" s="3337"/>
    </row>
    <row r="47383" spans="7:16" s="1634" customFormat="1">
      <c r="G47383" s="3336"/>
      <c r="P47383" s="3337"/>
    </row>
    <row r="47384" spans="7:16" s="1634" customFormat="1">
      <c r="G47384" s="3336"/>
      <c r="P47384" s="3337"/>
    </row>
    <row r="47385" spans="7:16" s="1634" customFormat="1">
      <c r="G47385" s="3336"/>
      <c r="P47385" s="3337"/>
    </row>
    <row r="47386" spans="7:16" s="1634" customFormat="1">
      <c r="G47386" s="3336"/>
      <c r="P47386" s="3337"/>
    </row>
    <row r="47387" spans="7:16" s="1634" customFormat="1">
      <c r="G47387" s="3336"/>
      <c r="P47387" s="3337"/>
    </row>
    <row r="47388" spans="7:16" s="1634" customFormat="1">
      <c r="G47388" s="3336"/>
      <c r="P47388" s="3337"/>
    </row>
    <row r="47389" spans="7:16" s="1634" customFormat="1">
      <c r="G47389" s="3336"/>
      <c r="P47389" s="3337"/>
    </row>
    <row r="47390" spans="7:16" s="1634" customFormat="1">
      <c r="G47390" s="3336"/>
      <c r="P47390" s="3337"/>
    </row>
    <row r="47391" spans="7:16" s="1634" customFormat="1">
      <c r="G47391" s="3336"/>
      <c r="P47391" s="3337"/>
    </row>
    <row r="47392" spans="7:16" s="1634" customFormat="1">
      <c r="G47392" s="3336"/>
      <c r="P47392" s="3337"/>
    </row>
    <row r="47393" spans="7:16" s="1634" customFormat="1">
      <c r="G47393" s="3336"/>
      <c r="P47393" s="3337"/>
    </row>
    <row r="47394" spans="7:16" s="1634" customFormat="1">
      <c r="G47394" s="3336"/>
      <c r="P47394" s="3337"/>
    </row>
    <row r="47395" spans="7:16" s="1634" customFormat="1">
      <c r="G47395" s="3336"/>
      <c r="P47395" s="3337"/>
    </row>
    <row r="47396" spans="7:16" s="1634" customFormat="1">
      <c r="G47396" s="3336"/>
      <c r="P47396" s="3337"/>
    </row>
    <row r="47397" spans="7:16" s="1634" customFormat="1">
      <c r="G47397" s="3336"/>
      <c r="P47397" s="3337"/>
    </row>
    <row r="47398" spans="7:16" s="1634" customFormat="1">
      <c r="G47398" s="3336"/>
      <c r="P47398" s="3337"/>
    </row>
    <row r="47399" spans="7:16" s="1634" customFormat="1">
      <c r="G47399" s="3336"/>
      <c r="P47399" s="3337"/>
    </row>
    <row r="47400" spans="7:16" s="1634" customFormat="1">
      <c r="G47400" s="3336"/>
      <c r="P47400" s="3337"/>
    </row>
    <row r="47401" spans="7:16" s="1634" customFormat="1">
      <c r="G47401" s="3336"/>
      <c r="P47401" s="3337"/>
    </row>
    <row r="47402" spans="7:16" s="1634" customFormat="1">
      <c r="G47402" s="3336"/>
      <c r="P47402" s="3337"/>
    </row>
    <row r="47403" spans="7:16" s="1634" customFormat="1">
      <c r="G47403" s="3336"/>
      <c r="P47403" s="3337"/>
    </row>
    <row r="47404" spans="7:16" s="1634" customFormat="1">
      <c r="G47404" s="3336"/>
      <c r="P47404" s="3337"/>
    </row>
    <row r="47405" spans="7:16" s="1634" customFormat="1">
      <c r="G47405" s="3336"/>
      <c r="P47405" s="3337"/>
    </row>
    <row r="47406" spans="7:16" s="1634" customFormat="1">
      <c r="G47406" s="3336"/>
      <c r="P47406" s="3337"/>
    </row>
    <row r="47407" spans="7:16" s="1634" customFormat="1">
      <c r="G47407" s="3336"/>
      <c r="P47407" s="3337"/>
    </row>
    <row r="47408" spans="7:16" s="1634" customFormat="1">
      <c r="G47408" s="3336"/>
      <c r="P47408" s="3337"/>
    </row>
    <row r="47409" spans="7:16" s="1634" customFormat="1">
      <c r="G47409" s="3336"/>
      <c r="P47409" s="3337"/>
    </row>
    <row r="47410" spans="7:16" s="1634" customFormat="1">
      <c r="G47410" s="3336"/>
      <c r="P47410" s="3337"/>
    </row>
    <row r="47411" spans="7:16" s="1634" customFormat="1">
      <c r="G47411" s="3336"/>
      <c r="P47411" s="3337"/>
    </row>
    <row r="47412" spans="7:16" s="1634" customFormat="1">
      <c r="G47412" s="3336"/>
      <c r="P47412" s="3337"/>
    </row>
    <row r="47413" spans="7:16" s="1634" customFormat="1">
      <c r="G47413" s="3336"/>
      <c r="P47413" s="3337"/>
    </row>
    <row r="47414" spans="7:16" s="1634" customFormat="1">
      <c r="G47414" s="3336"/>
      <c r="P47414" s="3337"/>
    </row>
    <row r="47415" spans="7:16" s="1634" customFormat="1">
      <c r="G47415" s="3336"/>
      <c r="P47415" s="3337"/>
    </row>
    <row r="47416" spans="7:16" s="1634" customFormat="1">
      <c r="G47416" s="3336"/>
      <c r="P47416" s="3337"/>
    </row>
    <row r="47417" spans="7:16" s="1634" customFormat="1">
      <c r="G47417" s="3336"/>
      <c r="P47417" s="3337"/>
    </row>
    <row r="47418" spans="7:16" s="1634" customFormat="1">
      <c r="G47418" s="3336"/>
      <c r="P47418" s="3337"/>
    </row>
    <row r="47419" spans="7:16" s="1634" customFormat="1">
      <c r="G47419" s="3336"/>
      <c r="P47419" s="3337"/>
    </row>
    <row r="47420" spans="7:16" s="1634" customFormat="1">
      <c r="G47420" s="3336"/>
      <c r="P47420" s="3337"/>
    </row>
    <row r="47421" spans="7:16" s="1634" customFormat="1">
      <c r="G47421" s="3336"/>
      <c r="P47421" s="3337"/>
    </row>
    <row r="47422" spans="7:16" s="1634" customFormat="1">
      <c r="G47422" s="3336"/>
      <c r="P47422" s="3337"/>
    </row>
    <row r="47423" spans="7:16" s="1634" customFormat="1">
      <c r="G47423" s="3336"/>
      <c r="P47423" s="3337"/>
    </row>
    <row r="47424" spans="7:16" s="1634" customFormat="1">
      <c r="G47424" s="3336"/>
      <c r="P47424" s="3337"/>
    </row>
    <row r="47425" spans="7:16" s="1634" customFormat="1">
      <c r="G47425" s="3336"/>
      <c r="P47425" s="3337"/>
    </row>
    <row r="47426" spans="7:16" s="1634" customFormat="1">
      <c r="G47426" s="3336"/>
      <c r="P47426" s="3337"/>
    </row>
    <row r="47427" spans="7:16" s="1634" customFormat="1">
      <c r="G47427" s="3336"/>
      <c r="P47427" s="3337"/>
    </row>
    <row r="47428" spans="7:16" s="1634" customFormat="1">
      <c r="G47428" s="3336"/>
      <c r="P47428" s="3337"/>
    </row>
    <row r="47429" spans="7:16" s="1634" customFormat="1">
      <c r="G47429" s="3336"/>
      <c r="P47429" s="3337"/>
    </row>
    <row r="47430" spans="7:16" s="1634" customFormat="1">
      <c r="G47430" s="3336"/>
      <c r="P47430" s="3337"/>
    </row>
    <row r="47431" spans="7:16" s="1634" customFormat="1">
      <c r="G47431" s="3336"/>
      <c r="P47431" s="3337"/>
    </row>
    <row r="47432" spans="7:16" s="1634" customFormat="1">
      <c r="G47432" s="3336"/>
      <c r="P47432" s="3337"/>
    </row>
    <row r="47433" spans="7:16" s="1634" customFormat="1">
      <c r="G47433" s="3336"/>
      <c r="P47433" s="3337"/>
    </row>
    <row r="47434" spans="7:16" s="1634" customFormat="1">
      <c r="G47434" s="3336"/>
      <c r="P47434" s="3337"/>
    </row>
    <row r="47435" spans="7:16" s="1634" customFormat="1">
      <c r="G47435" s="3336"/>
      <c r="P47435" s="3337"/>
    </row>
    <row r="47436" spans="7:16" s="1634" customFormat="1">
      <c r="G47436" s="3336"/>
      <c r="P47436" s="3337"/>
    </row>
    <row r="47437" spans="7:16" s="1634" customFormat="1">
      <c r="G47437" s="3336"/>
      <c r="P47437" s="3337"/>
    </row>
    <row r="47438" spans="7:16" s="1634" customFormat="1">
      <c r="G47438" s="3336"/>
      <c r="P47438" s="3337"/>
    </row>
    <row r="47439" spans="7:16" s="1634" customFormat="1">
      <c r="G47439" s="3336"/>
      <c r="P47439" s="3337"/>
    </row>
    <row r="47440" spans="7:16" s="1634" customFormat="1">
      <c r="G47440" s="3336"/>
      <c r="P47440" s="3337"/>
    </row>
    <row r="47441" spans="7:16" s="1634" customFormat="1">
      <c r="G47441" s="3336"/>
      <c r="P47441" s="3337"/>
    </row>
    <row r="47442" spans="7:16" s="1634" customFormat="1">
      <c r="G47442" s="3336"/>
      <c r="P47442" s="3337"/>
    </row>
    <row r="47443" spans="7:16" s="1634" customFormat="1">
      <c r="G47443" s="3336"/>
      <c r="P47443" s="3337"/>
    </row>
    <row r="47444" spans="7:16" s="1634" customFormat="1">
      <c r="G47444" s="3336"/>
      <c r="P47444" s="3337"/>
    </row>
    <row r="47445" spans="7:16" s="1634" customFormat="1">
      <c r="G47445" s="3336"/>
      <c r="P47445" s="3337"/>
    </row>
    <row r="47446" spans="7:16" s="1634" customFormat="1">
      <c r="G47446" s="3336"/>
      <c r="P47446" s="3337"/>
    </row>
    <row r="47447" spans="7:16" s="1634" customFormat="1">
      <c r="G47447" s="3336"/>
      <c r="P47447" s="3337"/>
    </row>
    <row r="47448" spans="7:16" s="1634" customFormat="1">
      <c r="G47448" s="3336"/>
      <c r="P47448" s="3337"/>
    </row>
    <row r="47449" spans="7:16" s="1634" customFormat="1">
      <c r="G47449" s="3336"/>
      <c r="P47449" s="3337"/>
    </row>
    <row r="47450" spans="7:16" s="1634" customFormat="1">
      <c r="G47450" s="3336"/>
      <c r="P47450" s="3337"/>
    </row>
    <row r="47451" spans="7:16" s="1634" customFormat="1">
      <c r="G47451" s="3336"/>
      <c r="P47451" s="3337"/>
    </row>
    <row r="47452" spans="7:16" s="1634" customFormat="1">
      <c r="G47452" s="3336"/>
      <c r="P47452" s="3337"/>
    </row>
    <row r="47453" spans="7:16" s="1634" customFormat="1">
      <c r="G47453" s="3336"/>
      <c r="P47453" s="3337"/>
    </row>
    <row r="47454" spans="7:16" s="1634" customFormat="1">
      <c r="G47454" s="3336"/>
      <c r="P47454" s="3337"/>
    </row>
    <row r="47455" spans="7:16" s="1634" customFormat="1">
      <c r="G47455" s="3336"/>
      <c r="P47455" s="3337"/>
    </row>
    <row r="47456" spans="7:16" s="1634" customFormat="1">
      <c r="G47456" s="3336"/>
      <c r="P47456" s="3337"/>
    </row>
    <row r="47457" spans="7:16" s="1634" customFormat="1">
      <c r="G47457" s="3336"/>
      <c r="P47457" s="3337"/>
    </row>
    <row r="47458" spans="7:16" s="1634" customFormat="1">
      <c r="G47458" s="3336"/>
      <c r="P47458" s="3337"/>
    </row>
    <row r="47459" spans="7:16" s="1634" customFormat="1">
      <c r="G47459" s="3336"/>
      <c r="P47459" s="3337"/>
    </row>
    <row r="47460" spans="7:16" s="1634" customFormat="1">
      <c r="G47460" s="3336"/>
      <c r="P47460" s="3337"/>
    </row>
    <row r="47461" spans="7:16" s="1634" customFormat="1">
      <c r="G47461" s="3336"/>
      <c r="P47461" s="3337"/>
    </row>
    <row r="47462" spans="7:16" s="1634" customFormat="1">
      <c r="G47462" s="3336"/>
      <c r="P47462" s="3337"/>
    </row>
    <row r="47463" spans="7:16" s="1634" customFormat="1">
      <c r="G47463" s="3336"/>
      <c r="P47463" s="3337"/>
    </row>
    <row r="47464" spans="7:16" s="1634" customFormat="1">
      <c r="G47464" s="3336"/>
      <c r="P47464" s="3337"/>
    </row>
    <row r="47465" spans="7:16" s="1634" customFormat="1">
      <c r="G47465" s="3336"/>
      <c r="P47465" s="3337"/>
    </row>
    <row r="47466" spans="7:16" s="1634" customFormat="1">
      <c r="G47466" s="3336"/>
      <c r="P47466" s="3337"/>
    </row>
    <row r="47467" spans="7:16" s="1634" customFormat="1">
      <c r="G47467" s="3336"/>
      <c r="P47467" s="3337"/>
    </row>
    <row r="47468" spans="7:16" s="1634" customFormat="1">
      <c r="G47468" s="3336"/>
      <c r="P47468" s="3337"/>
    </row>
    <row r="47469" spans="7:16" s="1634" customFormat="1">
      <c r="G47469" s="3336"/>
      <c r="P47469" s="3337"/>
    </row>
    <row r="47470" spans="7:16" s="1634" customFormat="1">
      <c r="G47470" s="3336"/>
      <c r="P47470" s="3337"/>
    </row>
    <row r="47471" spans="7:16" s="1634" customFormat="1">
      <c r="G47471" s="3336"/>
      <c r="P47471" s="3337"/>
    </row>
    <row r="47472" spans="7:16" s="1634" customFormat="1">
      <c r="G47472" s="3336"/>
      <c r="P47472" s="3337"/>
    </row>
    <row r="47473" spans="7:16" s="1634" customFormat="1">
      <c r="G47473" s="3336"/>
      <c r="P47473" s="3337"/>
    </row>
    <row r="47474" spans="7:16" s="1634" customFormat="1">
      <c r="G47474" s="3336"/>
      <c r="P47474" s="3337"/>
    </row>
    <row r="47475" spans="7:16" s="1634" customFormat="1">
      <c r="G47475" s="3336"/>
      <c r="P47475" s="3337"/>
    </row>
    <row r="47476" spans="7:16" s="1634" customFormat="1">
      <c r="G47476" s="3336"/>
      <c r="P47476" s="3337"/>
    </row>
    <row r="47477" spans="7:16" s="1634" customFormat="1">
      <c r="G47477" s="3336"/>
      <c r="P47477" s="3337"/>
    </row>
    <row r="47478" spans="7:16" s="1634" customFormat="1">
      <c r="G47478" s="3336"/>
      <c r="P47478" s="3337"/>
    </row>
    <row r="47479" spans="7:16" s="1634" customFormat="1">
      <c r="G47479" s="3336"/>
      <c r="P47479" s="3337"/>
    </row>
    <row r="47480" spans="7:16" s="1634" customFormat="1">
      <c r="G47480" s="3336"/>
      <c r="P47480" s="3337"/>
    </row>
    <row r="47481" spans="7:16" s="1634" customFormat="1">
      <c r="G47481" s="3336"/>
      <c r="P47481" s="3337"/>
    </row>
    <row r="47482" spans="7:16" s="1634" customFormat="1">
      <c r="G47482" s="3336"/>
      <c r="P47482" s="3337"/>
    </row>
    <row r="47483" spans="7:16" s="1634" customFormat="1">
      <c r="G47483" s="3336"/>
      <c r="P47483" s="3337"/>
    </row>
    <row r="47484" spans="7:16" s="1634" customFormat="1">
      <c r="G47484" s="3336"/>
      <c r="P47484" s="3337"/>
    </row>
    <row r="47485" spans="7:16" s="1634" customFormat="1">
      <c r="G47485" s="3336"/>
      <c r="P47485" s="3337"/>
    </row>
    <row r="47486" spans="7:16" s="1634" customFormat="1">
      <c r="G47486" s="3336"/>
      <c r="P47486" s="3337"/>
    </row>
    <row r="47487" spans="7:16" s="1634" customFormat="1">
      <c r="G47487" s="3336"/>
      <c r="P47487" s="3337"/>
    </row>
    <row r="47488" spans="7:16" s="1634" customFormat="1">
      <c r="G47488" s="3336"/>
      <c r="P47488" s="3337"/>
    </row>
    <row r="47489" spans="7:16" s="1634" customFormat="1">
      <c r="G47489" s="3336"/>
      <c r="P47489" s="3337"/>
    </row>
    <row r="47490" spans="7:16" s="1634" customFormat="1">
      <c r="G47490" s="3336"/>
      <c r="P47490" s="3337"/>
    </row>
    <row r="47491" spans="7:16" s="1634" customFormat="1">
      <c r="G47491" s="3336"/>
      <c r="P47491" s="3337"/>
    </row>
    <row r="47492" spans="7:16" s="1634" customFormat="1">
      <c r="G47492" s="3336"/>
      <c r="P47492" s="3337"/>
    </row>
    <row r="47493" spans="7:16" s="1634" customFormat="1">
      <c r="G47493" s="3336"/>
      <c r="P47493" s="3337"/>
    </row>
    <row r="47494" spans="7:16" s="1634" customFormat="1">
      <c r="G47494" s="3336"/>
      <c r="P47494" s="3337"/>
    </row>
    <row r="47495" spans="7:16" s="1634" customFormat="1">
      <c r="G47495" s="3336"/>
      <c r="P47495" s="3337"/>
    </row>
    <row r="47496" spans="7:16" s="1634" customFormat="1">
      <c r="G47496" s="3336"/>
      <c r="P47496" s="3337"/>
    </row>
    <row r="47497" spans="7:16" s="1634" customFormat="1">
      <c r="G47497" s="3336"/>
      <c r="P47497" s="3337"/>
    </row>
    <row r="47498" spans="7:16" s="1634" customFormat="1">
      <c r="G47498" s="3336"/>
      <c r="P47498" s="3337"/>
    </row>
    <row r="47499" spans="7:16" s="1634" customFormat="1">
      <c r="G47499" s="3336"/>
      <c r="P47499" s="3337"/>
    </row>
    <row r="47500" spans="7:16" s="1634" customFormat="1">
      <c r="G47500" s="3336"/>
      <c r="P47500" s="3337"/>
    </row>
    <row r="47501" spans="7:16" s="1634" customFormat="1">
      <c r="G47501" s="3336"/>
      <c r="P47501" s="3337"/>
    </row>
    <row r="47502" spans="7:16" s="1634" customFormat="1">
      <c r="G47502" s="3336"/>
      <c r="P47502" s="3337"/>
    </row>
    <row r="47503" spans="7:16" s="1634" customFormat="1">
      <c r="G47503" s="3336"/>
      <c r="P47503" s="3337"/>
    </row>
    <row r="47504" spans="7:16" s="1634" customFormat="1">
      <c r="G47504" s="3336"/>
      <c r="P47504" s="3337"/>
    </row>
    <row r="47505" spans="7:16" s="1634" customFormat="1">
      <c r="G47505" s="3336"/>
      <c r="P47505" s="3337"/>
    </row>
    <row r="47506" spans="7:16" s="1634" customFormat="1">
      <c r="G47506" s="3336"/>
      <c r="P47506" s="3337"/>
    </row>
    <row r="47507" spans="7:16" s="1634" customFormat="1">
      <c r="G47507" s="3336"/>
      <c r="P47507" s="3337"/>
    </row>
    <row r="47508" spans="7:16" s="1634" customFormat="1">
      <c r="G47508" s="3336"/>
      <c r="P47508" s="3337"/>
    </row>
    <row r="47509" spans="7:16" s="1634" customFormat="1">
      <c r="G47509" s="3336"/>
      <c r="P47509" s="3337"/>
    </row>
    <row r="47510" spans="7:16" s="1634" customFormat="1">
      <c r="G47510" s="3336"/>
      <c r="P47510" s="3337"/>
    </row>
    <row r="47511" spans="7:16" s="1634" customFormat="1">
      <c r="G47511" s="3336"/>
      <c r="P47511" s="3337"/>
    </row>
    <row r="47512" spans="7:16" s="1634" customFormat="1">
      <c r="G47512" s="3336"/>
      <c r="P47512" s="3337"/>
    </row>
    <row r="47513" spans="7:16" s="1634" customFormat="1">
      <c r="G47513" s="3336"/>
      <c r="P47513" s="3337"/>
    </row>
    <row r="47514" spans="7:16" s="1634" customFormat="1">
      <c r="G47514" s="3336"/>
      <c r="P47514" s="3337"/>
    </row>
    <row r="47515" spans="7:16" s="1634" customFormat="1">
      <c r="G47515" s="3336"/>
      <c r="P47515" s="3337"/>
    </row>
    <row r="47516" spans="7:16" s="1634" customFormat="1">
      <c r="G47516" s="3336"/>
      <c r="P47516" s="3337"/>
    </row>
    <row r="47517" spans="7:16" s="1634" customFormat="1">
      <c r="G47517" s="3336"/>
      <c r="P47517" s="3337"/>
    </row>
    <row r="47518" spans="7:16" s="1634" customFormat="1">
      <c r="G47518" s="3336"/>
      <c r="P47518" s="3337"/>
    </row>
    <row r="47519" spans="7:16" s="1634" customFormat="1">
      <c r="G47519" s="3336"/>
      <c r="P47519" s="3337"/>
    </row>
    <row r="47520" spans="7:16" s="1634" customFormat="1">
      <c r="G47520" s="3336"/>
      <c r="P47520" s="3337"/>
    </row>
    <row r="47521" spans="7:16" s="1634" customFormat="1">
      <c r="G47521" s="3336"/>
      <c r="P47521" s="3337"/>
    </row>
    <row r="47522" spans="7:16" s="1634" customFormat="1">
      <c r="G47522" s="3336"/>
      <c r="P47522" s="3337"/>
    </row>
    <row r="47523" spans="7:16" s="1634" customFormat="1">
      <c r="G47523" s="3336"/>
      <c r="P47523" s="3337"/>
    </row>
    <row r="47524" spans="7:16" s="1634" customFormat="1">
      <c r="G47524" s="3336"/>
      <c r="P47524" s="3337"/>
    </row>
    <row r="47525" spans="7:16" s="1634" customFormat="1">
      <c r="G47525" s="3336"/>
      <c r="P47525" s="3337"/>
    </row>
    <row r="47526" spans="7:16" s="1634" customFormat="1">
      <c r="G47526" s="3336"/>
      <c r="P47526" s="3337"/>
    </row>
    <row r="47527" spans="7:16" s="1634" customFormat="1">
      <c r="G47527" s="3336"/>
      <c r="P47527" s="3337"/>
    </row>
    <row r="47528" spans="7:16" s="1634" customFormat="1">
      <c r="G47528" s="3336"/>
      <c r="P47528" s="3337"/>
    </row>
    <row r="47529" spans="7:16" s="1634" customFormat="1">
      <c r="G47529" s="3336"/>
      <c r="P47529" s="3337"/>
    </row>
    <row r="47530" spans="7:16" s="1634" customFormat="1">
      <c r="G47530" s="3336"/>
      <c r="P47530" s="3337"/>
    </row>
    <row r="47531" spans="7:16" s="1634" customFormat="1">
      <c r="G47531" s="3336"/>
      <c r="P47531" s="3337"/>
    </row>
    <row r="47532" spans="7:16" s="1634" customFormat="1">
      <c r="G47532" s="3336"/>
      <c r="P47532" s="3337"/>
    </row>
    <row r="47533" spans="7:16" s="1634" customFormat="1">
      <c r="G47533" s="3336"/>
      <c r="P47533" s="3337"/>
    </row>
    <row r="47534" spans="7:16" s="1634" customFormat="1">
      <c r="G47534" s="3336"/>
      <c r="P47534" s="3337"/>
    </row>
    <row r="47535" spans="7:16" s="1634" customFormat="1">
      <c r="G47535" s="3336"/>
      <c r="P47535" s="3337"/>
    </row>
    <row r="47536" spans="7:16" s="1634" customFormat="1">
      <c r="G47536" s="3336"/>
      <c r="P47536" s="3337"/>
    </row>
    <row r="47537" spans="7:16" s="1634" customFormat="1">
      <c r="G47537" s="3336"/>
      <c r="P47537" s="3337"/>
    </row>
    <row r="47538" spans="7:16" s="1634" customFormat="1">
      <c r="G47538" s="3336"/>
      <c r="P47538" s="3337"/>
    </row>
    <row r="47539" spans="7:16" s="1634" customFormat="1">
      <c r="G47539" s="3336"/>
      <c r="P47539" s="3337"/>
    </row>
    <row r="47540" spans="7:16" s="1634" customFormat="1">
      <c r="G47540" s="3336"/>
      <c r="P47540" s="3337"/>
    </row>
    <row r="47541" spans="7:16" s="1634" customFormat="1">
      <c r="G47541" s="3336"/>
      <c r="P47541" s="3337"/>
    </row>
    <row r="47542" spans="7:16" s="1634" customFormat="1">
      <c r="G47542" s="3336"/>
      <c r="P47542" s="3337"/>
    </row>
    <row r="47543" spans="7:16" s="1634" customFormat="1">
      <c r="G47543" s="3336"/>
      <c r="P47543" s="3337"/>
    </row>
    <row r="47544" spans="7:16" s="1634" customFormat="1">
      <c r="G47544" s="3336"/>
      <c r="P47544" s="3337"/>
    </row>
    <row r="47545" spans="7:16" s="1634" customFormat="1">
      <c r="G47545" s="3336"/>
      <c r="P47545" s="3337"/>
    </row>
    <row r="47546" spans="7:16" s="1634" customFormat="1">
      <c r="G47546" s="3336"/>
      <c r="P47546" s="3337"/>
    </row>
    <row r="47547" spans="7:16" s="1634" customFormat="1">
      <c r="G47547" s="3336"/>
      <c r="P47547" s="3337"/>
    </row>
    <row r="47548" spans="7:16" s="1634" customFormat="1">
      <c r="G47548" s="3336"/>
      <c r="P47548" s="3337"/>
    </row>
    <row r="47549" spans="7:16" s="1634" customFormat="1">
      <c r="G47549" s="3336"/>
      <c r="P47549" s="3337"/>
    </row>
    <row r="47550" spans="7:16" s="1634" customFormat="1">
      <c r="G47550" s="3336"/>
      <c r="P47550" s="3337"/>
    </row>
    <row r="47551" spans="7:16" s="1634" customFormat="1">
      <c r="G47551" s="3336"/>
      <c r="P47551" s="3337"/>
    </row>
    <row r="47552" spans="7:16" s="1634" customFormat="1">
      <c r="G47552" s="3336"/>
      <c r="P47552" s="3337"/>
    </row>
    <row r="47553" spans="7:16" s="1634" customFormat="1">
      <c r="G47553" s="3336"/>
      <c r="P47553" s="3337"/>
    </row>
    <row r="47554" spans="7:16" s="1634" customFormat="1">
      <c r="G47554" s="3336"/>
      <c r="P47554" s="3337"/>
    </row>
    <row r="47555" spans="7:16" s="1634" customFormat="1">
      <c r="G47555" s="3336"/>
      <c r="P47555" s="3337"/>
    </row>
    <row r="47556" spans="7:16" s="1634" customFormat="1">
      <c r="G47556" s="3336"/>
      <c r="P47556" s="3337"/>
    </row>
    <row r="47557" spans="7:16" s="1634" customFormat="1">
      <c r="G47557" s="3336"/>
      <c r="P47557" s="3337"/>
    </row>
    <row r="47558" spans="7:16" s="1634" customFormat="1">
      <c r="G47558" s="3336"/>
      <c r="P47558" s="3337"/>
    </row>
    <row r="47559" spans="7:16" s="1634" customFormat="1">
      <c r="G47559" s="3336"/>
      <c r="P47559" s="3337"/>
    </row>
    <row r="47560" spans="7:16" s="1634" customFormat="1">
      <c r="G47560" s="3336"/>
      <c r="P47560" s="3337"/>
    </row>
    <row r="47561" spans="7:16" s="1634" customFormat="1">
      <c r="G47561" s="3336"/>
      <c r="P47561" s="3337"/>
    </row>
    <row r="47562" spans="7:16" s="1634" customFormat="1">
      <c r="G47562" s="3336"/>
      <c r="P47562" s="3337"/>
    </row>
    <row r="47563" spans="7:16" s="1634" customFormat="1">
      <c r="G47563" s="3336"/>
      <c r="P47563" s="3337"/>
    </row>
    <row r="47564" spans="7:16" s="1634" customFormat="1">
      <c r="G47564" s="3336"/>
      <c r="P47564" s="3337"/>
    </row>
    <row r="47565" spans="7:16" s="1634" customFormat="1">
      <c r="G47565" s="3336"/>
      <c r="P47565" s="3337"/>
    </row>
    <row r="47566" spans="7:16" s="1634" customFormat="1">
      <c r="G47566" s="3336"/>
      <c r="P47566" s="3337"/>
    </row>
    <row r="47567" spans="7:16" s="1634" customFormat="1">
      <c r="G47567" s="3336"/>
      <c r="P47567" s="3337"/>
    </row>
    <row r="47568" spans="7:16" s="1634" customFormat="1">
      <c r="G47568" s="3336"/>
      <c r="P47568" s="3337"/>
    </row>
    <row r="47569" spans="7:16" s="1634" customFormat="1">
      <c r="G47569" s="3336"/>
      <c r="P47569" s="3337"/>
    </row>
    <row r="47570" spans="7:16" s="1634" customFormat="1">
      <c r="G47570" s="3336"/>
      <c r="P47570" s="3337"/>
    </row>
    <row r="47571" spans="7:16" s="1634" customFormat="1">
      <c r="G47571" s="3336"/>
      <c r="P47571" s="3337"/>
    </row>
    <row r="47572" spans="7:16" s="1634" customFormat="1">
      <c r="G47572" s="3336"/>
      <c r="P47572" s="3337"/>
    </row>
    <row r="47573" spans="7:16" s="1634" customFormat="1">
      <c r="G47573" s="3336"/>
      <c r="P47573" s="3337"/>
    </row>
    <row r="47574" spans="7:16" s="1634" customFormat="1">
      <c r="G47574" s="3336"/>
      <c r="P47574" s="3337"/>
    </row>
    <row r="47575" spans="7:16" s="1634" customFormat="1">
      <c r="G47575" s="3336"/>
      <c r="P47575" s="3337"/>
    </row>
    <row r="47576" spans="7:16" s="1634" customFormat="1">
      <c r="G47576" s="3336"/>
      <c r="P47576" s="3337"/>
    </row>
    <row r="47577" spans="7:16" s="1634" customFormat="1">
      <c r="G47577" s="3336"/>
      <c r="P47577" s="3337"/>
    </row>
    <row r="47578" spans="7:16" s="1634" customFormat="1">
      <c r="G47578" s="3336"/>
      <c r="P47578" s="3337"/>
    </row>
    <row r="47579" spans="7:16" s="1634" customFormat="1">
      <c r="G47579" s="3336"/>
      <c r="P47579" s="3337"/>
    </row>
    <row r="47580" spans="7:16" s="1634" customFormat="1">
      <c r="G47580" s="3336"/>
      <c r="P47580" s="3337"/>
    </row>
    <row r="47581" spans="7:16" s="1634" customFormat="1">
      <c r="G47581" s="3336"/>
      <c r="P47581" s="3337"/>
    </row>
    <row r="47582" spans="7:16" s="1634" customFormat="1">
      <c r="G47582" s="3336"/>
      <c r="P47582" s="3337"/>
    </row>
    <row r="47583" spans="7:16" s="1634" customFormat="1">
      <c r="G47583" s="3336"/>
      <c r="P47583" s="3337"/>
    </row>
    <row r="47584" spans="7:16" s="1634" customFormat="1">
      <c r="G47584" s="3336"/>
      <c r="P47584" s="3337"/>
    </row>
    <row r="47585" spans="7:16" s="1634" customFormat="1">
      <c r="G47585" s="3336"/>
      <c r="P47585" s="3337"/>
    </row>
    <row r="47586" spans="7:16" s="1634" customFormat="1">
      <c r="G47586" s="3336"/>
      <c r="P47586" s="3337"/>
    </row>
    <row r="47587" spans="7:16" s="1634" customFormat="1">
      <c r="G47587" s="3336"/>
      <c r="P47587" s="3337"/>
    </row>
    <row r="47588" spans="7:16" s="1634" customFormat="1">
      <c r="G47588" s="3336"/>
      <c r="P47588" s="3337"/>
    </row>
    <row r="47589" spans="7:16" s="1634" customFormat="1">
      <c r="G47589" s="3336"/>
      <c r="P47589" s="3337"/>
    </row>
    <row r="47590" spans="7:16" s="1634" customFormat="1">
      <c r="G47590" s="3336"/>
      <c r="P47590" s="3337"/>
    </row>
    <row r="47591" spans="7:16" s="1634" customFormat="1">
      <c r="G47591" s="3336"/>
      <c r="P47591" s="3337"/>
    </row>
    <row r="47592" spans="7:16" s="1634" customFormat="1">
      <c r="G47592" s="3336"/>
      <c r="P47592" s="3337"/>
    </row>
    <row r="47593" spans="7:16" s="1634" customFormat="1">
      <c r="G47593" s="3336"/>
      <c r="P47593" s="3337"/>
    </row>
    <row r="47594" spans="7:16" s="1634" customFormat="1">
      <c r="G47594" s="3336"/>
      <c r="P47594" s="3337"/>
    </row>
    <row r="47595" spans="7:16" s="1634" customFormat="1">
      <c r="G47595" s="3336"/>
      <c r="P47595" s="3337"/>
    </row>
    <row r="47596" spans="7:16" s="1634" customFormat="1">
      <c r="G47596" s="3336"/>
      <c r="P47596" s="3337"/>
    </row>
    <row r="47597" spans="7:16" s="1634" customFormat="1">
      <c r="G47597" s="3336"/>
      <c r="P47597" s="3337"/>
    </row>
    <row r="47598" spans="7:16" s="1634" customFormat="1">
      <c r="G47598" s="3336"/>
      <c r="P47598" s="3337"/>
    </row>
    <row r="47599" spans="7:16" s="1634" customFormat="1">
      <c r="G47599" s="3336"/>
      <c r="P47599" s="3337"/>
    </row>
    <row r="47600" spans="7:16" s="1634" customFormat="1">
      <c r="G47600" s="3336"/>
      <c r="P47600" s="3337"/>
    </row>
    <row r="47601" spans="7:16" s="1634" customFormat="1">
      <c r="G47601" s="3336"/>
      <c r="P47601" s="3337"/>
    </row>
    <row r="47602" spans="7:16" s="1634" customFormat="1">
      <c r="G47602" s="3336"/>
      <c r="P47602" s="3337"/>
    </row>
    <row r="47603" spans="7:16" s="1634" customFormat="1">
      <c r="G47603" s="3336"/>
      <c r="P47603" s="3337"/>
    </row>
    <row r="47604" spans="7:16" s="1634" customFormat="1">
      <c r="G47604" s="3336"/>
      <c r="P47604" s="3337"/>
    </row>
    <row r="47605" spans="7:16" s="1634" customFormat="1">
      <c r="G47605" s="3336"/>
      <c r="P47605" s="3337"/>
    </row>
    <row r="47606" spans="7:16" s="1634" customFormat="1">
      <c r="G47606" s="3336"/>
      <c r="P47606" s="3337"/>
    </row>
    <row r="47607" spans="7:16" s="1634" customFormat="1">
      <c r="G47607" s="3336"/>
      <c r="P47607" s="3337"/>
    </row>
    <row r="47608" spans="7:16" s="1634" customFormat="1">
      <c r="G47608" s="3336"/>
      <c r="P47608" s="3337"/>
    </row>
    <row r="47609" spans="7:16" s="1634" customFormat="1">
      <c r="G47609" s="3336"/>
      <c r="P47609" s="3337"/>
    </row>
    <row r="47610" spans="7:16" s="1634" customFormat="1">
      <c r="G47610" s="3336"/>
      <c r="P47610" s="3337"/>
    </row>
    <row r="47611" spans="7:16" s="1634" customFormat="1">
      <c r="G47611" s="3336"/>
      <c r="P47611" s="3337"/>
    </row>
    <row r="47612" spans="7:16" s="1634" customFormat="1">
      <c r="G47612" s="3336"/>
      <c r="P47612" s="3337"/>
    </row>
    <row r="47613" spans="7:16" s="1634" customFormat="1">
      <c r="G47613" s="3336"/>
      <c r="P47613" s="3337"/>
    </row>
    <row r="47614" spans="7:16" s="1634" customFormat="1">
      <c r="G47614" s="3336"/>
      <c r="P47614" s="3337"/>
    </row>
    <row r="47615" spans="7:16" s="1634" customFormat="1">
      <c r="G47615" s="3336"/>
      <c r="P47615" s="3337"/>
    </row>
    <row r="47616" spans="7:16" s="1634" customFormat="1">
      <c r="G47616" s="3336"/>
      <c r="P47616" s="3337"/>
    </row>
    <row r="47617" spans="7:16" s="1634" customFormat="1">
      <c r="G47617" s="3336"/>
      <c r="P47617" s="3337"/>
    </row>
    <row r="47618" spans="7:16" s="1634" customFormat="1">
      <c r="G47618" s="3336"/>
      <c r="P47618" s="3337"/>
    </row>
    <row r="47619" spans="7:16" s="1634" customFormat="1">
      <c r="G47619" s="3336"/>
      <c r="P47619" s="3337"/>
    </row>
    <row r="47620" spans="7:16" s="1634" customFormat="1">
      <c r="G47620" s="3336"/>
      <c r="P47620" s="3337"/>
    </row>
    <row r="47621" spans="7:16" s="1634" customFormat="1">
      <c r="G47621" s="3336"/>
      <c r="P47621" s="3337"/>
    </row>
    <row r="47622" spans="7:16" s="1634" customFormat="1">
      <c r="G47622" s="3336"/>
      <c r="P47622" s="3337"/>
    </row>
    <row r="47623" spans="7:16" s="1634" customFormat="1">
      <c r="G47623" s="3336"/>
      <c r="P47623" s="3337"/>
    </row>
    <row r="47624" spans="7:16" s="1634" customFormat="1">
      <c r="G47624" s="3336"/>
      <c r="P47624" s="3337"/>
    </row>
    <row r="47625" spans="7:16" s="1634" customFormat="1">
      <c r="G47625" s="3336"/>
      <c r="P47625" s="3337"/>
    </row>
    <row r="47626" spans="7:16" s="1634" customFormat="1">
      <c r="G47626" s="3336"/>
      <c r="P47626" s="3337"/>
    </row>
    <row r="47627" spans="7:16" s="1634" customFormat="1">
      <c r="G47627" s="3336"/>
      <c r="P47627" s="3337"/>
    </row>
    <row r="47628" spans="7:16" s="1634" customFormat="1">
      <c r="G47628" s="3336"/>
      <c r="P47628" s="3337"/>
    </row>
    <row r="47629" spans="7:16" s="1634" customFormat="1">
      <c r="G47629" s="3336"/>
      <c r="P47629" s="3337"/>
    </row>
    <row r="47630" spans="7:16" s="1634" customFormat="1">
      <c r="G47630" s="3336"/>
      <c r="P47630" s="3337"/>
    </row>
    <row r="47631" spans="7:16" s="1634" customFormat="1">
      <c r="G47631" s="3336"/>
      <c r="P47631" s="3337"/>
    </row>
    <row r="47632" spans="7:16" s="1634" customFormat="1">
      <c r="G47632" s="3336"/>
      <c r="P47632" s="3337"/>
    </row>
    <row r="47633" spans="7:16" s="1634" customFormat="1">
      <c r="G47633" s="3336"/>
      <c r="P47633" s="3337"/>
    </row>
    <row r="47634" spans="7:16" s="1634" customFormat="1">
      <c r="G47634" s="3336"/>
      <c r="P47634" s="3337"/>
    </row>
    <row r="47635" spans="7:16" s="1634" customFormat="1">
      <c r="G47635" s="3336"/>
      <c r="P47635" s="3337"/>
    </row>
    <row r="47636" spans="7:16" s="1634" customFormat="1">
      <c r="G47636" s="3336"/>
      <c r="P47636" s="3337"/>
    </row>
    <row r="47637" spans="7:16" s="1634" customFormat="1">
      <c r="G47637" s="3336"/>
      <c r="P47637" s="3337"/>
    </row>
    <row r="47638" spans="7:16" s="1634" customFormat="1">
      <c r="G47638" s="3336"/>
      <c r="P47638" s="3337"/>
    </row>
    <row r="47639" spans="7:16" s="1634" customFormat="1">
      <c r="G47639" s="3336"/>
      <c r="P47639" s="3337"/>
    </row>
    <row r="47640" spans="7:16" s="1634" customFormat="1">
      <c r="G47640" s="3336"/>
      <c r="P47640" s="3337"/>
    </row>
    <row r="47641" spans="7:16" s="1634" customFormat="1">
      <c r="G47641" s="3336"/>
      <c r="P47641" s="3337"/>
    </row>
    <row r="47642" spans="7:16" s="1634" customFormat="1">
      <c r="G47642" s="3336"/>
      <c r="P47642" s="3337"/>
    </row>
    <row r="47643" spans="7:16" s="1634" customFormat="1">
      <c r="G47643" s="3336"/>
      <c r="P47643" s="3337"/>
    </row>
    <row r="47644" spans="7:16" s="1634" customFormat="1">
      <c r="G47644" s="3336"/>
      <c r="P47644" s="3337"/>
    </row>
    <row r="47645" spans="7:16" s="1634" customFormat="1">
      <c r="G47645" s="3336"/>
      <c r="P47645" s="3337"/>
    </row>
    <row r="47646" spans="7:16" s="1634" customFormat="1">
      <c r="G47646" s="3336"/>
      <c r="P47646" s="3337"/>
    </row>
    <row r="47647" spans="7:16" s="1634" customFormat="1">
      <c r="G47647" s="3336"/>
      <c r="P47647" s="3337"/>
    </row>
    <row r="47648" spans="7:16" s="1634" customFormat="1">
      <c r="G47648" s="3336"/>
      <c r="P47648" s="3337"/>
    </row>
    <row r="47649" spans="7:16" s="1634" customFormat="1">
      <c r="G47649" s="3336"/>
      <c r="P47649" s="3337"/>
    </row>
    <row r="47650" spans="7:16" s="1634" customFormat="1">
      <c r="G47650" s="3336"/>
      <c r="P47650" s="3337"/>
    </row>
    <row r="47651" spans="7:16" s="1634" customFormat="1">
      <c r="G47651" s="3336"/>
      <c r="P47651" s="3337"/>
    </row>
    <row r="47652" spans="7:16" s="1634" customFormat="1">
      <c r="G47652" s="3336"/>
      <c r="P47652" s="3337"/>
    </row>
    <row r="47653" spans="7:16" s="1634" customFormat="1">
      <c r="G47653" s="3336"/>
      <c r="P47653" s="3337"/>
    </row>
    <row r="47654" spans="7:16" s="1634" customFormat="1">
      <c r="G47654" s="3336"/>
      <c r="P47654" s="3337"/>
    </row>
    <row r="47655" spans="7:16" s="1634" customFormat="1">
      <c r="G47655" s="3336"/>
      <c r="P47655" s="3337"/>
    </row>
    <row r="47656" spans="7:16" s="1634" customFormat="1">
      <c r="G47656" s="3336"/>
      <c r="P47656" s="3337"/>
    </row>
    <row r="47657" spans="7:16" s="1634" customFormat="1">
      <c r="G47657" s="3336"/>
      <c r="P47657" s="3337"/>
    </row>
    <row r="47658" spans="7:16" s="1634" customFormat="1">
      <c r="G47658" s="3336"/>
      <c r="P47658" s="3337"/>
    </row>
    <row r="47659" spans="7:16" s="1634" customFormat="1">
      <c r="G47659" s="3336"/>
      <c r="P47659" s="3337"/>
    </row>
    <row r="47660" spans="7:16" s="1634" customFormat="1">
      <c r="G47660" s="3336"/>
      <c r="P47660" s="3337"/>
    </row>
    <row r="47661" spans="7:16" s="1634" customFormat="1">
      <c r="G47661" s="3336"/>
      <c r="P47661" s="3337"/>
    </row>
    <row r="47662" spans="7:16" s="1634" customFormat="1">
      <c r="G47662" s="3336"/>
      <c r="P47662" s="3337"/>
    </row>
    <row r="47663" spans="7:16" s="1634" customFormat="1">
      <c r="G47663" s="3336"/>
      <c r="P47663" s="3337"/>
    </row>
    <row r="47664" spans="7:16" s="1634" customFormat="1">
      <c r="G47664" s="3336"/>
      <c r="P47664" s="3337"/>
    </row>
    <row r="47665" spans="7:16" s="1634" customFormat="1">
      <c r="G47665" s="3336"/>
      <c r="P47665" s="3337"/>
    </row>
    <row r="47666" spans="7:16" s="1634" customFormat="1">
      <c r="G47666" s="3336"/>
      <c r="P47666" s="3337"/>
    </row>
    <row r="47667" spans="7:16" s="1634" customFormat="1">
      <c r="G47667" s="3336"/>
      <c r="P47667" s="3337"/>
    </row>
    <row r="47668" spans="7:16" s="1634" customFormat="1">
      <c r="G47668" s="3336"/>
      <c r="P47668" s="3337"/>
    </row>
    <row r="47669" spans="7:16" s="1634" customFormat="1">
      <c r="G47669" s="3336"/>
      <c r="P47669" s="3337"/>
    </row>
    <row r="47670" spans="7:16" s="1634" customFormat="1">
      <c r="G47670" s="3336"/>
      <c r="P47670" s="3337"/>
    </row>
    <row r="47671" spans="7:16" s="1634" customFormat="1">
      <c r="G47671" s="3336"/>
      <c r="P47671" s="3337"/>
    </row>
    <row r="47672" spans="7:16" s="1634" customFormat="1">
      <c r="G47672" s="3336"/>
      <c r="P47672" s="3337"/>
    </row>
    <row r="47673" spans="7:16" s="1634" customFormat="1">
      <c r="G47673" s="3336"/>
      <c r="P47673" s="3337"/>
    </row>
    <row r="47674" spans="7:16" s="1634" customFormat="1">
      <c r="G47674" s="3336"/>
      <c r="P47674" s="3337"/>
    </row>
    <row r="47675" spans="7:16" s="1634" customFormat="1">
      <c r="G47675" s="3336"/>
      <c r="P47675" s="3337"/>
    </row>
    <row r="47676" spans="7:16" s="1634" customFormat="1">
      <c r="G47676" s="3336"/>
      <c r="P47676" s="3337"/>
    </row>
    <row r="47677" spans="7:16" s="1634" customFormat="1">
      <c r="G47677" s="3336"/>
      <c r="P47677" s="3337"/>
    </row>
    <row r="47678" spans="7:16" s="1634" customFormat="1">
      <c r="G47678" s="3336"/>
      <c r="P47678" s="3337"/>
    </row>
    <row r="47679" spans="7:16" s="1634" customFormat="1">
      <c r="G47679" s="3336"/>
      <c r="P47679" s="3337"/>
    </row>
    <row r="47680" spans="7:16" s="1634" customFormat="1">
      <c r="G47680" s="3336"/>
      <c r="P47680" s="3337"/>
    </row>
    <row r="47681" spans="7:16" s="1634" customFormat="1">
      <c r="G47681" s="3336"/>
      <c r="P47681" s="3337"/>
    </row>
    <row r="47682" spans="7:16" s="1634" customFormat="1">
      <c r="G47682" s="3336"/>
      <c r="P47682" s="3337"/>
    </row>
    <row r="47683" spans="7:16" s="1634" customFormat="1">
      <c r="G47683" s="3336"/>
      <c r="P47683" s="3337"/>
    </row>
    <row r="47684" spans="7:16" s="1634" customFormat="1">
      <c r="G47684" s="3336"/>
      <c r="P47684" s="3337"/>
    </row>
    <row r="47685" spans="7:16" s="1634" customFormat="1">
      <c r="G47685" s="3336"/>
      <c r="P47685" s="3337"/>
    </row>
    <row r="47686" spans="7:16" s="1634" customFormat="1">
      <c r="G47686" s="3336"/>
      <c r="P47686" s="3337"/>
    </row>
    <row r="47687" spans="7:16" s="1634" customFormat="1">
      <c r="G47687" s="3336"/>
      <c r="P47687" s="3337"/>
    </row>
    <row r="47688" spans="7:16" s="1634" customFormat="1">
      <c r="G47688" s="3336"/>
      <c r="P47688" s="3337"/>
    </row>
    <row r="47689" spans="7:16" s="1634" customFormat="1">
      <c r="G47689" s="3336"/>
      <c r="P47689" s="3337"/>
    </row>
    <row r="47690" spans="7:16" s="1634" customFormat="1">
      <c r="G47690" s="3336"/>
      <c r="P47690" s="3337"/>
    </row>
    <row r="47691" spans="7:16" s="1634" customFormat="1">
      <c r="G47691" s="3336"/>
      <c r="P47691" s="3337"/>
    </row>
    <row r="47692" spans="7:16" s="1634" customFormat="1">
      <c r="G47692" s="3336"/>
      <c r="P47692" s="3337"/>
    </row>
    <row r="47693" spans="7:16" s="1634" customFormat="1">
      <c r="G47693" s="3336"/>
      <c r="P47693" s="3337"/>
    </row>
    <row r="47694" spans="7:16" s="1634" customFormat="1">
      <c r="G47694" s="3336"/>
      <c r="P47694" s="3337"/>
    </row>
    <row r="47695" spans="7:16" s="1634" customFormat="1">
      <c r="G47695" s="3336"/>
      <c r="P47695" s="3337"/>
    </row>
    <row r="47696" spans="7:16" s="1634" customFormat="1">
      <c r="G47696" s="3336"/>
      <c r="P47696" s="3337"/>
    </row>
    <row r="47697" spans="7:16" s="1634" customFormat="1">
      <c r="G47697" s="3336"/>
      <c r="P47697" s="3337"/>
    </row>
    <row r="47698" spans="7:16" s="1634" customFormat="1">
      <c r="G47698" s="3336"/>
      <c r="P47698" s="3337"/>
    </row>
    <row r="47699" spans="7:16" s="1634" customFormat="1">
      <c r="G47699" s="3336"/>
      <c r="P47699" s="3337"/>
    </row>
    <row r="47700" spans="7:16" s="1634" customFormat="1">
      <c r="G47700" s="3336"/>
      <c r="P47700" s="3337"/>
    </row>
    <row r="47701" spans="7:16" s="1634" customFormat="1">
      <c r="G47701" s="3336"/>
      <c r="P47701" s="3337"/>
    </row>
    <row r="47702" spans="7:16" s="1634" customFormat="1">
      <c r="G47702" s="3336"/>
      <c r="P47702" s="3337"/>
    </row>
    <row r="47703" spans="7:16" s="1634" customFormat="1">
      <c r="G47703" s="3336"/>
      <c r="P47703" s="3337"/>
    </row>
    <row r="47704" spans="7:16" s="1634" customFormat="1">
      <c r="G47704" s="3336"/>
      <c r="P47704" s="3337"/>
    </row>
    <row r="47705" spans="7:16" s="1634" customFormat="1">
      <c r="G47705" s="3336"/>
      <c r="P47705" s="3337"/>
    </row>
    <row r="47706" spans="7:16" s="1634" customFormat="1">
      <c r="G47706" s="3336"/>
      <c r="P47706" s="3337"/>
    </row>
    <row r="47707" spans="7:16" s="1634" customFormat="1">
      <c r="G47707" s="3336"/>
      <c r="P47707" s="3337"/>
    </row>
    <row r="47708" spans="7:16" s="1634" customFormat="1">
      <c r="G47708" s="3336"/>
      <c r="P47708" s="3337"/>
    </row>
    <row r="47709" spans="7:16" s="1634" customFormat="1">
      <c r="G47709" s="3336"/>
      <c r="P47709" s="3337"/>
    </row>
    <row r="47710" spans="7:16" s="1634" customFormat="1">
      <c r="G47710" s="3336"/>
      <c r="P47710" s="3337"/>
    </row>
    <row r="47711" spans="7:16" s="1634" customFormat="1">
      <c r="G47711" s="3336"/>
      <c r="P47711" s="3337"/>
    </row>
    <row r="47712" spans="7:16" s="1634" customFormat="1">
      <c r="G47712" s="3336"/>
      <c r="P47712" s="3337"/>
    </row>
    <row r="47713" spans="7:16" s="1634" customFormat="1">
      <c r="G47713" s="3336"/>
      <c r="P47713" s="3337"/>
    </row>
    <row r="47714" spans="7:16" s="1634" customFormat="1">
      <c r="G47714" s="3336"/>
      <c r="P47714" s="3337"/>
    </row>
    <row r="47715" spans="7:16" s="1634" customFormat="1">
      <c r="G47715" s="3336"/>
      <c r="P47715" s="3337"/>
    </row>
    <row r="47716" spans="7:16" s="1634" customFormat="1">
      <c r="G47716" s="3336"/>
      <c r="P47716" s="3337"/>
    </row>
    <row r="47717" spans="7:16" s="1634" customFormat="1">
      <c r="G47717" s="3336"/>
      <c r="P47717" s="3337"/>
    </row>
    <row r="47718" spans="7:16" s="1634" customFormat="1">
      <c r="G47718" s="3336"/>
      <c r="P47718" s="3337"/>
    </row>
    <row r="47719" spans="7:16" s="1634" customFormat="1">
      <c r="G47719" s="3336"/>
      <c r="P47719" s="3337"/>
    </row>
    <row r="47720" spans="7:16" s="1634" customFormat="1">
      <c r="G47720" s="3336"/>
      <c r="P47720" s="3337"/>
    </row>
    <row r="47721" spans="7:16" s="1634" customFormat="1">
      <c r="G47721" s="3336"/>
      <c r="P47721" s="3337"/>
    </row>
    <row r="47722" spans="7:16" s="1634" customFormat="1">
      <c r="G47722" s="3336"/>
      <c r="P47722" s="3337"/>
    </row>
    <row r="47723" spans="7:16" s="1634" customFormat="1">
      <c r="G47723" s="3336"/>
      <c r="P47723" s="3337"/>
    </row>
    <row r="47724" spans="7:16" s="1634" customFormat="1">
      <c r="G47724" s="3336"/>
      <c r="P47724" s="3337"/>
    </row>
    <row r="47725" spans="7:16" s="1634" customFormat="1">
      <c r="G47725" s="3336"/>
      <c r="P47725" s="3337"/>
    </row>
    <row r="47726" spans="7:16" s="1634" customFormat="1">
      <c r="G47726" s="3336"/>
      <c r="P47726" s="3337"/>
    </row>
    <row r="47727" spans="7:16" s="1634" customFormat="1">
      <c r="G47727" s="3336"/>
      <c r="P47727" s="3337"/>
    </row>
    <row r="47728" spans="7:16" s="1634" customFormat="1">
      <c r="G47728" s="3336"/>
      <c r="P47728" s="3337"/>
    </row>
    <row r="47729" spans="7:16" s="1634" customFormat="1">
      <c r="G47729" s="3336"/>
      <c r="P47729" s="3337"/>
    </row>
    <row r="47730" spans="7:16" s="1634" customFormat="1">
      <c r="G47730" s="3336"/>
      <c r="P47730" s="3337"/>
    </row>
    <row r="47731" spans="7:16" s="1634" customFormat="1">
      <c r="G47731" s="3336"/>
      <c r="P47731" s="3337"/>
    </row>
    <row r="47732" spans="7:16" s="1634" customFormat="1">
      <c r="G47732" s="3336"/>
      <c r="P47732" s="3337"/>
    </row>
    <row r="47733" spans="7:16" s="1634" customFormat="1">
      <c r="G47733" s="3336"/>
      <c r="P47733" s="3337"/>
    </row>
    <row r="47734" spans="7:16" s="1634" customFormat="1">
      <c r="G47734" s="3336"/>
      <c r="P47734" s="3337"/>
    </row>
    <row r="47735" spans="7:16" s="1634" customFormat="1">
      <c r="G47735" s="3336"/>
      <c r="P47735" s="3337"/>
    </row>
    <row r="47736" spans="7:16" s="1634" customFormat="1">
      <c r="G47736" s="3336"/>
      <c r="P47736" s="3337"/>
    </row>
    <row r="47737" spans="7:16" s="1634" customFormat="1">
      <c r="G47737" s="3336"/>
      <c r="P47737" s="3337"/>
    </row>
    <row r="47738" spans="7:16" s="1634" customFormat="1">
      <c r="G47738" s="3336"/>
      <c r="P47738" s="3337"/>
    </row>
    <row r="47739" spans="7:16" s="1634" customFormat="1">
      <c r="G47739" s="3336"/>
      <c r="P47739" s="3337"/>
    </row>
    <row r="47740" spans="7:16" s="1634" customFormat="1">
      <c r="G47740" s="3336"/>
      <c r="P47740" s="3337"/>
    </row>
    <row r="47741" spans="7:16" s="1634" customFormat="1">
      <c r="G47741" s="3336"/>
      <c r="P47741" s="3337"/>
    </row>
    <row r="47742" spans="7:16" s="1634" customFormat="1">
      <c r="G47742" s="3336"/>
      <c r="P47742" s="3337"/>
    </row>
    <row r="47743" spans="7:16" s="1634" customFormat="1">
      <c r="G47743" s="3336"/>
      <c r="P47743" s="3337"/>
    </row>
    <row r="47744" spans="7:16" s="1634" customFormat="1">
      <c r="G47744" s="3336"/>
      <c r="P47744" s="3337"/>
    </row>
    <row r="47745" spans="7:16" s="1634" customFormat="1">
      <c r="G47745" s="3336"/>
      <c r="P47745" s="3337"/>
    </row>
    <row r="47746" spans="7:16" s="1634" customFormat="1">
      <c r="G47746" s="3336"/>
      <c r="P47746" s="3337"/>
    </row>
    <row r="47747" spans="7:16" s="1634" customFormat="1">
      <c r="G47747" s="3336"/>
      <c r="P47747" s="3337"/>
    </row>
    <row r="47748" spans="7:16" s="1634" customFormat="1">
      <c r="G47748" s="3336"/>
      <c r="P47748" s="3337"/>
    </row>
    <row r="47749" spans="7:16" s="1634" customFormat="1">
      <c r="G47749" s="3336"/>
      <c r="P47749" s="3337"/>
    </row>
    <row r="47750" spans="7:16" s="1634" customFormat="1">
      <c r="G47750" s="3336"/>
      <c r="P47750" s="3337"/>
    </row>
    <row r="47751" spans="7:16" s="1634" customFormat="1">
      <c r="G47751" s="3336"/>
      <c r="P47751" s="3337"/>
    </row>
    <row r="47752" spans="7:16" s="1634" customFormat="1">
      <c r="G47752" s="3336"/>
      <c r="P47752" s="3337"/>
    </row>
    <row r="47753" spans="7:16" s="1634" customFormat="1">
      <c r="G47753" s="3336"/>
      <c r="P47753" s="3337"/>
    </row>
    <row r="47754" spans="7:16" s="1634" customFormat="1">
      <c r="G47754" s="3336"/>
      <c r="P47754" s="3337"/>
    </row>
    <row r="47755" spans="7:16" s="1634" customFormat="1">
      <c r="G47755" s="3336"/>
      <c r="P47755" s="3337"/>
    </row>
    <row r="47756" spans="7:16" s="1634" customFormat="1">
      <c r="G47756" s="3336"/>
      <c r="P47756" s="3337"/>
    </row>
    <row r="47757" spans="7:16" s="1634" customFormat="1">
      <c r="G47757" s="3336"/>
      <c r="P47757" s="3337"/>
    </row>
    <row r="47758" spans="7:16" s="1634" customFormat="1">
      <c r="G47758" s="3336"/>
      <c r="P47758" s="3337"/>
    </row>
    <row r="47759" spans="7:16" s="1634" customFormat="1">
      <c r="G47759" s="3336"/>
      <c r="P47759" s="3337"/>
    </row>
    <row r="47760" spans="7:16" s="1634" customFormat="1">
      <c r="G47760" s="3336"/>
      <c r="P47760" s="3337"/>
    </row>
    <row r="47761" spans="7:16" s="1634" customFormat="1">
      <c r="G47761" s="3336"/>
      <c r="P47761" s="3337"/>
    </row>
    <row r="47762" spans="7:16" s="1634" customFormat="1">
      <c r="G47762" s="3336"/>
      <c r="P47762" s="3337"/>
    </row>
    <row r="47763" spans="7:16" s="1634" customFormat="1">
      <c r="G47763" s="3336"/>
      <c r="P47763" s="3337"/>
    </row>
    <row r="47764" spans="7:16" s="1634" customFormat="1">
      <c r="G47764" s="3336"/>
      <c r="P47764" s="3337"/>
    </row>
    <row r="47765" spans="7:16" s="1634" customFormat="1">
      <c r="G47765" s="3336"/>
      <c r="P47765" s="3337"/>
    </row>
    <row r="47766" spans="7:16" s="1634" customFormat="1">
      <c r="G47766" s="3336"/>
      <c r="P47766" s="3337"/>
    </row>
    <row r="47767" spans="7:16" s="1634" customFormat="1">
      <c r="G47767" s="3336"/>
      <c r="P47767" s="3337"/>
    </row>
    <row r="47768" spans="7:16" s="1634" customFormat="1">
      <c r="G47768" s="3336"/>
      <c r="P47768" s="3337"/>
    </row>
    <row r="47769" spans="7:16" s="1634" customFormat="1">
      <c r="G47769" s="3336"/>
      <c r="P47769" s="3337"/>
    </row>
    <row r="47770" spans="7:16" s="1634" customFormat="1">
      <c r="G47770" s="3336"/>
      <c r="P47770" s="3337"/>
    </row>
    <row r="47771" spans="7:16" s="1634" customFormat="1">
      <c r="G47771" s="3336"/>
      <c r="P47771" s="3337"/>
    </row>
    <row r="47772" spans="7:16" s="1634" customFormat="1">
      <c r="G47772" s="3336"/>
      <c r="P47772" s="3337"/>
    </row>
    <row r="47773" spans="7:16" s="1634" customFormat="1">
      <c r="G47773" s="3336"/>
      <c r="P47773" s="3337"/>
    </row>
    <row r="47774" spans="7:16" s="1634" customFormat="1">
      <c r="G47774" s="3336"/>
      <c r="P47774" s="3337"/>
    </row>
    <row r="47775" spans="7:16" s="1634" customFormat="1">
      <c r="G47775" s="3336"/>
      <c r="P47775" s="3337"/>
    </row>
    <row r="47776" spans="7:16" s="1634" customFormat="1">
      <c r="G47776" s="3336"/>
      <c r="P47776" s="3337"/>
    </row>
    <row r="47777" spans="7:16" s="1634" customFormat="1">
      <c r="G47777" s="3336"/>
      <c r="P47777" s="3337"/>
    </row>
    <row r="47778" spans="7:16" s="1634" customFormat="1">
      <c r="G47778" s="3336"/>
      <c r="P47778" s="3337"/>
    </row>
    <row r="47779" spans="7:16" s="1634" customFormat="1">
      <c r="G47779" s="3336"/>
      <c r="P47779" s="3337"/>
    </row>
    <row r="47780" spans="7:16" s="1634" customFormat="1">
      <c r="G47780" s="3336"/>
      <c r="P47780" s="3337"/>
    </row>
    <row r="47781" spans="7:16" s="1634" customFormat="1">
      <c r="G47781" s="3336"/>
      <c r="P47781" s="3337"/>
    </row>
    <row r="47782" spans="7:16" s="1634" customFormat="1">
      <c r="G47782" s="3336"/>
      <c r="P47782" s="3337"/>
    </row>
    <row r="47783" spans="7:16" s="1634" customFormat="1">
      <c r="G47783" s="3336"/>
      <c r="P47783" s="3337"/>
    </row>
    <row r="47784" spans="7:16" s="1634" customFormat="1">
      <c r="G47784" s="3336"/>
      <c r="P47784" s="3337"/>
    </row>
    <row r="47785" spans="7:16" s="1634" customFormat="1">
      <c r="G47785" s="3336"/>
      <c r="P47785" s="3337"/>
    </row>
    <row r="47786" spans="7:16" s="1634" customFormat="1">
      <c r="G47786" s="3336"/>
      <c r="P47786" s="3337"/>
    </row>
    <row r="47787" spans="7:16" s="1634" customFormat="1">
      <c r="G47787" s="3336"/>
      <c r="P47787" s="3337"/>
    </row>
    <row r="47788" spans="7:16" s="1634" customFormat="1">
      <c r="G47788" s="3336"/>
      <c r="P47788" s="3337"/>
    </row>
    <row r="47789" spans="7:16" s="1634" customFormat="1">
      <c r="G47789" s="3336"/>
      <c r="P47789" s="3337"/>
    </row>
    <row r="47790" spans="7:16" s="1634" customFormat="1">
      <c r="G47790" s="3336"/>
      <c r="P47790" s="3337"/>
    </row>
    <row r="47791" spans="7:16" s="1634" customFormat="1">
      <c r="G47791" s="3336"/>
      <c r="P47791" s="3337"/>
    </row>
    <row r="47792" spans="7:16" s="1634" customFormat="1">
      <c r="G47792" s="3336"/>
      <c r="P47792" s="3337"/>
    </row>
    <row r="47793" spans="7:16" s="1634" customFormat="1">
      <c r="G47793" s="3336"/>
      <c r="P47793" s="3337"/>
    </row>
    <row r="47794" spans="7:16" s="1634" customFormat="1">
      <c r="G47794" s="3336"/>
      <c r="P47794" s="3337"/>
    </row>
    <row r="47795" spans="7:16" s="1634" customFormat="1">
      <c r="G47795" s="3336"/>
      <c r="P47795" s="3337"/>
    </row>
    <row r="47796" spans="7:16" s="1634" customFormat="1">
      <c r="G47796" s="3336"/>
      <c r="P47796" s="3337"/>
    </row>
    <row r="47797" spans="7:16" s="1634" customFormat="1">
      <c r="G47797" s="3336"/>
      <c r="P47797" s="3337"/>
    </row>
    <row r="47798" spans="7:16" s="1634" customFormat="1">
      <c r="G47798" s="3336"/>
      <c r="P47798" s="3337"/>
    </row>
    <row r="47799" spans="7:16" s="1634" customFormat="1">
      <c r="G47799" s="3336"/>
      <c r="P47799" s="3337"/>
    </row>
    <row r="47800" spans="7:16" s="1634" customFormat="1">
      <c r="G47800" s="3336"/>
      <c r="P47800" s="3337"/>
    </row>
    <row r="47801" spans="7:16" s="1634" customFormat="1">
      <c r="G47801" s="3336"/>
      <c r="P47801" s="3337"/>
    </row>
    <row r="47802" spans="7:16" s="1634" customFormat="1">
      <c r="G47802" s="3336"/>
      <c r="P47802" s="3337"/>
    </row>
    <row r="47803" spans="7:16" s="1634" customFormat="1">
      <c r="G47803" s="3336"/>
      <c r="P47803" s="3337"/>
    </row>
    <row r="47804" spans="7:16" s="1634" customFormat="1">
      <c r="G47804" s="3336"/>
      <c r="P47804" s="3337"/>
    </row>
    <row r="47805" spans="7:16" s="1634" customFormat="1">
      <c r="G47805" s="3336"/>
      <c r="P47805" s="3337"/>
    </row>
    <row r="47806" spans="7:16" s="1634" customFormat="1">
      <c r="G47806" s="3336"/>
      <c r="P47806" s="3337"/>
    </row>
    <row r="47807" spans="7:16" s="1634" customFormat="1">
      <c r="G47807" s="3336"/>
      <c r="P47807" s="3337"/>
    </row>
    <row r="47808" spans="7:16" s="1634" customFormat="1">
      <c r="G47808" s="3336"/>
      <c r="P47808" s="3337"/>
    </row>
    <row r="47809" spans="7:16" s="1634" customFormat="1">
      <c r="G47809" s="3336"/>
      <c r="P47809" s="3337"/>
    </row>
    <row r="47810" spans="7:16" s="1634" customFormat="1">
      <c r="G47810" s="3336"/>
      <c r="P47810" s="3337"/>
    </row>
    <row r="47811" spans="7:16" s="1634" customFormat="1">
      <c r="G47811" s="3336"/>
      <c r="P47811" s="3337"/>
    </row>
    <row r="47812" spans="7:16" s="1634" customFormat="1">
      <c r="G47812" s="3336"/>
      <c r="P47812" s="3337"/>
    </row>
    <row r="47813" spans="7:16" s="1634" customFormat="1">
      <c r="G47813" s="3336"/>
      <c r="P47813" s="3337"/>
    </row>
    <row r="47814" spans="7:16" s="1634" customFormat="1">
      <c r="G47814" s="3336"/>
      <c r="P47814" s="3337"/>
    </row>
    <row r="47815" spans="7:16" s="1634" customFormat="1">
      <c r="G47815" s="3336"/>
      <c r="P47815" s="3337"/>
    </row>
    <row r="47816" spans="7:16" s="1634" customFormat="1">
      <c r="G47816" s="3336"/>
      <c r="P47816" s="3337"/>
    </row>
    <row r="47817" spans="7:16" s="1634" customFormat="1">
      <c r="G47817" s="3336"/>
      <c r="P47817" s="3337"/>
    </row>
    <row r="47818" spans="7:16" s="1634" customFormat="1">
      <c r="G47818" s="3336"/>
      <c r="P47818" s="3337"/>
    </row>
    <row r="47819" spans="7:16" s="1634" customFormat="1">
      <c r="G47819" s="3336"/>
      <c r="P47819" s="3337"/>
    </row>
    <row r="47820" spans="7:16" s="1634" customFormat="1">
      <c r="G47820" s="3336"/>
      <c r="P47820" s="3337"/>
    </row>
    <row r="47821" spans="7:16" s="1634" customFormat="1">
      <c r="G47821" s="3336"/>
      <c r="P47821" s="3337"/>
    </row>
    <row r="47822" spans="7:16" s="1634" customFormat="1">
      <c r="G47822" s="3336"/>
      <c r="P47822" s="3337"/>
    </row>
    <row r="47823" spans="7:16" s="1634" customFormat="1">
      <c r="G47823" s="3336"/>
      <c r="P47823" s="3337"/>
    </row>
    <row r="47824" spans="7:16" s="1634" customFormat="1">
      <c r="G47824" s="3336"/>
      <c r="P47824" s="3337"/>
    </row>
    <row r="47825" spans="7:16" s="1634" customFormat="1">
      <c r="G47825" s="3336"/>
      <c r="P47825" s="3337"/>
    </row>
    <row r="47826" spans="7:16" s="1634" customFormat="1">
      <c r="G47826" s="3336"/>
      <c r="P47826" s="3337"/>
    </row>
    <row r="47827" spans="7:16" s="1634" customFormat="1">
      <c r="G47827" s="3336"/>
      <c r="P47827" s="3337"/>
    </row>
    <row r="47828" spans="7:16" s="1634" customFormat="1">
      <c r="G47828" s="3336"/>
      <c r="P47828" s="3337"/>
    </row>
    <row r="47829" spans="7:16" s="1634" customFormat="1">
      <c r="G47829" s="3336"/>
      <c r="P47829" s="3337"/>
    </row>
    <row r="47830" spans="7:16" s="1634" customFormat="1">
      <c r="G47830" s="3336"/>
      <c r="P47830" s="3337"/>
    </row>
    <row r="47831" spans="7:16" s="1634" customFormat="1">
      <c r="G47831" s="3336"/>
      <c r="P47831" s="3337"/>
    </row>
    <row r="47832" spans="7:16" s="1634" customFormat="1">
      <c r="G47832" s="3336"/>
      <c r="P47832" s="3337"/>
    </row>
    <row r="47833" spans="7:16" s="1634" customFormat="1">
      <c r="G47833" s="3336"/>
      <c r="P47833" s="3337"/>
    </row>
    <row r="47834" spans="7:16" s="1634" customFormat="1">
      <c r="G47834" s="3336"/>
      <c r="P47834" s="3337"/>
    </row>
    <row r="47835" spans="7:16" s="1634" customFormat="1">
      <c r="G47835" s="3336"/>
      <c r="P47835" s="3337"/>
    </row>
    <row r="47836" spans="7:16" s="1634" customFormat="1">
      <c r="G47836" s="3336"/>
      <c r="P47836" s="3337"/>
    </row>
    <row r="47837" spans="7:16" s="1634" customFormat="1">
      <c r="G47837" s="3336"/>
      <c r="P47837" s="3337"/>
    </row>
    <row r="47838" spans="7:16" s="1634" customFormat="1">
      <c r="G47838" s="3336"/>
      <c r="P47838" s="3337"/>
    </row>
    <row r="47839" spans="7:16" s="1634" customFormat="1">
      <c r="G47839" s="3336"/>
      <c r="P47839" s="3337"/>
    </row>
    <row r="47840" spans="7:16" s="1634" customFormat="1">
      <c r="G47840" s="3336"/>
      <c r="P47840" s="3337"/>
    </row>
    <row r="47841" spans="7:16" s="1634" customFormat="1">
      <c r="G47841" s="3336"/>
      <c r="P47841" s="3337"/>
    </row>
    <row r="47842" spans="7:16" s="1634" customFormat="1">
      <c r="G47842" s="3336"/>
      <c r="P47842" s="3337"/>
    </row>
    <row r="47843" spans="7:16" s="1634" customFormat="1">
      <c r="G47843" s="3336"/>
      <c r="P47843" s="3337"/>
    </row>
    <row r="47844" spans="7:16" s="1634" customFormat="1">
      <c r="G47844" s="3336"/>
      <c r="P47844" s="3337"/>
    </row>
    <row r="47845" spans="7:16" s="1634" customFormat="1">
      <c r="G47845" s="3336"/>
      <c r="P47845" s="3337"/>
    </row>
    <row r="47846" spans="7:16" s="1634" customFormat="1">
      <c r="G47846" s="3336"/>
      <c r="P47846" s="3337"/>
    </row>
    <row r="47847" spans="7:16" s="1634" customFormat="1">
      <c r="G47847" s="3336"/>
      <c r="P47847" s="3337"/>
    </row>
    <row r="47848" spans="7:16" s="1634" customFormat="1">
      <c r="G47848" s="3336"/>
      <c r="P47848" s="3337"/>
    </row>
    <row r="47849" spans="7:16" s="1634" customFormat="1">
      <c r="G47849" s="3336"/>
      <c r="P47849" s="3337"/>
    </row>
    <row r="47850" spans="7:16" s="1634" customFormat="1">
      <c r="G47850" s="3336"/>
      <c r="P47850" s="3337"/>
    </row>
    <row r="47851" spans="7:16" s="1634" customFormat="1">
      <c r="G47851" s="3336"/>
      <c r="P47851" s="3337"/>
    </row>
    <row r="47852" spans="7:16" s="1634" customFormat="1">
      <c r="G47852" s="3336"/>
      <c r="P47852" s="3337"/>
    </row>
    <row r="47853" spans="7:16" s="1634" customFormat="1">
      <c r="G47853" s="3336"/>
      <c r="P47853" s="3337"/>
    </row>
    <row r="47854" spans="7:16" s="1634" customFormat="1">
      <c r="G47854" s="3336"/>
      <c r="P47854" s="3337"/>
    </row>
    <row r="47855" spans="7:16" s="1634" customFormat="1">
      <c r="G47855" s="3336"/>
      <c r="P47855" s="3337"/>
    </row>
    <row r="47856" spans="7:16" s="1634" customFormat="1">
      <c r="G47856" s="3336"/>
      <c r="P47856" s="3337"/>
    </row>
    <row r="47857" spans="7:16" s="1634" customFormat="1">
      <c r="G47857" s="3336"/>
      <c r="P47857" s="3337"/>
    </row>
    <row r="47858" spans="7:16" s="1634" customFormat="1">
      <c r="G47858" s="3336"/>
      <c r="P47858" s="3337"/>
    </row>
    <row r="47859" spans="7:16" s="1634" customFormat="1">
      <c r="G47859" s="3336"/>
      <c r="P47859" s="3337"/>
    </row>
    <row r="47860" spans="7:16" s="1634" customFormat="1">
      <c r="G47860" s="3336"/>
      <c r="P47860" s="3337"/>
    </row>
    <row r="47861" spans="7:16" s="1634" customFormat="1">
      <c r="G47861" s="3336"/>
      <c r="P47861" s="3337"/>
    </row>
    <row r="47862" spans="7:16" s="1634" customFormat="1">
      <c r="G47862" s="3336"/>
      <c r="P47862" s="3337"/>
    </row>
    <row r="47863" spans="7:16" s="1634" customFormat="1">
      <c r="G47863" s="3336"/>
      <c r="P47863" s="3337"/>
    </row>
    <row r="47864" spans="7:16" s="1634" customFormat="1">
      <c r="G47864" s="3336"/>
      <c r="P47864" s="3337"/>
    </row>
    <row r="47865" spans="7:16" s="1634" customFormat="1">
      <c r="G47865" s="3336"/>
      <c r="P47865" s="3337"/>
    </row>
    <row r="47866" spans="7:16" s="1634" customFormat="1">
      <c r="G47866" s="3336"/>
      <c r="P47866" s="3337"/>
    </row>
    <row r="47867" spans="7:16" s="1634" customFormat="1">
      <c r="G47867" s="3336"/>
      <c r="P47867" s="3337"/>
    </row>
    <row r="47868" spans="7:16" s="1634" customFormat="1">
      <c r="G47868" s="3336"/>
      <c r="P47868" s="3337"/>
    </row>
    <row r="47869" spans="7:16" s="1634" customFormat="1">
      <c r="G47869" s="3336"/>
      <c r="P47869" s="3337"/>
    </row>
    <row r="47870" spans="7:16" s="1634" customFormat="1">
      <c r="G47870" s="3336"/>
      <c r="P47870" s="3337"/>
    </row>
    <row r="47871" spans="7:16" s="1634" customFormat="1">
      <c r="G47871" s="3336"/>
      <c r="P47871" s="3337"/>
    </row>
    <row r="47872" spans="7:16" s="1634" customFormat="1">
      <c r="G47872" s="3336"/>
      <c r="P47872" s="3337"/>
    </row>
    <row r="47873" spans="7:16" s="1634" customFormat="1">
      <c r="G47873" s="3336"/>
      <c r="P47873" s="3337"/>
    </row>
    <row r="47874" spans="7:16" s="1634" customFormat="1">
      <c r="G47874" s="3336"/>
      <c r="P47874" s="3337"/>
    </row>
    <row r="47875" spans="7:16" s="1634" customFormat="1">
      <c r="G47875" s="3336"/>
      <c r="P47875" s="3337"/>
    </row>
    <row r="47876" spans="7:16" s="1634" customFormat="1">
      <c r="G47876" s="3336"/>
      <c r="P47876" s="3337"/>
    </row>
    <row r="47877" spans="7:16" s="1634" customFormat="1">
      <c r="G47877" s="3336"/>
      <c r="P47877" s="3337"/>
    </row>
    <row r="47878" spans="7:16" s="1634" customFormat="1">
      <c r="G47878" s="3336"/>
      <c r="P47878" s="3337"/>
    </row>
    <row r="47879" spans="7:16" s="1634" customFormat="1">
      <c r="G47879" s="3336"/>
      <c r="P47879" s="3337"/>
    </row>
    <row r="47880" spans="7:16" s="1634" customFormat="1">
      <c r="G47880" s="3336"/>
      <c r="P47880" s="3337"/>
    </row>
    <row r="47881" spans="7:16" s="1634" customFormat="1">
      <c r="G47881" s="3336"/>
      <c r="P47881" s="3337"/>
    </row>
    <row r="47882" spans="7:16" s="1634" customFormat="1">
      <c r="G47882" s="3336"/>
      <c r="P47882" s="3337"/>
    </row>
    <row r="47883" spans="7:16" s="1634" customFormat="1">
      <c r="G47883" s="3336"/>
      <c r="P47883" s="3337"/>
    </row>
    <row r="47884" spans="7:16" s="1634" customFormat="1">
      <c r="G47884" s="3336"/>
      <c r="P47884" s="3337"/>
    </row>
    <row r="47885" spans="7:16" s="1634" customFormat="1">
      <c r="G47885" s="3336"/>
      <c r="P47885" s="3337"/>
    </row>
    <row r="47886" spans="7:16" s="1634" customFormat="1">
      <c r="G47886" s="3336"/>
      <c r="P47886" s="3337"/>
    </row>
    <row r="47887" spans="7:16" s="1634" customFormat="1">
      <c r="G47887" s="3336"/>
      <c r="P47887" s="3337"/>
    </row>
    <row r="47888" spans="7:16" s="1634" customFormat="1">
      <c r="G47888" s="3336"/>
      <c r="P47888" s="3337"/>
    </row>
    <row r="47889" spans="7:16" s="1634" customFormat="1">
      <c r="G47889" s="3336"/>
      <c r="P47889" s="3337"/>
    </row>
    <row r="47890" spans="7:16" s="1634" customFormat="1">
      <c r="G47890" s="3336"/>
      <c r="P47890" s="3337"/>
    </row>
    <row r="47891" spans="7:16" s="1634" customFormat="1">
      <c r="G47891" s="3336"/>
      <c r="P47891" s="3337"/>
    </row>
    <row r="47892" spans="7:16" s="1634" customFormat="1">
      <c r="G47892" s="3336"/>
      <c r="P47892" s="3337"/>
    </row>
    <row r="47893" spans="7:16" s="1634" customFormat="1">
      <c r="G47893" s="3336"/>
      <c r="P47893" s="3337"/>
    </row>
    <row r="47894" spans="7:16" s="1634" customFormat="1">
      <c r="G47894" s="3336"/>
      <c r="P47894" s="3337"/>
    </row>
    <row r="47895" spans="7:16" s="1634" customFormat="1">
      <c r="G47895" s="3336"/>
      <c r="P47895" s="3337"/>
    </row>
    <row r="47896" spans="7:16" s="1634" customFormat="1">
      <c r="G47896" s="3336"/>
      <c r="P47896" s="3337"/>
    </row>
    <row r="47897" spans="7:16" s="1634" customFormat="1">
      <c r="G47897" s="3336"/>
      <c r="P47897" s="3337"/>
    </row>
    <row r="47898" spans="7:16" s="1634" customFormat="1">
      <c r="G47898" s="3336"/>
      <c r="P47898" s="3337"/>
    </row>
    <row r="47899" spans="7:16" s="1634" customFormat="1">
      <c r="G47899" s="3336"/>
      <c r="P47899" s="3337"/>
    </row>
    <row r="47900" spans="7:16" s="1634" customFormat="1">
      <c r="G47900" s="3336"/>
      <c r="P47900" s="3337"/>
    </row>
    <row r="47901" spans="7:16" s="1634" customFormat="1">
      <c r="G47901" s="3336"/>
      <c r="P47901" s="3337"/>
    </row>
    <row r="47902" spans="7:16" s="1634" customFormat="1">
      <c r="G47902" s="3336"/>
      <c r="P47902" s="3337"/>
    </row>
    <row r="47903" spans="7:16" s="1634" customFormat="1">
      <c r="G47903" s="3336"/>
      <c r="P47903" s="3337"/>
    </row>
    <row r="47904" spans="7:16" s="1634" customFormat="1">
      <c r="G47904" s="3336"/>
      <c r="P47904" s="3337"/>
    </row>
    <row r="47905" spans="7:16" s="1634" customFormat="1">
      <c r="G47905" s="3336"/>
      <c r="P47905" s="3337"/>
    </row>
    <row r="47906" spans="7:16" s="1634" customFormat="1">
      <c r="G47906" s="3336"/>
      <c r="P47906" s="3337"/>
    </row>
    <row r="47907" spans="7:16" s="1634" customFormat="1">
      <c r="G47907" s="3336"/>
      <c r="P47907" s="3337"/>
    </row>
    <row r="47908" spans="7:16" s="1634" customFormat="1">
      <c r="G47908" s="3336"/>
      <c r="P47908" s="3337"/>
    </row>
    <row r="47909" spans="7:16" s="1634" customFormat="1">
      <c r="G47909" s="3336"/>
      <c r="P47909" s="3337"/>
    </row>
    <row r="47910" spans="7:16" s="1634" customFormat="1">
      <c r="G47910" s="3336"/>
      <c r="P47910" s="3337"/>
    </row>
    <row r="47911" spans="7:16" s="1634" customFormat="1">
      <c r="G47911" s="3336"/>
      <c r="P47911" s="3337"/>
    </row>
    <row r="47912" spans="7:16" s="1634" customFormat="1">
      <c r="G47912" s="3336"/>
      <c r="P47912" s="3337"/>
    </row>
    <row r="47913" spans="7:16" s="1634" customFormat="1">
      <c r="G47913" s="3336"/>
      <c r="P47913" s="3337"/>
    </row>
    <row r="47914" spans="7:16" s="1634" customFormat="1">
      <c r="G47914" s="3336"/>
      <c r="P47914" s="3337"/>
    </row>
    <row r="47915" spans="7:16" s="1634" customFormat="1">
      <c r="G47915" s="3336"/>
      <c r="P47915" s="3337"/>
    </row>
    <row r="47916" spans="7:16" s="1634" customFormat="1">
      <c r="G47916" s="3336"/>
      <c r="P47916" s="3337"/>
    </row>
    <row r="47917" spans="7:16" s="1634" customFormat="1">
      <c r="G47917" s="3336"/>
      <c r="P47917" s="3337"/>
    </row>
    <row r="47918" spans="7:16" s="1634" customFormat="1">
      <c r="G47918" s="3336"/>
      <c r="P47918" s="3337"/>
    </row>
    <row r="47919" spans="7:16" s="1634" customFormat="1">
      <c r="G47919" s="3336"/>
      <c r="P47919" s="3337"/>
    </row>
    <row r="47920" spans="7:16" s="1634" customFormat="1">
      <c r="G47920" s="3336"/>
      <c r="P47920" s="3337"/>
    </row>
    <row r="47921" spans="7:16" s="1634" customFormat="1">
      <c r="G47921" s="3336"/>
      <c r="P47921" s="3337"/>
    </row>
    <row r="47922" spans="7:16" s="1634" customFormat="1">
      <c r="G47922" s="3336"/>
      <c r="P47922" s="3337"/>
    </row>
    <row r="47923" spans="7:16" s="1634" customFormat="1">
      <c r="G47923" s="3336"/>
      <c r="P47923" s="3337"/>
    </row>
    <row r="47924" spans="7:16" s="1634" customFormat="1">
      <c r="G47924" s="3336"/>
      <c r="P47924" s="3337"/>
    </row>
    <row r="47925" spans="7:16" s="1634" customFormat="1">
      <c r="G47925" s="3336"/>
      <c r="P47925" s="3337"/>
    </row>
    <row r="47926" spans="7:16" s="1634" customFormat="1">
      <c r="G47926" s="3336"/>
      <c r="P47926" s="3337"/>
    </row>
    <row r="47927" spans="7:16" s="1634" customFormat="1">
      <c r="G47927" s="3336"/>
      <c r="P47927" s="3337"/>
    </row>
    <row r="47928" spans="7:16" s="1634" customFormat="1">
      <c r="G47928" s="3336"/>
      <c r="P47928" s="3337"/>
    </row>
    <row r="47929" spans="7:16" s="1634" customFormat="1">
      <c r="G47929" s="3336"/>
      <c r="P47929" s="3337"/>
    </row>
    <row r="47930" spans="7:16" s="1634" customFormat="1">
      <c r="G47930" s="3336"/>
      <c r="P47930" s="3337"/>
    </row>
    <row r="47931" spans="7:16" s="1634" customFormat="1">
      <c r="G47931" s="3336"/>
      <c r="P47931" s="3337"/>
    </row>
    <row r="47932" spans="7:16" s="1634" customFormat="1">
      <c r="G47932" s="3336"/>
      <c r="P47932" s="3337"/>
    </row>
    <row r="47933" spans="7:16" s="1634" customFormat="1">
      <c r="G47933" s="3336"/>
      <c r="P47933" s="3337"/>
    </row>
    <row r="47934" spans="7:16" s="1634" customFormat="1">
      <c r="G47934" s="3336"/>
      <c r="P47934" s="3337"/>
    </row>
    <row r="47935" spans="7:16" s="1634" customFormat="1">
      <c r="G47935" s="3336"/>
      <c r="P47935" s="3337"/>
    </row>
    <row r="47936" spans="7:16" s="1634" customFormat="1">
      <c r="G47936" s="3336"/>
      <c r="P47936" s="3337"/>
    </row>
    <row r="47937" spans="7:16" s="1634" customFormat="1">
      <c r="G47937" s="3336"/>
      <c r="P47937" s="3337"/>
    </row>
    <row r="47938" spans="7:16" s="1634" customFormat="1">
      <c r="G47938" s="3336"/>
      <c r="P47938" s="3337"/>
    </row>
    <row r="47939" spans="7:16" s="1634" customFormat="1">
      <c r="G47939" s="3336"/>
      <c r="P47939" s="3337"/>
    </row>
    <row r="47940" spans="7:16" s="1634" customFormat="1">
      <c r="G47940" s="3336"/>
      <c r="P47940" s="3337"/>
    </row>
    <row r="47941" spans="7:16" s="1634" customFormat="1">
      <c r="G47941" s="3336"/>
      <c r="P47941" s="3337"/>
    </row>
    <row r="47942" spans="7:16" s="1634" customFormat="1">
      <c r="G47942" s="3336"/>
      <c r="P47942" s="3337"/>
    </row>
    <row r="47943" spans="7:16" s="1634" customFormat="1">
      <c r="G47943" s="3336"/>
      <c r="P47943" s="3337"/>
    </row>
    <row r="47944" spans="7:16" s="1634" customFormat="1">
      <c r="G47944" s="3336"/>
      <c r="P47944" s="3337"/>
    </row>
    <row r="47945" spans="7:16" s="1634" customFormat="1">
      <c r="G47945" s="3336"/>
      <c r="P47945" s="3337"/>
    </row>
    <row r="47946" spans="7:16" s="1634" customFormat="1">
      <c r="G47946" s="3336"/>
      <c r="P47946" s="3337"/>
    </row>
    <row r="47947" spans="7:16" s="1634" customFormat="1">
      <c r="G47947" s="3336"/>
      <c r="P47947" s="3337"/>
    </row>
    <row r="47948" spans="7:16" s="1634" customFormat="1">
      <c r="G47948" s="3336"/>
      <c r="P47948" s="3337"/>
    </row>
    <row r="47949" spans="7:16" s="1634" customFormat="1">
      <c r="G47949" s="3336"/>
      <c r="P47949" s="3337"/>
    </row>
    <row r="47950" spans="7:16" s="1634" customFormat="1">
      <c r="G47950" s="3336"/>
      <c r="P47950" s="3337"/>
    </row>
    <row r="47951" spans="7:16" s="1634" customFormat="1">
      <c r="G47951" s="3336"/>
      <c r="P47951" s="3337"/>
    </row>
    <row r="47952" spans="7:16" s="1634" customFormat="1">
      <c r="G47952" s="3336"/>
      <c r="P47952" s="3337"/>
    </row>
    <row r="47953" spans="7:16" s="1634" customFormat="1">
      <c r="G47953" s="3336"/>
      <c r="P47953" s="3337"/>
    </row>
    <row r="47954" spans="7:16" s="1634" customFormat="1">
      <c r="G47954" s="3336"/>
      <c r="P47954" s="3337"/>
    </row>
    <row r="47955" spans="7:16" s="1634" customFormat="1">
      <c r="G47955" s="3336"/>
      <c r="P47955" s="3337"/>
    </row>
    <row r="47956" spans="7:16" s="1634" customFormat="1">
      <c r="G47956" s="3336"/>
      <c r="P47956" s="3337"/>
    </row>
    <row r="47957" spans="7:16" s="1634" customFormat="1">
      <c r="G47957" s="3336"/>
      <c r="P47957" s="3337"/>
    </row>
    <row r="47958" spans="7:16" s="1634" customFormat="1">
      <c r="G47958" s="3336"/>
      <c r="P47958" s="3337"/>
    </row>
    <row r="47959" spans="7:16" s="1634" customFormat="1">
      <c r="G47959" s="3336"/>
      <c r="P47959" s="3337"/>
    </row>
    <row r="47960" spans="7:16" s="1634" customFormat="1">
      <c r="G47960" s="3336"/>
      <c r="P47960" s="3337"/>
    </row>
    <row r="47961" spans="7:16" s="1634" customFormat="1">
      <c r="G47961" s="3336"/>
      <c r="P47961" s="3337"/>
    </row>
    <row r="47962" spans="7:16" s="1634" customFormat="1">
      <c r="G47962" s="3336"/>
      <c r="P47962" s="3337"/>
    </row>
    <row r="47963" spans="7:16" s="1634" customFormat="1">
      <c r="G47963" s="3336"/>
      <c r="P47963" s="3337"/>
    </row>
    <row r="47964" spans="7:16" s="1634" customFormat="1">
      <c r="G47964" s="3336"/>
      <c r="P47964" s="3337"/>
    </row>
    <row r="47965" spans="7:16" s="1634" customFormat="1">
      <c r="G47965" s="3336"/>
      <c r="P47965" s="3337"/>
    </row>
    <row r="47966" spans="7:16" s="1634" customFormat="1">
      <c r="G47966" s="3336"/>
      <c r="P47966" s="3337"/>
    </row>
    <row r="47967" spans="7:16" s="1634" customFormat="1">
      <c r="G47967" s="3336"/>
      <c r="P47967" s="3337"/>
    </row>
    <row r="47968" spans="7:16" s="1634" customFormat="1">
      <c r="G47968" s="3336"/>
      <c r="P47968" s="3337"/>
    </row>
    <row r="47969" spans="7:16" s="1634" customFormat="1">
      <c r="G47969" s="3336"/>
      <c r="P47969" s="3337"/>
    </row>
    <row r="47970" spans="7:16" s="1634" customFormat="1">
      <c r="G47970" s="3336"/>
      <c r="P47970" s="3337"/>
    </row>
    <row r="47971" spans="7:16" s="1634" customFormat="1">
      <c r="G47971" s="3336"/>
      <c r="P47971" s="3337"/>
    </row>
    <row r="47972" spans="7:16" s="1634" customFormat="1">
      <c r="G47972" s="3336"/>
      <c r="P47972" s="3337"/>
    </row>
    <row r="47973" spans="7:16" s="1634" customFormat="1">
      <c r="G47973" s="3336"/>
      <c r="P47973" s="3337"/>
    </row>
    <row r="47974" spans="7:16" s="1634" customFormat="1">
      <c r="G47974" s="3336"/>
      <c r="P47974" s="3337"/>
    </row>
    <row r="47975" spans="7:16" s="1634" customFormat="1">
      <c r="G47975" s="3336"/>
      <c r="P47975" s="3337"/>
    </row>
    <row r="47976" spans="7:16" s="1634" customFormat="1">
      <c r="G47976" s="3336"/>
      <c r="P47976" s="3337"/>
    </row>
    <row r="47977" spans="7:16" s="1634" customFormat="1">
      <c r="G47977" s="3336"/>
      <c r="P47977" s="3337"/>
    </row>
    <row r="47978" spans="7:16" s="1634" customFormat="1">
      <c r="G47978" s="3336"/>
      <c r="P47978" s="3337"/>
    </row>
    <row r="47979" spans="7:16" s="1634" customFormat="1">
      <c r="G47979" s="3336"/>
      <c r="P47979" s="3337"/>
    </row>
    <row r="47980" spans="7:16" s="1634" customFormat="1">
      <c r="G47980" s="3336"/>
      <c r="P47980" s="3337"/>
    </row>
    <row r="47981" spans="7:16" s="1634" customFormat="1">
      <c r="G47981" s="3336"/>
      <c r="P47981" s="3337"/>
    </row>
    <row r="47982" spans="7:16" s="1634" customFormat="1">
      <c r="G47982" s="3336"/>
      <c r="P47982" s="3337"/>
    </row>
    <row r="47983" spans="7:16" s="1634" customFormat="1">
      <c r="G47983" s="3336"/>
      <c r="P47983" s="3337"/>
    </row>
    <row r="47984" spans="7:16" s="1634" customFormat="1">
      <c r="G47984" s="3336"/>
      <c r="P47984" s="3337"/>
    </row>
    <row r="47985" spans="7:16" s="1634" customFormat="1">
      <c r="G47985" s="3336"/>
      <c r="P47985" s="3337"/>
    </row>
    <row r="47986" spans="7:16" s="1634" customFormat="1">
      <c r="G47986" s="3336"/>
      <c r="P47986" s="3337"/>
    </row>
    <row r="47987" spans="7:16" s="1634" customFormat="1">
      <c r="G47987" s="3336"/>
      <c r="P47987" s="3337"/>
    </row>
    <row r="47988" spans="7:16" s="1634" customFormat="1">
      <c r="G47988" s="3336"/>
      <c r="P47988" s="3337"/>
    </row>
    <row r="47989" spans="7:16" s="1634" customFormat="1">
      <c r="G47989" s="3336"/>
      <c r="P47989" s="3337"/>
    </row>
    <row r="47990" spans="7:16" s="1634" customFormat="1">
      <c r="G47990" s="3336"/>
      <c r="P47990" s="3337"/>
    </row>
    <row r="47991" spans="7:16" s="1634" customFormat="1">
      <c r="G47991" s="3336"/>
      <c r="P47991" s="3337"/>
    </row>
    <row r="47992" spans="7:16" s="1634" customFormat="1">
      <c r="G47992" s="3336"/>
      <c r="P47992" s="3337"/>
    </row>
    <row r="47993" spans="7:16" s="1634" customFormat="1">
      <c r="G47993" s="3336"/>
      <c r="P47993" s="3337"/>
    </row>
    <row r="47994" spans="7:16" s="1634" customFormat="1">
      <c r="G47994" s="3336"/>
      <c r="P47994" s="3337"/>
    </row>
    <row r="47995" spans="7:16" s="1634" customFormat="1">
      <c r="G47995" s="3336"/>
      <c r="P47995" s="3337"/>
    </row>
    <row r="47996" spans="7:16" s="1634" customFormat="1">
      <c r="G47996" s="3336"/>
      <c r="P47996" s="3337"/>
    </row>
    <row r="47997" spans="7:16" s="1634" customFormat="1">
      <c r="G47997" s="3336"/>
      <c r="P47997" s="3337"/>
    </row>
    <row r="47998" spans="7:16" s="1634" customFormat="1">
      <c r="G47998" s="3336"/>
      <c r="P47998" s="3337"/>
    </row>
    <row r="47999" spans="7:16" s="1634" customFormat="1">
      <c r="G47999" s="3336"/>
      <c r="P47999" s="3337"/>
    </row>
    <row r="48000" spans="7:16" s="1634" customFormat="1">
      <c r="G48000" s="3336"/>
      <c r="P48000" s="3337"/>
    </row>
    <row r="48001" spans="7:16" s="1634" customFormat="1">
      <c r="G48001" s="3336"/>
      <c r="P48001" s="3337"/>
    </row>
    <row r="48002" spans="7:16" s="1634" customFormat="1">
      <c r="G48002" s="3336"/>
      <c r="P48002" s="3337"/>
    </row>
    <row r="48003" spans="7:16" s="1634" customFormat="1">
      <c r="G48003" s="3336"/>
      <c r="P48003" s="3337"/>
    </row>
    <row r="48004" spans="7:16" s="1634" customFormat="1">
      <c r="G48004" s="3336"/>
      <c r="P48004" s="3337"/>
    </row>
    <row r="48005" spans="7:16" s="1634" customFormat="1">
      <c r="G48005" s="3336"/>
      <c r="P48005" s="3337"/>
    </row>
    <row r="48006" spans="7:16" s="1634" customFormat="1">
      <c r="G48006" s="3336"/>
      <c r="P48006" s="3337"/>
    </row>
    <row r="48007" spans="7:16" s="1634" customFormat="1">
      <c r="G48007" s="3336"/>
      <c r="P48007" s="3337"/>
    </row>
    <row r="48008" spans="7:16" s="1634" customFormat="1">
      <c r="G48008" s="3336"/>
      <c r="P48008" s="3337"/>
    </row>
    <row r="48009" spans="7:16" s="1634" customFormat="1">
      <c r="G48009" s="3336"/>
      <c r="P48009" s="3337"/>
    </row>
    <row r="48010" spans="7:16" s="1634" customFormat="1">
      <c r="G48010" s="3336"/>
      <c r="P48010" s="3337"/>
    </row>
    <row r="48011" spans="7:16" s="1634" customFormat="1">
      <c r="G48011" s="3336"/>
      <c r="P48011" s="3337"/>
    </row>
    <row r="48012" spans="7:16" s="1634" customFormat="1">
      <c r="G48012" s="3336"/>
      <c r="P48012" s="3337"/>
    </row>
    <row r="48013" spans="7:16" s="1634" customFormat="1">
      <c r="G48013" s="3336"/>
      <c r="P48013" s="3337"/>
    </row>
    <row r="48014" spans="7:16" s="1634" customFormat="1">
      <c r="G48014" s="3336"/>
      <c r="P48014" s="3337"/>
    </row>
    <row r="48015" spans="7:16" s="1634" customFormat="1">
      <c r="G48015" s="3336"/>
      <c r="P48015" s="3337"/>
    </row>
    <row r="48016" spans="7:16" s="1634" customFormat="1">
      <c r="G48016" s="3336"/>
      <c r="P48016" s="3337"/>
    </row>
    <row r="48017" spans="7:16" s="1634" customFormat="1">
      <c r="G48017" s="3336"/>
      <c r="P48017" s="3337"/>
    </row>
    <row r="48018" spans="7:16" s="1634" customFormat="1">
      <c r="G48018" s="3336"/>
      <c r="P48018" s="3337"/>
    </row>
    <row r="48019" spans="7:16" s="1634" customFormat="1">
      <c r="G48019" s="3336"/>
      <c r="P48019" s="3337"/>
    </row>
    <row r="48020" spans="7:16" s="1634" customFormat="1">
      <c r="G48020" s="3336"/>
      <c r="P48020" s="3337"/>
    </row>
    <row r="48021" spans="7:16" s="1634" customFormat="1">
      <c r="G48021" s="3336"/>
      <c r="P48021" s="3337"/>
    </row>
    <row r="48022" spans="7:16" s="1634" customFormat="1">
      <c r="G48022" s="3336"/>
      <c r="P48022" s="3337"/>
    </row>
    <row r="48023" spans="7:16" s="1634" customFormat="1">
      <c r="G48023" s="3336"/>
      <c r="P48023" s="3337"/>
    </row>
    <row r="48024" spans="7:16" s="1634" customFormat="1">
      <c r="G48024" s="3336"/>
      <c r="P48024" s="3337"/>
    </row>
    <row r="48025" spans="7:16" s="1634" customFormat="1">
      <c r="G48025" s="3336"/>
      <c r="P48025" s="3337"/>
    </row>
    <row r="48026" spans="7:16" s="1634" customFormat="1">
      <c r="G48026" s="3336"/>
      <c r="P48026" s="3337"/>
    </row>
    <row r="48027" spans="7:16" s="1634" customFormat="1">
      <c r="G48027" s="3336"/>
      <c r="P48027" s="3337"/>
    </row>
    <row r="48028" spans="7:16" s="1634" customFormat="1">
      <c r="G48028" s="3336"/>
      <c r="P48028" s="3337"/>
    </row>
    <row r="48029" spans="7:16" s="1634" customFormat="1">
      <c r="G48029" s="3336"/>
      <c r="P48029" s="3337"/>
    </row>
    <row r="48030" spans="7:16" s="1634" customFormat="1">
      <c r="G48030" s="3336"/>
      <c r="P48030" s="3337"/>
    </row>
    <row r="48031" spans="7:16" s="1634" customFormat="1">
      <c r="G48031" s="3336"/>
      <c r="P48031" s="3337"/>
    </row>
    <row r="48032" spans="7:16" s="1634" customFormat="1">
      <c r="G48032" s="3336"/>
      <c r="P48032" s="3337"/>
    </row>
    <row r="48033" spans="7:16" s="1634" customFormat="1">
      <c r="G48033" s="3336"/>
      <c r="P48033" s="3337"/>
    </row>
    <row r="48034" spans="7:16" s="1634" customFormat="1">
      <c r="G48034" s="3336"/>
      <c r="P48034" s="3337"/>
    </row>
    <row r="48035" spans="7:16" s="1634" customFormat="1">
      <c r="G48035" s="3336"/>
      <c r="P48035" s="3337"/>
    </row>
    <row r="48036" spans="7:16" s="1634" customFormat="1">
      <c r="G48036" s="3336"/>
      <c r="P48036" s="3337"/>
    </row>
    <row r="48037" spans="7:16" s="1634" customFormat="1">
      <c r="G48037" s="3336"/>
      <c r="P48037" s="3337"/>
    </row>
    <row r="48038" spans="7:16" s="1634" customFormat="1">
      <c r="G48038" s="3336"/>
      <c r="P48038" s="3337"/>
    </row>
    <row r="48039" spans="7:16" s="1634" customFormat="1">
      <c r="G48039" s="3336"/>
      <c r="P48039" s="3337"/>
    </row>
    <row r="48040" spans="7:16" s="1634" customFormat="1">
      <c r="G48040" s="3336"/>
      <c r="P48040" s="3337"/>
    </row>
    <row r="48041" spans="7:16" s="1634" customFormat="1">
      <c r="G48041" s="3336"/>
      <c r="P48041" s="3337"/>
    </row>
    <row r="48042" spans="7:16" s="1634" customFormat="1">
      <c r="G48042" s="3336"/>
      <c r="P48042" s="3337"/>
    </row>
    <row r="48043" spans="7:16" s="1634" customFormat="1">
      <c r="G48043" s="3336"/>
      <c r="P48043" s="3337"/>
    </row>
    <row r="48044" spans="7:16" s="1634" customFormat="1">
      <c r="G48044" s="3336"/>
      <c r="P48044" s="3337"/>
    </row>
    <row r="48045" spans="7:16" s="1634" customFormat="1">
      <c r="G48045" s="3336"/>
      <c r="P48045" s="3337"/>
    </row>
    <row r="48046" spans="7:16" s="1634" customFormat="1">
      <c r="G48046" s="3336"/>
      <c r="P48046" s="3337"/>
    </row>
    <row r="48047" spans="7:16" s="1634" customFormat="1">
      <c r="G48047" s="3336"/>
      <c r="P48047" s="3337"/>
    </row>
    <row r="48048" spans="7:16" s="1634" customFormat="1">
      <c r="G48048" s="3336"/>
      <c r="P48048" s="3337"/>
    </row>
    <row r="48049" spans="7:16" s="1634" customFormat="1">
      <c r="G48049" s="3336"/>
      <c r="P48049" s="3337"/>
    </row>
    <row r="48050" spans="7:16" s="1634" customFormat="1">
      <c r="G48050" s="3336"/>
      <c r="P48050" s="3337"/>
    </row>
    <row r="48051" spans="7:16" s="1634" customFormat="1">
      <c r="G48051" s="3336"/>
      <c r="P48051" s="3337"/>
    </row>
    <row r="48052" spans="7:16" s="1634" customFormat="1">
      <c r="G48052" s="3336"/>
      <c r="P48052" s="3337"/>
    </row>
    <row r="48053" spans="7:16" s="1634" customFormat="1">
      <c r="G48053" s="3336"/>
      <c r="P48053" s="3337"/>
    </row>
    <row r="48054" spans="7:16" s="1634" customFormat="1">
      <c r="G48054" s="3336"/>
      <c r="P48054" s="3337"/>
    </row>
    <row r="48055" spans="7:16" s="1634" customFormat="1">
      <c r="G48055" s="3336"/>
      <c r="P48055" s="3337"/>
    </row>
    <row r="48056" spans="7:16" s="1634" customFormat="1">
      <c r="G48056" s="3336"/>
      <c r="P48056" s="3337"/>
    </row>
    <row r="48057" spans="7:16" s="1634" customFormat="1">
      <c r="G48057" s="3336"/>
      <c r="P48057" s="3337"/>
    </row>
    <row r="48058" spans="7:16" s="1634" customFormat="1">
      <c r="G48058" s="3336"/>
      <c r="P48058" s="3337"/>
    </row>
    <row r="48059" spans="7:16" s="1634" customFormat="1">
      <c r="G48059" s="3336"/>
      <c r="P48059" s="3337"/>
    </row>
    <row r="48060" spans="7:16" s="1634" customFormat="1">
      <c r="G48060" s="3336"/>
      <c r="P48060" s="3337"/>
    </row>
    <row r="48061" spans="7:16" s="1634" customFormat="1">
      <c r="G48061" s="3336"/>
      <c r="P48061" s="3337"/>
    </row>
    <row r="48062" spans="7:16" s="1634" customFormat="1">
      <c r="G48062" s="3336"/>
      <c r="P48062" s="3337"/>
    </row>
    <row r="48063" spans="7:16" s="1634" customFormat="1">
      <c r="G48063" s="3336"/>
      <c r="P48063" s="3337"/>
    </row>
    <row r="48064" spans="7:16" s="1634" customFormat="1">
      <c r="G48064" s="3336"/>
      <c r="P48064" s="3337"/>
    </row>
    <row r="48065" spans="7:16" s="1634" customFormat="1">
      <c r="G48065" s="3336"/>
      <c r="P48065" s="3337"/>
    </row>
    <row r="48066" spans="7:16" s="1634" customFormat="1">
      <c r="G48066" s="3336"/>
      <c r="P48066" s="3337"/>
    </row>
    <row r="48067" spans="7:16" s="1634" customFormat="1">
      <c r="G48067" s="3336"/>
      <c r="P48067" s="3337"/>
    </row>
    <row r="48068" spans="7:16" s="1634" customFormat="1">
      <c r="G48068" s="3336"/>
      <c r="P48068" s="3337"/>
    </row>
    <row r="48069" spans="7:16" s="1634" customFormat="1">
      <c r="G48069" s="3336"/>
      <c r="P48069" s="3337"/>
    </row>
    <row r="48070" spans="7:16" s="1634" customFormat="1">
      <c r="G48070" s="3336"/>
      <c r="P48070" s="3337"/>
    </row>
    <row r="48071" spans="7:16" s="1634" customFormat="1">
      <c r="G48071" s="3336"/>
      <c r="P48071" s="3337"/>
    </row>
    <row r="48072" spans="7:16" s="1634" customFormat="1">
      <c r="G48072" s="3336"/>
      <c r="P48072" s="3337"/>
    </row>
    <row r="48073" spans="7:16" s="1634" customFormat="1">
      <c r="G48073" s="3336"/>
      <c r="P48073" s="3337"/>
    </row>
    <row r="48074" spans="7:16" s="1634" customFormat="1">
      <c r="G48074" s="3336"/>
      <c r="P48074" s="3337"/>
    </row>
    <row r="48075" spans="7:16" s="1634" customFormat="1">
      <c r="G48075" s="3336"/>
      <c r="P48075" s="3337"/>
    </row>
    <row r="48076" spans="7:16" s="1634" customFormat="1">
      <c r="G48076" s="3336"/>
      <c r="P48076" s="3337"/>
    </row>
    <row r="48077" spans="7:16" s="1634" customFormat="1">
      <c r="G48077" s="3336"/>
      <c r="P48077" s="3337"/>
    </row>
    <row r="48078" spans="7:16" s="1634" customFormat="1">
      <c r="G48078" s="3336"/>
      <c r="P48078" s="3337"/>
    </row>
    <row r="48079" spans="7:16" s="1634" customFormat="1">
      <c r="G48079" s="3336"/>
      <c r="P48079" s="3337"/>
    </row>
    <row r="48080" spans="7:16" s="1634" customFormat="1">
      <c r="G48080" s="3336"/>
      <c r="P48080" s="3337"/>
    </row>
    <row r="48081" spans="7:16" s="1634" customFormat="1">
      <c r="G48081" s="3336"/>
      <c r="P48081" s="3337"/>
    </row>
    <row r="48082" spans="7:16" s="1634" customFormat="1">
      <c r="G48082" s="3336"/>
      <c r="P48082" s="3337"/>
    </row>
    <row r="48083" spans="7:16" s="1634" customFormat="1">
      <c r="G48083" s="3336"/>
      <c r="P48083" s="3337"/>
    </row>
    <row r="48084" spans="7:16" s="1634" customFormat="1">
      <c r="G48084" s="3336"/>
      <c r="P48084" s="3337"/>
    </row>
    <row r="48085" spans="7:16" s="1634" customFormat="1">
      <c r="G48085" s="3336"/>
      <c r="P48085" s="3337"/>
    </row>
    <row r="48086" spans="7:16" s="1634" customFormat="1">
      <c r="G48086" s="3336"/>
      <c r="P48086" s="3337"/>
    </row>
    <row r="48087" spans="7:16" s="1634" customFormat="1">
      <c r="G48087" s="3336"/>
      <c r="P48087" s="3337"/>
    </row>
    <row r="48088" spans="7:16" s="1634" customFormat="1">
      <c r="G48088" s="3336"/>
      <c r="P48088" s="3337"/>
    </row>
    <row r="48089" spans="7:16" s="1634" customFormat="1">
      <c r="G48089" s="3336"/>
      <c r="P48089" s="3337"/>
    </row>
    <row r="48090" spans="7:16" s="1634" customFormat="1">
      <c r="G48090" s="3336"/>
      <c r="P48090" s="3337"/>
    </row>
    <row r="48091" spans="7:16" s="1634" customFormat="1">
      <c r="G48091" s="3336"/>
      <c r="P48091" s="3337"/>
    </row>
    <row r="48092" spans="7:16" s="1634" customFormat="1">
      <c r="G48092" s="3336"/>
      <c r="P48092" s="3337"/>
    </row>
    <row r="48093" spans="7:16" s="1634" customFormat="1">
      <c r="G48093" s="3336"/>
      <c r="P48093" s="3337"/>
    </row>
    <row r="48094" spans="7:16" s="1634" customFormat="1">
      <c r="G48094" s="3336"/>
      <c r="P48094" s="3337"/>
    </row>
    <row r="48095" spans="7:16" s="1634" customFormat="1">
      <c r="G48095" s="3336"/>
      <c r="P48095" s="3337"/>
    </row>
    <row r="48096" spans="7:16" s="1634" customFormat="1">
      <c r="G48096" s="3336"/>
      <c r="P48096" s="3337"/>
    </row>
    <row r="48097" spans="7:16" s="1634" customFormat="1">
      <c r="G48097" s="3336"/>
      <c r="P48097" s="3337"/>
    </row>
    <row r="48098" spans="7:16" s="1634" customFormat="1">
      <c r="G48098" s="3336"/>
      <c r="P48098" s="3337"/>
    </row>
    <row r="48099" spans="7:16" s="1634" customFormat="1">
      <c r="G48099" s="3336"/>
      <c r="P48099" s="3337"/>
    </row>
    <row r="48100" spans="7:16" s="1634" customFormat="1">
      <c r="G48100" s="3336"/>
      <c r="P48100" s="3337"/>
    </row>
    <row r="48101" spans="7:16" s="1634" customFormat="1">
      <c r="G48101" s="3336"/>
      <c r="P48101" s="3337"/>
    </row>
    <row r="48102" spans="7:16" s="1634" customFormat="1">
      <c r="G48102" s="3336"/>
      <c r="P48102" s="3337"/>
    </row>
    <row r="48103" spans="7:16" s="1634" customFormat="1">
      <c r="G48103" s="3336"/>
      <c r="P48103" s="3337"/>
    </row>
    <row r="48104" spans="7:16" s="1634" customFormat="1">
      <c r="G48104" s="3336"/>
      <c r="P48104" s="3337"/>
    </row>
    <row r="48105" spans="7:16" s="1634" customFormat="1">
      <c r="G48105" s="3336"/>
      <c r="P48105" s="3337"/>
    </row>
    <row r="48106" spans="7:16" s="1634" customFormat="1">
      <c r="G48106" s="3336"/>
      <c r="P48106" s="3337"/>
    </row>
    <row r="48107" spans="7:16" s="1634" customFormat="1">
      <c r="G48107" s="3336"/>
      <c r="P48107" s="3337"/>
    </row>
    <row r="48108" spans="7:16" s="1634" customFormat="1">
      <c r="G48108" s="3336"/>
      <c r="P48108" s="3337"/>
    </row>
    <row r="48109" spans="7:16" s="1634" customFormat="1">
      <c r="G48109" s="3336"/>
      <c r="P48109" s="3337"/>
    </row>
    <row r="48110" spans="7:16" s="1634" customFormat="1">
      <c r="G48110" s="3336"/>
      <c r="P48110" s="3337"/>
    </row>
    <row r="48111" spans="7:16" s="1634" customFormat="1">
      <c r="G48111" s="3336"/>
      <c r="P48111" s="3337"/>
    </row>
    <row r="48112" spans="7:16" s="1634" customFormat="1">
      <c r="G48112" s="3336"/>
      <c r="P48112" s="3337"/>
    </row>
    <row r="48113" spans="7:16" s="1634" customFormat="1">
      <c r="G48113" s="3336"/>
      <c r="P48113" s="3337"/>
    </row>
    <row r="48114" spans="7:16" s="1634" customFormat="1">
      <c r="G48114" s="3336"/>
      <c r="P48114" s="3337"/>
    </row>
    <row r="48115" spans="7:16" s="1634" customFormat="1">
      <c r="G48115" s="3336"/>
      <c r="P48115" s="3337"/>
    </row>
    <row r="48116" spans="7:16" s="1634" customFormat="1">
      <c r="G48116" s="3336"/>
      <c r="P48116" s="3337"/>
    </row>
    <row r="48117" spans="7:16" s="1634" customFormat="1">
      <c r="G48117" s="3336"/>
      <c r="P48117" s="3337"/>
    </row>
    <row r="48118" spans="7:16" s="1634" customFormat="1">
      <c r="G48118" s="3336"/>
      <c r="P48118" s="3337"/>
    </row>
    <row r="48119" spans="7:16" s="1634" customFormat="1">
      <c r="G48119" s="3336"/>
      <c r="P48119" s="3337"/>
    </row>
    <row r="48120" spans="7:16" s="1634" customFormat="1">
      <c r="G48120" s="3336"/>
      <c r="P48120" s="3337"/>
    </row>
    <row r="48121" spans="7:16" s="1634" customFormat="1">
      <c r="G48121" s="3336"/>
      <c r="P48121" s="3337"/>
    </row>
    <row r="48122" spans="7:16" s="1634" customFormat="1">
      <c r="G48122" s="3336"/>
      <c r="P48122" s="3337"/>
    </row>
    <row r="48123" spans="7:16" s="1634" customFormat="1">
      <c r="G48123" s="3336"/>
      <c r="P48123" s="3337"/>
    </row>
    <row r="48124" spans="7:16" s="1634" customFormat="1">
      <c r="G48124" s="3336"/>
      <c r="P48124" s="3337"/>
    </row>
    <row r="48125" spans="7:16" s="1634" customFormat="1">
      <c r="G48125" s="3336"/>
      <c r="P48125" s="3337"/>
    </row>
    <row r="48126" spans="7:16" s="1634" customFormat="1">
      <c r="G48126" s="3336"/>
      <c r="P48126" s="3337"/>
    </row>
    <row r="48127" spans="7:16" s="1634" customFormat="1">
      <c r="G48127" s="3336"/>
      <c r="P48127" s="3337"/>
    </row>
    <row r="48128" spans="7:16" s="1634" customFormat="1">
      <c r="G48128" s="3336"/>
      <c r="P48128" s="3337"/>
    </row>
    <row r="48129" spans="7:16" s="1634" customFormat="1">
      <c r="G48129" s="3336"/>
      <c r="P48129" s="3337"/>
    </row>
    <row r="48130" spans="7:16" s="1634" customFormat="1">
      <c r="G48130" s="3336"/>
      <c r="P48130" s="3337"/>
    </row>
    <row r="48131" spans="7:16" s="1634" customFormat="1">
      <c r="G48131" s="3336"/>
      <c r="P48131" s="3337"/>
    </row>
    <row r="48132" spans="7:16" s="1634" customFormat="1">
      <c r="G48132" s="3336"/>
      <c r="P48132" s="3337"/>
    </row>
    <row r="48133" spans="7:16" s="1634" customFormat="1">
      <c r="G48133" s="3336"/>
      <c r="P48133" s="3337"/>
    </row>
    <row r="48134" spans="7:16" s="1634" customFormat="1">
      <c r="G48134" s="3336"/>
      <c r="P48134" s="3337"/>
    </row>
    <row r="48135" spans="7:16" s="1634" customFormat="1">
      <c r="G48135" s="3336"/>
      <c r="P48135" s="3337"/>
    </row>
    <row r="48136" spans="7:16" s="1634" customFormat="1">
      <c r="G48136" s="3336"/>
      <c r="P48136" s="3337"/>
    </row>
    <row r="48137" spans="7:16" s="1634" customFormat="1">
      <c r="G48137" s="3336"/>
      <c r="P48137" s="3337"/>
    </row>
    <row r="48138" spans="7:16" s="1634" customFormat="1">
      <c r="G48138" s="3336"/>
      <c r="P48138" s="3337"/>
    </row>
    <row r="48139" spans="7:16" s="1634" customFormat="1">
      <c r="G48139" s="3336"/>
      <c r="P48139" s="3337"/>
    </row>
    <row r="48140" spans="7:16" s="1634" customFormat="1">
      <c r="G48140" s="3336"/>
      <c r="P48140" s="3337"/>
    </row>
    <row r="48141" spans="7:16" s="1634" customFormat="1">
      <c r="G48141" s="3336"/>
      <c r="P48141" s="3337"/>
    </row>
    <row r="48142" spans="7:16" s="1634" customFormat="1">
      <c r="G48142" s="3336"/>
      <c r="P48142" s="3337"/>
    </row>
    <row r="48143" spans="7:16" s="1634" customFormat="1">
      <c r="G48143" s="3336"/>
      <c r="P48143" s="3337"/>
    </row>
    <row r="48144" spans="7:16" s="1634" customFormat="1">
      <c r="G48144" s="3336"/>
      <c r="P48144" s="3337"/>
    </row>
    <row r="48145" spans="7:16" s="1634" customFormat="1">
      <c r="G48145" s="3336"/>
      <c r="P48145" s="3337"/>
    </row>
    <row r="48146" spans="7:16" s="1634" customFormat="1">
      <c r="G48146" s="3336"/>
      <c r="P48146" s="3337"/>
    </row>
    <row r="48147" spans="7:16" s="1634" customFormat="1">
      <c r="G48147" s="3336"/>
      <c r="P48147" s="3337"/>
    </row>
    <row r="48148" spans="7:16" s="1634" customFormat="1">
      <c r="G48148" s="3336"/>
      <c r="P48148" s="3337"/>
    </row>
    <row r="48149" spans="7:16" s="1634" customFormat="1">
      <c r="G48149" s="3336"/>
      <c r="P48149" s="3337"/>
    </row>
    <row r="48150" spans="7:16" s="1634" customFormat="1">
      <c r="G48150" s="3336"/>
      <c r="P48150" s="3337"/>
    </row>
    <row r="48151" spans="7:16" s="1634" customFormat="1">
      <c r="G48151" s="3336"/>
      <c r="P48151" s="3337"/>
    </row>
    <row r="48152" spans="7:16" s="1634" customFormat="1">
      <c r="G48152" s="3336"/>
      <c r="P48152" s="3337"/>
    </row>
    <row r="48153" spans="7:16" s="1634" customFormat="1">
      <c r="G48153" s="3336"/>
      <c r="P48153" s="3337"/>
    </row>
    <row r="48154" spans="7:16" s="1634" customFormat="1">
      <c r="G48154" s="3336"/>
      <c r="P48154" s="3337"/>
    </row>
    <row r="48155" spans="7:16" s="1634" customFormat="1">
      <c r="G48155" s="3336"/>
      <c r="P48155" s="3337"/>
    </row>
    <row r="48156" spans="7:16" s="1634" customFormat="1">
      <c r="G48156" s="3336"/>
      <c r="P48156" s="3337"/>
    </row>
    <row r="48157" spans="7:16" s="1634" customFormat="1">
      <c r="G48157" s="3336"/>
      <c r="P48157" s="3337"/>
    </row>
    <row r="48158" spans="7:16" s="1634" customFormat="1">
      <c r="G48158" s="3336"/>
      <c r="P48158" s="3337"/>
    </row>
    <row r="48159" spans="7:16" s="1634" customFormat="1">
      <c r="G48159" s="3336"/>
      <c r="P48159" s="3337"/>
    </row>
    <row r="48160" spans="7:16" s="1634" customFormat="1">
      <c r="G48160" s="3336"/>
      <c r="P48160" s="3337"/>
    </row>
    <row r="48161" spans="7:16" s="1634" customFormat="1">
      <c r="G48161" s="3336"/>
      <c r="P48161" s="3337"/>
    </row>
    <row r="48162" spans="7:16" s="1634" customFormat="1">
      <c r="G48162" s="3336"/>
      <c r="P48162" s="3337"/>
    </row>
    <row r="48163" spans="7:16" s="1634" customFormat="1">
      <c r="G48163" s="3336"/>
      <c r="P48163" s="3337"/>
    </row>
    <row r="48164" spans="7:16" s="1634" customFormat="1">
      <c r="G48164" s="3336"/>
      <c r="P48164" s="3337"/>
    </row>
    <row r="48165" spans="7:16" s="1634" customFormat="1">
      <c r="G48165" s="3336"/>
      <c r="P48165" s="3337"/>
    </row>
    <row r="48166" spans="7:16" s="1634" customFormat="1">
      <c r="G48166" s="3336"/>
      <c r="P48166" s="3337"/>
    </row>
    <row r="48167" spans="7:16" s="1634" customFormat="1">
      <c r="G48167" s="3336"/>
      <c r="P48167" s="3337"/>
    </row>
    <row r="48168" spans="7:16" s="1634" customFormat="1">
      <c r="G48168" s="3336"/>
      <c r="P48168" s="3337"/>
    </row>
    <row r="48169" spans="7:16" s="1634" customFormat="1">
      <c r="G48169" s="3336"/>
      <c r="P48169" s="3337"/>
    </row>
    <row r="48170" spans="7:16" s="1634" customFormat="1">
      <c r="G48170" s="3336"/>
      <c r="P48170" s="3337"/>
    </row>
    <row r="48171" spans="7:16" s="1634" customFormat="1">
      <c r="G48171" s="3336"/>
      <c r="P48171" s="3337"/>
    </row>
    <row r="48172" spans="7:16" s="1634" customFormat="1">
      <c r="G48172" s="3336"/>
      <c r="P48172" s="3337"/>
    </row>
    <row r="48173" spans="7:16" s="1634" customFormat="1">
      <c r="G48173" s="3336"/>
      <c r="P48173" s="3337"/>
    </row>
    <row r="48174" spans="7:16" s="1634" customFormat="1">
      <c r="G48174" s="3336"/>
      <c r="P48174" s="3337"/>
    </row>
    <row r="48175" spans="7:16" s="1634" customFormat="1">
      <c r="G48175" s="3336"/>
      <c r="P48175" s="3337"/>
    </row>
    <row r="48176" spans="7:16" s="1634" customFormat="1">
      <c r="G48176" s="3336"/>
      <c r="P48176" s="3337"/>
    </row>
    <row r="48177" spans="7:16" s="1634" customFormat="1">
      <c r="G48177" s="3336"/>
      <c r="P48177" s="3337"/>
    </row>
    <row r="48178" spans="7:16" s="1634" customFormat="1">
      <c r="G48178" s="3336"/>
      <c r="P48178" s="3337"/>
    </row>
    <row r="48179" spans="7:16" s="1634" customFormat="1">
      <c r="G48179" s="3336"/>
      <c r="P48179" s="3337"/>
    </row>
    <row r="48180" spans="7:16" s="1634" customFormat="1">
      <c r="G48180" s="3336"/>
      <c r="P48180" s="3337"/>
    </row>
    <row r="48181" spans="7:16" s="1634" customFormat="1">
      <c r="G48181" s="3336"/>
      <c r="P48181" s="3337"/>
    </row>
    <row r="48182" spans="7:16" s="1634" customFormat="1">
      <c r="G48182" s="3336"/>
      <c r="P48182" s="3337"/>
    </row>
    <row r="48183" spans="7:16" s="1634" customFormat="1">
      <c r="G48183" s="3336"/>
      <c r="P48183" s="3337"/>
    </row>
    <row r="48184" spans="7:16" s="1634" customFormat="1">
      <c r="G48184" s="3336"/>
      <c r="P48184" s="3337"/>
    </row>
    <row r="48185" spans="7:16" s="1634" customFormat="1">
      <c r="G48185" s="3336"/>
      <c r="P48185" s="3337"/>
    </row>
    <row r="48186" spans="7:16" s="1634" customFormat="1">
      <c r="G48186" s="3336"/>
      <c r="P48186" s="3337"/>
    </row>
    <row r="48187" spans="7:16" s="1634" customFormat="1">
      <c r="G48187" s="3336"/>
      <c r="P48187" s="3337"/>
    </row>
    <row r="48188" spans="7:16" s="1634" customFormat="1">
      <c r="G48188" s="3336"/>
      <c r="P48188" s="3337"/>
    </row>
    <row r="48189" spans="7:16" s="1634" customFormat="1">
      <c r="G48189" s="3336"/>
      <c r="P48189" s="3337"/>
    </row>
    <row r="48190" spans="7:16" s="1634" customFormat="1">
      <c r="G48190" s="3336"/>
      <c r="P48190" s="3337"/>
    </row>
    <row r="48191" spans="7:16" s="1634" customFormat="1">
      <c r="G48191" s="3336"/>
      <c r="P48191" s="3337"/>
    </row>
    <row r="48192" spans="7:16" s="1634" customFormat="1">
      <c r="G48192" s="3336"/>
      <c r="P48192" s="3337"/>
    </row>
    <row r="48193" spans="7:16" s="1634" customFormat="1">
      <c r="G48193" s="3336"/>
      <c r="P48193" s="3337"/>
    </row>
    <row r="48194" spans="7:16" s="1634" customFormat="1">
      <c r="G48194" s="3336"/>
      <c r="P48194" s="3337"/>
    </row>
    <row r="48195" spans="7:16" s="1634" customFormat="1">
      <c r="G48195" s="3336"/>
      <c r="P48195" s="3337"/>
    </row>
    <row r="48196" spans="7:16" s="1634" customFormat="1">
      <c r="G48196" s="3336"/>
      <c r="P48196" s="3337"/>
    </row>
    <row r="48197" spans="7:16" s="1634" customFormat="1">
      <c r="G48197" s="3336"/>
      <c r="P48197" s="3337"/>
    </row>
    <row r="48198" spans="7:16" s="1634" customFormat="1">
      <c r="G48198" s="3336"/>
      <c r="P48198" s="3337"/>
    </row>
    <row r="48199" spans="7:16" s="1634" customFormat="1">
      <c r="G48199" s="3336"/>
      <c r="P48199" s="3337"/>
    </row>
    <row r="48200" spans="7:16" s="1634" customFormat="1">
      <c r="G48200" s="3336"/>
      <c r="P48200" s="3337"/>
    </row>
    <row r="48201" spans="7:16" s="1634" customFormat="1">
      <c r="G48201" s="3336"/>
      <c r="P48201" s="3337"/>
    </row>
    <row r="48202" spans="7:16" s="1634" customFormat="1">
      <c r="G48202" s="3336"/>
      <c r="P48202" s="3337"/>
    </row>
    <row r="48203" spans="7:16" s="1634" customFormat="1">
      <c r="G48203" s="3336"/>
      <c r="P48203" s="3337"/>
    </row>
    <row r="48204" spans="7:16" s="1634" customFormat="1">
      <c r="G48204" s="3336"/>
      <c r="P48204" s="3337"/>
    </row>
    <row r="48205" spans="7:16" s="1634" customFormat="1">
      <c r="G48205" s="3336"/>
      <c r="P48205" s="3337"/>
    </row>
    <row r="48206" spans="7:16" s="1634" customFormat="1">
      <c r="G48206" s="3336"/>
      <c r="P48206" s="3337"/>
    </row>
    <row r="48207" spans="7:16" s="1634" customFormat="1">
      <c r="G48207" s="3336"/>
      <c r="P48207" s="3337"/>
    </row>
    <row r="48208" spans="7:16" s="1634" customFormat="1">
      <c r="G48208" s="3336"/>
      <c r="P48208" s="3337"/>
    </row>
    <row r="48209" spans="7:16" s="1634" customFormat="1">
      <c r="G48209" s="3336"/>
      <c r="P48209" s="3337"/>
    </row>
    <row r="48210" spans="7:16" s="1634" customFormat="1">
      <c r="G48210" s="3336"/>
      <c r="P48210" s="3337"/>
    </row>
    <row r="48211" spans="7:16" s="1634" customFormat="1">
      <c r="G48211" s="3336"/>
      <c r="P48211" s="3337"/>
    </row>
    <row r="48212" spans="7:16" s="1634" customFormat="1">
      <c r="G48212" s="3336"/>
      <c r="P48212" s="3337"/>
    </row>
    <row r="48213" spans="7:16" s="1634" customFormat="1">
      <c r="G48213" s="3336"/>
      <c r="P48213" s="3337"/>
    </row>
    <row r="48214" spans="7:16" s="1634" customFormat="1">
      <c r="G48214" s="3336"/>
      <c r="P48214" s="3337"/>
    </row>
    <row r="48215" spans="7:16" s="1634" customFormat="1">
      <c r="G48215" s="3336"/>
      <c r="P48215" s="3337"/>
    </row>
    <row r="48216" spans="7:16" s="1634" customFormat="1">
      <c r="G48216" s="3336"/>
      <c r="P48216" s="3337"/>
    </row>
    <row r="48217" spans="7:16" s="1634" customFormat="1">
      <c r="G48217" s="3336"/>
      <c r="P48217" s="3337"/>
    </row>
    <row r="48218" spans="7:16" s="1634" customFormat="1">
      <c r="G48218" s="3336"/>
      <c r="P48218" s="3337"/>
    </row>
    <row r="48219" spans="7:16" s="1634" customFormat="1">
      <c r="G48219" s="3336"/>
      <c r="P48219" s="3337"/>
    </row>
    <row r="48220" spans="7:16" s="1634" customFormat="1">
      <c r="G48220" s="3336"/>
      <c r="P48220" s="3337"/>
    </row>
    <row r="48221" spans="7:16" s="1634" customFormat="1">
      <c r="G48221" s="3336"/>
      <c r="P48221" s="3337"/>
    </row>
    <row r="48222" spans="7:16" s="1634" customFormat="1">
      <c r="G48222" s="3336"/>
      <c r="P48222" s="3337"/>
    </row>
    <row r="48223" spans="7:16" s="1634" customFormat="1">
      <c r="G48223" s="3336"/>
      <c r="P48223" s="3337"/>
    </row>
    <row r="48224" spans="7:16" s="1634" customFormat="1">
      <c r="G48224" s="3336"/>
      <c r="P48224" s="3337"/>
    </row>
    <row r="48225" spans="7:16" s="1634" customFormat="1">
      <c r="G48225" s="3336"/>
      <c r="P48225" s="3337"/>
    </row>
    <row r="48226" spans="7:16" s="1634" customFormat="1">
      <c r="G48226" s="3336"/>
      <c r="P48226" s="3337"/>
    </row>
    <row r="48227" spans="7:16" s="1634" customFormat="1">
      <c r="G48227" s="3336"/>
      <c r="P48227" s="3337"/>
    </row>
    <row r="48228" spans="7:16" s="1634" customFormat="1">
      <c r="G48228" s="3336"/>
      <c r="P48228" s="3337"/>
    </row>
    <row r="48229" spans="7:16" s="1634" customFormat="1">
      <c r="G48229" s="3336"/>
      <c r="P48229" s="3337"/>
    </row>
    <row r="48230" spans="7:16" s="1634" customFormat="1">
      <c r="G48230" s="3336"/>
      <c r="P48230" s="3337"/>
    </row>
    <row r="48231" spans="7:16" s="1634" customFormat="1">
      <c r="G48231" s="3336"/>
      <c r="P48231" s="3337"/>
    </row>
    <row r="48232" spans="7:16" s="1634" customFormat="1">
      <c r="G48232" s="3336"/>
      <c r="P48232" s="3337"/>
    </row>
    <row r="48233" spans="7:16" s="1634" customFormat="1">
      <c r="G48233" s="3336"/>
      <c r="P48233" s="3337"/>
    </row>
    <row r="48234" spans="7:16" s="1634" customFormat="1">
      <c r="G48234" s="3336"/>
      <c r="P48234" s="3337"/>
    </row>
    <row r="48235" spans="7:16" s="1634" customFormat="1">
      <c r="G48235" s="3336"/>
      <c r="P48235" s="3337"/>
    </row>
    <row r="48236" spans="7:16" s="1634" customFormat="1">
      <c r="G48236" s="3336"/>
      <c r="P48236" s="3337"/>
    </row>
    <row r="48237" spans="7:16" s="1634" customFormat="1">
      <c r="G48237" s="3336"/>
      <c r="P48237" s="3337"/>
    </row>
    <row r="48238" spans="7:16" s="1634" customFormat="1">
      <c r="G48238" s="3336"/>
      <c r="P48238" s="3337"/>
    </row>
    <row r="48239" spans="7:16" s="1634" customFormat="1">
      <c r="G48239" s="3336"/>
      <c r="P48239" s="3337"/>
    </row>
    <row r="48240" spans="7:16" s="1634" customFormat="1">
      <c r="G48240" s="3336"/>
      <c r="P48240" s="3337"/>
    </row>
    <row r="48241" spans="7:16" s="1634" customFormat="1">
      <c r="G48241" s="3336"/>
      <c r="P48241" s="3337"/>
    </row>
    <row r="48242" spans="7:16" s="1634" customFormat="1">
      <c r="G48242" s="3336"/>
      <c r="P48242" s="3337"/>
    </row>
    <row r="48243" spans="7:16" s="1634" customFormat="1">
      <c r="G48243" s="3336"/>
      <c r="P48243" s="3337"/>
    </row>
    <row r="48244" spans="7:16" s="1634" customFormat="1">
      <c r="G48244" s="3336"/>
      <c r="P48244" s="3337"/>
    </row>
    <row r="48245" spans="7:16" s="1634" customFormat="1">
      <c r="G48245" s="3336"/>
      <c r="P48245" s="3337"/>
    </row>
    <row r="48246" spans="7:16" s="1634" customFormat="1">
      <c r="G48246" s="3336"/>
      <c r="P48246" s="3337"/>
    </row>
    <row r="48247" spans="7:16" s="1634" customFormat="1">
      <c r="G48247" s="3336"/>
      <c r="P48247" s="3337"/>
    </row>
    <row r="48248" spans="7:16" s="1634" customFormat="1">
      <c r="G48248" s="3336"/>
      <c r="P48248" s="3337"/>
    </row>
    <row r="48249" spans="7:16" s="1634" customFormat="1">
      <c r="G48249" s="3336"/>
      <c r="P48249" s="3337"/>
    </row>
    <row r="48250" spans="7:16" s="1634" customFormat="1">
      <c r="G48250" s="3336"/>
      <c r="P48250" s="3337"/>
    </row>
    <row r="48251" spans="7:16" s="1634" customFormat="1">
      <c r="G48251" s="3336"/>
      <c r="P48251" s="3337"/>
    </row>
    <row r="48252" spans="7:16" s="1634" customFormat="1">
      <c r="G48252" s="3336"/>
      <c r="P48252" s="3337"/>
    </row>
    <row r="48253" spans="7:16" s="1634" customFormat="1">
      <c r="G48253" s="3336"/>
      <c r="P48253" s="3337"/>
    </row>
    <row r="48254" spans="7:16" s="1634" customFormat="1">
      <c r="G48254" s="3336"/>
      <c r="P48254" s="3337"/>
    </row>
    <row r="48255" spans="7:16" s="1634" customFormat="1">
      <c r="G48255" s="3336"/>
      <c r="P48255" s="3337"/>
    </row>
    <row r="48256" spans="7:16" s="1634" customFormat="1">
      <c r="G48256" s="3336"/>
      <c r="P48256" s="3337"/>
    </row>
    <row r="48257" spans="7:16" s="1634" customFormat="1">
      <c r="G48257" s="3336"/>
      <c r="P48257" s="3337"/>
    </row>
    <row r="48258" spans="7:16" s="1634" customFormat="1">
      <c r="G48258" s="3336"/>
      <c r="P48258" s="3337"/>
    </row>
    <row r="48259" spans="7:16" s="1634" customFormat="1">
      <c r="G48259" s="3336"/>
      <c r="P48259" s="3337"/>
    </row>
    <row r="48260" spans="7:16" s="1634" customFormat="1">
      <c r="G48260" s="3336"/>
      <c r="P48260" s="3337"/>
    </row>
    <row r="48261" spans="7:16" s="1634" customFormat="1">
      <c r="G48261" s="3336"/>
      <c r="P48261" s="3337"/>
    </row>
    <row r="48262" spans="7:16" s="1634" customFormat="1">
      <c r="G48262" s="3336"/>
      <c r="P48262" s="3337"/>
    </row>
    <row r="48263" spans="7:16" s="1634" customFormat="1">
      <c r="G48263" s="3336"/>
      <c r="P48263" s="3337"/>
    </row>
    <row r="48264" spans="7:16" s="1634" customFormat="1">
      <c r="G48264" s="3336"/>
      <c r="P48264" s="3337"/>
    </row>
    <row r="48265" spans="7:16" s="1634" customFormat="1">
      <c r="G48265" s="3336"/>
      <c r="P48265" s="3337"/>
    </row>
    <row r="48266" spans="7:16" s="1634" customFormat="1">
      <c r="G48266" s="3336"/>
      <c r="P48266" s="3337"/>
    </row>
    <row r="48267" spans="7:16" s="1634" customFormat="1">
      <c r="G48267" s="3336"/>
      <c r="P48267" s="3337"/>
    </row>
    <row r="48268" spans="7:16" s="1634" customFormat="1">
      <c r="G48268" s="3336"/>
      <c r="P48268" s="3337"/>
    </row>
    <row r="48269" spans="7:16" s="1634" customFormat="1">
      <c r="G48269" s="3336"/>
      <c r="P48269" s="3337"/>
    </row>
    <row r="48270" spans="7:16" s="1634" customFormat="1">
      <c r="G48270" s="3336"/>
      <c r="P48270" s="3337"/>
    </row>
    <row r="48271" spans="7:16" s="1634" customFormat="1">
      <c r="G48271" s="3336"/>
      <c r="P48271" s="3337"/>
    </row>
    <row r="48272" spans="7:16" s="1634" customFormat="1">
      <c r="G48272" s="3336"/>
      <c r="P48272" s="3337"/>
    </row>
    <row r="48273" spans="7:16" s="1634" customFormat="1">
      <c r="G48273" s="3336"/>
      <c r="P48273" s="3337"/>
    </row>
    <row r="48274" spans="7:16" s="1634" customFormat="1">
      <c r="G48274" s="3336"/>
      <c r="P48274" s="3337"/>
    </row>
    <row r="48275" spans="7:16" s="1634" customFormat="1">
      <c r="G48275" s="3336"/>
      <c r="P48275" s="3337"/>
    </row>
    <row r="48276" spans="7:16" s="1634" customFormat="1">
      <c r="G48276" s="3336"/>
      <c r="P48276" s="3337"/>
    </row>
    <row r="48277" spans="7:16" s="1634" customFormat="1">
      <c r="G48277" s="3336"/>
      <c r="P48277" s="3337"/>
    </row>
    <row r="48278" spans="7:16" s="1634" customFormat="1">
      <c r="G48278" s="3336"/>
      <c r="P48278" s="3337"/>
    </row>
    <row r="48279" spans="7:16" s="1634" customFormat="1">
      <c r="G48279" s="3336"/>
      <c r="P48279" s="3337"/>
    </row>
    <row r="48280" spans="7:16" s="1634" customFormat="1">
      <c r="G48280" s="3336"/>
      <c r="P48280" s="3337"/>
    </row>
    <row r="48281" spans="7:16" s="1634" customFormat="1">
      <c r="G48281" s="3336"/>
      <c r="P48281" s="3337"/>
    </row>
    <row r="48282" spans="7:16" s="1634" customFormat="1">
      <c r="G48282" s="3336"/>
      <c r="P48282" s="3337"/>
    </row>
    <row r="48283" spans="7:16" s="1634" customFormat="1">
      <c r="G48283" s="3336"/>
      <c r="P48283" s="3337"/>
    </row>
    <row r="48284" spans="7:16" s="1634" customFormat="1">
      <c r="G48284" s="3336"/>
      <c r="P48284" s="3337"/>
    </row>
    <row r="48285" spans="7:16" s="1634" customFormat="1">
      <c r="G48285" s="3336"/>
      <c r="P48285" s="3337"/>
    </row>
    <row r="48286" spans="7:16" s="1634" customFormat="1">
      <c r="G48286" s="3336"/>
      <c r="P48286" s="3337"/>
    </row>
    <row r="48287" spans="7:16" s="1634" customFormat="1">
      <c r="G48287" s="3336"/>
      <c r="P48287" s="3337"/>
    </row>
    <row r="48288" spans="7:16" s="1634" customFormat="1">
      <c r="G48288" s="3336"/>
      <c r="P48288" s="3337"/>
    </row>
    <row r="48289" spans="7:16" s="1634" customFormat="1">
      <c r="G48289" s="3336"/>
      <c r="P48289" s="3337"/>
    </row>
    <row r="48290" spans="7:16" s="1634" customFormat="1">
      <c r="G48290" s="3336"/>
      <c r="P48290" s="3337"/>
    </row>
    <row r="48291" spans="7:16" s="1634" customFormat="1">
      <c r="G48291" s="3336"/>
      <c r="P48291" s="3337"/>
    </row>
    <row r="48292" spans="7:16" s="1634" customFormat="1">
      <c r="G48292" s="3336"/>
      <c r="P48292" s="3337"/>
    </row>
    <row r="48293" spans="7:16" s="1634" customFormat="1">
      <c r="G48293" s="3336"/>
      <c r="P48293" s="3337"/>
    </row>
    <row r="48294" spans="7:16" s="1634" customFormat="1">
      <c r="G48294" s="3336"/>
      <c r="P48294" s="3337"/>
    </row>
    <row r="48295" spans="7:16" s="1634" customFormat="1">
      <c r="G48295" s="3336"/>
      <c r="P48295" s="3337"/>
    </row>
    <row r="48296" spans="7:16" s="1634" customFormat="1">
      <c r="G48296" s="3336"/>
      <c r="P48296" s="3337"/>
    </row>
    <row r="48297" spans="7:16" s="1634" customFormat="1">
      <c r="G48297" s="3336"/>
      <c r="P48297" s="3337"/>
    </row>
    <row r="48298" spans="7:16" s="1634" customFormat="1">
      <c r="G48298" s="3336"/>
      <c r="P48298" s="3337"/>
    </row>
    <row r="48299" spans="7:16" s="1634" customFormat="1">
      <c r="G48299" s="3336"/>
      <c r="P48299" s="3337"/>
    </row>
    <row r="48300" spans="7:16" s="1634" customFormat="1">
      <c r="G48300" s="3336"/>
      <c r="P48300" s="3337"/>
    </row>
    <row r="48301" spans="7:16" s="1634" customFormat="1">
      <c r="G48301" s="3336"/>
      <c r="P48301" s="3337"/>
    </row>
    <row r="48302" spans="7:16" s="1634" customFormat="1">
      <c r="G48302" s="3336"/>
      <c r="P48302" s="3337"/>
    </row>
    <row r="48303" spans="7:16" s="1634" customFormat="1">
      <c r="G48303" s="3336"/>
      <c r="P48303" s="3337"/>
    </row>
    <row r="48304" spans="7:16" s="1634" customFormat="1">
      <c r="G48304" s="3336"/>
      <c r="P48304" s="3337"/>
    </row>
    <row r="48305" spans="7:16" s="1634" customFormat="1">
      <c r="G48305" s="3336"/>
      <c r="P48305" s="3337"/>
    </row>
    <row r="48306" spans="7:16" s="1634" customFormat="1">
      <c r="G48306" s="3336"/>
      <c r="P48306" s="3337"/>
    </row>
    <row r="48307" spans="7:16" s="1634" customFormat="1">
      <c r="G48307" s="3336"/>
      <c r="P48307" s="3337"/>
    </row>
    <row r="48308" spans="7:16" s="1634" customFormat="1">
      <c r="G48308" s="3336"/>
      <c r="P48308" s="3337"/>
    </row>
    <row r="48309" spans="7:16" s="1634" customFormat="1">
      <c r="G48309" s="3336"/>
      <c r="P48309" s="3337"/>
    </row>
    <row r="48310" spans="7:16" s="1634" customFormat="1">
      <c r="G48310" s="3336"/>
      <c r="P48310" s="3337"/>
    </row>
    <row r="48311" spans="7:16" s="1634" customFormat="1">
      <c r="G48311" s="3336"/>
      <c r="P48311" s="3337"/>
    </row>
    <row r="48312" spans="7:16" s="1634" customFormat="1">
      <c r="G48312" s="3336"/>
      <c r="P48312" s="3337"/>
    </row>
    <row r="48313" spans="7:16" s="1634" customFormat="1">
      <c r="G48313" s="3336"/>
      <c r="P48313" s="3337"/>
    </row>
    <row r="48314" spans="7:16" s="1634" customFormat="1">
      <c r="G48314" s="3336"/>
      <c r="P48314" s="3337"/>
    </row>
    <row r="48315" spans="7:16" s="1634" customFormat="1">
      <c r="G48315" s="3336"/>
      <c r="P48315" s="3337"/>
    </row>
    <row r="48316" spans="7:16" s="1634" customFormat="1">
      <c r="G48316" s="3336"/>
      <c r="P48316" s="3337"/>
    </row>
    <row r="48317" spans="7:16" s="1634" customFormat="1">
      <c r="G48317" s="3336"/>
      <c r="P48317" s="3337"/>
    </row>
    <row r="48318" spans="7:16" s="1634" customFormat="1">
      <c r="G48318" s="3336"/>
      <c r="P48318" s="3337"/>
    </row>
    <row r="48319" spans="7:16" s="1634" customFormat="1">
      <c r="G48319" s="3336"/>
      <c r="P48319" s="3337"/>
    </row>
    <row r="48320" spans="7:16" s="1634" customFormat="1">
      <c r="G48320" s="3336"/>
      <c r="P48320" s="3337"/>
    </row>
    <row r="48321" spans="7:16" s="1634" customFormat="1">
      <c r="G48321" s="3336"/>
      <c r="P48321" s="3337"/>
    </row>
    <row r="48322" spans="7:16" s="1634" customFormat="1">
      <c r="G48322" s="3336"/>
      <c r="P48322" s="3337"/>
    </row>
    <row r="48323" spans="7:16" s="1634" customFormat="1">
      <c r="G48323" s="3336"/>
      <c r="P48323" s="3337"/>
    </row>
    <row r="48324" spans="7:16" s="1634" customFormat="1">
      <c r="G48324" s="3336"/>
      <c r="P48324" s="3337"/>
    </row>
    <row r="48325" spans="7:16" s="1634" customFormat="1">
      <c r="G48325" s="3336"/>
      <c r="P48325" s="3337"/>
    </row>
    <row r="48326" spans="7:16" s="1634" customFormat="1">
      <c r="G48326" s="3336"/>
      <c r="P48326" s="3337"/>
    </row>
    <row r="48327" spans="7:16" s="1634" customFormat="1">
      <c r="G48327" s="3336"/>
      <c r="P48327" s="3337"/>
    </row>
    <row r="48328" spans="7:16" s="1634" customFormat="1">
      <c r="G48328" s="3336"/>
      <c r="P48328" s="3337"/>
    </row>
    <row r="48329" spans="7:16" s="1634" customFormat="1">
      <c r="G48329" s="3336"/>
      <c r="P48329" s="3337"/>
    </row>
    <row r="48330" spans="7:16" s="1634" customFormat="1">
      <c r="G48330" s="3336"/>
      <c r="P48330" s="3337"/>
    </row>
    <row r="48331" spans="7:16" s="1634" customFormat="1">
      <c r="G48331" s="3336"/>
      <c r="P48331" s="3337"/>
    </row>
    <row r="48332" spans="7:16" s="1634" customFormat="1">
      <c r="G48332" s="3336"/>
      <c r="P48332" s="3337"/>
    </row>
    <row r="48333" spans="7:16" s="1634" customFormat="1">
      <c r="G48333" s="3336"/>
      <c r="P48333" s="3337"/>
    </row>
    <row r="48334" spans="7:16" s="1634" customFormat="1">
      <c r="G48334" s="3336"/>
      <c r="P48334" s="3337"/>
    </row>
    <row r="48335" spans="7:16" s="1634" customFormat="1">
      <c r="G48335" s="3336"/>
      <c r="P48335" s="3337"/>
    </row>
    <row r="48336" spans="7:16" s="1634" customFormat="1">
      <c r="G48336" s="3336"/>
      <c r="P48336" s="3337"/>
    </row>
    <row r="48337" spans="7:16" s="1634" customFormat="1">
      <c r="G48337" s="3336"/>
      <c r="P48337" s="3337"/>
    </row>
    <row r="48338" spans="7:16" s="1634" customFormat="1">
      <c r="G48338" s="3336"/>
      <c r="P48338" s="3337"/>
    </row>
    <row r="48339" spans="7:16" s="1634" customFormat="1">
      <c r="G48339" s="3336"/>
      <c r="P48339" s="3337"/>
    </row>
    <row r="48340" spans="7:16" s="1634" customFormat="1">
      <c r="G48340" s="3336"/>
      <c r="P48340" s="3337"/>
    </row>
    <row r="48341" spans="7:16" s="1634" customFormat="1">
      <c r="G48341" s="3336"/>
      <c r="P48341" s="3337"/>
    </row>
    <row r="48342" spans="7:16" s="1634" customFormat="1">
      <c r="G48342" s="3336"/>
      <c r="P48342" s="3337"/>
    </row>
    <row r="48343" spans="7:16" s="1634" customFormat="1">
      <c r="G48343" s="3336"/>
      <c r="P48343" s="3337"/>
    </row>
    <row r="48344" spans="7:16" s="1634" customFormat="1">
      <c r="G48344" s="3336"/>
      <c r="P48344" s="3337"/>
    </row>
    <row r="48345" spans="7:16" s="1634" customFormat="1">
      <c r="G48345" s="3336"/>
      <c r="P48345" s="3337"/>
    </row>
    <row r="48346" spans="7:16" s="1634" customFormat="1">
      <c r="G48346" s="3336"/>
      <c r="P48346" s="3337"/>
    </row>
    <row r="48347" spans="7:16" s="1634" customFormat="1">
      <c r="G48347" s="3336"/>
      <c r="P48347" s="3337"/>
    </row>
    <row r="48348" spans="7:16" s="1634" customFormat="1">
      <c r="G48348" s="3336"/>
      <c r="P48348" s="3337"/>
    </row>
    <row r="48349" spans="7:16" s="1634" customFormat="1">
      <c r="G48349" s="3336"/>
      <c r="P48349" s="3337"/>
    </row>
    <row r="48350" spans="7:16" s="1634" customFormat="1">
      <c r="G48350" s="3336"/>
      <c r="P48350" s="3337"/>
    </row>
    <row r="48351" spans="7:16" s="1634" customFormat="1">
      <c r="G48351" s="3336"/>
      <c r="P48351" s="3337"/>
    </row>
    <row r="48352" spans="7:16" s="1634" customFormat="1">
      <c r="G48352" s="3336"/>
      <c r="P48352" s="3337"/>
    </row>
    <row r="48353" spans="7:16" s="1634" customFormat="1">
      <c r="G48353" s="3336"/>
      <c r="P48353" s="3337"/>
    </row>
    <row r="48354" spans="7:16" s="1634" customFormat="1">
      <c r="G48354" s="3336"/>
      <c r="P48354" s="3337"/>
    </row>
    <row r="48355" spans="7:16" s="1634" customFormat="1">
      <c r="G48355" s="3336"/>
      <c r="P48355" s="3337"/>
    </row>
    <row r="48356" spans="7:16" s="1634" customFormat="1">
      <c r="G48356" s="3336"/>
      <c r="P48356" s="3337"/>
    </row>
    <row r="48357" spans="7:16" s="1634" customFormat="1">
      <c r="G48357" s="3336"/>
      <c r="P48357" s="3337"/>
    </row>
    <row r="48358" spans="7:16" s="1634" customFormat="1">
      <c r="G48358" s="3336"/>
      <c r="P48358" s="3337"/>
    </row>
    <row r="48359" spans="7:16" s="1634" customFormat="1">
      <c r="G48359" s="3336"/>
      <c r="P48359" s="3337"/>
    </row>
    <row r="48360" spans="7:16" s="1634" customFormat="1">
      <c r="G48360" s="3336"/>
      <c r="P48360" s="3337"/>
    </row>
    <row r="48361" spans="7:16" s="1634" customFormat="1">
      <c r="G48361" s="3336"/>
      <c r="P48361" s="3337"/>
    </row>
    <row r="48362" spans="7:16" s="1634" customFormat="1">
      <c r="G48362" s="3336"/>
      <c r="P48362" s="3337"/>
    </row>
    <row r="48363" spans="7:16" s="1634" customFormat="1">
      <c r="G48363" s="3336"/>
      <c r="P48363" s="3337"/>
    </row>
    <row r="48364" spans="7:16" s="1634" customFormat="1">
      <c r="G48364" s="3336"/>
      <c r="P48364" s="3337"/>
    </row>
    <row r="48365" spans="7:16" s="1634" customFormat="1">
      <c r="G48365" s="3336"/>
      <c r="P48365" s="3337"/>
    </row>
    <row r="48366" spans="7:16" s="1634" customFormat="1">
      <c r="G48366" s="3336"/>
      <c r="P48366" s="3337"/>
    </row>
    <row r="48367" spans="7:16" s="1634" customFormat="1">
      <c r="G48367" s="3336"/>
      <c r="P48367" s="3337"/>
    </row>
    <row r="48368" spans="7:16" s="1634" customFormat="1">
      <c r="G48368" s="3336"/>
      <c r="P48368" s="3337"/>
    </row>
    <row r="48369" spans="7:16" s="1634" customFormat="1">
      <c r="G48369" s="3336"/>
      <c r="P48369" s="3337"/>
    </row>
    <row r="48370" spans="7:16" s="1634" customFormat="1">
      <c r="G48370" s="3336"/>
      <c r="P48370" s="3337"/>
    </row>
    <row r="48371" spans="7:16" s="1634" customFormat="1">
      <c r="G48371" s="3336"/>
      <c r="P48371" s="3337"/>
    </row>
    <row r="48372" spans="7:16" s="1634" customFormat="1">
      <c r="G48372" s="3336"/>
      <c r="P48372" s="3337"/>
    </row>
    <row r="48373" spans="7:16" s="1634" customFormat="1">
      <c r="G48373" s="3336"/>
      <c r="P48373" s="3337"/>
    </row>
    <row r="48374" spans="7:16" s="1634" customFormat="1">
      <c r="G48374" s="3336"/>
      <c r="P48374" s="3337"/>
    </row>
    <row r="48375" spans="7:16" s="1634" customFormat="1">
      <c r="G48375" s="3336"/>
      <c r="P48375" s="3337"/>
    </row>
    <row r="48376" spans="7:16" s="1634" customFormat="1">
      <c r="G48376" s="3336"/>
      <c r="P48376" s="3337"/>
    </row>
    <row r="48377" spans="7:16" s="1634" customFormat="1">
      <c r="G48377" s="3336"/>
      <c r="P48377" s="3337"/>
    </row>
    <row r="48378" spans="7:16" s="1634" customFormat="1">
      <c r="G48378" s="3336"/>
      <c r="P48378" s="3337"/>
    </row>
    <row r="48379" spans="7:16" s="1634" customFormat="1">
      <c r="G48379" s="3336"/>
      <c r="P48379" s="3337"/>
    </row>
    <row r="48380" spans="7:16" s="1634" customFormat="1">
      <c r="G48380" s="3336"/>
      <c r="P48380" s="3337"/>
    </row>
    <row r="48381" spans="7:16" s="1634" customFormat="1">
      <c r="G48381" s="3336"/>
      <c r="P48381" s="3337"/>
    </row>
    <row r="48382" spans="7:16" s="1634" customFormat="1">
      <c r="G48382" s="3336"/>
      <c r="P48382" s="3337"/>
    </row>
    <row r="48383" spans="7:16" s="1634" customFormat="1">
      <c r="G48383" s="3336"/>
      <c r="P48383" s="3337"/>
    </row>
    <row r="48384" spans="7:16" s="1634" customFormat="1">
      <c r="G48384" s="3336"/>
      <c r="P48384" s="3337"/>
    </row>
    <row r="48385" spans="7:16" s="1634" customFormat="1">
      <c r="G48385" s="3336"/>
      <c r="P48385" s="3337"/>
    </row>
    <row r="48386" spans="7:16" s="1634" customFormat="1">
      <c r="G48386" s="3336"/>
      <c r="P48386" s="3337"/>
    </row>
    <row r="48387" spans="7:16" s="1634" customFormat="1">
      <c r="G48387" s="3336"/>
      <c r="P48387" s="3337"/>
    </row>
    <row r="48388" spans="7:16" s="1634" customFormat="1">
      <c r="G48388" s="3336"/>
      <c r="P48388" s="3337"/>
    </row>
    <row r="48389" spans="7:16" s="1634" customFormat="1">
      <c r="G48389" s="3336"/>
      <c r="P48389" s="3337"/>
    </row>
    <row r="48390" spans="7:16" s="1634" customFormat="1">
      <c r="G48390" s="3336"/>
      <c r="P48390" s="3337"/>
    </row>
    <row r="48391" spans="7:16" s="1634" customFormat="1">
      <c r="G48391" s="3336"/>
      <c r="P48391" s="3337"/>
    </row>
    <row r="48392" spans="7:16" s="1634" customFormat="1">
      <c r="G48392" s="3336"/>
      <c r="P48392" s="3337"/>
    </row>
    <row r="48393" spans="7:16" s="1634" customFormat="1">
      <c r="G48393" s="3336"/>
      <c r="P48393" s="3337"/>
    </row>
    <row r="48394" spans="7:16" s="1634" customFormat="1">
      <c r="G48394" s="3336"/>
      <c r="P48394" s="3337"/>
    </row>
    <row r="48395" spans="7:16" s="1634" customFormat="1">
      <c r="G48395" s="3336"/>
      <c r="P48395" s="3337"/>
    </row>
    <row r="48396" spans="7:16" s="1634" customFormat="1">
      <c r="G48396" s="3336"/>
      <c r="P48396" s="3337"/>
    </row>
    <row r="48397" spans="7:16" s="1634" customFormat="1">
      <c r="G48397" s="3336"/>
      <c r="P48397" s="3337"/>
    </row>
    <row r="48398" spans="7:16" s="1634" customFormat="1">
      <c r="G48398" s="3336"/>
      <c r="P48398" s="3337"/>
    </row>
    <row r="48399" spans="7:16" s="1634" customFormat="1">
      <c r="G48399" s="3336"/>
      <c r="P48399" s="3337"/>
    </row>
    <row r="48400" spans="7:16" s="1634" customFormat="1">
      <c r="G48400" s="3336"/>
      <c r="P48400" s="3337"/>
    </row>
    <row r="48401" spans="7:16" s="1634" customFormat="1">
      <c r="G48401" s="3336"/>
      <c r="P48401" s="3337"/>
    </row>
    <row r="48402" spans="7:16" s="1634" customFormat="1">
      <c r="G48402" s="3336"/>
      <c r="P48402" s="3337"/>
    </row>
    <row r="48403" spans="7:16" s="1634" customFormat="1">
      <c r="G48403" s="3336"/>
      <c r="P48403" s="3337"/>
    </row>
    <row r="48404" spans="7:16" s="1634" customFormat="1">
      <c r="G48404" s="3336"/>
      <c r="P48404" s="3337"/>
    </row>
    <row r="48405" spans="7:16" s="1634" customFormat="1">
      <c r="G48405" s="3336"/>
      <c r="P48405" s="3337"/>
    </row>
    <row r="48406" spans="7:16" s="1634" customFormat="1">
      <c r="G48406" s="3336"/>
      <c r="P48406" s="3337"/>
    </row>
    <row r="48407" spans="7:16" s="1634" customFormat="1">
      <c r="G48407" s="3336"/>
      <c r="P48407" s="3337"/>
    </row>
    <row r="48408" spans="7:16" s="1634" customFormat="1">
      <c r="G48408" s="3336"/>
      <c r="P48408" s="3337"/>
    </row>
    <row r="48409" spans="7:16" s="1634" customFormat="1">
      <c r="G48409" s="3336"/>
      <c r="P48409" s="3337"/>
    </row>
    <row r="48410" spans="7:16" s="1634" customFormat="1">
      <c r="G48410" s="3336"/>
      <c r="P48410" s="3337"/>
    </row>
    <row r="48411" spans="7:16" s="1634" customFormat="1">
      <c r="G48411" s="3336"/>
      <c r="P48411" s="3337"/>
    </row>
    <row r="48412" spans="7:16" s="1634" customFormat="1">
      <c r="G48412" s="3336"/>
      <c r="P48412" s="3337"/>
    </row>
    <row r="48413" spans="7:16" s="1634" customFormat="1">
      <c r="G48413" s="3336"/>
      <c r="P48413" s="3337"/>
    </row>
    <row r="48414" spans="7:16" s="1634" customFormat="1">
      <c r="G48414" s="3336"/>
      <c r="P48414" s="3337"/>
    </row>
    <row r="48415" spans="7:16" s="1634" customFormat="1">
      <c r="G48415" s="3336"/>
      <c r="P48415" s="3337"/>
    </row>
    <row r="48416" spans="7:16" s="1634" customFormat="1">
      <c r="G48416" s="3336"/>
      <c r="P48416" s="3337"/>
    </row>
    <row r="48417" spans="7:16" s="1634" customFormat="1">
      <c r="G48417" s="3336"/>
      <c r="P48417" s="3337"/>
    </row>
    <row r="48418" spans="7:16" s="1634" customFormat="1">
      <c r="G48418" s="3336"/>
      <c r="P48418" s="3337"/>
    </row>
    <row r="48419" spans="7:16" s="1634" customFormat="1">
      <c r="G48419" s="3336"/>
      <c r="P48419" s="3337"/>
    </row>
    <row r="48420" spans="7:16" s="1634" customFormat="1">
      <c r="G48420" s="3336"/>
      <c r="P48420" s="3337"/>
    </row>
    <row r="48421" spans="7:16" s="1634" customFormat="1">
      <c r="G48421" s="3336"/>
      <c r="P48421" s="3337"/>
    </row>
    <row r="48422" spans="7:16" s="1634" customFormat="1">
      <c r="G48422" s="3336"/>
      <c r="P48422" s="3337"/>
    </row>
    <row r="48423" spans="7:16" s="1634" customFormat="1">
      <c r="G48423" s="3336"/>
      <c r="P48423" s="3337"/>
    </row>
    <row r="48424" spans="7:16" s="1634" customFormat="1">
      <c r="G48424" s="3336"/>
      <c r="P48424" s="3337"/>
    </row>
    <row r="48425" spans="7:16" s="1634" customFormat="1">
      <c r="G48425" s="3336"/>
      <c r="P48425" s="3337"/>
    </row>
    <row r="48426" spans="7:16" s="1634" customFormat="1">
      <c r="G48426" s="3336"/>
      <c r="P48426" s="3337"/>
    </row>
    <row r="48427" spans="7:16" s="1634" customFormat="1">
      <c r="G48427" s="3336"/>
      <c r="P48427" s="3337"/>
    </row>
    <row r="48428" spans="7:16" s="1634" customFormat="1">
      <c r="G48428" s="3336"/>
      <c r="P48428" s="3337"/>
    </row>
    <row r="48429" spans="7:16" s="1634" customFormat="1">
      <c r="G48429" s="3336"/>
      <c r="P48429" s="3337"/>
    </row>
    <row r="48430" spans="7:16" s="1634" customFormat="1">
      <c r="G48430" s="3336"/>
      <c r="P48430" s="3337"/>
    </row>
    <row r="48431" spans="7:16" s="1634" customFormat="1">
      <c r="G48431" s="3336"/>
      <c r="P48431" s="3337"/>
    </row>
    <row r="48432" spans="7:16" s="1634" customFormat="1">
      <c r="G48432" s="3336"/>
      <c r="P48432" s="3337"/>
    </row>
    <row r="48433" spans="7:16" s="1634" customFormat="1">
      <c r="G48433" s="3336"/>
      <c r="P48433" s="3337"/>
    </row>
    <row r="48434" spans="7:16" s="1634" customFormat="1">
      <c r="G48434" s="3336"/>
      <c r="P48434" s="3337"/>
    </row>
    <row r="48435" spans="7:16" s="1634" customFormat="1">
      <c r="G48435" s="3336"/>
      <c r="P48435" s="3337"/>
    </row>
    <row r="48436" spans="7:16" s="1634" customFormat="1">
      <c r="G48436" s="3336"/>
      <c r="P48436" s="3337"/>
    </row>
    <row r="48437" spans="7:16" s="1634" customFormat="1">
      <c r="G48437" s="3336"/>
      <c r="P48437" s="3337"/>
    </row>
    <row r="48438" spans="7:16" s="1634" customFormat="1">
      <c r="G48438" s="3336"/>
      <c r="P48438" s="3337"/>
    </row>
    <row r="48439" spans="7:16" s="1634" customFormat="1">
      <c r="G48439" s="3336"/>
      <c r="P48439" s="3337"/>
    </row>
    <row r="48440" spans="7:16" s="1634" customFormat="1">
      <c r="G48440" s="3336"/>
      <c r="P48440" s="3337"/>
    </row>
    <row r="48441" spans="7:16" s="1634" customFormat="1">
      <c r="G48441" s="3336"/>
      <c r="P48441" s="3337"/>
    </row>
    <row r="48442" spans="7:16" s="1634" customFormat="1">
      <c r="G48442" s="3336"/>
      <c r="P48442" s="3337"/>
    </row>
    <row r="48443" spans="7:16" s="1634" customFormat="1">
      <c r="G48443" s="3336"/>
      <c r="P48443" s="3337"/>
    </row>
    <row r="48444" spans="7:16" s="1634" customFormat="1">
      <c r="G48444" s="3336"/>
      <c r="P48444" s="3337"/>
    </row>
    <row r="48445" spans="7:16" s="1634" customFormat="1">
      <c r="G48445" s="3336"/>
      <c r="P48445" s="3337"/>
    </row>
    <row r="48446" spans="7:16" s="1634" customFormat="1">
      <c r="G48446" s="3336"/>
      <c r="P48446" s="3337"/>
    </row>
    <row r="48447" spans="7:16" s="1634" customFormat="1">
      <c r="G48447" s="3336"/>
      <c r="P48447" s="3337"/>
    </row>
    <row r="48448" spans="7:16" s="1634" customFormat="1">
      <c r="G48448" s="3336"/>
      <c r="P48448" s="3337"/>
    </row>
    <row r="48449" spans="7:16" s="1634" customFormat="1">
      <c r="G48449" s="3336"/>
      <c r="P48449" s="3337"/>
    </row>
    <row r="48450" spans="7:16" s="1634" customFormat="1">
      <c r="G48450" s="3336"/>
      <c r="P48450" s="3337"/>
    </row>
    <row r="48451" spans="7:16" s="1634" customFormat="1">
      <c r="G48451" s="3336"/>
      <c r="P48451" s="3337"/>
    </row>
    <row r="48452" spans="7:16" s="1634" customFormat="1">
      <c r="G48452" s="3336"/>
      <c r="P48452" s="3337"/>
    </row>
    <row r="48453" spans="7:16" s="1634" customFormat="1">
      <c r="G48453" s="3336"/>
      <c r="P48453" s="3337"/>
    </row>
    <row r="48454" spans="7:16" s="1634" customFormat="1">
      <c r="G48454" s="3336"/>
      <c r="P48454" s="3337"/>
    </row>
    <row r="48455" spans="7:16" s="1634" customFormat="1">
      <c r="G48455" s="3336"/>
      <c r="P48455" s="3337"/>
    </row>
    <row r="48456" spans="7:16" s="1634" customFormat="1">
      <c r="G48456" s="3336"/>
      <c r="P48456" s="3337"/>
    </row>
    <row r="48457" spans="7:16" s="1634" customFormat="1">
      <c r="G48457" s="3336"/>
      <c r="P48457" s="3337"/>
    </row>
    <row r="48458" spans="7:16" s="1634" customFormat="1">
      <c r="G48458" s="3336"/>
      <c r="P48458" s="3337"/>
    </row>
    <row r="48459" spans="7:16" s="1634" customFormat="1">
      <c r="G48459" s="3336"/>
      <c r="P48459" s="3337"/>
    </row>
    <row r="48460" spans="7:16" s="1634" customFormat="1">
      <c r="G48460" s="3336"/>
      <c r="P48460" s="3337"/>
    </row>
    <row r="48461" spans="7:16" s="1634" customFormat="1">
      <c r="G48461" s="3336"/>
      <c r="P48461" s="3337"/>
    </row>
    <row r="48462" spans="7:16" s="1634" customFormat="1">
      <c r="G48462" s="3336"/>
      <c r="P48462" s="3337"/>
    </row>
    <row r="48463" spans="7:16" s="1634" customFormat="1">
      <c r="G48463" s="3336"/>
      <c r="P48463" s="3337"/>
    </row>
    <row r="48464" spans="7:16" s="1634" customFormat="1">
      <c r="G48464" s="3336"/>
      <c r="P48464" s="3337"/>
    </row>
    <row r="48465" spans="7:16" s="1634" customFormat="1">
      <c r="G48465" s="3336"/>
      <c r="P48465" s="3337"/>
    </row>
    <row r="48466" spans="7:16" s="1634" customFormat="1">
      <c r="G48466" s="3336"/>
      <c r="P48466" s="3337"/>
    </row>
    <row r="48467" spans="7:16" s="1634" customFormat="1">
      <c r="G48467" s="3336"/>
      <c r="P48467" s="3337"/>
    </row>
    <row r="48468" spans="7:16" s="1634" customFormat="1">
      <c r="G48468" s="3336"/>
      <c r="P48468" s="3337"/>
    </row>
    <row r="48469" spans="7:16" s="1634" customFormat="1">
      <c r="G48469" s="3336"/>
      <c r="P48469" s="3337"/>
    </row>
    <row r="48470" spans="7:16" s="1634" customFormat="1">
      <c r="G48470" s="3336"/>
      <c r="P48470" s="3337"/>
    </row>
    <row r="48471" spans="7:16" s="1634" customFormat="1">
      <c r="G48471" s="3336"/>
      <c r="P48471" s="3337"/>
    </row>
    <row r="48472" spans="7:16" s="1634" customFormat="1">
      <c r="G48472" s="3336"/>
      <c r="P48472" s="3337"/>
    </row>
    <row r="48473" spans="7:16" s="1634" customFormat="1">
      <c r="G48473" s="3336"/>
      <c r="P48473" s="3337"/>
    </row>
    <row r="48474" spans="7:16" s="1634" customFormat="1">
      <c r="G48474" s="3336"/>
      <c r="P48474" s="3337"/>
    </row>
    <row r="48475" spans="7:16" s="1634" customFormat="1">
      <c r="G48475" s="3336"/>
      <c r="P48475" s="3337"/>
    </row>
    <row r="48476" spans="7:16" s="1634" customFormat="1">
      <c r="G48476" s="3336"/>
      <c r="P48476" s="3337"/>
    </row>
    <row r="48477" spans="7:16" s="1634" customFormat="1">
      <c r="G48477" s="3336"/>
      <c r="P48477" s="3337"/>
    </row>
    <row r="48478" spans="7:16" s="1634" customFormat="1">
      <c r="G48478" s="3336"/>
      <c r="P48478" s="3337"/>
    </row>
    <row r="48479" spans="7:16" s="1634" customFormat="1">
      <c r="G48479" s="3336"/>
      <c r="P48479" s="3337"/>
    </row>
    <row r="48480" spans="7:16" s="1634" customFormat="1">
      <c r="G48480" s="3336"/>
      <c r="P48480" s="3337"/>
    </row>
    <row r="48481" spans="7:16" s="1634" customFormat="1">
      <c r="G48481" s="3336"/>
      <c r="P48481" s="3337"/>
    </row>
    <row r="48482" spans="7:16" s="1634" customFormat="1">
      <c r="G48482" s="3336"/>
      <c r="P48482" s="3337"/>
    </row>
    <row r="48483" spans="7:16" s="1634" customFormat="1">
      <c r="G48483" s="3336"/>
      <c r="P48483" s="3337"/>
    </row>
    <row r="48484" spans="7:16" s="1634" customFormat="1">
      <c r="G48484" s="3336"/>
      <c r="P48484" s="3337"/>
    </row>
    <row r="48485" spans="7:16" s="1634" customFormat="1">
      <c r="G48485" s="3336"/>
      <c r="P48485" s="3337"/>
    </row>
    <row r="48486" spans="7:16" s="1634" customFormat="1">
      <c r="G48486" s="3336"/>
      <c r="P48486" s="3337"/>
    </row>
    <row r="48487" spans="7:16" s="1634" customFormat="1">
      <c r="G48487" s="3336"/>
      <c r="P48487" s="3337"/>
    </row>
    <row r="48488" spans="7:16" s="1634" customFormat="1">
      <c r="G48488" s="3336"/>
      <c r="P48488" s="3337"/>
    </row>
    <row r="48489" spans="7:16" s="1634" customFormat="1">
      <c r="G48489" s="3336"/>
      <c r="P48489" s="3337"/>
    </row>
    <row r="48490" spans="7:16" s="1634" customFormat="1">
      <c r="G48490" s="3336"/>
      <c r="P48490" s="3337"/>
    </row>
    <row r="48491" spans="7:16" s="1634" customFormat="1">
      <c r="G48491" s="3336"/>
      <c r="P48491" s="3337"/>
    </row>
    <row r="48492" spans="7:16" s="1634" customFormat="1">
      <c r="G48492" s="3336"/>
      <c r="P48492" s="3337"/>
    </row>
    <row r="48493" spans="7:16" s="1634" customFormat="1">
      <c r="G48493" s="3336"/>
      <c r="P48493" s="3337"/>
    </row>
    <row r="48494" spans="7:16" s="1634" customFormat="1">
      <c r="G48494" s="3336"/>
      <c r="P48494" s="3337"/>
    </row>
    <row r="48495" spans="7:16" s="1634" customFormat="1">
      <c r="G48495" s="3336"/>
      <c r="P48495" s="3337"/>
    </row>
    <row r="48496" spans="7:16" s="1634" customFormat="1">
      <c r="G48496" s="3336"/>
      <c r="P48496" s="3337"/>
    </row>
    <row r="48497" spans="7:16" s="1634" customFormat="1">
      <c r="G48497" s="3336"/>
      <c r="P48497" s="3337"/>
    </row>
    <row r="48498" spans="7:16" s="1634" customFormat="1">
      <c r="G48498" s="3336"/>
      <c r="P48498" s="3337"/>
    </row>
    <row r="48499" spans="7:16" s="1634" customFormat="1">
      <c r="G48499" s="3336"/>
      <c r="P48499" s="3337"/>
    </row>
    <row r="48500" spans="7:16" s="1634" customFormat="1">
      <c r="G48500" s="3336"/>
      <c r="P48500" s="3337"/>
    </row>
    <row r="48501" spans="7:16" s="1634" customFormat="1">
      <c r="G48501" s="3336"/>
      <c r="P48501" s="3337"/>
    </row>
    <row r="48502" spans="7:16" s="1634" customFormat="1">
      <c r="G48502" s="3336"/>
      <c r="P48502" s="3337"/>
    </row>
    <row r="48503" spans="7:16" s="1634" customFormat="1">
      <c r="G48503" s="3336"/>
      <c r="P48503" s="3337"/>
    </row>
    <row r="48504" spans="7:16" s="1634" customFormat="1">
      <c r="G48504" s="3336"/>
      <c r="P48504" s="3337"/>
    </row>
    <row r="48505" spans="7:16" s="1634" customFormat="1">
      <c r="G48505" s="3336"/>
      <c r="P48505" s="3337"/>
    </row>
    <row r="48506" spans="7:16" s="1634" customFormat="1">
      <c r="G48506" s="3336"/>
      <c r="P48506" s="3337"/>
    </row>
    <row r="48507" spans="7:16" s="1634" customFormat="1">
      <c r="G48507" s="3336"/>
      <c r="P48507" s="3337"/>
    </row>
    <row r="48508" spans="7:16" s="1634" customFormat="1">
      <c r="G48508" s="3336"/>
      <c r="P48508" s="3337"/>
    </row>
    <row r="48509" spans="7:16" s="1634" customFormat="1">
      <c r="G48509" s="3336"/>
      <c r="P48509" s="3337"/>
    </row>
    <row r="48510" spans="7:16" s="1634" customFormat="1">
      <c r="G48510" s="3336"/>
      <c r="P48510" s="3337"/>
    </row>
    <row r="48511" spans="7:16" s="1634" customFormat="1">
      <c r="G48511" s="3336"/>
      <c r="P48511" s="3337"/>
    </row>
    <row r="48512" spans="7:16" s="1634" customFormat="1">
      <c r="G48512" s="3336"/>
      <c r="P48512" s="3337"/>
    </row>
    <row r="48513" spans="7:16" s="1634" customFormat="1">
      <c r="G48513" s="3336"/>
      <c r="P48513" s="3337"/>
    </row>
    <row r="48514" spans="7:16" s="1634" customFormat="1">
      <c r="G48514" s="3336"/>
      <c r="P48514" s="3337"/>
    </row>
    <row r="48515" spans="7:16" s="1634" customFormat="1">
      <c r="G48515" s="3336"/>
      <c r="P48515" s="3337"/>
    </row>
    <row r="48516" spans="7:16" s="1634" customFormat="1">
      <c r="G48516" s="3336"/>
      <c r="P48516" s="3337"/>
    </row>
    <row r="48517" spans="7:16" s="1634" customFormat="1">
      <c r="G48517" s="3336"/>
      <c r="P48517" s="3337"/>
    </row>
    <row r="48518" spans="7:16" s="1634" customFormat="1">
      <c r="G48518" s="3336"/>
      <c r="P48518" s="3337"/>
    </row>
    <row r="48519" spans="7:16" s="1634" customFormat="1">
      <c r="G48519" s="3336"/>
      <c r="P48519" s="3337"/>
    </row>
    <row r="48520" spans="7:16" s="1634" customFormat="1">
      <c r="G48520" s="3336"/>
      <c r="P48520" s="3337"/>
    </row>
    <row r="48521" spans="7:16" s="1634" customFormat="1">
      <c r="G48521" s="3336"/>
      <c r="P48521" s="3337"/>
    </row>
    <row r="48522" spans="7:16" s="1634" customFormat="1">
      <c r="G48522" s="3336"/>
      <c r="P48522" s="3337"/>
    </row>
    <row r="48523" spans="7:16" s="1634" customFormat="1">
      <c r="G48523" s="3336"/>
      <c r="P48523" s="3337"/>
    </row>
    <row r="48524" spans="7:16" s="1634" customFormat="1">
      <c r="G48524" s="3336"/>
      <c r="P48524" s="3337"/>
    </row>
    <row r="48525" spans="7:16" s="1634" customFormat="1">
      <c r="G48525" s="3336"/>
      <c r="P48525" s="3337"/>
    </row>
    <row r="48526" spans="7:16" s="1634" customFormat="1">
      <c r="G48526" s="3336"/>
      <c r="P48526" s="3337"/>
    </row>
    <row r="48527" spans="7:16" s="1634" customFormat="1">
      <c r="G48527" s="3336"/>
      <c r="P48527" s="3337"/>
    </row>
    <row r="48528" spans="7:16" s="1634" customFormat="1">
      <c r="G48528" s="3336"/>
      <c r="P48528" s="3337"/>
    </row>
    <row r="48529" spans="7:16" s="1634" customFormat="1">
      <c r="G48529" s="3336"/>
      <c r="P48529" s="3337"/>
    </row>
    <row r="48530" spans="7:16" s="1634" customFormat="1">
      <c r="G48530" s="3336"/>
      <c r="P48530" s="3337"/>
    </row>
    <row r="48531" spans="7:16" s="1634" customFormat="1">
      <c r="G48531" s="3336"/>
      <c r="P48531" s="3337"/>
    </row>
    <row r="48532" spans="7:16" s="1634" customFormat="1">
      <c r="G48532" s="3336"/>
      <c r="P48532" s="3337"/>
    </row>
    <row r="48533" spans="7:16" s="1634" customFormat="1">
      <c r="G48533" s="3336"/>
      <c r="P48533" s="3337"/>
    </row>
    <row r="48534" spans="7:16" s="1634" customFormat="1">
      <c r="G48534" s="3336"/>
      <c r="P48534" s="3337"/>
    </row>
    <row r="48535" spans="7:16" s="1634" customFormat="1">
      <c r="G48535" s="3336"/>
      <c r="P48535" s="3337"/>
    </row>
    <row r="48536" spans="7:16" s="1634" customFormat="1">
      <c r="G48536" s="3336"/>
      <c r="P48536" s="3337"/>
    </row>
    <row r="48537" spans="7:16" s="1634" customFormat="1">
      <c r="G48537" s="3336"/>
      <c r="P48537" s="3337"/>
    </row>
    <row r="48538" spans="7:16" s="1634" customFormat="1">
      <c r="G48538" s="3336"/>
      <c r="P48538" s="3337"/>
    </row>
    <row r="48539" spans="7:16" s="1634" customFormat="1">
      <c r="G48539" s="3336"/>
      <c r="P48539" s="3337"/>
    </row>
    <row r="48540" spans="7:16" s="1634" customFormat="1">
      <c r="G48540" s="3336"/>
      <c r="P48540" s="3337"/>
    </row>
    <row r="48541" spans="7:16" s="1634" customFormat="1">
      <c r="G48541" s="3336"/>
      <c r="P48541" s="3337"/>
    </row>
    <row r="48542" spans="7:16" s="1634" customFormat="1">
      <c r="G48542" s="3336"/>
      <c r="P48542" s="3337"/>
    </row>
    <row r="48543" spans="7:16" s="1634" customFormat="1">
      <c r="G48543" s="3336"/>
      <c r="P48543" s="3337"/>
    </row>
    <row r="48544" spans="7:16" s="1634" customFormat="1">
      <c r="G48544" s="3336"/>
      <c r="P48544" s="3337"/>
    </row>
    <row r="48545" spans="7:16" s="1634" customFormat="1">
      <c r="G48545" s="3336"/>
      <c r="P48545" s="3337"/>
    </row>
    <row r="48546" spans="7:16" s="1634" customFormat="1">
      <c r="G48546" s="3336"/>
      <c r="P48546" s="3337"/>
    </row>
    <row r="48547" spans="7:16" s="1634" customFormat="1">
      <c r="G48547" s="3336"/>
      <c r="P48547" s="3337"/>
    </row>
    <row r="48548" spans="7:16" s="1634" customFormat="1">
      <c r="G48548" s="3336"/>
      <c r="P48548" s="3337"/>
    </row>
    <row r="48549" spans="7:16" s="1634" customFormat="1">
      <c r="G48549" s="3336"/>
      <c r="P48549" s="3337"/>
    </row>
    <row r="48550" spans="7:16" s="1634" customFormat="1">
      <c r="G48550" s="3336"/>
      <c r="P48550" s="3337"/>
    </row>
    <row r="48551" spans="7:16" s="1634" customFormat="1">
      <c r="G48551" s="3336"/>
      <c r="P48551" s="3337"/>
    </row>
    <row r="48552" spans="7:16" s="1634" customFormat="1">
      <c r="G48552" s="3336"/>
      <c r="P48552" s="3337"/>
    </row>
    <row r="48553" spans="7:16" s="1634" customFormat="1">
      <c r="G48553" s="3336"/>
      <c r="P48553" s="3337"/>
    </row>
    <row r="48554" spans="7:16" s="1634" customFormat="1">
      <c r="G48554" s="3336"/>
      <c r="P48554" s="3337"/>
    </row>
    <row r="48555" spans="7:16" s="1634" customFormat="1">
      <c r="G48555" s="3336"/>
      <c r="P48555" s="3337"/>
    </row>
    <row r="48556" spans="7:16" s="1634" customFormat="1">
      <c r="G48556" s="3336"/>
      <c r="P48556" s="3337"/>
    </row>
    <row r="48557" spans="7:16" s="1634" customFormat="1">
      <c r="G48557" s="3336"/>
      <c r="P48557" s="3337"/>
    </row>
    <row r="48558" spans="7:16" s="1634" customFormat="1">
      <c r="G48558" s="3336"/>
      <c r="P48558" s="3337"/>
    </row>
    <row r="48559" spans="7:16" s="1634" customFormat="1">
      <c r="G48559" s="3336"/>
      <c r="P48559" s="3337"/>
    </row>
    <row r="48560" spans="7:16" s="1634" customFormat="1">
      <c r="G48560" s="3336"/>
      <c r="P48560" s="3337"/>
    </row>
    <row r="48561" spans="7:16" s="1634" customFormat="1">
      <c r="G48561" s="3336"/>
      <c r="P48561" s="3337"/>
    </row>
    <row r="48562" spans="7:16" s="1634" customFormat="1">
      <c r="G48562" s="3336"/>
      <c r="P48562" s="3337"/>
    </row>
    <row r="48563" spans="7:16" s="1634" customFormat="1">
      <c r="G48563" s="3336"/>
      <c r="P48563" s="3337"/>
    </row>
    <row r="48564" spans="7:16" s="1634" customFormat="1">
      <c r="G48564" s="3336"/>
      <c r="P48564" s="3337"/>
    </row>
    <row r="48565" spans="7:16" s="1634" customFormat="1">
      <c r="G48565" s="3336"/>
      <c r="P48565" s="3337"/>
    </row>
    <row r="48566" spans="7:16" s="1634" customFormat="1">
      <c r="G48566" s="3336"/>
      <c r="P48566" s="3337"/>
    </row>
    <row r="48567" spans="7:16" s="1634" customFormat="1">
      <c r="G48567" s="3336"/>
      <c r="P48567" s="3337"/>
    </row>
    <row r="48568" spans="7:16" s="1634" customFormat="1">
      <c r="G48568" s="3336"/>
      <c r="P48568" s="3337"/>
    </row>
    <row r="48569" spans="7:16" s="1634" customFormat="1">
      <c r="G48569" s="3336"/>
      <c r="P48569" s="3337"/>
    </row>
    <row r="48570" spans="7:16" s="1634" customFormat="1">
      <c r="G48570" s="3336"/>
      <c r="P48570" s="3337"/>
    </row>
    <row r="48571" spans="7:16" s="1634" customFormat="1">
      <c r="G48571" s="3336"/>
      <c r="P48571" s="3337"/>
    </row>
    <row r="48572" spans="7:16" s="1634" customFormat="1">
      <c r="G48572" s="3336"/>
      <c r="P48572" s="3337"/>
    </row>
    <row r="48573" spans="7:16" s="1634" customFormat="1">
      <c r="G48573" s="3336"/>
      <c r="P48573" s="3337"/>
    </row>
    <row r="48574" spans="7:16" s="1634" customFormat="1">
      <c r="G48574" s="3336"/>
      <c r="P48574" s="3337"/>
    </row>
    <row r="48575" spans="7:16" s="1634" customFormat="1">
      <c r="G48575" s="3336"/>
      <c r="P48575" s="3337"/>
    </row>
    <row r="48576" spans="7:16" s="1634" customFormat="1">
      <c r="G48576" s="3336"/>
      <c r="P48576" s="3337"/>
    </row>
    <row r="48577" spans="7:16" s="1634" customFormat="1">
      <c r="G48577" s="3336"/>
      <c r="P48577" s="3337"/>
    </row>
    <row r="48578" spans="7:16" s="1634" customFormat="1">
      <c r="G48578" s="3336"/>
      <c r="P48578" s="3337"/>
    </row>
    <row r="48579" spans="7:16" s="1634" customFormat="1">
      <c r="G48579" s="3336"/>
      <c r="P48579" s="3337"/>
    </row>
    <row r="48580" spans="7:16" s="1634" customFormat="1">
      <c r="G48580" s="3336"/>
      <c r="P48580" s="3337"/>
    </row>
    <row r="48581" spans="7:16" s="1634" customFormat="1">
      <c r="G48581" s="3336"/>
      <c r="P48581" s="3337"/>
    </row>
    <row r="48582" spans="7:16" s="1634" customFormat="1">
      <c r="G48582" s="3336"/>
      <c r="P48582" s="3337"/>
    </row>
    <row r="48583" spans="7:16" s="1634" customFormat="1">
      <c r="G48583" s="3336"/>
      <c r="P48583" s="3337"/>
    </row>
    <row r="48584" spans="7:16" s="1634" customFormat="1">
      <c r="G48584" s="3336"/>
      <c r="P48584" s="3337"/>
    </row>
    <row r="48585" spans="7:16" s="1634" customFormat="1">
      <c r="G48585" s="3336"/>
      <c r="P48585" s="3337"/>
    </row>
    <row r="48586" spans="7:16" s="1634" customFormat="1">
      <c r="G48586" s="3336"/>
      <c r="P48586" s="3337"/>
    </row>
    <row r="48587" spans="7:16" s="1634" customFormat="1">
      <c r="G48587" s="3336"/>
      <c r="P48587" s="3337"/>
    </row>
    <row r="48588" spans="7:16" s="1634" customFormat="1">
      <c r="G48588" s="3336"/>
      <c r="P48588" s="3337"/>
    </row>
    <row r="48589" spans="7:16" s="1634" customFormat="1">
      <c r="G48589" s="3336"/>
      <c r="P48589" s="3337"/>
    </row>
    <row r="48590" spans="7:16" s="1634" customFormat="1">
      <c r="G48590" s="3336"/>
      <c r="P48590" s="3337"/>
    </row>
    <row r="48591" spans="7:16" s="1634" customFormat="1">
      <c r="G48591" s="3336"/>
      <c r="P48591" s="3337"/>
    </row>
    <row r="48592" spans="7:16" s="1634" customFormat="1">
      <c r="G48592" s="3336"/>
      <c r="P48592" s="3337"/>
    </row>
    <row r="48593" spans="7:16" s="1634" customFormat="1">
      <c r="G48593" s="3336"/>
      <c r="P48593" s="3337"/>
    </row>
    <row r="48594" spans="7:16" s="1634" customFormat="1">
      <c r="G48594" s="3336"/>
      <c r="P48594" s="3337"/>
    </row>
    <row r="48595" spans="7:16" s="1634" customFormat="1">
      <c r="G48595" s="3336"/>
      <c r="P48595" s="3337"/>
    </row>
    <row r="48596" spans="7:16" s="1634" customFormat="1">
      <c r="G48596" s="3336"/>
      <c r="P48596" s="3337"/>
    </row>
    <row r="48597" spans="7:16" s="1634" customFormat="1">
      <c r="G48597" s="3336"/>
      <c r="P48597" s="3337"/>
    </row>
    <row r="48598" spans="7:16" s="1634" customFormat="1">
      <c r="G48598" s="3336"/>
      <c r="P48598" s="3337"/>
    </row>
    <row r="48599" spans="7:16" s="1634" customFormat="1">
      <c r="G48599" s="3336"/>
      <c r="P48599" s="3337"/>
    </row>
    <row r="48600" spans="7:16" s="1634" customFormat="1">
      <c r="G48600" s="3336"/>
      <c r="P48600" s="3337"/>
    </row>
    <row r="48601" spans="7:16" s="1634" customFormat="1">
      <c r="G48601" s="3336"/>
      <c r="P48601" s="3337"/>
    </row>
    <row r="48602" spans="7:16" s="1634" customFormat="1">
      <c r="G48602" s="3336"/>
      <c r="P48602" s="3337"/>
    </row>
    <row r="48603" spans="7:16" s="1634" customFormat="1">
      <c r="G48603" s="3336"/>
      <c r="P48603" s="3337"/>
    </row>
    <row r="48604" spans="7:16" s="1634" customFormat="1">
      <c r="G48604" s="3336"/>
      <c r="P48604" s="3337"/>
    </row>
    <row r="48605" spans="7:16" s="1634" customFormat="1">
      <c r="G48605" s="3336"/>
      <c r="P48605" s="3337"/>
    </row>
    <row r="48606" spans="7:16" s="1634" customFormat="1">
      <c r="G48606" s="3336"/>
      <c r="P48606" s="3337"/>
    </row>
    <row r="48607" spans="7:16" s="1634" customFormat="1">
      <c r="G48607" s="3336"/>
      <c r="P48607" s="3337"/>
    </row>
    <row r="48608" spans="7:16" s="1634" customFormat="1">
      <c r="G48608" s="3336"/>
      <c r="P48608" s="3337"/>
    </row>
    <row r="48609" spans="7:16" s="1634" customFormat="1">
      <c r="G48609" s="3336"/>
      <c r="P48609" s="3337"/>
    </row>
    <row r="48610" spans="7:16" s="1634" customFormat="1">
      <c r="G48610" s="3336"/>
      <c r="P48610" s="3337"/>
    </row>
    <row r="48611" spans="7:16" s="1634" customFormat="1">
      <c r="G48611" s="3336"/>
      <c r="P48611" s="3337"/>
    </row>
    <row r="48612" spans="7:16" s="1634" customFormat="1">
      <c r="G48612" s="3336"/>
      <c r="P48612" s="3337"/>
    </row>
    <row r="48613" spans="7:16" s="1634" customFormat="1">
      <c r="G48613" s="3336"/>
      <c r="P48613" s="3337"/>
    </row>
    <row r="48614" spans="7:16" s="1634" customFormat="1">
      <c r="G48614" s="3336"/>
      <c r="P48614" s="3337"/>
    </row>
    <row r="48615" spans="7:16" s="1634" customFormat="1">
      <c r="G48615" s="3336"/>
      <c r="P48615" s="3337"/>
    </row>
    <row r="48616" spans="7:16" s="1634" customFormat="1">
      <c r="G48616" s="3336"/>
      <c r="P48616" s="3337"/>
    </row>
    <row r="48617" spans="7:16" s="1634" customFormat="1">
      <c r="G48617" s="3336"/>
      <c r="P48617" s="3337"/>
    </row>
    <row r="48618" spans="7:16" s="1634" customFormat="1">
      <c r="G48618" s="3336"/>
      <c r="P48618" s="3337"/>
    </row>
    <row r="48619" spans="7:16" s="1634" customFormat="1">
      <c r="G48619" s="3336"/>
      <c r="P48619" s="3337"/>
    </row>
    <row r="48620" spans="7:16" s="1634" customFormat="1">
      <c r="G48620" s="3336"/>
      <c r="P48620" s="3337"/>
    </row>
    <row r="48621" spans="7:16" s="1634" customFormat="1">
      <c r="G48621" s="3336"/>
      <c r="P48621" s="3337"/>
    </row>
    <row r="48622" spans="7:16" s="1634" customFormat="1">
      <c r="G48622" s="3336"/>
      <c r="P48622" s="3337"/>
    </row>
    <row r="48623" spans="7:16" s="1634" customFormat="1">
      <c r="G48623" s="3336"/>
      <c r="P48623" s="3337"/>
    </row>
    <row r="48624" spans="7:16" s="1634" customFormat="1">
      <c r="G48624" s="3336"/>
      <c r="P48624" s="3337"/>
    </row>
    <row r="48625" spans="7:16" s="1634" customFormat="1">
      <c r="G48625" s="3336"/>
      <c r="P48625" s="3337"/>
    </row>
    <row r="48626" spans="7:16" s="1634" customFormat="1">
      <c r="G48626" s="3336"/>
      <c r="P48626" s="3337"/>
    </row>
    <row r="48627" spans="7:16" s="1634" customFormat="1">
      <c r="G48627" s="3336"/>
      <c r="P48627" s="3337"/>
    </row>
    <row r="48628" spans="7:16" s="1634" customFormat="1">
      <c r="G48628" s="3336"/>
      <c r="P48628" s="3337"/>
    </row>
    <row r="48629" spans="7:16" s="1634" customFormat="1">
      <c r="G48629" s="3336"/>
      <c r="P48629" s="3337"/>
    </row>
    <row r="48630" spans="7:16" s="1634" customFormat="1">
      <c r="G48630" s="3336"/>
      <c r="P48630" s="3337"/>
    </row>
    <row r="48631" spans="7:16" s="1634" customFormat="1">
      <c r="G48631" s="3336"/>
      <c r="P48631" s="3337"/>
    </row>
    <row r="48632" spans="7:16" s="1634" customFormat="1">
      <c r="G48632" s="3336"/>
      <c r="P48632" s="3337"/>
    </row>
    <row r="48633" spans="7:16" s="1634" customFormat="1">
      <c r="G48633" s="3336"/>
      <c r="P48633" s="3337"/>
    </row>
    <row r="48634" spans="7:16" s="1634" customFormat="1">
      <c r="G48634" s="3336"/>
      <c r="P48634" s="3337"/>
    </row>
    <row r="48635" spans="7:16" s="1634" customFormat="1">
      <c r="G48635" s="3336"/>
      <c r="P48635" s="3337"/>
    </row>
    <row r="48636" spans="7:16" s="1634" customFormat="1">
      <c r="G48636" s="3336"/>
      <c r="P48636" s="3337"/>
    </row>
    <row r="48637" spans="7:16" s="1634" customFormat="1">
      <c r="G48637" s="3336"/>
      <c r="P48637" s="3337"/>
    </row>
    <row r="48638" spans="7:16" s="1634" customFormat="1">
      <c r="G48638" s="3336"/>
      <c r="P48638" s="3337"/>
    </row>
    <row r="48639" spans="7:16" s="1634" customFormat="1">
      <c r="G48639" s="3336"/>
      <c r="P48639" s="3337"/>
    </row>
    <row r="48640" spans="7:16" s="1634" customFormat="1">
      <c r="G48640" s="3336"/>
      <c r="P48640" s="3337"/>
    </row>
    <row r="48641" spans="7:16" s="1634" customFormat="1">
      <c r="G48641" s="3336"/>
      <c r="P48641" s="3337"/>
    </row>
    <row r="48642" spans="7:16" s="1634" customFormat="1">
      <c r="G48642" s="3336"/>
      <c r="P48642" s="3337"/>
    </row>
    <row r="48643" spans="7:16" s="1634" customFormat="1">
      <c r="G48643" s="3336"/>
      <c r="P48643" s="3337"/>
    </row>
    <row r="48644" spans="7:16" s="1634" customFormat="1">
      <c r="G48644" s="3336"/>
      <c r="P48644" s="3337"/>
    </row>
    <row r="48645" spans="7:16" s="1634" customFormat="1">
      <c r="G48645" s="3336"/>
      <c r="P48645" s="3337"/>
    </row>
    <row r="48646" spans="7:16" s="1634" customFormat="1">
      <c r="G48646" s="3336"/>
      <c r="P48646" s="3337"/>
    </row>
    <row r="48647" spans="7:16" s="1634" customFormat="1">
      <c r="G48647" s="3336"/>
      <c r="P48647" s="3337"/>
    </row>
    <row r="48648" spans="7:16" s="1634" customFormat="1">
      <c r="G48648" s="3336"/>
      <c r="P48648" s="3337"/>
    </row>
    <row r="48649" spans="7:16" s="1634" customFormat="1">
      <c r="G48649" s="3336"/>
      <c r="P48649" s="3337"/>
    </row>
    <row r="48650" spans="7:16" s="1634" customFormat="1">
      <c r="G48650" s="3336"/>
      <c r="P48650" s="3337"/>
    </row>
    <row r="48651" spans="7:16" s="1634" customFormat="1">
      <c r="G48651" s="3336"/>
      <c r="P48651" s="3337"/>
    </row>
    <row r="48652" spans="7:16" s="1634" customFormat="1">
      <c r="G48652" s="3336"/>
      <c r="P48652" s="3337"/>
    </row>
    <row r="48653" spans="7:16" s="1634" customFormat="1">
      <c r="G48653" s="3336"/>
      <c r="P48653" s="3337"/>
    </row>
    <row r="48654" spans="7:16" s="1634" customFormat="1">
      <c r="G48654" s="3336"/>
      <c r="P48654" s="3337"/>
    </row>
    <row r="48655" spans="7:16" s="1634" customFormat="1">
      <c r="G48655" s="3336"/>
      <c r="P48655" s="3337"/>
    </row>
    <row r="48656" spans="7:16" s="1634" customFormat="1">
      <c r="G48656" s="3336"/>
      <c r="P48656" s="3337"/>
    </row>
    <row r="48657" spans="7:16" s="1634" customFormat="1">
      <c r="G48657" s="3336"/>
      <c r="P48657" s="3337"/>
    </row>
    <row r="48658" spans="7:16" s="1634" customFormat="1">
      <c r="G48658" s="3336"/>
      <c r="P48658" s="3337"/>
    </row>
    <row r="48659" spans="7:16" s="1634" customFormat="1">
      <c r="G48659" s="3336"/>
      <c r="P48659" s="3337"/>
    </row>
    <row r="48660" spans="7:16" s="1634" customFormat="1">
      <c r="G48660" s="3336"/>
      <c r="P48660" s="3337"/>
    </row>
    <row r="48661" spans="7:16" s="1634" customFormat="1">
      <c r="G48661" s="3336"/>
      <c r="P48661" s="3337"/>
    </row>
    <row r="48662" spans="7:16" s="1634" customFormat="1">
      <c r="G48662" s="3336"/>
      <c r="P48662" s="3337"/>
    </row>
    <row r="48663" spans="7:16" s="1634" customFormat="1">
      <c r="G48663" s="3336"/>
      <c r="P48663" s="3337"/>
    </row>
    <row r="48664" spans="7:16" s="1634" customFormat="1">
      <c r="G48664" s="3336"/>
      <c r="P48664" s="3337"/>
    </row>
    <row r="48665" spans="7:16" s="1634" customFormat="1">
      <c r="G48665" s="3336"/>
      <c r="P48665" s="3337"/>
    </row>
    <row r="48666" spans="7:16" s="1634" customFormat="1">
      <c r="G48666" s="3336"/>
      <c r="P48666" s="3337"/>
    </row>
    <row r="48667" spans="7:16" s="1634" customFormat="1">
      <c r="G48667" s="3336"/>
      <c r="P48667" s="3337"/>
    </row>
    <row r="48668" spans="7:16" s="1634" customFormat="1">
      <c r="G48668" s="3336"/>
      <c r="P48668" s="3337"/>
    </row>
    <row r="48669" spans="7:16" s="1634" customFormat="1">
      <c r="G48669" s="3336"/>
      <c r="P48669" s="3337"/>
    </row>
    <row r="48670" spans="7:16" s="1634" customFormat="1">
      <c r="G48670" s="3336"/>
      <c r="P48670" s="3337"/>
    </row>
    <row r="48671" spans="7:16" s="1634" customFormat="1">
      <c r="G48671" s="3336"/>
      <c r="P48671" s="3337"/>
    </row>
    <row r="48672" spans="7:16" s="1634" customFormat="1">
      <c r="G48672" s="3336"/>
      <c r="P48672" s="3337"/>
    </row>
    <row r="48673" spans="7:16" s="1634" customFormat="1">
      <c r="G48673" s="3336"/>
      <c r="P48673" s="3337"/>
    </row>
    <row r="48674" spans="7:16" s="1634" customFormat="1">
      <c r="G48674" s="3336"/>
      <c r="P48674" s="3337"/>
    </row>
    <row r="48675" spans="7:16" s="1634" customFormat="1">
      <c r="G48675" s="3336"/>
      <c r="P48675" s="3337"/>
    </row>
    <row r="48676" spans="7:16" s="1634" customFormat="1">
      <c r="G48676" s="3336"/>
      <c r="P48676" s="3337"/>
    </row>
    <row r="48677" spans="7:16" s="1634" customFormat="1">
      <c r="G48677" s="3336"/>
      <c r="P48677" s="3337"/>
    </row>
    <row r="48678" spans="7:16" s="1634" customFormat="1">
      <c r="G48678" s="3336"/>
      <c r="P48678" s="3337"/>
    </row>
    <row r="48679" spans="7:16" s="1634" customFormat="1">
      <c r="G48679" s="3336"/>
      <c r="P48679" s="3337"/>
    </row>
    <row r="48680" spans="7:16" s="1634" customFormat="1">
      <c r="G48680" s="3336"/>
      <c r="P48680" s="3337"/>
    </row>
    <row r="48681" spans="7:16" s="1634" customFormat="1">
      <c r="G48681" s="3336"/>
      <c r="P48681" s="3337"/>
    </row>
    <row r="48682" spans="7:16" s="1634" customFormat="1">
      <c r="G48682" s="3336"/>
      <c r="P48682" s="3337"/>
    </row>
    <row r="48683" spans="7:16" s="1634" customFormat="1">
      <c r="G48683" s="3336"/>
      <c r="P48683" s="3337"/>
    </row>
    <row r="48684" spans="7:16" s="1634" customFormat="1">
      <c r="G48684" s="3336"/>
      <c r="P48684" s="3337"/>
    </row>
    <row r="48685" spans="7:16" s="1634" customFormat="1">
      <c r="G48685" s="3336"/>
      <c r="P48685" s="3337"/>
    </row>
    <row r="48686" spans="7:16" s="1634" customFormat="1">
      <c r="G48686" s="3336"/>
      <c r="P48686" s="3337"/>
    </row>
    <row r="48687" spans="7:16" s="1634" customFormat="1">
      <c r="G48687" s="3336"/>
      <c r="P48687" s="3337"/>
    </row>
    <row r="48688" spans="7:16" s="1634" customFormat="1">
      <c r="G48688" s="3336"/>
      <c r="P48688" s="3337"/>
    </row>
    <row r="48689" spans="7:16" s="1634" customFormat="1">
      <c r="G48689" s="3336"/>
      <c r="P48689" s="3337"/>
    </row>
    <row r="48690" spans="7:16" s="1634" customFormat="1">
      <c r="G48690" s="3336"/>
      <c r="P48690" s="3337"/>
    </row>
    <row r="48691" spans="7:16" s="1634" customFormat="1">
      <c r="G48691" s="3336"/>
      <c r="P48691" s="3337"/>
    </row>
    <row r="48692" spans="7:16" s="1634" customFormat="1">
      <c r="G48692" s="3336"/>
      <c r="P48692" s="3337"/>
    </row>
    <row r="48693" spans="7:16" s="1634" customFormat="1">
      <c r="G48693" s="3336"/>
      <c r="P48693" s="3337"/>
    </row>
    <row r="48694" spans="7:16" s="1634" customFormat="1">
      <c r="G48694" s="3336"/>
      <c r="P48694" s="3337"/>
    </row>
    <row r="48695" spans="7:16" s="1634" customFormat="1">
      <c r="G48695" s="3336"/>
      <c r="P48695" s="3337"/>
    </row>
    <row r="48696" spans="7:16" s="1634" customFormat="1">
      <c r="G48696" s="3336"/>
      <c r="P48696" s="3337"/>
    </row>
    <row r="48697" spans="7:16" s="1634" customFormat="1">
      <c r="G48697" s="3336"/>
      <c r="P48697" s="3337"/>
    </row>
    <row r="48698" spans="7:16" s="1634" customFormat="1">
      <c r="G48698" s="3336"/>
      <c r="P48698" s="3337"/>
    </row>
    <row r="48699" spans="7:16" s="1634" customFormat="1">
      <c r="G48699" s="3336"/>
      <c r="P48699" s="3337"/>
    </row>
    <row r="48700" spans="7:16" s="1634" customFormat="1">
      <c r="G48700" s="3336"/>
      <c r="P48700" s="3337"/>
    </row>
    <row r="48701" spans="7:16" s="1634" customFormat="1">
      <c r="G48701" s="3336"/>
      <c r="P48701" s="3337"/>
    </row>
    <row r="48702" spans="7:16" s="1634" customFormat="1">
      <c r="G48702" s="3336"/>
      <c r="P48702" s="3337"/>
    </row>
    <row r="48703" spans="7:16" s="1634" customFormat="1">
      <c r="G48703" s="3336"/>
      <c r="P48703" s="3337"/>
    </row>
    <row r="48704" spans="7:16" s="1634" customFormat="1">
      <c r="G48704" s="3336"/>
      <c r="P48704" s="3337"/>
    </row>
    <row r="48705" spans="7:16" s="1634" customFormat="1">
      <c r="G48705" s="3336"/>
      <c r="P48705" s="3337"/>
    </row>
    <row r="48706" spans="7:16" s="1634" customFormat="1">
      <c r="G48706" s="3336"/>
      <c r="P48706" s="3337"/>
    </row>
    <row r="48707" spans="7:16" s="1634" customFormat="1">
      <c r="G48707" s="3336"/>
      <c r="P48707" s="3337"/>
    </row>
    <row r="48708" spans="7:16" s="1634" customFormat="1">
      <c r="G48708" s="3336"/>
      <c r="P48708" s="3337"/>
    </row>
    <row r="48709" spans="7:16" s="1634" customFormat="1">
      <c r="G48709" s="3336"/>
      <c r="P48709" s="3337"/>
    </row>
    <row r="48710" spans="7:16" s="1634" customFormat="1">
      <c r="G48710" s="3336"/>
      <c r="P48710" s="3337"/>
    </row>
    <row r="48711" spans="7:16" s="1634" customFormat="1">
      <c r="G48711" s="3336"/>
      <c r="P48711" s="3337"/>
    </row>
    <row r="48712" spans="7:16" s="1634" customFormat="1">
      <c r="G48712" s="3336"/>
      <c r="P48712" s="3337"/>
    </row>
    <row r="48713" spans="7:16" s="1634" customFormat="1">
      <c r="G48713" s="3336"/>
      <c r="P48713" s="3337"/>
    </row>
    <row r="48714" spans="7:16" s="1634" customFormat="1">
      <c r="G48714" s="3336"/>
      <c r="P48714" s="3337"/>
    </row>
    <row r="48715" spans="7:16" s="1634" customFormat="1">
      <c r="G48715" s="3336"/>
      <c r="P48715" s="3337"/>
    </row>
    <row r="48716" spans="7:16" s="1634" customFormat="1">
      <c r="G48716" s="3336"/>
      <c r="P48716" s="3337"/>
    </row>
    <row r="48717" spans="7:16" s="1634" customFormat="1">
      <c r="G48717" s="3336"/>
      <c r="P48717" s="3337"/>
    </row>
    <row r="48718" spans="7:16" s="1634" customFormat="1">
      <c r="G48718" s="3336"/>
      <c r="P48718" s="3337"/>
    </row>
    <row r="48719" spans="7:16" s="1634" customFormat="1">
      <c r="G48719" s="3336"/>
      <c r="P48719" s="3337"/>
    </row>
    <row r="48720" spans="7:16" s="1634" customFormat="1">
      <c r="G48720" s="3336"/>
      <c r="P48720" s="3337"/>
    </row>
    <row r="48721" spans="7:16" s="1634" customFormat="1">
      <c r="G48721" s="3336"/>
      <c r="P48721" s="3337"/>
    </row>
    <row r="48722" spans="7:16" s="1634" customFormat="1">
      <c r="G48722" s="3336"/>
      <c r="P48722" s="3337"/>
    </row>
    <row r="48723" spans="7:16" s="1634" customFormat="1">
      <c r="G48723" s="3336"/>
      <c r="P48723" s="3337"/>
    </row>
    <row r="48724" spans="7:16" s="1634" customFormat="1">
      <c r="G48724" s="3336"/>
      <c r="P48724" s="3337"/>
    </row>
    <row r="48725" spans="7:16" s="1634" customFormat="1">
      <c r="G48725" s="3336"/>
      <c r="P48725" s="3337"/>
    </row>
    <row r="48726" spans="7:16" s="1634" customFormat="1">
      <c r="G48726" s="3336"/>
      <c r="P48726" s="3337"/>
    </row>
    <row r="48727" spans="7:16" s="1634" customFormat="1">
      <c r="G48727" s="3336"/>
      <c r="P48727" s="3337"/>
    </row>
    <row r="48728" spans="7:16" s="1634" customFormat="1">
      <c r="G48728" s="3336"/>
      <c r="P48728" s="3337"/>
    </row>
    <row r="48729" spans="7:16" s="1634" customFormat="1">
      <c r="G48729" s="3336"/>
      <c r="P48729" s="3337"/>
    </row>
    <row r="48730" spans="7:16" s="1634" customFormat="1">
      <c r="G48730" s="3336"/>
      <c r="P48730" s="3337"/>
    </row>
    <row r="48731" spans="7:16" s="1634" customFormat="1">
      <c r="G48731" s="3336"/>
      <c r="P48731" s="3337"/>
    </row>
    <row r="48732" spans="7:16" s="1634" customFormat="1">
      <c r="G48732" s="3336"/>
      <c r="P48732" s="3337"/>
    </row>
    <row r="48733" spans="7:16" s="1634" customFormat="1">
      <c r="G48733" s="3336"/>
      <c r="P48733" s="3337"/>
    </row>
    <row r="48734" spans="7:16" s="1634" customFormat="1">
      <c r="G48734" s="3336"/>
      <c r="P48734" s="3337"/>
    </row>
    <row r="48735" spans="7:16" s="1634" customFormat="1">
      <c r="G48735" s="3336"/>
      <c r="P48735" s="3337"/>
    </row>
    <row r="48736" spans="7:16" s="1634" customFormat="1">
      <c r="G48736" s="3336"/>
      <c r="P48736" s="3337"/>
    </row>
    <row r="48737" spans="7:16" s="1634" customFormat="1">
      <c r="G48737" s="3336"/>
      <c r="P48737" s="3337"/>
    </row>
    <row r="48738" spans="7:16" s="1634" customFormat="1">
      <c r="G48738" s="3336"/>
      <c r="P48738" s="3337"/>
    </row>
    <row r="48739" spans="7:16" s="1634" customFormat="1">
      <c r="G48739" s="3336"/>
      <c r="P48739" s="3337"/>
    </row>
    <row r="48740" spans="7:16" s="1634" customFormat="1">
      <c r="G48740" s="3336"/>
      <c r="P48740" s="3337"/>
    </row>
    <row r="48741" spans="7:16" s="1634" customFormat="1">
      <c r="G48741" s="3336"/>
      <c r="P48741" s="3337"/>
    </row>
    <row r="48742" spans="7:16" s="1634" customFormat="1">
      <c r="G48742" s="3336"/>
      <c r="P48742" s="3337"/>
    </row>
    <row r="48743" spans="7:16" s="1634" customFormat="1">
      <c r="G48743" s="3336"/>
      <c r="P48743" s="3337"/>
    </row>
    <row r="48744" spans="7:16" s="1634" customFormat="1">
      <c r="G48744" s="3336"/>
      <c r="P48744" s="3337"/>
    </row>
    <row r="48745" spans="7:16" s="1634" customFormat="1">
      <c r="G48745" s="3336"/>
      <c r="P48745" s="3337"/>
    </row>
    <row r="48746" spans="7:16" s="1634" customFormat="1">
      <c r="G48746" s="3336"/>
      <c r="P48746" s="3337"/>
    </row>
    <row r="48747" spans="7:16" s="1634" customFormat="1">
      <c r="G48747" s="3336"/>
      <c r="P48747" s="3337"/>
    </row>
    <row r="48748" spans="7:16" s="1634" customFormat="1">
      <c r="G48748" s="3336"/>
      <c r="P48748" s="3337"/>
    </row>
    <row r="48749" spans="7:16" s="1634" customFormat="1">
      <c r="G48749" s="3336"/>
      <c r="P48749" s="3337"/>
    </row>
    <row r="48750" spans="7:16" s="1634" customFormat="1">
      <c r="G48750" s="3336"/>
      <c r="P48750" s="3337"/>
    </row>
    <row r="48751" spans="7:16" s="1634" customFormat="1">
      <c r="G48751" s="3336"/>
      <c r="P48751" s="3337"/>
    </row>
    <row r="48752" spans="7:16" s="1634" customFormat="1">
      <c r="G48752" s="3336"/>
      <c r="P48752" s="3337"/>
    </row>
    <row r="48753" spans="7:16" s="1634" customFormat="1">
      <c r="G48753" s="3336"/>
      <c r="P48753" s="3337"/>
    </row>
    <row r="48754" spans="7:16" s="1634" customFormat="1">
      <c r="G48754" s="3336"/>
      <c r="P48754" s="3337"/>
    </row>
    <row r="48755" spans="7:16" s="1634" customFormat="1">
      <c r="G48755" s="3336"/>
      <c r="P48755" s="3337"/>
    </row>
    <row r="48756" spans="7:16" s="1634" customFormat="1">
      <c r="G48756" s="3336"/>
      <c r="P48756" s="3337"/>
    </row>
    <row r="48757" spans="7:16" s="1634" customFormat="1">
      <c r="G48757" s="3336"/>
      <c r="P48757" s="3337"/>
    </row>
    <row r="48758" spans="7:16" s="1634" customFormat="1">
      <c r="G48758" s="3336"/>
      <c r="P48758" s="3337"/>
    </row>
    <row r="48759" spans="7:16" s="1634" customFormat="1">
      <c r="G48759" s="3336"/>
      <c r="P48759" s="3337"/>
    </row>
    <row r="48760" spans="7:16" s="1634" customFormat="1">
      <c r="G48760" s="3336"/>
      <c r="P48760" s="3337"/>
    </row>
    <row r="48761" spans="7:16" s="1634" customFormat="1">
      <c r="G48761" s="3336"/>
      <c r="P48761" s="3337"/>
    </row>
    <row r="48762" spans="7:16" s="1634" customFormat="1">
      <c r="G48762" s="3336"/>
      <c r="P48762" s="3337"/>
    </row>
    <row r="48763" spans="7:16" s="1634" customFormat="1">
      <c r="G48763" s="3336"/>
      <c r="P48763" s="3337"/>
    </row>
    <row r="48764" spans="7:16" s="1634" customFormat="1">
      <c r="G48764" s="3336"/>
      <c r="P48764" s="3337"/>
    </row>
    <row r="48765" spans="7:16" s="1634" customFormat="1">
      <c r="G48765" s="3336"/>
      <c r="P48765" s="3337"/>
    </row>
    <row r="48766" spans="7:16" s="1634" customFormat="1">
      <c r="G48766" s="3336"/>
      <c r="P48766" s="3337"/>
    </row>
    <row r="48767" spans="7:16" s="1634" customFormat="1">
      <c r="G48767" s="3336"/>
      <c r="P48767" s="3337"/>
    </row>
    <row r="48768" spans="7:16" s="1634" customFormat="1">
      <c r="G48768" s="3336"/>
      <c r="P48768" s="3337"/>
    </row>
    <row r="48769" spans="7:16" s="1634" customFormat="1">
      <c r="G48769" s="3336"/>
      <c r="P48769" s="3337"/>
    </row>
    <row r="48770" spans="7:16" s="1634" customFormat="1">
      <c r="G48770" s="3336"/>
      <c r="P48770" s="3337"/>
    </row>
    <row r="48771" spans="7:16" s="1634" customFormat="1">
      <c r="G48771" s="3336"/>
      <c r="P48771" s="3337"/>
    </row>
    <row r="48772" spans="7:16" s="1634" customFormat="1">
      <c r="G48772" s="3336"/>
      <c r="P48772" s="3337"/>
    </row>
    <row r="48773" spans="7:16" s="1634" customFormat="1">
      <c r="G48773" s="3336"/>
      <c r="P48773" s="3337"/>
    </row>
    <row r="48774" spans="7:16" s="1634" customFormat="1">
      <c r="G48774" s="3336"/>
      <c r="P48774" s="3337"/>
    </row>
    <row r="48775" spans="7:16" s="1634" customFormat="1">
      <c r="G48775" s="3336"/>
      <c r="P48775" s="3337"/>
    </row>
    <row r="48776" spans="7:16" s="1634" customFormat="1">
      <c r="G48776" s="3336"/>
      <c r="P48776" s="3337"/>
    </row>
    <row r="48777" spans="7:16" s="1634" customFormat="1">
      <c r="G48777" s="3336"/>
      <c r="P48777" s="3337"/>
    </row>
    <row r="48778" spans="7:16" s="1634" customFormat="1">
      <c r="G48778" s="3336"/>
      <c r="P48778" s="3337"/>
    </row>
    <row r="48779" spans="7:16" s="1634" customFormat="1">
      <c r="G48779" s="3336"/>
      <c r="P48779" s="3337"/>
    </row>
    <row r="48780" spans="7:16" s="1634" customFormat="1">
      <c r="G48780" s="3336"/>
      <c r="P48780" s="3337"/>
    </row>
    <row r="48781" spans="7:16" s="1634" customFormat="1">
      <c r="G48781" s="3336"/>
      <c r="P48781" s="3337"/>
    </row>
    <row r="48782" spans="7:16" s="1634" customFormat="1">
      <c r="G48782" s="3336"/>
      <c r="P48782" s="3337"/>
    </row>
    <row r="48783" spans="7:16" s="1634" customFormat="1">
      <c r="G48783" s="3336"/>
      <c r="P48783" s="3337"/>
    </row>
    <row r="48784" spans="7:16" s="1634" customFormat="1">
      <c r="G48784" s="3336"/>
      <c r="P48784" s="3337"/>
    </row>
    <row r="48785" spans="7:16" s="1634" customFormat="1">
      <c r="G48785" s="3336"/>
      <c r="P48785" s="3337"/>
    </row>
    <row r="48786" spans="7:16" s="1634" customFormat="1">
      <c r="G48786" s="3336"/>
      <c r="P48786" s="3337"/>
    </row>
    <row r="48787" spans="7:16" s="1634" customFormat="1">
      <c r="G48787" s="3336"/>
      <c r="P48787" s="3337"/>
    </row>
    <row r="48788" spans="7:16" s="1634" customFormat="1">
      <c r="G48788" s="3336"/>
      <c r="P48788" s="3337"/>
    </row>
    <row r="48789" spans="7:16" s="1634" customFormat="1">
      <c r="G48789" s="3336"/>
      <c r="P48789" s="3337"/>
    </row>
    <row r="48790" spans="7:16" s="1634" customFormat="1">
      <c r="G48790" s="3336"/>
      <c r="P48790" s="3337"/>
    </row>
    <row r="48791" spans="7:16" s="1634" customFormat="1">
      <c r="G48791" s="3336"/>
      <c r="P48791" s="3337"/>
    </row>
    <row r="48792" spans="7:16" s="1634" customFormat="1">
      <c r="G48792" s="3336"/>
      <c r="P48792" s="3337"/>
    </row>
    <row r="48793" spans="7:16" s="1634" customFormat="1">
      <c r="G48793" s="3336"/>
      <c r="P48793" s="3337"/>
    </row>
    <row r="48794" spans="7:16" s="1634" customFormat="1">
      <c r="G48794" s="3336"/>
      <c r="P48794" s="3337"/>
    </row>
    <row r="48795" spans="7:16" s="1634" customFormat="1">
      <c r="G48795" s="3336"/>
      <c r="P48795" s="3337"/>
    </row>
    <row r="48796" spans="7:16" s="1634" customFormat="1">
      <c r="G48796" s="3336"/>
      <c r="P48796" s="3337"/>
    </row>
    <row r="48797" spans="7:16" s="1634" customFormat="1">
      <c r="G48797" s="3336"/>
      <c r="P48797" s="3337"/>
    </row>
    <row r="48798" spans="7:16" s="1634" customFormat="1">
      <c r="G48798" s="3336"/>
      <c r="P48798" s="3337"/>
    </row>
    <row r="48799" spans="7:16" s="1634" customFormat="1">
      <c r="G48799" s="3336"/>
      <c r="P48799" s="3337"/>
    </row>
    <row r="48800" spans="7:16" s="1634" customFormat="1">
      <c r="G48800" s="3336"/>
      <c r="P48800" s="3337"/>
    </row>
    <row r="48801" spans="7:16" s="1634" customFormat="1">
      <c r="G48801" s="3336"/>
      <c r="P48801" s="3337"/>
    </row>
    <row r="48802" spans="7:16" s="1634" customFormat="1">
      <c r="G48802" s="3336"/>
      <c r="P48802" s="3337"/>
    </row>
    <row r="48803" spans="7:16" s="1634" customFormat="1">
      <c r="G48803" s="3336"/>
      <c r="P48803" s="3337"/>
    </row>
    <row r="48804" spans="7:16" s="1634" customFormat="1">
      <c r="G48804" s="3336"/>
      <c r="P48804" s="3337"/>
    </row>
    <row r="48805" spans="7:16" s="1634" customFormat="1">
      <c r="G48805" s="3336"/>
      <c r="P48805" s="3337"/>
    </row>
    <row r="48806" spans="7:16" s="1634" customFormat="1">
      <c r="G48806" s="3336"/>
      <c r="P48806" s="3337"/>
    </row>
    <row r="48807" spans="7:16" s="1634" customFormat="1">
      <c r="G48807" s="3336"/>
      <c r="P48807" s="3337"/>
    </row>
    <row r="48808" spans="7:16" s="1634" customFormat="1">
      <c r="G48808" s="3336"/>
      <c r="P48808" s="3337"/>
    </row>
    <row r="48809" spans="7:16" s="1634" customFormat="1">
      <c r="G48809" s="3336"/>
      <c r="P48809" s="3337"/>
    </row>
    <row r="48810" spans="7:16" s="1634" customFormat="1">
      <c r="G48810" s="3336"/>
      <c r="P48810" s="3337"/>
    </row>
    <row r="48811" spans="7:16" s="1634" customFormat="1">
      <c r="G48811" s="3336"/>
      <c r="P48811" s="3337"/>
    </row>
    <row r="48812" spans="7:16" s="1634" customFormat="1">
      <c r="G48812" s="3336"/>
      <c r="P48812" s="3337"/>
    </row>
    <row r="48813" spans="7:16" s="1634" customFormat="1">
      <c r="G48813" s="3336"/>
      <c r="P48813" s="3337"/>
    </row>
    <row r="48814" spans="7:16" s="1634" customFormat="1">
      <c r="G48814" s="3336"/>
      <c r="P48814" s="3337"/>
    </row>
    <row r="48815" spans="7:16" s="1634" customFormat="1">
      <c r="G48815" s="3336"/>
      <c r="P48815" s="3337"/>
    </row>
    <row r="48816" spans="7:16" s="1634" customFormat="1">
      <c r="G48816" s="3336"/>
      <c r="P48816" s="3337"/>
    </row>
    <row r="48817" spans="7:16" s="1634" customFormat="1">
      <c r="G48817" s="3336"/>
      <c r="P48817" s="3337"/>
    </row>
    <row r="48818" spans="7:16" s="1634" customFormat="1">
      <c r="G48818" s="3336"/>
      <c r="P48818" s="3337"/>
    </row>
    <row r="48819" spans="7:16" s="1634" customFormat="1">
      <c r="G48819" s="3336"/>
      <c r="P48819" s="3337"/>
    </row>
    <row r="48820" spans="7:16" s="1634" customFormat="1">
      <c r="G48820" s="3336"/>
      <c r="P48820" s="3337"/>
    </row>
    <row r="48821" spans="7:16" s="1634" customFormat="1">
      <c r="G48821" s="3336"/>
      <c r="P48821" s="3337"/>
    </row>
    <row r="48822" spans="7:16" s="1634" customFormat="1">
      <c r="G48822" s="3336"/>
      <c r="P48822" s="3337"/>
    </row>
    <row r="48823" spans="7:16" s="1634" customFormat="1">
      <c r="G48823" s="3336"/>
      <c r="P48823" s="3337"/>
    </row>
    <row r="48824" spans="7:16" s="1634" customFormat="1">
      <c r="G48824" s="3336"/>
      <c r="P48824" s="3337"/>
    </row>
    <row r="48825" spans="7:16" s="1634" customFormat="1">
      <c r="G48825" s="3336"/>
      <c r="P48825" s="3337"/>
    </row>
    <row r="48826" spans="7:16" s="1634" customFormat="1">
      <c r="G48826" s="3336"/>
      <c r="P48826" s="3337"/>
    </row>
    <row r="48827" spans="7:16" s="1634" customFormat="1">
      <c r="G48827" s="3336"/>
      <c r="P48827" s="3337"/>
    </row>
    <row r="48828" spans="7:16" s="1634" customFormat="1">
      <c r="G48828" s="3336"/>
      <c r="P48828" s="3337"/>
    </row>
    <row r="48829" spans="7:16" s="1634" customFormat="1">
      <c r="G48829" s="3336"/>
      <c r="P48829" s="3337"/>
    </row>
    <row r="48830" spans="7:16" s="1634" customFormat="1">
      <c r="G48830" s="3336"/>
      <c r="P48830" s="3337"/>
    </row>
    <row r="48831" spans="7:16" s="1634" customFormat="1">
      <c r="G48831" s="3336"/>
      <c r="P48831" s="3337"/>
    </row>
    <row r="48832" spans="7:16" s="1634" customFormat="1">
      <c r="G48832" s="3336"/>
      <c r="P48832" s="3337"/>
    </row>
    <row r="48833" spans="7:16" s="1634" customFormat="1">
      <c r="G48833" s="3336"/>
      <c r="P48833" s="3337"/>
    </row>
    <row r="48834" spans="7:16" s="1634" customFormat="1">
      <c r="G48834" s="3336"/>
      <c r="P48834" s="3337"/>
    </row>
    <row r="48835" spans="7:16" s="1634" customFormat="1">
      <c r="G48835" s="3336"/>
      <c r="P48835" s="3337"/>
    </row>
    <row r="48836" spans="7:16" s="1634" customFormat="1">
      <c r="G48836" s="3336"/>
      <c r="P48836" s="3337"/>
    </row>
    <row r="48837" spans="7:16" s="1634" customFormat="1">
      <c r="G48837" s="3336"/>
      <c r="P48837" s="3337"/>
    </row>
    <row r="48838" spans="7:16" s="1634" customFormat="1">
      <c r="G48838" s="3336"/>
      <c r="P48838" s="3337"/>
    </row>
    <row r="48839" spans="7:16" s="1634" customFormat="1">
      <c r="G48839" s="3336"/>
      <c r="P48839" s="3337"/>
    </row>
    <row r="48840" spans="7:16" s="1634" customFormat="1">
      <c r="G48840" s="3336"/>
      <c r="P48840" s="3337"/>
    </row>
    <row r="48841" spans="7:16" s="1634" customFormat="1">
      <c r="G48841" s="3336"/>
      <c r="P48841" s="3337"/>
    </row>
    <row r="48842" spans="7:16" s="1634" customFormat="1">
      <c r="G48842" s="3336"/>
      <c r="P48842" s="3337"/>
    </row>
    <row r="48843" spans="7:16" s="1634" customFormat="1">
      <c r="G48843" s="3336"/>
      <c r="P48843" s="3337"/>
    </row>
    <row r="48844" spans="7:16" s="1634" customFormat="1">
      <c r="G48844" s="3336"/>
      <c r="P48844" s="3337"/>
    </row>
    <row r="48845" spans="7:16" s="1634" customFormat="1">
      <c r="G48845" s="3336"/>
      <c r="P48845" s="3337"/>
    </row>
    <row r="48846" spans="7:16" s="1634" customFormat="1">
      <c r="G48846" s="3336"/>
      <c r="P48846" s="3337"/>
    </row>
    <row r="48847" spans="7:16" s="1634" customFormat="1">
      <c r="G48847" s="3336"/>
      <c r="P48847" s="3337"/>
    </row>
    <row r="48848" spans="7:16" s="1634" customFormat="1">
      <c r="G48848" s="3336"/>
      <c r="P48848" s="3337"/>
    </row>
    <row r="48849" spans="7:16" s="1634" customFormat="1">
      <c r="G48849" s="3336"/>
      <c r="P48849" s="3337"/>
    </row>
    <row r="48850" spans="7:16" s="1634" customFormat="1">
      <c r="G48850" s="3336"/>
      <c r="P48850" s="3337"/>
    </row>
    <row r="48851" spans="7:16" s="1634" customFormat="1">
      <c r="G48851" s="3336"/>
      <c r="P48851" s="3337"/>
    </row>
    <row r="48852" spans="7:16" s="1634" customFormat="1">
      <c r="G48852" s="3336"/>
      <c r="P48852" s="3337"/>
    </row>
    <row r="48853" spans="7:16" s="1634" customFormat="1">
      <c r="G48853" s="3336"/>
      <c r="P48853" s="3337"/>
    </row>
    <row r="48854" spans="7:16" s="1634" customFormat="1">
      <c r="G48854" s="3336"/>
      <c r="P48854" s="3337"/>
    </row>
    <row r="48855" spans="7:16" s="1634" customFormat="1">
      <c r="G48855" s="3336"/>
      <c r="P48855" s="3337"/>
    </row>
    <row r="48856" spans="7:16" s="1634" customFormat="1">
      <c r="G48856" s="3336"/>
      <c r="P48856" s="3337"/>
    </row>
    <row r="48857" spans="7:16" s="1634" customFormat="1">
      <c r="G48857" s="3336"/>
      <c r="P48857" s="3337"/>
    </row>
    <row r="48858" spans="7:16" s="1634" customFormat="1">
      <c r="G48858" s="3336"/>
      <c r="P48858" s="3337"/>
    </row>
    <row r="48859" spans="7:16" s="1634" customFormat="1">
      <c r="G48859" s="3336"/>
      <c r="P48859" s="3337"/>
    </row>
    <row r="48860" spans="7:16" s="1634" customFormat="1">
      <c r="G48860" s="3336"/>
      <c r="P48860" s="3337"/>
    </row>
    <row r="48861" spans="7:16" s="1634" customFormat="1">
      <c r="G48861" s="3336"/>
      <c r="P48861" s="3337"/>
    </row>
    <row r="48862" spans="7:16" s="1634" customFormat="1">
      <c r="G48862" s="3336"/>
      <c r="P48862" s="3337"/>
    </row>
    <row r="48863" spans="7:16" s="1634" customFormat="1">
      <c r="G48863" s="3336"/>
      <c r="P48863" s="3337"/>
    </row>
    <row r="48864" spans="7:16" s="1634" customFormat="1">
      <c r="G48864" s="3336"/>
      <c r="P48864" s="3337"/>
    </row>
    <row r="48865" spans="7:16" s="1634" customFormat="1">
      <c r="G48865" s="3336"/>
      <c r="P48865" s="3337"/>
    </row>
    <row r="48866" spans="7:16" s="1634" customFormat="1">
      <c r="G48866" s="3336"/>
      <c r="P48866" s="3337"/>
    </row>
    <row r="48867" spans="7:16" s="1634" customFormat="1">
      <c r="G48867" s="3336"/>
      <c r="P48867" s="3337"/>
    </row>
    <row r="48868" spans="7:16" s="1634" customFormat="1">
      <c r="G48868" s="3336"/>
      <c r="P48868" s="3337"/>
    </row>
    <row r="48869" spans="7:16" s="1634" customFormat="1">
      <c r="G48869" s="3336"/>
      <c r="P48869" s="3337"/>
    </row>
    <row r="48870" spans="7:16" s="1634" customFormat="1">
      <c r="G48870" s="3336"/>
      <c r="P48870" s="3337"/>
    </row>
    <row r="48871" spans="7:16" s="1634" customFormat="1">
      <c r="G48871" s="3336"/>
      <c r="P48871" s="3337"/>
    </row>
    <row r="48872" spans="7:16" s="1634" customFormat="1">
      <c r="G48872" s="3336"/>
      <c r="P48872" s="3337"/>
    </row>
    <row r="48873" spans="7:16" s="1634" customFormat="1">
      <c r="G48873" s="3336"/>
      <c r="P48873" s="3337"/>
    </row>
    <row r="48874" spans="7:16" s="1634" customFormat="1">
      <c r="G48874" s="3336"/>
      <c r="P48874" s="3337"/>
    </row>
    <row r="48875" spans="7:16" s="1634" customFormat="1">
      <c r="G48875" s="3336"/>
      <c r="P48875" s="3337"/>
    </row>
    <row r="48876" spans="7:16" s="1634" customFormat="1">
      <c r="G48876" s="3336"/>
      <c r="P48876" s="3337"/>
    </row>
    <row r="48877" spans="7:16" s="1634" customFormat="1">
      <c r="G48877" s="3336"/>
      <c r="P48877" s="3337"/>
    </row>
    <row r="48878" spans="7:16" s="1634" customFormat="1">
      <c r="G48878" s="3336"/>
      <c r="P48878" s="3337"/>
    </row>
    <row r="48879" spans="7:16" s="1634" customFormat="1">
      <c r="G48879" s="3336"/>
      <c r="P48879" s="3337"/>
    </row>
    <row r="48880" spans="7:16" s="1634" customFormat="1">
      <c r="G48880" s="3336"/>
      <c r="P48880" s="3337"/>
    </row>
    <row r="48881" spans="7:16" s="1634" customFormat="1">
      <c r="G48881" s="3336"/>
      <c r="P48881" s="3337"/>
    </row>
    <row r="48882" spans="7:16" s="1634" customFormat="1">
      <c r="G48882" s="3336"/>
      <c r="P48882" s="3337"/>
    </row>
    <row r="48883" spans="7:16" s="1634" customFormat="1">
      <c r="G48883" s="3336"/>
      <c r="P48883" s="3337"/>
    </row>
    <row r="48884" spans="7:16" s="1634" customFormat="1">
      <c r="G48884" s="3336"/>
      <c r="P48884" s="3337"/>
    </row>
    <row r="48885" spans="7:16" s="1634" customFormat="1">
      <c r="G48885" s="3336"/>
      <c r="P48885" s="3337"/>
    </row>
    <row r="48886" spans="7:16" s="1634" customFormat="1">
      <c r="G48886" s="3336"/>
      <c r="P48886" s="3337"/>
    </row>
    <row r="48887" spans="7:16" s="1634" customFormat="1">
      <c r="G48887" s="3336"/>
      <c r="P48887" s="3337"/>
    </row>
    <row r="48888" spans="7:16" s="1634" customFormat="1">
      <c r="G48888" s="3336"/>
      <c r="P48888" s="3337"/>
    </row>
    <row r="48889" spans="7:16" s="1634" customFormat="1">
      <c r="G48889" s="3336"/>
      <c r="P48889" s="3337"/>
    </row>
    <row r="48890" spans="7:16" s="1634" customFormat="1">
      <c r="G48890" s="3336"/>
      <c r="P48890" s="3337"/>
    </row>
    <row r="48891" spans="7:16" s="1634" customFormat="1">
      <c r="G48891" s="3336"/>
      <c r="P48891" s="3337"/>
    </row>
    <row r="48892" spans="7:16" s="1634" customFormat="1">
      <c r="G48892" s="3336"/>
      <c r="P48892" s="3337"/>
    </row>
    <row r="48893" spans="7:16" s="1634" customFormat="1">
      <c r="G48893" s="3336"/>
      <c r="P48893" s="3337"/>
    </row>
    <row r="48894" spans="7:16" s="1634" customFormat="1">
      <c r="G48894" s="3336"/>
      <c r="P48894" s="3337"/>
    </row>
    <row r="48895" spans="7:16" s="1634" customFormat="1">
      <c r="G48895" s="3336"/>
      <c r="P48895" s="3337"/>
    </row>
    <row r="48896" spans="7:16" s="1634" customFormat="1">
      <c r="G48896" s="3336"/>
      <c r="P48896" s="3337"/>
    </row>
    <row r="48897" spans="7:16" s="1634" customFormat="1">
      <c r="G48897" s="3336"/>
      <c r="P48897" s="3337"/>
    </row>
    <row r="48898" spans="7:16" s="1634" customFormat="1">
      <c r="G48898" s="3336"/>
      <c r="P48898" s="3337"/>
    </row>
    <row r="48899" spans="7:16" s="1634" customFormat="1">
      <c r="G48899" s="3336"/>
      <c r="P48899" s="3337"/>
    </row>
    <row r="48900" spans="7:16" s="1634" customFormat="1">
      <c r="G48900" s="3336"/>
      <c r="P48900" s="3337"/>
    </row>
    <row r="48901" spans="7:16" s="1634" customFormat="1">
      <c r="G48901" s="3336"/>
      <c r="P48901" s="3337"/>
    </row>
    <row r="48902" spans="7:16" s="1634" customFormat="1">
      <c r="G48902" s="3336"/>
      <c r="P48902" s="3337"/>
    </row>
    <row r="48903" spans="7:16" s="1634" customFormat="1">
      <c r="G48903" s="3336"/>
      <c r="P48903" s="3337"/>
    </row>
    <row r="48904" spans="7:16" s="1634" customFormat="1">
      <c r="G48904" s="3336"/>
      <c r="P48904" s="3337"/>
    </row>
    <row r="48905" spans="7:16" s="1634" customFormat="1">
      <c r="G48905" s="3336"/>
      <c r="P48905" s="3337"/>
    </row>
    <row r="48906" spans="7:16" s="1634" customFormat="1">
      <c r="G48906" s="3336"/>
      <c r="P48906" s="3337"/>
    </row>
    <row r="48907" spans="7:16" s="1634" customFormat="1">
      <c r="G48907" s="3336"/>
      <c r="P48907" s="3337"/>
    </row>
    <row r="48908" spans="7:16" s="1634" customFormat="1">
      <c r="G48908" s="3336"/>
      <c r="P48908" s="3337"/>
    </row>
    <row r="48909" spans="7:16" s="1634" customFormat="1">
      <c r="G48909" s="3336"/>
      <c r="P48909" s="3337"/>
    </row>
    <row r="48910" spans="7:16" s="1634" customFormat="1">
      <c r="G48910" s="3336"/>
      <c r="P48910" s="3337"/>
    </row>
    <row r="48911" spans="7:16" s="1634" customFormat="1">
      <c r="G48911" s="3336"/>
      <c r="P48911" s="3337"/>
    </row>
    <row r="48912" spans="7:16" s="1634" customFormat="1">
      <c r="G48912" s="3336"/>
      <c r="P48912" s="3337"/>
    </row>
    <row r="48913" spans="7:16" s="1634" customFormat="1">
      <c r="G48913" s="3336"/>
      <c r="P48913" s="3337"/>
    </row>
    <row r="48914" spans="7:16" s="1634" customFormat="1">
      <c r="G48914" s="3336"/>
      <c r="P48914" s="3337"/>
    </row>
    <row r="48915" spans="7:16" s="1634" customFormat="1">
      <c r="G48915" s="3336"/>
      <c r="P48915" s="3337"/>
    </row>
    <row r="48916" spans="7:16" s="1634" customFormat="1">
      <c r="G48916" s="3336"/>
      <c r="P48916" s="3337"/>
    </row>
    <row r="48917" spans="7:16" s="1634" customFormat="1">
      <c r="G48917" s="3336"/>
      <c r="P48917" s="3337"/>
    </row>
    <row r="48918" spans="7:16" s="1634" customFormat="1">
      <c r="G48918" s="3336"/>
      <c r="P48918" s="3337"/>
    </row>
    <row r="48919" spans="7:16" s="1634" customFormat="1">
      <c r="G48919" s="3336"/>
      <c r="P48919" s="3337"/>
    </row>
    <row r="48920" spans="7:16" s="1634" customFormat="1">
      <c r="G48920" s="3336"/>
      <c r="P48920" s="3337"/>
    </row>
    <row r="48921" spans="7:16" s="1634" customFormat="1">
      <c r="G48921" s="3336"/>
      <c r="P48921" s="3337"/>
    </row>
    <row r="48922" spans="7:16" s="1634" customFormat="1">
      <c r="G48922" s="3336"/>
      <c r="P48922" s="3337"/>
    </row>
    <row r="48923" spans="7:16" s="1634" customFormat="1">
      <c r="G48923" s="3336"/>
      <c r="P48923" s="3337"/>
    </row>
    <row r="48924" spans="7:16" s="1634" customFormat="1">
      <c r="G48924" s="3336"/>
      <c r="P48924" s="3337"/>
    </row>
    <row r="48925" spans="7:16" s="1634" customFormat="1">
      <c r="G48925" s="3336"/>
      <c r="P48925" s="3337"/>
    </row>
    <row r="48926" spans="7:16" s="1634" customFormat="1">
      <c r="G48926" s="3336"/>
      <c r="P48926" s="3337"/>
    </row>
    <row r="48927" spans="7:16" s="1634" customFormat="1">
      <c r="G48927" s="3336"/>
      <c r="P48927" s="3337"/>
    </row>
    <row r="48928" spans="7:16" s="1634" customFormat="1">
      <c r="G48928" s="3336"/>
      <c r="P48928" s="3337"/>
    </row>
    <row r="48929" spans="7:16" s="1634" customFormat="1">
      <c r="G48929" s="3336"/>
      <c r="P48929" s="3337"/>
    </row>
    <row r="48930" spans="7:16" s="1634" customFormat="1">
      <c r="G48930" s="3336"/>
      <c r="P48930" s="3337"/>
    </row>
    <row r="48931" spans="7:16" s="1634" customFormat="1">
      <c r="G48931" s="3336"/>
      <c r="P48931" s="3337"/>
    </row>
    <row r="48932" spans="7:16" s="1634" customFormat="1">
      <c r="G48932" s="3336"/>
      <c r="P48932" s="3337"/>
    </row>
    <row r="48933" spans="7:16" s="1634" customFormat="1">
      <c r="G48933" s="3336"/>
      <c r="P48933" s="3337"/>
    </row>
    <row r="48934" spans="7:16" s="1634" customFormat="1">
      <c r="G48934" s="3336"/>
      <c r="P48934" s="3337"/>
    </row>
    <row r="48935" spans="7:16" s="1634" customFormat="1">
      <c r="G48935" s="3336"/>
      <c r="P48935" s="3337"/>
    </row>
    <row r="48936" spans="7:16" s="1634" customFormat="1">
      <c r="G48936" s="3336"/>
      <c r="P48936" s="3337"/>
    </row>
    <row r="48937" spans="7:16" s="1634" customFormat="1">
      <c r="G48937" s="3336"/>
      <c r="P48937" s="3337"/>
    </row>
    <row r="48938" spans="7:16" s="1634" customFormat="1">
      <c r="G48938" s="3336"/>
      <c r="P48938" s="3337"/>
    </row>
    <row r="48939" spans="7:16" s="1634" customFormat="1">
      <c r="G48939" s="3336"/>
      <c r="P48939" s="3337"/>
    </row>
    <row r="48940" spans="7:16" s="1634" customFormat="1">
      <c r="G48940" s="3336"/>
      <c r="P48940" s="3337"/>
    </row>
    <row r="48941" spans="7:16" s="1634" customFormat="1">
      <c r="G48941" s="3336"/>
      <c r="P48941" s="3337"/>
    </row>
    <row r="48942" spans="7:16" s="1634" customFormat="1">
      <c r="G48942" s="3336"/>
      <c r="P48942" s="3337"/>
    </row>
    <row r="48943" spans="7:16" s="1634" customFormat="1">
      <c r="G48943" s="3336"/>
      <c r="P48943" s="3337"/>
    </row>
    <row r="48944" spans="7:16" s="1634" customFormat="1">
      <c r="G48944" s="3336"/>
      <c r="P48944" s="3337"/>
    </row>
    <row r="48945" spans="7:16" s="1634" customFormat="1">
      <c r="G48945" s="3336"/>
      <c r="P48945" s="3337"/>
    </row>
    <row r="48946" spans="7:16" s="1634" customFormat="1">
      <c r="G48946" s="3336"/>
      <c r="P48946" s="3337"/>
    </row>
    <row r="48947" spans="7:16" s="1634" customFormat="1">
      <c r="G48947" s="3336"/>
      <c r="P48947" s="3337"/>
    </row>
    <row r="48948" spans="7:16" s="1634" customFormat="1">
      <c r="G48948" s="3336"/>
      <c r="P48948" s="3337"/>
    </row>
    <row r="48949" spans="7:16" s="1634" customFormat="1">
      <c r="G48949" s="3336"/>
      <c r="P48949" s="3337"/>
    </row>
    <row r="48950" spans="7:16" s="1634" customFormat="1">
      <c r="G48950" s="3336"/>
      <c r="P48950" s="3337"/>
    </row>
    <row r="48951" spans="7:16" s="1634" customFormat="1">
      <c r="G48951" s="3336"/>
      <c r="P48951" s="3337"/>
    </row>
    <row r="48952" spans="7:16" s="1634" customFormat="1">
      <c r="G48952" s="3336"/>
      <c r="P48952" s="3337"/>
    </row>
    <row r="48953" spans="7:16" s="1634" customFormat="1">
      <c r="G48953" s="3336"/>
      <c r="P48953" s="3337"/>
    </row>
    <row r="48954" spans="7:16" s="1634" customFormat="1">
      <c r="G48954" s="3336"/>
      <c r="P48954" s="3337"/>
    </row>
    <row r="48955" spans="7:16" s="1634" customFormat="1">
      <c r="G48955" s="3336"/>
      <c r="P48955" s="3337"/>
    </row>
    <row r="48956" spans="7:16" s="1634" customFormat="1">
      <c r="G48956" s="3336"/>
      <c r="P48956" s="3337"/>
    </row>
    <row r="48957" spans="7:16" s="1634" customFormat="1">
      <c r="G48957" s="3336"/>
      <c r="P48957" s="3337"/>
    </row>
    <row r="48958" spans="7:16" s="1634" customFormat="1">
      <c r="G48958" s="3336"/>
      <c r="P48958" s="3337"/>
    </row>
    <row r="48959" spans="7:16" s="1634" customFormat="1">
      <c r="G48959" s="3336"/>
      <c r="P48959" s="3337"/>
    </row>
    <row r="48960" spans="7:16" s="1634" customFormat="1">
      <c r="G48960" s="3336"/>
      <c r="P48960" s="3337"/>
    </row>
    <row r="48961" spans="7:16" s="1634" customFormat="1">
      <c r="G48961" s="3336"/>
      <c r="P48961" s="3337"/>
    </row>
    <row r="48962" spans="7:16" s="1634" customFormat="1">
      <c r="G48962" s="3336"/>
      <c r="P48962" s="3337"/>
    </row>
    <row r="48963" spans="7:16" s="1634" customFormat="1">
      <c r="G48963" s="3336"/>
      <c r="P48963" s="3337"/>
    </row>
    <row r="48964" spans="7:16" s="1634" customFormat="1">
      <c r="G48964" s="3336"/>
      <c r="P48964" s="3337"/>
    </row>
    <row r="48965" spans="7:16" s="1634" customFormat="1">
      <c r="G48965" s="3336"/>
      <c r="P48965" s="3337"/>
    </row>
    <row r="48966" spans="7:16" s="1634" customFormat="1">
      <c r="G48966" s="3336"/>
      <c r="P48966" s="3337"/>
    </row>
    <row r="48967" spans="7:16" s="1634" customFormat="1">
      <c r="G48967" s="3336"/>
      <c r="P48967" s="3337"/>
    </row>
    <row r="48968" spans="7:16" s="1634" customFormat="1">
      <c r="G48968" s="3336"/>
      <c r="P48968" s="3337"/>
    </row>
    <row r="48969" spans="7:16" s="1634" customFormat="1">
      <c r="G48969" s="3336"/>
      <c r="P48969" s="3337"/>
    </row>
    <row r="48970" spans="7:16" s="1634" customFormat="1">
      <c r="G48970" s="3336"/>
      <c r="P48970" s="3337"/>
    </row>
    <row r="48971" spans="7:16" s="1634" customFormat="1">
      <c r="G48971" s="3336"/>
      <c r="P48971" s="3337"/>
    </row>
    <row r="48972" spans="7:16" s="1634" customFormat="1">
      <c r="G48972" s="3336"/>
      <c r="P48972" s="3337"/>
    </row>
    <row r="48973" spans="7:16" s="1634" customFormat="1">
      <c r="G48973" s="3336"/>
      <c r="P48973" s="3337"/>
    </row>
    <row r="48974" spans="7:16" s="1634" customFormat="1">
      <c r="G48974" s="3336"/>
      <c r="P48974" s="3337"/>
    </row>
    <row r="48975" spans="7:16" s="1634" customFormat="1">
      <c r="G48975" s="3336"/>
      <c r="P48975" s="3337"/>
    </row>
    <row r="48976" spans="7:16" s="1634" customFormat="1">
      <c r="G48976" s="3336"/>
      <c r="P48976" s="3337"/>
    </row>
    <row r="48977" spans="7:16" s="1634" customFormat="1">
      <c r="G48977" s="3336"/>
      <c r="P48977" s="3337"/>
    </row>
    <row r="48978" spans="7:16" s="1634" customFormat="1">
      <c r="G48978" s="3336"/>
      <c r="P48978" s="3337"/>
    </row>
    <row r="48979" spans="7:16" s="1634" customFormat="1">
      <c r="G48979" s="3336"/>
      <c r="P48979" s="3337"/>
    </row>
    <row r="48980" spans="7:16" s="1634" customFormat="1">
      <c r="G48980" s="3336"/>
      <c r="P48980" s="3337"/>
    </row>
    <row r="48981" spans="7:16" s="1634" customFormat="1">
      <c r="G48981" s="3336"/>
      <c r="P48981" s="3337"/>
    </row>
    <row r="48982" spans="7:16" s="1634" customFormat="1">
      <c r="G48982" s="3336"/>
      <c r="P48982" s="3337"/>
    </row>
    <row r="48983" spans="7:16" s="1634" customFormat="1">
      <c r="G48983" s="3336"/>
      <c r="P48983" s="3337"/>
    </row>
    <row r="48984" spans="7:16" s="1634" customFormat="1">
      <c r="G48984" s="3336"/>
      <c r="P48984" s="3337"/>
    </row>
    <row r="48985" spans="7:16" s="1634" customFormat="1">
      <c r="G48985" s="3336"/>
      <c r="P48985" s="3337"/>
    </row>
    <row r="48986" spans="7:16" s="1634" customFormat="1">
      <c r="G48986" s="3336"/>
      <c r="P48986" s="3337"/>
    </row>
    <row r="48987" spans="7:16" s="1634" customFormat="1">
      <c r="G48987" s="3336"/>
      <c r="P48987" s="3337"/>
    </row>
    <row r="48988" spans="7:16" s="1634" customFormat="1">
      <c r="G48988" s="3336"/>
      <c r="P48988" s="3337"/>
    </row>
    <row r="48989" spans="7:16" s="1634" customFormat="1">
      <c r="G48989" s="3336"/>
      <c r="P48989" s="3337"/>
    </row>
    <row r="48990" spans="7:16" s="1634" customFormat="1">
      <c r="G48990" s="3336"/>
      <c r="P48990" s="3337"/>
    </row>
    <row r="48991" spans="7:16" s="1634" customFormat="1">
      <c r="G48991" s="3336"/>
      <c r="P48991" s="3337"/>
    </row>
    <row r="48992" spans="7:16" s="1634" customFormat="1">
      <c r="G48992" s="3336"/>
      <c r="P48992" s="3337"/>
    </row>
    <row r="48993" spans="7:16" s="1634" customFormat="1">
      <c r="G48993" s="3336"/>
      <c r="P48993" s="3337"/>
    </row>
    <row r="48994" spans="7:16" s="1634" customFormat="1">
      <c r="G48994" s="3336"/>
      <c r="P48994" s="3337"/>
    </row>
    <row r="48995" spans="7:16" s="1634" customFormat="1">
      <c r="G48995" s="3336"/>
      <c r="P48995" s="3337"/>
    </row>
    <row r="48996" spans="7:16" s="1634" customFormat="1">
      <c r="G48996" s="3336"/>
      <c r="P48996" s="3337"/>
    </row>
    <row r="48997" spans="7:16" s="1634" customFormat="1">
      <c r="G48997" s="3336"/>
      <c r="P48997" s="3337"/>
    </row>
    <row r="48998" spans="7:16" s="1634" customFormat="1">
      <c r="G48998" s="3336"/>
      <c r="P48998" s="3337"/>
    </row>
    <row r="48999" spans="7:16" s="1634" customFormat="1">
      <c r="G48999" s="3336"/>
      <c r="P48999" s="3337"/>
    </row>
    <row r="49000" spans="7:16" s="1634" customFormat="1">
      <c r="G49000" s="3336"/>
      <c r="P49000" s="3337"/>
    </row>
    <row r="49001" spans="7:16" s="1634" customFormat="1">
      <c r="G49001" s="3336"/>
      <c r="P49001" s="3337"/>
    </row>
    <row r="49002" spans="7:16" s="1634" customFormat="1">
      <c r="G49002" s="3336"/>
      <c r="P49002" s="3337"/>
    </row>
    <row r="49003" spans="7:16" s="1634" customFormat="1">
      <c r="G49003" s="3336"/>
      <c r="P49003" s="3337"/>
    </row>
    <row r="49004" spans="7:16" s="1634" customFormat="1">
      <c r="G49004" s="3336"/>
      <c r="P49004" s="3337"/>
    </row>
    <row r="49005" spans="7:16" s="1634" customFormat="1">
      <c r="G49005" s="3336"/>
      <c r="P49005" s="3337"/>
    </row>
    <row r="49006" spans="7:16" s="1634" customFormat="1">
      <c r="G49006" s="3336"/>
      <c r="P49006" s="3337"/>
    </row>
    <row r="49007" spans="7:16" s="1634" customFormat="1">
      <c r="G49007" s="3336"/>
      <c r="P49007" s="3337"/>
    </row>
    <row r="49008" spans="7:16" s="1634" customFormat="1">
      <c r="G49008" s="3336"/>
      <c r="P49008" s="3337"/>
    </row>
    <row r="49009" spans="7:16" s="1634" customFormat="1">
      <c r="G49009" s="3336"/>
      <c r="P49009" s="3337"/>
    </row>
    <row r="49010" spans="7:16" s="1634" customFormat="1">
      <c r="G49010" s="3336"/>
      <c r="P49010" s="3337"/>
    </row>
    <row r="49011" spans="7:16" s="1634" customFormat="1">
      <c r="G49011" s="3336"/>
      <c r="P49011" s="3337"/>
    </row>
    <row r="49012" spans="7:16" s="1634" customFormat="1">
      <c r="G49012" s="3336"/>
      <c r="P49012" s="3337"/>
    </row>
    <row r="49013" spans="7:16" s="1634" customFormat="1">
      <c r="G49013" s="3336"/>
      <c r="P49013" s="3337"/>
    </row>
    <row r="49014" spans="7:16" s="1634" customFormat="1">
      <c r="G49014" s="3336"/>
      <c r="P49014" s="3337"/>
    </row>
    <row r="49015" spans="7:16" s="1634" customFormat="1">
      <c r="G49015" s="3336"/>
      <c r="P49015" s="3337"/>
    </row>
    <row r="49016" spans="7:16" s="1634" customFormat="1">
      <c r="G49016" s="3336"/>
      <c r="P49016" s="3337"/>
    </row>
    <row r="49017" spans="7:16" s="1634" customFormat="1">
      <c r="G49017" s="3336"/>
      <c r="P49017" s="3337"/>
    </row>
    <row r="49018" spans="7:16" s="1634" customFormat="1">
      <c r="G49018" s="3336"/>
      <c r="P49018" s="3337"/>
    </row>
    <row r="49019" spans="7:16" s="1634" customFormat="1">
      <c r="G49019" s="3336"/>
      <c r="P49019" s="3337"/>
    </row>
    <row r="49020" spans="7:16" s="1634" customFormat="1">
      <c r="G49020" s="3336"/>
      <c r="P49020" s="3337"/>
    </row>
    <row r="49021" spans="7:16" s="1634" customFormat="1">
      <c r="G49021" s="3336"/>
      <c r="P49021" s="3337"/>
    </row>
    <row r="49022" spans="7:16" s="1634" customFormat="1">
      <c r="G49022" s="3336"/>
      <c r="P49022" s="3337"/>
    </row>
    <row r="49023" spans="7:16" s="1634" customFormat="1">
      <c r="G49023" s="3336"/>
      <c r="P49023" s="3337"/>
    </row>
    <row r="49024" spans="7:16" s="1634" customFormat="1">
      <c r="G49024" s="3336"/>
      <c r="P49024" s="3337"/>
    </row>
    <row r="49025" spans="7:16" s="1634" customFormat="1">
      <c r="G49025" s="3336"/>
      <c r="P49025" s="3337"/>
    </row>
    <row r="49026" spans="7:16" s="1634" customFormat="1">
      <c r="G49026" s="3336"/>
      <c r="P49026" s="3337"/>
    </row>
    <row r="49027" spans="7:16" s="1634" customFormat="1">
      <c r="G49027" s="3336"/>
      <c r="P49027" s="3337"/>
    </row>
    <row r="49028" spans="7:16" s="1634" customFormat="1">
      <c r="G49028" s="3336"/>
      <c r="P49028" s="3337"/>
    </row>
    <row r="49029" spans="7:16" s="1634" customFormat="1">
      <c r="G49029" s="3336"/>
      <c r="P49029" s="3337"/>
    </row>
    <row r="49030" spans="7:16" s="1634" customFormat="1">
      <c r="G49030" s="3336"/>
      <c r="P49030" s="3337"/>
    </row>
    <row r="49031" spans="7:16" s="1634" customFormat="1">
      <c r="G49031" s="3336"/>
      <c r="P49031" s="3337"/>
    </row>
    <row r="49032" spans="7:16" s="1634" customFormat="1">
      <c r="G49032" s="3336"/>
      <c r="P49032" s="3337"/>
    </row>
    <row r="49033" spans="7:16" s="1634" customFormat="1">
      <c r="G49033" s="3336"/>
      <c r="P49033" s="3337"/>
    </row>
    <row r="49034" spans="7:16" s="1634" customFormat="1">
      <c r="G49034" s="3336"/>
      <c r="P49034" s="3337"/>
    </row>
    <row r="49035" spans="7:16" s="1634" customFormat="1">
      <c r="G49035" s="3336"/>
      <c r="P49035" s="3337"/>
    </row>
    <row r="49036" spans="7:16" s="1634" customFormat="1">
      <c r="G49036" s="3336"/>
      <c r="P49036" s="3337"/>
    </row>
    <row r="49037" spans="7:16" s="1634" customFormat="1">
      <c r="G49037" s="3336"/>
      <c r="P49037" s="3337"/>
    </row>
    <row r="49038" spans="7:16" s="1634" customFormat="1">
      <c r="G49038" s="3336"/>
      <c r="P49038" s="3337"/>
    </row>
    <row r="49039" spans="7:16" s="1634" customFormat="1">
      <c r="G49039" s="3336"/>
      <c r="P49039" s="3337"/>
    </row>
    <row r="49040" spans="7:16" s="1634" customFormat="1">
      <c r="G49040" s="3336"/>
      <c r="P49040" s="3337"/>
    </row>
    <row r="49041" spans="7:16" s="1634" customFormat="1">
      <c r="G49041" s="3336"/>
      <c r="P49041" s="3337"/>
    </row>
    <row r="49042" spans="7:16" s="1634" customFormat="1">
      <c r="G49042" s="3336"/>
      <c r="P49042" s="3337"/>
    </row>
    <row r="49043" spans="7:16" s="1634" customFormat="1">
      <c r="G49043" s="3336"/>
      <c r="P49043" s="3337"/>
    </row>
    <row r="49044" spans="7:16" s="1634" customFormat="1">
      <c r="G49044" s="3336"/>
      <c r="P49044" s="3337"/>
    </row>
    <row r="49045" spans="7:16" s="1634" customFormat="1">
      <c r="G49045" s="3336"/>
      <c r="P49045" s="3337"/>
    </row>
    <row r="49046" spans="7:16" s="1634" customFormat="1">
      <c r="G49046" s="3336"/>
      <c r="P49046" s="3337"/>
    </row>
    <row r="49047" spans="7:16" s="1634" customFormat="1">
      <c r="G49047" s="3336"/>
      <c r="P49047" s="3337"/>
    </row>
    <row r="49048" spans="7:16" s="1634" customFormat="1">
      <c r="G49048" s="3336"/>
      <c r="P49048" s="3337"/>
    </row>
    <row r="49049" spans="7:16" s="1634" customFormat="1">
      <c r="G49049" s="3336"/>
      <c r="P49049" s="3337"/>
    </row>
    <row r="49050" spans="7:16" s="1634" customFormat="1">
      <c r="G49050" s="3336"/>
      <c r="P49050" s="3337"/>
    </row>
    <row r="49051" spans="7:16" s="1634" customFormat="1">
      <c r="G49051" s="3336"/>
      <c r="P49051" s="3337"/>
    </row>
    <row r="49052" spans="7:16" s="1634" customFormat="1">
      <c r="G49052" s="3336"/>
      <c r="P49052" s="3337"/>
    </row>
    <row r="49053" spans="7:16" s="1634" customFormat="1">
      <c r="G49053" s="3336"/>
      <c r="P49053" s="3337"/>
    </row>
    <row r="49054" spans="7:16" s="1634" customFormat="1">
      <c r="G49054" s="3336"/>
      <c r="P49054" s="3337"/>
    </row>
    <row r="49055" spans="7:16" s="1634" customFormat="1">
      <c r="G49055" s="3336"/>
      <c r="P49055" s="3337"/>
    </row>
    <row r="49056" spans="7:16" s="1634" customFormat="1">
      <c r="G49056" s="3336"/>
      <c r="P49056" s="3337"/>
    </row>
    <row r="49057" spans="7:16" s="1634" customFormat="1">
      <c r="G49057" s="3336"/>
      <c r="P49057" s="3337"/>
    </row>
    <row r="49058" spans="7:16" s="1634" customFormat="1">
      <c r="G49058" s="3336"/>
      <c r="P49058" s="3337"/>
    </row>
    <row r="49059" spans="7:16" s="1634" customFormat="1">
      <c r="G49059" s="3336"/>
      <c r="P49059" s="3337"/>
    </row>
    <row r="49060" spans="7:16" s="1634" customFormat="1">
      <c r="G49060" s="3336"/>
      <c r="P49060" s="3337"/>
    </row>
    <row r="49061" spans="7:16" s="1634" customFormat="1">
      <c r="G49061" s="3336"/>
      <c r="P49061" s="3337"/>
    </row>
    <row r="49062" spans="7:16" s="1634" customFormat="1">
      <c r="G49062" s="3336"/>
      <c r="P49062" s="3337"/>
    </row>
    <row r="49063" spans="7:16" s="1634" customFormat="1">
      <c r="G49063" s="3336"/>
      <c r="P49063" s="3337"/>
    </row>
    <row r="49064" spans="7:16" s="1634" customFormat="1">
      <c r="G49064" s="3336"/>
      <c r="P49064" s="3337"/>
    </row>
    <row r="49065" spans="7:16" s="1634" customFormat="1">
      <c r="G49065" s="3336"/>
      <c r="P49065" s="3337"/>
    </row>
    <row r="49066" spans="7:16" s="1634" customFormat="1">
      <c r="G49066" s="3336"/>
      <c r="P49066" s="3337"/>
    </row>
    <row r="49067" spans="7:16" s="1634" customFormat="1">
      <c r="G49067" s="3336"/>
      <c r="P49067" s="3337"/>
    </row>
    <row r="49068" spans="7:16" s="1634" customFormat="1">
      <c r="G49068" s="3336"/>
      <c r="P49068" s="3337"/>
    </row>
    <row r="49069" spans="7:16" s="1634" customFormat="1">
      <c r="G49069" s="3336"/>
      <c r="P49069" s="3337"/>
    </row>
    <row r="49070" spans="7:16" s="1634" customFormat="1">
      <c r="G49070" s="3336"/>
      <c r="P49070" s="3337"/>
    </row>
    <row r="49071" spans="7:16" s="1634" customFormat="1">
      <c r="G49071" s="3336"/>
      <c r="P49071" s="3337"/>
    </row>
    <row r="49072" spans="7:16" s="1634" customFormat="1">
      <c r="G49072" s="3336"/>
      <c r="P49072" s="3337"/>
    </row>
    <row r="49073" spans="7:16" s="1634" customFormat="1">
      <c r="G49073" s="3336"/>
      <c r="P49073" s="3337"/>
    </row>
    <row r="49074" spans="7:16" s="1634" customFormat="1">
      <c r="G49074" s="3336"/>
      <c r="P49074" s="3337"/>
    </row>
    <row r="49075" spans="7:16" s="1634" customFormat="1">
      <c r="G49075" s="3336"/>
      <c r="P49075" s="3337"/>
    </row>
    <row r="49076" spans="7:16" s="1634" customFormat="1">
      <c r="G49076" s="3336"/>
      <c r="P49076" s="3337"/>
    </row>
    <row r="49077" spans="7:16" s="1634" customFormat="1">
      <c r="G49077" s="3336"/>
      <c r="P49077" s="3337"/>
    </row>
    <row r="49078" spans="7:16" s="1634" customFormat="1">
      <c r="G49078" s="3336"/>
      <c r="P49078" s="3337"/>
    </row>
    <row r="49079" spans="7:16" s="1634" customFormat="1">
      <c r="G49079" s="3336"/>
      <c r="P49079" s="3337"/>
    </row>
    <row r="49080" spans="7:16" s="1634" customFormat="1">
      <c r="G49080" s="3336"/>
      <c r="P49080" s="3337"/>
    </row>
    <row r="49081" spans="7:16" s="1634" customFormat="1">
      <c r="G49081" s="3336"/>
      <c r="P49081" s="3337"/>
    </row>
    <row r="49082" spans="7:16" s="1634" customFormat="1">
      <c r="G49082" s="3336"/>
      <c r="P49082" s="3337"/>
    </row>
    <row r="49083" spans="7:16" s="1634" customFormat="1">
      <c r="G49083" s="3336"/>
      <c r="P49083" s="3337"/>
    </row>
    <row r="49084" spans="7:16" s="1634" customFormat="1">
      <c r="G49084" s="3336"/>
      <c r="P49084" s="3337"/>
    </row>
    <row r="49085" spans="7:16" s="1634" customFormat="1">
      <c r="G49085" s="3336"/>
      <c r="P49085" s="3337"/>
    </row>
    <row r="49086" spans="7:16" s="1634" customFormat="1">
      <c r="G49086" s="3336"/>
      <c r="P49086" s="3337"/>
    </row>
    <row r="49087" spans="7:16" s="1634" customFormat="1">
      <c r="G49087" s="3336"/>
      <c r="P49087" s="3337"/>
    </row>
    <row r="49088" spans="7:16" s="1634" customFormat="1">
      <c r="G49088" s="3336"/>
      <c r="P49088" s="3337"/>
    </row>
    <row r="49089" spans="7:16" s="1634" customFormat="1">
      <c r="G49089" s="3336"/>
      <c r="P49089" s="3337"/>
    </row>
    <row r="49090" spans="7:16" s="1634" customFormat="1">
      <c r="G49090" s="3336"/>
      <c r="P49090" s="3337"/>
    </row>
    <row r="49091" spans="7:16" s="1634" customFormat="1">
      <c r="G49091" s="3336"/>
      <c r="P49091" s="3337"/>
    </row>
    <row r="49092" spans="7:16" s="1634" customFormat="1">
      <c r="G49092" s="3336"/>
      <c r="P49092" s="3337"/>
    </row>
    <row r="49093" spans="7:16" s="1634" customFormat="1">
      <c r="G49093" s="3336"/>
      <c r="P49093" s="3337"/>
    </row>
    <row r="49094" spans="7:16" s="1634" customFormat="1">
      <c r="G49094" s="3336"/>
      <c r="P49094" s="3337"/>
    </row>
    <row r="49095" spans="7:16" s="1634" customFormat="1">
      <c r="G49095" s="3336"/>
      <c r="P49095" s="3337"/>
    </row>
    <row r="49096" spans="7:16" s="1634" customFormat="1">
      <c r="G49096" s="3336"/>
      <c r="P49096" s="3337"/>
    </row>
    <row r="49097" spans="7:16" s="1634" customFormat="1">
      <c r="G49097" s="3336"/>
      <c r="P49097" s="3337"/>
    </row>
    <row r="49098" spans="7:16" s="1634" customFormat="1">
      <c r="G49098" s="3336"/>
      <c r="P49098" s="3337"/>
    </row>
    <row r="49099" spans="7:16" s="1634" customFormat="1">
      <c r="G49099" s="3336"/>
      <c r="P49099" s="3337"/>
    </row>
    <row r="49100" spans="7:16" s="1634" customFormat="1">
      <c r="G49100" s="3336"/>
      <c r="P49100" s="3337"/>
    </row>
    <row r="49101" spans="7:16" s="1634" customFormat="1">
      <c r="G49101" s="3336"/>
      <c r="P49101" s="3337"/>
    </row>
    <row r="49102" spans="7:16" s="1634" customFormat="1">
      <c r="G49102" s="3336"/>
      <c r="P49102" s="3337"/>
    </row>
    <row r="49103" spans="7:16" s="1634" customFormat="1">
      <c r="G49103" s="3336"/>
      <c r="P49103" s="3337"/>
    </row>
    <row r="49104" spans="7:16" s="1634" customFormat="1">
      <c r="G49104" s="3336"/>
      <c r="P49104" s="3337"/>
    </row>
    <row r="49105" spans="7:16" s="1634" customFormat="1">
      <c r="G49105" s="3336"/>
      <c r="P49105" s="3337"/>
    </row>
    <row r="49106" spans="7:16" s="1634" customFormat="1">
      <c r="G49106" s="3336"/>
      <c r="P49106" s="3337"/>
    </row>
    <row r="49107" spans="7:16" s="1634" customFormat="1">
      <c r="G49107" s="3336"/>
      <c r="P49107" s="3337"/>
    </row>
    <row r="49108" spans="7:16" s="1634" customFormat="1">
      <c r="G49108" s="3336"/>
      <c r="P49108" s="3337"/>
    </row>
    <row r="49109" spans="7:16" s="1634" customFormat="1">
      <c r="G49109" s="3336"/>
      <c r="P49109" s="3337"/>
    </row>
    <row r="49110" spans="7:16" s="1634" customFormat="1">
      <c r="G49110" s="3336"/>
      <c r="P49110" s="3337"/>
    </row>
    <row r="49111" spans="7:16" s="1634" customFormat="1">
      <c r="G49111" s="3336"/>
      <c r="P49111" s="3337"/>
    </row>
    <row r="49112" spans="7:16" s="1634" customFormat="1">
      <c r="G49112" s="3336"/>
      <c r="P49112" s="3337"/>
    </row>
    <row r="49113" spans="7:16" s="1634" customFormat="1">
      <c r="G49113" s="3336"/>
      <c r="P49113" s="3337"/>
    </row>
    <row r="49114" spans="7:16" s="1634" customFormat="1">
      <c r="G49114" s="3336"/>
      <c r="P49114" s="3337"/>
    </row>
    <row r="49115" spans="7:16" s="1634" customFormat="1">
      <c r="G49115" s="3336"/>
      <c r="P49115" s="3337"/>
    </row>
    <row r="49116" spans="7:16" s="1634" customFormat="1">
      <c r="G49116" s="3336"/>
      <c r="P49116" s="3337"/>
    </row>
    <row r="49117" spans="7:16" s="1634" customFormat="1">
      <c r="G49117" s="3336"/>
      <c r="P49117" s="3337"/>
    </row>
    <row r="49118" spans="7:16" s="1634" customFormat="1">
      <c r="G49118" s="3336"/>
      <c r="P49118" s="3337"/>
    </row>
    <row r="49119" spans="7:16" s="1634" customFormat="1">
      <c r="G49119" s="3336"/>
      <c r="P49119" s="3337"/>
    </row>
    <row r="49120" spans="7:16" s="1634" customFormat="1">
      <c r="G49120" s="3336"/>
      <c r="P49120" s="3337"/>
    </row>
    <row r="49121" spans="7:16" s="1634" customFormat="1">
      <c r="G49121" s="3336"/>
      <c r="P49121" s="3337"/>
    </row>
    <row r="49122" spans="7:16" s="1634" customFormat="1">
      <c r="G49122" s="3336"/>
      <c r="P49122" s="3337"/>
    </row>
    <row r="49123" spans="7:16" s="1634" customFormat="1">
      <c r="G49123" s="3336"/>
      <c r="P49123" s="3337"/>
    </row>
    <row r="49124" spans="7:16" s="1634" customFormat="1">
      <c r="G49124" s="3336"/>
      <c r="P49124" s="3337"/>
    </row>
    <row r="49125" spans="7:16" s="1634" customFormat="1">
      <c r="G49125" s="3336"/>
      <c r="P49125" s="3337"/>
    </row>
    <row r="49126" spans="7:16" s="1634" customFormat="1">
      <c r="G49126" s="3336"/>
      <c r="P49126" s="3337"/>
    </row>
    <row r="49127" spans="7:16" s="1634" customFormat="1">
      <c r="G49127" s="3336"/>
      <c r="P49127" s="3337"/>
    </row>
    <row r="49128" spans="7:16" s="1634" customFormat="1">
      <c r="G49128" s="3336"/>
      <c r="P49128" s="3337"/>
    </row>
    <row r="49129" spans="7:16" s="1634" customFormat="1">
      <c r="G49129" s="3336"/>
      <c r="P49129" s="3337"/>
    </row>
    <row r="49130" spans="7:16" s="1634" customFormat="1">
      <c r="G49130" s="3336"/>
      <c r="P49130" s="3337"/>
    </row>
    <row r="49131" spans="7:16" s="1634" customFormat="1">
      <c r="G49131" s="3336"/>
      <c r="P49131" s="3337"/>
    </row>
    <row r="49132" spans="7:16" s="1634" customFormat="1">
      <c r="G49132" s="3336"/>
      <c r="P49132" s="3337"/>
    </row>
    <row r="49133" spans="7:16" s="1634" customFormat="1">
      <c r="G49133" s="3336"/>
      <c r="P49133" s="3337"/>
    </row>
    <row r="49134" spans="7:16" s="1634" customFormat="1">
      <c r="G49134" s="3336"/>
      <c r="P49134" s="3337"/>
    </row>
    <row r="49135" spans="7:16" s="1634" customFormat="1">
      <c r="G49135" s="3336"/>
      <c r="P49135" s="3337"/>
    </row>
    <row r="49136" spans="7:16" s="1634" customFormat="1">
      <c r="G49136" s="3336"/>
      <c r="P49136" s="3337"/>
    </row>
    <row r="49137" spans="7:16" s="1634" customFormat="1">
      <c r="G49137" s="3336"/>
      <c r="P49137" s="3337"/>
    </row>
    <row r="49138" spans="7:16" s="1634" customFormat="1">
      <c r="G49138" s="3336"/>
      <c r="P49138" s="3337"/>
    </row>
    <row r="49139" spans="7:16" s="1634" customFormat="1">
      <c r="G49139" s="3336"/>
      <c r="P49139" s="3337"/>
    </row>
    <row r="49140" spans="7:16" s="1634" customFormat="1">
      <c r="G49140" s="3336"/>
      <c r="P49140" s="3337"/>
    </row>
    <row r="49141" spans="7:16" s="1634" customFormat="1">
      <c r="G49141" s="3336"/>
      <c r="P49141" s="3337"/>
    </row>
    <row r="49142" spans="7:16" s="1634" customFormat="1">
      <c r="G49142" s="3336"/>
      <c r="P49142" s="3337"/>
    </row>
    <row r="49143" spans="7:16" s="1634" customFormat="1">
      <c r="G49143" s="3336"/>
      <c r="P49143" s="3337"/>
    </row>
    <row r="49144" spans="7:16" s="1634" customFormat="1">
      <c r="G49144" s="3336"/>
      <c r="P49144" s="3337"/>
    </row>
    <row r="49145" spans="7:16" s="1634" customFormat="1">
      <c r="G49145" s="3336"/>
      <c r="P49145" s="3337"/>
    </row>
    <row r="49146" spans="7:16" s="1634" customFormat="1">
      <c r="G49146" s="3336"/>
      <c r="P49146" s="3337"/>
    </row>
    <row r="49147" spans="7:16" s="1634" customFormat="1">
      <c r="G49147" s="3336"/>
      <c r="P49147" s="3337"/>
    </row>
    <row r="49148" spans="7:16" s="1634" customFormat="1">
      <c r="G49148" s="3336"/>
      <c r="P49148" s="3337"/>
    </row>
    <row r="49149" spans="7:16" s="1634" customFormat="1">
      <c r="G49149" s="3336"/>
      <c r="P49149" s="3337"/>
    </row>
    <row r="49150" spans="7:16" s="1634" customFormat="1">
      <c r="G49150" s="3336"/>
      <c r="P49150" s="3337"/>
    </row>
    <row r="49151" spans="7:16" s="1634" customFormat="1">
      <c r="G49151" s="3336"/>
      <c r="P49151" s="3337"/>
    </row>
    <row r="49152" spans="7:16" s="1634" customFormat="1">
      <c r="G49152" s="3336"/>
      <c r="P49152" s="3337"/>
    </row>
    <row r="49153" spans="7:16" s="1634" customFormat="1">
      <c r="G49153" s="3336"/>
      <c r="P49153" s="3337"/>
    </row>
    <row r="49154" spans="7:16" s="1634" customFormat="1">
      <c r="G49154" s="3336"/>
      <c r="P49154" s="3337"/>
    </row>
    <row r="49155" spans="7:16" s="1634" customFormat="1">
      <c r="G49155" s="3336"/>
      <c r="P49155" s="3337"/>
    </row>
    <row r="49156" spans="7:16" s="1634" customFormat="1">
      <c r="G49156" s="3336"/>
      <c r="P49156" s="3337"/>
    </row>
    <row r="49157" spans="7:16" s="1634" customFormat="1">
      <c r="G49157" s="3336"/>
      <c r="P49157" s="3337"/>
    </row>
    <row r="49158" spans="7:16" s="1634" customFormat="1">
      <c r="G49158" s="3336"/>
      <c r="P49158" s="3337"/>
    </row>
    <row r="49159" spans="7:16" s="1634" customFormat="1">
      <c r="G49159" s="3336"/>
      <c r="P49159" s="3337"/>
    </row>
    <row r="49160" spans="7:16" s="1634" customFormat="1">
      <c r="G49160" s="3336"/>
      <c r="P49160" s="3337"/>
    </row>
    <row r="49161" spans="7:16" s="1634" customFormat="1">
      <c r="G49161" s="3336"/>
      <c r="P49161" s="3337"/>
    </row>
    <row r="49162" spans="7:16" s="1634" customFormat="1">
      <c r="G49162" s="3336"/>
      <c r="P49162" s="3337"/>
    </row>
    <row r="49163" spans="7:16" s="1634" customFormat="1">
      <c r="G49163" s="3336"/>
      <c r="P49163" s="3337"/>
    </row>
    <row r="49164" spans="7:16" s="1634" customFormat="1">
      <c r="G49164" s="3336"/>
      <c r="P49164" s="3337"/>
    </row>
    <row r="49165" spans="7:16" s="1634" customFormat="1">
      <c r="G49165" s="3336"/>
      <c r="P49165" s="3337"/>
    </row>
    <row r="49166" spans="7:16" s="1634" customFormat="1">
      <c r="G49166" s="3336"/>
      <c r="P49166" s="3337"/>
    </row>
    <row r="49167" spans="7:16" s="1634" customFormat="1">
      <c r="G49167" s="3336"/>
      <c r="P49167" s="3337"/>
    </row>
    <row r="49168" spans="7:16" s="1634" customFormat="1">
      <c r="G49168" s="3336"/>
      <c r="P49168" s="3337"/>
    </row>
    <row r="49169" spans="7:16" s="1634" customFormat="1">
      <c r="G49169" s="3336"/>
      <c r="P49169" s="3337"/>
    </row>
    <row r="49170" spans="7:16" s="1634" customFormat="1">
      <c r="G49170" s="3336"/>
      <c r="P49170" s="3337"/>
    </row>
    <row r="49171" spans="7:16" s="1634" customFormat="1">
      <c r="G49171" s="3336"/>
      <c r="P49171" s="3337"/>
    </row>
    <row r="49172" spans="7:16" s="1634" customFormat="1">
      <c r="G49172" s="3336"/>
      <c r="P49172" s="3337"/>
    </row>
    <row r="49173" spans="7:16" s="1634" customFormat="1">
      <c r="G49173" s="3336"/>
      <c r="P49173" s="3337"/>
    </row>
    <row r="49174" spans="7:16" s="1634" customFormat="1">
      <c r="G49174" s="3336"/>
      <c r="P49174" s="3337"/>
    </row>
    <row r="49175" spans="7:16" s="1634" customFormat="1">
      <c r="G49175" s="3336"/>
      <c r="P49175" s="3337"/>
    </row>
    <row r="49176" spans="7:16" s="1634" customFormat="1">
      <c r="G49176" s="3336"/>
      <c r="P49176" s="3337"/>
    </row>
    <row r="49177" spans="7:16" s="1634" customFormat="1">
      <c r="G49177" s="3336"/>
      <c r="P49177" s="3337"/>
    </row>
    <row r="49178" spans="7:16" s="1634" customFormat="1">
      <c r="G49178" s="3336"/>
      <c r="P49178" s="3337"/>
    </row>
    <row r="49179" spans="7:16" s="1634" customFormat="1">
      <c r="G49179" s="3336"/>
      <c r="P49179" s="3337"/>
    </row>
    <row r="49180" spans="7:16" s="1634" customFormat="1">
      <c r="G49180" s="3336"/>
      <c r="P49180" s="3337"/>
    </row>
    <row r="49181" spans="7:16" s="1634" customFormat="1">
      <c r="G49181" s="3336"/>
      <c r="P49181" s="3337"/>
    </row>
    <row r="49182" spans="7:16" s="1634" customFormat="1">
      <c r="G49182" s="3336"/>
      <c r="P49182" s="3337"/>
    </row>
    <row r="49183" spans="7:16" s="1634" customFormat="1">
      <c r="G49183" s="3336"/>
      <c r="P49183" s="3337"/>
    </row>
    <row r="49184" spans="7:16" s="1634" customFormat="1">
      <c r="G49184" s="3336"/>
      <c r="P49184" s="3337"/>
    </row>
    <row r="49185" spans="7:16" s="1634" customFormat="1">
      <c r="G49185" s="3336"/>
      <c r="P49185" s="3337"/>
    </row>
    <row r="49186" spans="7:16" s="1634" customFormat="1">
      <c r="G49186" s="3336"/>
      <c r="P49186" s="3337"/>
    </row>
    <row r="49187" spans="7:16" s="1634" customFormat="1">
      <c r="G49187" s="3336"/>
      <c r="P49187" s="3337"/>
    </row>
    <row r="49188" spans="7:16" s="1634" customFormat="1">
      <c r="G49188" s="3336"/>
      <c r="P49188" s="3337"/>
    </row>
    <row r="49189" spans="7:16" s="1634" customFormat="1">
      <c r="G49189" s="3336"/>
      <c r="P49189" s="3337"/>
    </row>
    <row r="49190" spans="7:16" s="1634" customFormat="1">
      <c r="G49190" s="3336"/>
      <c r="P49190" s="3337"/>
    </row>
    <row r="49191" spans="7:16" s="1634" customFormat="1">
      <c r="G49191" s="3336"/>
      <c r="P49191" s="3337"/>
    </row>
    <row r="49192" spans="7:16" s="1634" customFormat="1">
      <c r="G49192" s="3336"/>
      <c r="P49192" s="3337"/>
    </row>
    <row r="49193" spans="7:16" s="1634" customFormat="1">
      <c r="G49193" s="3336"/>
      <c r="P49193" s="3337"/>
    </row>
    <row r="49194" spans="7:16" s="1634" customFormat="1">
      <c r="G49194" s="3336"/>
      <c r="P49194" s="3337"/>
    </row>
    <row r="49195" spans="7:16" s="1634" customFormat="1">
      <c r="G49195" s="3336"/>
      <c r="P49195" s="3337"/>
    </row>
    <row r="49196" spans="7:16" s="1634" customFormat="1">
      <c r="G49196" s="3336"/>
      <c r="P49196" s="3337"/>
    </row>
    <row r="49197" spans="7:16" s="1634" customFormat="1">
      <c r="G49197" s="3336"/>
      <c r="P49197" s="3337"/>
    </row>
    <row r="49198" spans="7:16" s="1634" customFormat="1">
      <c r="G49198" s="3336"/>
      <c r="P49198" s="3337"/>
    </row>
    <row r="49199" spans="7:16" s="1634" customFormat="1">
      <c r="G49199" s="3336"/>
      <c r="P49199" s="3337"/>
    </row>
    <row r="49200" spans="7:16" s="1634" customFormat="1">
      <c r="G49200" s="3336"/>
      <c r="P49200" s="3337"/>
    </row>
    <row r="49201" spans="7:16" s="1634" customFormat="1">
      <c r="G49201" s="3336"/>
      <c r="P49201" s="3337"/>
    </row>
    <row r="49202" spans="7:16" s="1634" customFormat="1">
      <c r="G49202" s="3336"/>
      <c r="P49202" s="3337"/>
    </row>
    <row r="49203" spans="7:16" s="1634" customFormat="1">
      <c r="G49203" s="3336"/>
      <c r="P49203" s="3337"/>
    </row>
    <row r="49204" spans="7:16" s="1634" customFormat="1">
      <c r="G49204" s="3336"/>
      <c r="P49204" s="3337"/>
    </row>
    <row r="49205" spans="7:16" s="1634" customFormat="1">
      <c r="G49205" s="3336"/>
      <c r="P49205" s="3337"/>
    </row>
    <row r="49206" spans="7:16" s="1634" customFormat="1">
      <c r="G49206" s="3336"/>
      <c r="P49206" s="3337"/>
    </row>
    <row r="49207" spans="7:16" s="1634" customFormat="1">
      <c r="G49207" s="3336"/>
      <c r="P49207" s="3337"/>
    </row>
    <row r="49208" spans="7:16" s="1634" customFormat="1">
      <c r="G49208" s="3336"/>
      <c r="P49208" s="3337"/>
    </row>
    <row r="49209" spans="7:16" s="1634" customFormat="1">
      <c r="G49209" s="3336"/>
      <c r="P49209" s="3337"/>
    </row>
    <row r="49210" spans="7:16" s="1634" customFormat="1">
      <c r="G49210" s="3336"/>
      <c r="P49210" s="3337"/>
    </row>
    <row r="49211" spans="7:16" s="1634" customFormat="1">
      <c r="G49211" s="3336"/>
      <c r="P49211" s="3337"/>
    </row>
    <row r="49212" spans="7:16" s="1634" customFormat="1">
      <c r="G49212" s="3336"/>
      <c r="P49212" s="3337"/>
    </row>
    <row r="49213" spans="7:16" s="1634" customFormat="1">
      <c r="G49213" s="3336"/>
      <c r="P49213" s="3337"/>
    </row>
    <row r="49214" spans="7:16" s="1634" customFormat="1">
      <c r="G49214" s="3336"/>
      <c r="P49214" s="3337"/>
    </row>
    <row r="49215" spans="7:16" s="1634" customFormat="1">
      <c r="G49215" s="3336"/>
      <c r="P49215" s="3337"/>
    </row>
    <row r="49216" spans="7:16" s="1634" customFormat="1">
      <c r="G49216" s="3336"/>
      <c r="P49216" s="3337"/>
    </row>
    <row r="49217" spans="7:16" s="1634" customFormat="1">
      <c r="G49217" s="3336"/>
      <c r="P49217" s="3337"/>
    </row>
    <row r="49218" spans="7:16" s="1634" customFormat="1">
      <c r="G49218" s="3336"/>
      <c r="P49218" s="3337"/>
    </row>
    <row r="49219" spans="7:16" s="1634" customFormat="1">
      <c r="G49219" s="3336"/>
      <c r="P49219" s="3337"/>
    </row>
    <row r="49220" spans="7:16" s="1634" customFormat="1">
      <c r="G49220" s="3336"/>
      <c r="P49220" s="3337"/>
    </row>
    <row r="49221" spans="7:16" s="1634" customFormat="1">
      <c r="G49221" s="3336"/>
      <c r="P49221" s="3337"/>
    </row>
    <row r="49222" spans="7:16" s="1634" customFormat="1">
      <c r="G49222" s="3336"/>
      <c r="P49222" s="3337"/>
    </row>
    <row r="49223" spans="7:16" s="1634" customFormat="1">
      <c r="G49223" s="3336"/>
      <c r="P49223" s="3337"/>
    </row>
    <row r="49224" spans="7:16" s="1634" customFormat="1">
      <c r="G49224" s="3336"/>
      <c r="P49224" s="3337"/>
    </row>
    <row r="49225" spans="7:16" s="1634" customFormat="1">
      <c r="G49225" s="3336"/>
      <c r="P49225" s="3337"/>
    </row>
    <row r="49226" spans="7:16" s="1634" customFormat="1">
      <c r="G49226" s="3336"/>
      <c r="P49226" s="3337"/>
    </row>
    <row r="49227" spans="7:16" s="1634" customFormat="1">
      <c r="G49227" s="3336"/>
      <c r="P49227" s="3337"/>
    </row>
    <row r="49228" spans="7:16" s="1634" customFormat="1">
      <c r="G49228" s="3336"/>
      <c r="P49228" s="3337"/>
    </row>
    <row r="49229" spans="7:16" s="1634" customFormat="1">
      <c r="G49229" s="3336"/>
      <c r="P49229" s="3337"/>
    </row>
    <row r="49230" spans="7:16" s="1634" customFormat="1">
      <c r="G49230" s="3336"/>
      <c r="P49230" s="3337"/>
    </row>
    <row r="49231" spans="7:16" s="1634" customFormat="1">
      <c r="G49231" s="3336"/>
      <c r="P49231" s="3337"/>
    </row>
    <row r="49232" spans="7:16" s="1634" customFormat="1">
      <c r="G49232" s="3336"/>
      <c r="P49232" s="3337"/>
    </row>
    <row r="49233" spans="7:16" s="1634" customFormat="1">
      <c r="G49233" s="3336"/>
      <c r="P49233" s="3337"/>
    </row>
    <row r="49234" spans="7:16" s="1634" customFormat="1">
      <c r="G49234" s="3336"/>
      <c r="P49234" s="3337"/>
    </row>
    <row r="49235" spans="7:16" s="1634" customFormat="1">
      <c r="G49235" s="3336"/>
      <c r="P49235" s="3337"/>
    </row>
    <row r="49236" spans="7:16" s="1634" customFormat="1">
      <c r="G49236" s="3336"/>
      <c r="P49236" s="3337"/>
    </row>
    <row r="49237" spans="7:16" s="1634" customFormat="1">
      <c r="G49237" s="3336"/>
      <c r="P49237" s="3337"/>
    </row>
    <row r="49238" spans="7:16" s="1634" customFormat="1">
      <c r="G49238" s="3336"/>
      <c r="P49238" s="3337"/>
    </row>
    <row r="49239" spans="7:16" s="1634" customFormat="1">
      <c r="G49239" s="3336"/>
      <c r="P49239" s="3337"/>
    </row>
    <row r="49240" spans="7:16" s="1634" customFormat="1">
      <c r="G49240" s="3336"/>
      <c r="P49240" s="3337"/>
    </row>
    <row r="49241" spans="7:16" s="1634" customFormat="1">
      <c r="G49241" s="3336"/>
      <c r="P49241" s="3337"/>
    </row>
    <row r="49242" spans="7:16" s="1634" customFormat="1">
      <c r="G49242" s="3336"/>
      <c r="P49242" s="3337"/>
    </row>
    <row r="49243" spans="7:16" s="1634" customFormat="1">
      <c r="G49243" s="3336"/>
      <c r="P49243" s="3337"/>
    </row>
    <row r="49244" spans="7:16" s="1634" customFormat="1">
      <c r="G49244" s="3336"/>
      <c r="P49244" s="3337"/>
    </row>
    <row r="49245" spans="7:16" s="1634" customFormat="1">
      <c r="G49245" s="3336"/>
      <c r="P49245" s="3337"/>
    </row>
    <row r="49246" spans="7:16" s="1634" customFormat="1">
      <c r="G49246" s="3336"/>
      <c r="P49246" s="3337"/>
    </row>
    <row r="49247" spans="7:16" s="1634" customFormat="1">
      <c r="G49247" s="3336"/>
      <c r="P49247" s="3337"/>
    </row>
    <row r="49248" spans="7:16" s="1634" customFormat="1">
      <c r="G49248" s="3336"/>
      <c r="P49248" s="3337"/>
    </row>
    <row r="49249" spans="7:16" s="1634" customFormat="1">
      <c r="G49249" s="3336"/>
      <c r="P49249" s="3337"/>
    </row>
    <row r="49250" spans="7:16" s="1634" customFormat="1">
      <c r="G49250" s="3336"/>
      <c r="P49250" s="3337"/>
    </row>
    <row r="49251" spans="7:16" s="1634" customFormat="1">
      <c r="G49251" s="3336"/>
      <c r="P49251" s="3337"/>
    </row>
    <row r="49252" spans="7:16" s="1634" customFormat="1">
      <c r="G49252" s="3336"/>
      <c r="P49252" s="3337"/>
    </row>
    <row r="49253" spans="7:16" s="1634" customFormat="1">
      <c r="G49253" s="3336"/>
      <c r="P49253" s="3337"/>
    </row>
    <row r="49254" spans="7:16" s="1634" customFormat="1">
      <c r="G49254" s="3336"/>
      <c r="P49254" s="3337"/>
    </row>
    <row r="49255" spans="7:16" s="1634" customFormat="1">
      <c r="G49255" s="3336"/>
      <c r="P49255" s="3337"/>
    </row>
    <row r="49256" spans="7:16" s="1634" customFormat="1">
      <c r="G49256" s="3336"/>
      <c r="P49256" s="3337"/>
    </row>
    <row r="49257" spans="7:16" s="1634" customFormat="1">
      <c r="G49257" s="3336"/>
      <c r="P49257" s="3337"/>
    </row>
    <row r="49258" spans="7:16" s="1634" customFormat="1">
      <c r="G49258" s="3336"/>
      <c r="P49258" s="3337"/>
    </row>
    <row r="49259" spans="7:16" s="1634" customFormat="1">
      <c r="G49259" s="3336"/>
      <c r="P49259" s="3337"/>
    </row>
    <row r="49260" spans="7:16" s="1634" customFormat="1">
      <c r="G49260" s="3336"/>
      <c r="P49260" s="3337"/>
    </row>
    <row r="49261" spans="7:16" s="1634" customFormat="1">
      <c r="G49261" s="3336"/>
      <c r="P49261" s="3337"/>
    </row>
    <row r="49262" spans="7:16" s="1634" customFormat="1">
      <c r="G49262" s="3336"/>
      <c r="P49262" s="3337"/>
    </row>
    <row r="49263" spans="7:16" s="1634" customFormat="1">
      <c r="G49263" s="3336"/>
      <c r="P49263" s="3337"/>
    </row>
    <row r="49264" spans="7:16" s="1634" customFormat="1">
      <c r="G49264" s="3336"/>
      <c r="P49264" s="3337"/>
    </row>
    <row r="49265" spans="7:16" s="1634" customFormat="1">
      <c r="G49265" s="3336"/>
      <c r="P49265" s="3337"/>
    </row>
    <row r="49266" spans="7:16" s="1634" customFormat="1">
      <c r="G49266" s="3336"/>
      <c r="P49266" s="3337"/>
    </row>
    <row r="49267" spans="7:16" s="1634" customFormat="1">
      <c r="G49267" s="3336"/>
      <c r="P49267" s="3337"/>
    </row>
    <row r="49268" spans="7:16" s="1634" customFormat="1">
      <c r="G49268" s="3336"/>
      <c r="P49268" s="3337"/>
    </row>
    <row r="49269" spans="7:16" s="1634" customFormat="1">
      <c r="G49269" s="3336"/>
      <c r="P49269" s="3337"/>
    </row>
    <row r="49270" spans="7:16" s="1634" customFormat="1">
      <c r="G49270" s="3336"/>
      <c r="P49270" s="3337"/>
    </row>
    <row r="49271" spans="7:16" s="1634" customFormat="1">
      <c r="G49271" s="3336"/>
      <c r="P49271" s="3337"/>
    </row>
    <row r="49272" spans="7:16" s="1634" customFormat="1">
      <c r="G49272" s="3336"/>
      <c r="P49272" s="3337"/>
    </row>
    <row r="49273" spans="7:16" s="1634" customFormat="1">
      <c r="G49273" s="3336"/>
      <c r="P49273" s="3337"/>
    </row>
    <row r="49274" spans="7:16" s="1634" customFormat="1">
      <c r="G49274" s="3336"/>
      <c r="P49274" s="3337"/>
    </row>
    <row r="49275" spans="7:16" s="1634" customFormat="1">
      <c r="G49275" s="3336"/>
      <c r="P49275" s="3337"/>
    </row>
    <row r="49276" spans="7:16" s="1634" customFormat="1">
      <c r="G49276" s="3336"/>
      <c r="P49276" s="3337"/>
    </row>
    <row r="49277" spans="7:16" s="1634" customFormat="1">
      <c r="G49277" s="3336"/>
      <c r="P49277" s="3337"/>
    </row>
    <row r="49278" spans="7:16" s="1634" customFormat="1">
      <c r="G49278" s="3336"/>
      <c r="P49278" s="3337"/>
    </row>
    <row r="49279" spans="7:16" s="1634" customFormat="1">
      <c r="G49279" s="3336"/>
      <c r="P49279" s="3337"/>
    </row>
    <row r="49280" spans="7:16" s="1634" customFormat="1">
      <c r="G49280" s="3336"/>
      <c r="P49280" s="3337"/>
    </row>
    <row r="49281" spans="7:16" s="1634" customFormat="1">
      <c r="G49281" s="3336"/>
      <c r="P49281" s="3337"/>
    </row>
    <row r="49282" spans="7:16" s="1634" customFormat="1">
      <c r="G49282" s="3336"/>
      <c r="P49282" s="3337"/>
    </row>
    <row r="49283" spans="7:16" s="1634" customFormat="1">
      <c r="G49283" s="3336"/>
      <c r="P49283" s="3337"/>
    </row>
    <row r="49284" spans="7:16" s="1634" customFormat="1">
      <c r="G49284" s="3336"/>
      <c r="P49284" s="3337"/>
    </row>
    <row r="49285" spans="7:16" s="1634" customFormat="1">
      <c r="G49285" s="3336"/>
      <c r="P49285" s="3337"/>
    </row>
    <row r="49286" spans="7:16" s="1634" customFormat="1">
      <c r="G49286" s="3336"/>
      <c r="P49286" s="3337"/>
    </row>
    <row r="49287" spans="7:16" s="1634" customFormat="1">
      <c r="G49287" s="3336"/>
      <c r="P49287" s="3337"/>
    </row>
    <row r="49288" spans="7:16" s="1634" customFormat="1">
      <c r="G49288" s="3336"/>
      <c r="P49288" s="3337"/>
    </row>
    <row r="49289" spans="7:16" s="1634" customFormat="1">
      <c r="G49289" s="3336"/>
      <c r="P49289" s="3337"/>
    </row>
    <row r="49290" spans="7:16" s="1634" customFormat="1">
      <c r="G49290" s="3336"/>
      <c r="P49290" s="3337"/>
    </row>
    <row r="49291" spans="7:16" s="1634" customFormat="1">
      <c r="G49291" s="3336"/>
      <c r="P49291" s="3337"/>
    </row>
    <row r="49292" spans="7:16" s="1634" customFormat="1">
      <c r="G49292" s="3336"/>
      <c r="P49292" s="3337"/>
    </row>
    <row r="49293" spans="7:16" s="1634" customFormat="1">
      <c r="G49293" s="3336"/>
      <c r="P49293" s="3337"/>
    </row>
    <row r="49294" spans="7:16" s="1634" customFormat="1">
      <c r="G49294" s="3336"/>
      <c r="P49294" s="3337"/>
    </row>
    <row r="49295" spans="7:16" s="1634" customFormat="1">
      <c r="G49295" s="3336"/>
      <c r="P49295" s="3337"/>
    </row>
    <row r="49296" spans="7:16" s="1634" customFormat="1">
      <c r="G49296" s="3336"/>
      <c r="P49296" s="3337"/>
    </row>
    <row r="49297" spans="7:16" s="1634" customFormat="1">
      <c r="G49297" s="3336"/>
      <c r="P49297" s="3337"/>
    </row>
    <row r="49298" spans="7:16" s="1634" customFormat="1">
      <c r="G49298" s="3336"/>
      <c r="P49298" s="3337"/>
    </row>
    <row r="49299" spans="7:16" s="1634" customFormat="1">
      <c r="G49299" s="3336"/>
      <c r="P49299" s="3337"/>
    </row>
    <row r="49300" spans="7:16" s="1634" customFormat="1">
      <c r="G49300" s="3336"/>
      <c r="P49300" s="3337"/>
    </row>
    <row r="49301" spans="7:16" s="1634" customFormat="1">
      <c r="G49301" s="3336"/>
      <c r="P49301" s="3337"/>
    </row>
    <row r="49302" spans="7:16" s="1634" customFormat="1">
      <c r="G49302" s="3336"/>
      <c r="P49302" s="3337"/>
    </row>
    <row r="49303" spans="7:16" s="1634" customFormat="1">
      <c r="G49303" s="3336"/>
      <c r="P49303" s="3337"/>
    </row>
    <row r="49304" spans="7:16" s="1634" customFormat="1">
      <c r="G49304" s="3336"/>
      <c r="P49304" s="3337"/>
    </row>
    <row r="49305" spans="7:16" s="1634" customFormat="1">
      <c r="G49305" s="3336"/>
      <c r="P49305" s="3337"/>
    </row>
    <row r="49306" spans="7:16" s="1634" customFormat="1">
      <c r="G49306" s="3336"/>
      <c r="P49306" s="3337"/>
    </row>
    <row r="49307" spans="7:16" s="1634" customFormat="1">
      <c r="G49307" s="3336"/>
      <c r="P49307" s="3337"/>
    </row>
    <row r="49308" spans="7:16" s="1634" customFormat="1">
      <c r="G49308" s="3336"/>
      <c r="P49308" s="3337"/>
    </row>
    <row r="49309" spans="7:16" s="1634" customFormat="1">
      <c r="G49309" s="3336"/>
      <c r="P49309" s="3337"/>
    </row>
    <row r="49310" spans="7:16" s="1634" customFormat="1">
      <c r="G49310" s="3336"/>
      <c r="P49310" s="3337"/>
    </row>
    <row r="49311" spans="7:16" s="1634" customFormat="1">
      <c r="G49311" s="3336"/>
      <c r="P49311" s="3337"/>
    </row>
    <row r="49312" spans="7:16" s="1634" customFormat="1">
      <c r="G49312" s="3336"/>
      <c r="P49312" s="3337"/>
    </row>
    <row r="49313" spans="7:16" s="1634" customFormat="1">
      <c r="G49313" s="3336"/>
      <c r="P49313" s="3337"/>
    </row>
    <row r="49314" spans="7:16" s="1634" customFormat="1">
      <c r="G49314" s="3336"/>
      <c r="P49314" s="3337"/>
    </row>
    <row r="49315" spans="7:16" s="1634" customFormat="1">
      <c r="G49315" s="3336"/>
      <c r="P49315" s="3337"/>
    </row>
    <row r="49316" spans="7:16" s="1634" customFormat="1">
      <c r="G49316" s="3336"/>
      <c r="P49316" s="3337"/>
    </row>
    <row r="49317" spans="7:16" s="1634" customFormat="1">
      <c r="G49317" s="3336"/>
      <c r="P49317" s="3337"/>
    </row>
    <row r="49318" spans="7:16" s="1634" customFormat="1">
      <c r="G49318" s="3336"/>
      <c r="P49318" s="3337"/>
    </row>
    <row r="49319" spans="7:16" s="1634" customFormat="1">
      <c r="G49319" s="3336"/>
      <c r="P49319" s="3337"/>
    </row>
    <row r="49320" spans="7:16" s="1634" customFormat="1">
      <c r="G49320" s="3336"/>
      <c r="P49320" s="3337"/>
    </row>
    <row r="49321" spans="7:16" s="1634" customFormat="1">
      <c r="G49321" s="3336"/>
      <c r="P49321" s="3337"/>
    </row>
    <row r="49322" spans="7:16" s="1634" customFormat="1">
      <c r="G49322" s="3336"/>
      <c r="P49322" s="3337"/>
    </row>
    <row r="49323" spans="7:16" s="1634" customFormat="1">
      <c r="G49323" s="3336"/>
      <c r="P49323" s="3337"/>
    </row>
    <row r="49324" spans="7:16" s="1634" customFormat="1">
      <c r="G49324" s="3336"/>
      <c r="P49324" s="3337"/>
    </row>
    <row r="49325" spans="7:16" s="1634" customFormat="1">
      <c r="G49325" s="3336"/>
      <c r="P49325" s="3337"/>
    </row>
    <row r="49326" spans="7:16" s="1634" customFormat="1">
      <c r="G49326" s="3336"/>
      <c r="P49326" s="3337"/>
    </row>
    <row r="49327" spans="7:16" s="1634" customFormat="1">
      <c r="G49327" s="3336"/>
      <c r="P49327" s="3337"/>
    </row>
    <row r="49328" spans="7:16" s="1634" customFormat="1">
      <c r="G49328" s="3336"/>
      <c r="P49328" s="3337"/>
    </row>
    <row r="49329" spans="7:16" s="1634" customFormat="1">
      <c r="G49329" s="3336"/>
      <c r="P49329" s="3337"/>
    </row>
    <row r="49330" spans="7:16" s="1634" customFormat="1">
      <c r="G49330" s="3336"/>
      <c r="P49330" s="3337"/>
    </row>
    <row r="49331" spans="7:16" s="1634" customFormat="1">
      <c r="G49331" s="3336"/>
      <c r="P49331" s="3337"/>
    </row>
    <row r="49332" spans="7:16" s="1634" customFormat="1">
      <c r="G49332" s="3336"/>
      <c r="P49332" s="3337"/>
    </row>
    <row r="49333" spans="7:16" s="1634" customFormat="1">
      <c r="G49333" s="3336"/>
      <c r="P49333" s="3337"/>
    </row>
    <row r="49334" spans="7:16" s="1634" customFormat="1">
      <c r="G49334" s="3336"/>
      <c r="P49334" s="3337"/>
    </row>
    <row r="49335" spans="7:16" s="1634" customFormat="1">
      <c r="G49335" s="3336"/>
      <c r="P49335" s="3337"/>
    </row>
    <row r="49336" spans="7:16" s="1634" customFormat="1">
      <c r="G49336" s="3336"/>
      <c r="P49336" s="3337"/>
    </row>
    <row r="49337" spans="7:16" s="1634" customFormat="1">
      <c r="G49337" s="3336"/>
      <c r="P49337" s="3337"/>
    </row>
    <row r="49338" spans="7:16" s="1634" customFormat="1">
      <c r="G49338" s="3336"/>
      <c r="P49338" s="3337"/>
    </row>
    <row r="49339" spans="7:16" s="1634" customFormat="1">
      <c r="G49339" s="3336"/>
      <c r="P49339" s="3337"/>
    </row>
    <row r="49340" spans="7:16" s="1634" customFormat="1">
      <c r="G49340" s="3336"/>
      <c r="P49340" s="3337"/>
    </row>
    <row r="49341" spans="7:16" s="1634" customFormat="1">
      <c r="G49341" s="3336"/>
      <c r="P49341" s="3337"/>
    </row>
    <row r="49342" spans="7:16" s="1634" customFormat="1">
      <c r="G49342" s="3336"/>
      <c r="P49342" s="3337"/>
    </row>
    <row r="49343" spans="7:16" s="1634" customFormat="1">
      <c r="G49343" s="3336"/>
      <c r="P49343" s="3337"/>
    </row>
    <row r="49344" spans="7:16" s="1634" customFormat="1">
      <c r="G49344" s="3336"/>
      <c r="P49344" s="3337"/>
    </row>
    <row r="49345" spans="7:16" s="1634" customFormat="1">
      <c r="G49345" s="3336"/>
      <c r="P49345" s="3337"/>
    </row>
    <row r="49346" spans="7:16" s="1634" customFormat="1">
      <c r="G49346" s="3336"/>
      <c r="P49346" s="3337"/>
    </row>
    <row r="49347" spans="7:16" s="1634" customFormat="1">
      <c r="G49347" s="3336"/>
      <c r="P49347" s="3337"/>
    </row>
    <row r="49348" spans="7:16" s="1634" customFormat="1">
      <c r="G49348" s="3336"/>
      <c r="P49348" s="3337"/>
    </row>
    <row r="49349" spans="7:16" s="1634" customFormat="1">
      <c r="G49349" s="3336"/>
      <c r="P49349" s="3337"/>
    </row>
    <row r="49350" spans="7:16" s="1634" customFormat="1">
      <c r="G49350" s="3336"/>
      <c r="P49350" s="3337"/>
    </row>
    <row r="49351" spans="7:16" s="1634" customFormat="1">
      <c r="G49351" s="3336"/>
      <c r="P49351" s="3337"/>
    </row>
    <row r="49352" spans="7:16" s="1634" customFormat="1">
      <c r="G49352" s="3336"/>
      <c r="P49352" s="3337"/>
    </row>
    <row r="49353" spans="7:16" s="1634" customFormat="1">
      <c r="G49353" s="3336"/>
      <c r="P49353" s="3337"/>
    </row>
    <row r="49354" spans="7:16" s="1634" customFormat="1">
      <c r="G49354" s="3336"/>
      <c r="P49354" s="3337"/>
    </row>
    <row r="49355" spans="7:16" s="1634" customFormat="1">
      <c r="G49355" s="3336"/>
      <c r="P49355" s="3337"/>
    </row>
    <row r="49356" spans="7:16" s="1634" customFormat="1">
      <c r="G49356" s="3336"/>
      <c r="P49356" s="3337"/>
    </row>
    <row r="49357" spans="7:16" s="1634" customFormat="1">
      <c r="G49357" s="3336"/>
      <c r="P49357" s="3337"/>
    </row>
    <row r="49358" spans="7:16" s="1634" customFormat="1">
      <c r="G49358" s="3336"/>
      <c r="P49358" s="3337"/>
    </row>
    <row r="49359" spans="7:16" s="1634" customFormat="1">
      <c r="G49359" s="3336"/>
      <c r="P49359" s="3337"/>
    </row>
    <row r="49360" spans="7:16" s="1634" customFormat="1">
      <c r="G49360" s="3336"/>
      <c r="P49360" s="3337"/>
    </row>
    <row r="49361" spans="7:16" s="1634" customFormat="1">
      <c r="G49361" s="3336"/>
      <c r="P49361" s="3337"/>
    </row>
    <row r="49362" spans="7:16" s="1634" customFormat="1">
      <c r="G49362" s="3336"/>
      <c r="P49362" s="3337"/>
    </row>
    <row r="49363" spans="7:16" s="1634" customFormat="1">
      <c r="G49363" s="3336"/>
      <c r="P49363" s="3337"/>
    </row>
    <row r="49364" spans="7:16" s="1634" customFormat="1">
      <c r="G49364" s="3336"/>
      <c r="P49364" s="3337"/>
    </row>
    <row r="49365" spans="7:16" s="1634" customFormat="1">
      <c r="G49365" s="3336"/>
      <c r="P49365" s="3337"/>
    </row>
    <row r="49366" spans="7:16" s="1634" customFormat="1">
      <c r="G49366" s="3336"/>
      <c r="P49366" s="3337"/>
    </row>
    <row r="49367" spans="7:16" s="1634" customFormat="1">
      <c r="G49367" s="3336"/>
      <c r="P49367" s="3337"/>
    </row>
    <row r="49368" spans="7:16" s="1634" customFormat="1">
      <c r="G49368" s="3336"/>
      <c r="P49368" s="3337"/>
    </row>
    <row r="49369" spans="7:16" s="1634" customFormat="1">
      <c r="G49369" s="3336"/>
      <c r="P49369" s="3337"/>
    </row>
    <row r="49370" spans="7:16" s="1634" customFormat="1">
      <c r="G49370" s="3336"/>
      <c r="P49370" s="3337"/>
    </row>
    <row r="49371" spans="7:16" s="1634" customFormat="1">
      <c r="G49371" s="3336"/>
      <c r="P49371" s="3337"/>
    </row>
    <row r="49372" spans="7:16" s="1634" customFormat="1">
      <c r="G49372" s="3336"/>
      <c r="P49372" s="3337"/>
    </row>
    <row r="49373" spans="7:16" s="1634" customFormat="1">
      <c r="G49373" s="3336"/>
      <c r="P49373" s="3337"/>
    </row>
    <row r="49374" spans="7:16" s="1634" customFormat="1">
      <c r="G49374" s="3336"/>
      <c r="P49374" s="3337"/>
    </row>
    <row r="49375" spans="7:16" s="1634" customFormat="1">
      <c r="G49375" s="3336"/>
      <c r="P49375" s="3337"/>
    </row>
    <row r="49376" spans="7:16" s="1634" customFormat="1">
      <c r="G49376" s="3336"/>
      <c r="P49376" s="3337"/>
    </row>
    <row r="49377" spans="7:16" s="1634" customFormat="1">
      <c r="G49377" s="3336"/>
      <c r="P49377" s="3337"/>
    </row>
    <row r="49378" spans="7:16" s="1634" customFormat="1">
      <c r="G49378" s="3336"/>
      <c r="P49378" s="3337"/>
    </row>
    <row r="49379" spans="7:16" s="1634" customFormat="1">
      <c r="G49379" s="3336"/>
      <c r="P49379" s="3337"/>
    </row>
    <row r="49380" spans="7:16" s="1634" customFormat="1">
      <c r="G49380" s="3336"/>
      <c r="P49380" s="3337"/>
    </row>
    <row r="49381" spans="7:16" s="1634" customFormat="1">
      <c r="G49381" s="3336"/>
      <c r="P49381" s="3337"/>
    </row>
    <row r="49382" spans="7:16" s="1634" customFormat="1">
      <c r="G49382" s="3336"/>
      <c r="P49382" s="3337"/>
    </row>
    <row r="49383" spans="7:16" s="1634" customFormat="1">
      <c r="G49383" s="3336"/>
      <c r="P49383" s="3337"/>
    </row>
    <row r="49384" spans="7:16" s="1634" customFormat="1">
      <c r="G49384" s="3336"/>
      <c r="P49384" s="3337"/>
    </row>
    <row r="49385" spans="7:16" s="1634" customFormat="1">
      <c r="G49385" s="3336"/>
      <c r="P49385" s="3337"/>
    </row>
    <row r="49386" spans="7:16" s="1634" customFormat="1">
      <c r="G49386" s="3336"/>
      <c r="P49386" s="3337"/>
    </row>
    <row r="49387" spans="7:16" s="1634" customFormat="1">
      <c r="G49387" s="3336"/>
      <c r="P49387" s="3337"/>
    </row>
    <row r="49388" spans="7:16" s="1634" customFormat="1">
      <c r="G49388" s="3336"/>
      <c r="P49388" s="3337"/>
    </row>
    <row r="49389" spans="7:16" s="1634" customFormat="1">
      <c r="G49389" s="3336"/>
      <c r="P49389" s="3337"/>
    </row>
    <row r="49390" spans="7:16" s="1634" customFormat="1">
      <c r="G49390" s="3336"/>
      <c r="P49390" s="3337"/>
    </row>
    <row r="49391" spans="7:16" s="1634" customFormat="1">
      <c r="G49391" s="3336"/>
      <c r="P49391" s="3337"/>
    </row>
    <row r="49392" spans="7:16" s="1634" customFormat="1">
      <c r="G49392" s="3336"/>
      <c r="P49392" s="3337"/>
    </row>
    <row r="49393" spans="7:16" s="1634" customFormat="1">
      <c r="G49393" s="3336"/>
      <c r="P49393" s="3337"/>
    </row>
    <row r="49394" spans="7:16" s="1634" customFormat="1">
      <c r="G49394" s="3336"/>
      <c r="P49394" s="3337"/>
    </row>
    <row r="49395" spans="7:16" s="1634" customFormat="1">
      <c r="G49395" s="3336"/>
      <c r="P49395" s="3337"/>
    </row>
    <row r="49396" spans="7:16" s="1634" customFormat="1">
      <c r="G49396" s="3336"/>
      <c r="P49396" s="3337"/>
    </row>
    <row r="49397" spans="7:16" s="1634" customFormat="1">
      <c r="G49397" s="3336"/>
      <c r="P49397" s="3337"/>
    </row>
    <row r="49398" spans="7:16" s="1634" customFormat="1">
      <c r="G49398" s="3336"/>
      <c r="P49398" s="3337"/>
    </row>
    <row r="49399" spans="7:16" s="1634" customFormat="1">
      <c r="G49399" s="3336"/>
      <c r="P49399" s="3337"/>
    </row>
    <row r="49400" spans="7:16" s="1634" customFormat="1">
      <c r="G49400" s="3336"/>
      <c r="P49400" s="3337"/>
    </row>
    <row r="49401" spans="7:16" s="1634" customFormat="1">
      <c r="G49401" s="3336"/>
      <c r="P49401" s="3337"/>
    </row>
    <row r="49402" spans="7:16" s="1634" customFormat="1">
      <c r="G49402" s="3336"/>
      <c r="P49402" s="3337"/>
    </row>
    <row r="49403" spans="7:16" s="1634" customFormat="1">
      <c r="G49403" s="3336"/>
      <c r="P49403" s="3337"/>
    </row>
    <row r="49404" spans="7:16" s="1634" customFormat="1">
      <c r="G49404" s="3336"/>
      <c r="P49404" s="3337"/>
    </row>
    <row r="49405" spans="7:16" s="1634" customFormat="1">
      <c r="G49405" s="3336"/>
      <c r="P49405" s="3337"/>
    </row>
    <row r="49406" spans="7:16" s="1634" customFormat="1">
      <c r="G49406" s="3336"/>
      <c r="P49406" s="3337"/>
    </row>
    <row r="49407" spans="7:16" s="1634" customFormat="1">
      <c r="G49407" s="3336"/>
      <c r="P49407" s="3337"/>
    </row>
    <row r="49408" spans="7:16" s="1634" customFormat="1">
      <c r="G49408" s="3336"/>
      <c r="P49408" s="3337"/>
    </row>
    <row r="49409" spans="7:16" s="1634" customFormat="1">
      <c r="G49409" s="3336"/>
      <c r="P49409" s="3337"/>
    </row>
    <row r="49410" spans="7:16" s="1634" customFormat="1">
      <c r="G49410" s="3336"/>
      <c r="P49410" s="3337"/>
    </row>
    <row r="49411" spans="7:16" s="1634" customFormat="1">
      <c r="G49411" s="3336"/>
      <c r="P49411" s="3337"/>
    </row>
    <row r="49412" spans="7:16" s="1634" customFormat="1">
      <c r="G49412" s="3336"/>
      <c r="P49412" s="3337"/>
    </row>
    <row r="49413" spans="7:16" s="1634" customFormat="1">
      <c r="G49413" s="3336"/>
      <c r="P49413" s="3337"/>
    </row>
    <row r="49414" spans="7:16" s="1634" customFormat="1">
      <c r="G49414" s="3336"/>
      <c r="P49414" s="3337"/>
    </row>
    <row r="49415" spans="7:16" s="1634" customFormat="1">
      <c r="G49415" s="3336"/>
      <c r="P49415" s="3337"/>
    </row>
    <row r="49416" spans="7:16" s="1634" customFormat="1">
      <c r="G49416" s="3336"/>
      <c r="P49416" s="3337"/>
    </row>
    <row r="49417" spans="7:16" s="1634" customFormat="1">
      <c r="G49417" s="3336"/>
      <c r="P49417" s="3337"/>
    </row>
    <row r="49418" spans="7:16" s="1634" customFormat="1">
      <c r="G49418" s="3336"/>
      <c r="P49418" s="3337"/>
    </row>
    <row r="49419" spans="7:16" s="1634" customFormat="1">
      <c r="G49419" s="3336"/>
      <c r="P49419" s="3337"/>
    </row>
    <row r="49420" spans="7:16" s="1634" customFormat="1">
      <c r="G49420" s="3336"/>
      <c r="P49420" s="3337"/>
    </row>
    <row r="49421" spans="7:16" s="1634" customFormat="1">
      <c r="G49421" s="3336"/>
      <c r="P49421" s="3337"/>
    </row>
    <row r="49422" spans="7:16" s="1634" customFormat="1">
      <c r="G49422" s="3336"/>
      <c r="P49422" s="3337"/>
    </row>
    <row r="49423" spans="7:16" s="1634" customFormat="1">
      <c r="G49423" s="3336"/>
      <c r="P49423" s="3337"/>
    </row>
    <row r="49424" spans="7:16" s="1634" customFormat="1">
      <c r="G49424" s="3336"/>
      <c r="P49424" s="3337"/>
    </row>
    <row r="49425" spans="7:16" s="1634" customFormat="1">
      <c r="G49425" s="3336"/>
      <c r="P49425" s="3337"/>
    </row>
    <row r="49426" spans="7:16" s="1634" customFormat="1">
      <c r="G49426" s="3336"/>
      <c r="P49426" s="3337"/>
    </row>
    <row r="49427" spans="7:16" s="1634" customFormat="1">
      <c r="G49427" s="3336"/>
      <c r="P49427" s="3337"/>
    </row>
    <row r="49428" spans="7:16" s="1634" customFormat="1">
      <c r="G49428" s="3336"/>
      <c r="P49428" s="3337"/>
    </row>
    <row r="49429" spans="7:16" s="1634" customFormat="1">
      <c r="G49429" s="3336"/>
      <c r="P49429" s="3337"/>
    </row>
    <row r="49430" spans="7:16" s="1634" customFormat="1">
      <c r="G49430" s="3336"/>
      <c r="P49430" s="3337"/>
    </row>
    <row r="49431" spans="7:16" s="1634" customFormat="1">
      <c r="G49431" s="3336"/>
      <c r="P49431" s="3337"/>
    </row>
    <row r="49432" spans="7:16" s="1634" customFormat="1">
      <c r="G49432" s="3336"/>
      <c r="P49432" s="3337"/>
    </row>
    <row r="49433" spans="7:16" s="1634" customFormat="1">
      <c r="G49433" s="3336"/>
      <c r="P49433" s="3337"/>
    </row>
    <row r="49434" spans="7:16" s="1634" customFormat="1">
      <c r="G49434" s="3336"/>
      <c r="P49434" s="3337"/>
    </row>
    <row r="49435" spans="7:16" s="1634" customFormat="1">
      <c r="G49435" s="3336"/>
      <c r="P49435" s="3337"/>
    </row>
    <row r="49436" spans="7:16" s="1634" customFormat="1">
      <c r="G49436" s="3336"/>
      <c r="P49436" s="3337"/>
    </row>
    <row r="49437" spans="7:16" s="1634" customFormat="1">
      <c r="G49437" s="3336"/>
      <c r="P49437" s="3337"/>
    </row>
    <row r="49438" spans="7:16" s="1634" customFormat="1">
      <c r="G49438" s="3336"/>
      <c r="P49438" s="3337"/>
    </row>
    <row r="49439" spans="7:16" s="1634" customFormat="1">
      <c r="G49439" s="3336"/>
      <c r="P49439" s="3337"/>
    </row>
    <row r="49440" spans="7:16" s="1634" customFormat="1">
      <c r="G49440" s="3336"/>
      <c r="P49440" s="3337"/>
    </row>
    <row r="49441" spans="7:16" s="1634" customFormat="1">
      <c r="G49441" s="3336"/>
      <c r="P49441" s="3337"/>
    </row>
    <row r="49442" spans="7:16" s="1634" customFormat="1">
      <c r="G49442" s="3336"/>
      <c r="P49442" s="3337"/>
    </row>
    <row r="49443" spans="7:16" s="1634" customFormat="1">
      <c r="G49443" s="3336"/>
      <c r="P49443" s="3337"/>
    </row>
    <row r="49444" spans="7:16" s="1634" customFormat="1">
      <c r="G49444" s="3336"/>
      <c r="P49444" s="3337"/>
    </row>
    <row r="49445" spans="7:16" s="1634" customFormat="1">
      <c r="G49445" s="3336"/>
      <c r="P49445" s="3337"/>
    </row>
    <row r="49446" spans="7:16" s="1634" customFormat="1">
      <c r="G49446" s="3336"/>
      <c r="P49446" s="3337"/>
    </row>
    <row r="49447" spans="7:16" s="1634" customFormat="1">
      <c r="G49447" s="3336"/>
      <c r="P49447" s="3337"/>
    </row>
    <row r="49448" spans="7:16" s="1634" customFormat="1">
      <c r="G49448" s="3336"/>
      <c r="P49448" s="3337"/>
    </row>
    <row r="49449" spans="7:16" s="1634" customFormat="1">
      <c r="G49449" s="3336"/>
      <c r="P49449" s="3337"/>
    </row>
    <row r="49450" spans="7:16" s="1634" customFormat="1">
      <c r="G49450" s="3336"/>
      <c r="P49450" s="3337"/>
    </row>
    <row r="49451" spans="7:16" s="1634" customFormat="1">
      <c r="G49451" s="3336"/>
      <c r="P49451" s="3337"/>
    </row>
    <row r="49452" spans="7:16" s="1634" customFormat="1">
      <c r="G49452" s="3336"/>
      <c r="P49452" s="3337"/>
    </row>
    <row r="49453" spans="7:16" s="1634" customFormat="1">
      <c r="G49453" s="3336"/>
      <c r="P49453" s="3337"/>
    </row>
    <row r="49454" spans="7:16" s="1634" customFormat="1">
      <c r="G49454" s="3336"/>
      <c r="P49454" s="3337"/>
    </row>
    <row r="49455" spans="7:16" s="1634" customFormat="1">
      <c r="G49455" s="3336"/>
      <c r="P49455" s="3337"/>
    </row>
    <row r="49456" spans="7:16" s="1634" customFormat="1">
      <c r="G49456" s="3336"/>
      <c r="P49456" s="3337"/>
    </row>
    <row r="49457" spans="7:16" s="1634" customFormat="1">
      <c r="G49457" s="3336"/>
      <c r="P49457" s="3337"/>
    </row>
    <row r="49458" spans="7:16" s="1634" customFormat="1">
      <c r="G49458" s="3336"/>
      <c r="P49458" s="3337"/>
    </row>
    <row r="49459" spans="7:16" s="1634" customFormat="1">
      <c r="G49459" s="3336"/>
      <c r="P49459" s="3337"/>
    </row>
    <row r="49460" spans="7:16" s="1634" customFormat="1">
      <c r="G49460" s="3336"/>
      <c r="P49460" s="3337"/>
    </row>
    <row r="49461" spans="7:16" s="1634" customFormat="1">
      <c r="G49461" s="3336"/>
      <c r="P49461" s="3337"/>
    </row>
    <row r="49462" spans="7:16" s="1634" customFormat="1">
      <c r="G49462" s="3336"/>
      <c r="P49462" s="3337"/>
    </row>
    <row r="49463" spans="7:16" s="1634" customFormat="1">
      <c r="G49463" s="3336"/>
      <c r="P49463" s="3337"/>
    </row>
    <row r="49464" spans="7:16" s="1634" customFormat="1">
      <c r="G49464" s="3336"/>
      <c r="P49464" s="3337"/>
    </row>
    <row r="49465" spans="7:16" s="1634" customFormat="1">
      <c r="G49465" s="3336"/>
      <c r="P49465" s="3337"/>
    </row>
    <row r="49466" spans="7:16" s="1634" customFormat="1">
      <c r="G49466" s="3336"/>
      <c r="P49466" s="3337"/>
    </row>
    <row r="49467" spans="7:16" s="1634" customFormat="1">
      <c r="G49467" s="3336"/>
      <c r="P49467" s="3337"/>
    </row>
    <row r="49468" spans="7:16" s="1634" customFormat="1">
      <c r="G49468" s="3336"/>
      <c r="P49468" s="3337"/>
    </row>
    <row r="49469" spans="7:16" s="1634" customFormat="1">
      <c r="G49469" s="3336"/>
      <c r="P49469" s="3337"/>
    </row>
    <row r="49470" spans="7:16" s="1634" customFormat="1">
      <c r="G49470" s="3336"/>
      <c r="P49470" s="3337"/>
    </row>
    <row r="49471" spans="7:16" s="1634" customFormat="1">
      <c r="G49471" s="3336"/>
      <c r="P49471" s="3337"/>
    </row>
    <row r="49472" spans="7:16" s="1634" customFormat="1">
      <c r="G49472" s="3336"/>
      <c r="P49472" s="3337"/>
    </row>
    <row r="49473" spans="7:16" s="1634" customFormat="1">
      <c r="G49473" s="3336"/>
      <c r="P49473" s="3337"/>
    </row>
    <row r="49474" spans="7:16" s="1634" customFormat="1">
      <c r="G49474" s="3336"/>
      <c r="P49474" s="3337"/>
    </row>
    <row r="49475" spans="7:16" s="1634" customFormat="1">
      <c r="G49475" s="3336"/>
      <c r="P49475" s="3337"/>
    </row>
    <row r="49476" spans="7:16" s="1634" customFormat="1">
      <c r="G49476" s="3336"/>
      <c r="P49476" s="3337"/>
    </row>
    <row r="49477" spans="7:16" s="1634" customFormat="1">
      <c r="G49477" s="3336"/>
      <c r="P49477" s="3337"/>
    </row>
    <row r="49478" spans="7:16" s="1634" customFormat="1">
      <c r="G49478" s="3336"/>
      <c r="P49478" s="3337"/>
    </row>
    <row r="49479" spans="7:16" s="1634" customFormat="1">
      <c r="G49479" s="3336"/>
      <c r="P49479" s="3337"/>
    </row>
    <row r="49480" spans="7:16" s="1634" customFormat="1">
      <c r="G49480" s="3336"/>
      <c r="P49480" s="3337"/>
    </row>
    <row r="49481" spans="7:16" s="1634" customFormat="1">
      <c r="G49481" s="3336"/>
      <c r="P49481" s="3337"/>
    </row>
    <row r="49482" spans="7:16" s="1634" customFormat="1">
      <c r="G49482" s="3336"/>
      <c r="P49482" s="3337"/>
    </row>
    <row r="49483" spans="7:16" s="1634" customFormat="1">
      <c r="G49483" s="3336"/>
      <c r="P49483" s="3337"/>
    </row>
    <row r="49484" spans="7:16" s="1634" customFormat="1">
      <c r="G49484" s="3336"/>
      <c r="P49484" s="3337"/>
    </row>
    <row r="49485" spans="7:16" s="1634" customFormat="1">
      <c r="G49485" s="3336"/>
      <c r="P49485" s="3337"/>
    </row>
    <row r="49486" spans="7:16" s="1634" customFormat="1">
      <c r="G49486" s="3336"/>
      <c r="P49486" s="3337"/>
    </row>
    <row r="49487" spans="7:16" s="1634" customFormat="1">
      <c r="G49487" s="3336"/>
      <c r="P49487" s="3337"/>
    </row>
    <row r="49488" spans="7:16" s="1634" customFormat="1">
      <c r="G49488" s="3336"/>
      <c r="P49488" s="3337"/>
    </row>
    <row r="49489" spans="7:16" s="1634" customFormat="1">
      <c r="G49489" s="3336"/>
      <c r="P49489" s="3337"/>
    </row>
    <row r="49490" spans="7:16" s="1634" customFormat="1">
      <c r="G49490" s="3336"/>
      <c r="P49490" s="3337"/>
    </row>
    <row r="49491" spans="7:16" s="1634" customFormat="1">
      <c r="G49491" s="3336"/>
      <c r="P49491" s="3337"/>
    </row>
    <row r="49492" spans="7:16" s="1634" customFormat="1">
      <c r="G49492" s="3336"/>
      <c r="P49492" s="3337"/>
    </row>
    <row r="49493" spans="7:16" s="1634" customFormat="1">
      <c r="G49493" s="3336"/>
      <c r="P49493" s="3337"/>
    </row>
    <row r="49494" spans="7:16" s="1634" customFormat="1">
      <c r="G49494" s="3336"/>
      <c r="P49494" s="3337"/>
    </row>
    <row r="49495" spans="7:16" s="1634" customFormat="1">
      <c r="G49495" s="3336"/>
      <c r="P49495" s="3337"/>
    </row>
    <row r="49496" spans="7:16" s="1634" customFormat="1">
      <c r="G49496" s="3336"/>
      <c r="P49496" s="3337"/>
    </row>
    <row r="49497" spans="7:16" s="1634" customFormat="1">
      <c r="G49497" s="3336"/>
      <c r="P49497" s="3337"/>
    </row>
    <row r="49498" spans="7:16" s="1634" customFormat="1">
      <c r="G49498" s="3336"/>
      <c r="P49498" s="3337"/>
    </row>
    <row r="49499" spans="7:16" s="1634" customFormat="1">
      <c r="G49499" s="3336"/>
      <c r="P49499" s="3337"/>
    </row>
    <row r="49500" spans="7:16" s="1634" customFormat="1">
      <c r="G49500" s="3336"/>
      <c r="P49500" s="3337"/>
    </row>
    <row r="49501" spans="7:16" s="1634" customFormat="1">
      <c r="G49501" s="3336"/>
      <c r="P49501" s="3337"/>
    </row>
    <row r="49502" spans="7:16" s="1634" customFormat="1">
      <c r="G49502" s="3336"/>
      <c r="P49502" s="3337"/>
    </row>
    <row r="49503" spans="7:16" s="1634" customFormat="1">
      <c r="G49503" s="3336"/>
      <c r="P49503" s="3337"/>
    </row>
    <row r="49504" spans="7:16" s="1634" customFormat="1">
      <c r="G49504" s="3336"/>
      <c r="P49504" s="3337"/>
    </row>
    <row r="49505" spans="7:16" s="1634" customFormat="1">
      <c r="G49505" s="3336"/>
      <c r="P49505" s="3337"/>
    </row>
    <row r="49506" spans="7:16" s="1634" customFormat="1">
      <c r="G49506" s="3336"/>
      <c r="P49506" s="3337"/>
    </row>
    <row r="49507" spans="7:16" s="1634" customFormat="1">
      <c r="G49507" s="3336"/>
      <c r="P49507" s="3337"/>
    </row>
    <row r="49508" spans="7:16" s="1634" customFormat="1">
      <c r="G49508" s="3336"/>
      <c r="P49508" s="3337"/>
    </row>
    <row r="49509" spans="7:16" s="1634" customFormat="1">
      <c r="G49509" s="3336"/>
      <c r="P49509" s="3337"/>
    </row>
    <row r="49510" spans="7:16" s="1634" customFormat="1">
      <c r="G49510" s="3336"/>
      <c r="P49510" s="3337"/>
    </row>
    <row r="49511" spans="7:16" s="1634" customFormat="1">
      <c r="G49511" s="3336"/>
      <c r="P49511" s="3337"/>
    </row>
    <row r="49512" spans="7:16" s="1634" customFormat="1">
      <c r="G49512" s="3336"/>
      <c r="P49512" s="3337"/>
    </row>
    <row r="49513" spans="7:16" s="1634" customFormat="1">
      <c r="G49513" s="3336"/>
      <c r="P49513" s="3337"/>
    </row>
    <row r="49514" spans="7:16" s="1634" customFormat="1">
      <c r="G49514" s="3336"/>
      <c r="P49514" s="3337"/>
    </row>
    <row r="49515" spans="7:16" s="1634" customFormat="1">
      <c r="G49515" s="3336"/>
      <c r="P49515" s="3337"/>
    </row>
    <row r="49516" spans="7:16" s="1634" customFormat="1">
      <c r="G49516" s="3336"/>
      <c r="P49516" s="3337"/>
    </row>
    <row r="49517" spans="7:16" s="1634" customFormat="1">
      <c r="G49517" s="3336"/>
      <c r="P49517" s="3337"/>
    </row>
    <row r="49518" spans="7:16" s="1634" customFormat="1">
      <c r="G49518" s="3336"/>
      <c r="P49518" s="3337"/>
    </row>
    <row r="49519" spans="7:16" s="1634" customFormat="1">
      <c r="G49519" s="3336"/>
      <c r="P49519" s="3337"/>
    </row>
    <row r="49520" spans="7:16" s="1634" customFormat="1">
      <c r="G49520" s="3336"/>
      <c r="P49520" s="3337"/>
    </row>
    <row r="49521" spans="7:16" s="1634" customFormat="1">
      <c r="G49521" s="3336"/>
      <c r="P49521" s="3337"/>
    </row>
    <row r="49522" spans="7:16" s="1634" customFormat="1">
      <c r="G49522" s="3336"/>
      <c r="P49522" s="3337"/>
    </row>
    <row r="49523" spans="7:16" s="1634" customFormat="1">
      <c r="G49523" s="3336"/>
      <c r="P49523" s="3337"/>
    </row>
    <row r="49524" spans="7:16" s="1634" customFormat="1">
      <c r="G49524" s="3336"/>
      <c r="P49524" s="3337"/>
    </row>
    <row r="49525" spans="7:16" s="1634" customFormat="1">
      <c r="G49525" s="3336"/>
      <c r="P49525" s="3337"/>
    </row>
    <row r="49526" spans="7:16" s="1634" customFormat="1">
      <c r="G49526" s="3336"/>
      <c r="P49526" s="3337"/>
    </row>
    <row r="49527" spans="7:16" s="1634" customFormat="1">
      <c r="G49527" s="3336"/>
      <c r="P49527" s="3337"/>
    </row>
    <row r="49528" spans="7:16" s="1634" customFormat="1">
      <c r="G49528" s="3336"/>
      <c r="P49528" s="3337"/>
    </row>
    <row r="49529" spans="7:16" s="1634" customFormat="1">
      <c r="G49529" s="3336"/>
      <c r="P49529" s="3337"/>
    </row>
    <row r="49530" spans="7:16" s="1634" customFormat="1">
      <c r="G49530" s="3336"/>
      <c r="P49530" s="3337"/>
    </row>
    <row r="49531" spans="7:16" s="1634" customFormat="1">
      <c r="G49531" s="3336"/>
      <c r="P49531" s="3337"/>
    </row>
    <row r="49532" spans="7:16" s="1634" customFormat="1">
      <c r="G49532" s="3336"/>
      <c r="P49532" s="3337"/>
    </row>
    <row r="49533" spans="7:16" s="1634" customFormat="1">
      <c r="G49533" s="3336"/>
      <c r="P49533" s="3337"/>
    </row>
    <row r="49534" spans="7:16" s="1634" customFormat="1">
      <c r="G49534" s="3336"/>
      <c r="P49534" s="3337"/>
    </row>
    <row r="49535" spans="7:16" s="1634" customFormat="1">
      <c r="G49535" s="3336"/>
      <c r="P49535" s="3337"/>
    </row>
    <row r="49536" spans="7:16" s="1634" customFormat="1">
      <c r="G49536" s="3336"/>
      <c r="P49536" s="3337"/>
    </row>
    <row r="49537" spans="7:16" s="1634" customFormat="1">
      <c r="G49537" s="3336"/>
      <c r="P49537" s="3337"/>
    </row>
    <row r="49538" spans="7:16" s="1634" customFormat="1">
      <c r="G49538" s="3336"/>
      <c r="P49538" s="3337"/>
    </row>
    <row r="49539" spans="7:16" s="1634" customFormat="1">
      <c r="G49539" s="3336"/>
      <c r="P49539" s="3337"/>
    </row>
    <row r="49540" spans="7:16" s="1634" customFormat="1">
      <c r="G49540" s="3336"/>
      <c r="P49540" s="3337"/>
    </row>
    <row r="49541" spans="7:16" s="1634" customFormat="1">
      <c r="G49541" s="3336"/>
      <c r="P49541" s="3337"/>
    </row>
    <row r="49542" spans="7:16" s="1634" customFormat="1">
      <c r="G49542" s="3336"/>
      <c r="P49542" s="3337"/>
    </row>
    <row r="49543" spans="7:16" s="1634" customFormat="1">
      <c r="G49543" s="3336"/>
      <c r="P49543" s="3337"/>
    </row>
    <row r="49544" spans="7:16" s="1634" customFormat="1">
      <c r="G49544" s="3336"/>
      <c r="P49544" s="3337"/>
    </row>
    <row r="49545" spans="7:16" s="1634" customFormat="1">
      <c r="G49545" s="3336"/>
      <c r="P49545" s="3337"/>
    </row>
    <row r="49546" spans="7:16" s="1634" customFormat="1">
      <c r="G49546" s="3336"/>
      <c r="P49546" s="3337"/>
    </row>
    <row r="49547" spans="7:16" s="1634" customFormat="1">
      <c r="G49547" s="3336"/>
      <c r="P49547" s="3337"/>
    </row>
    <row r="49548" spans="7:16" s="1634" customFormat="1">
      <c r="G49548" s="3336"/>
      <c r="P49548" s="3337"/>
    </row>
    <row r="49549" spans="7:16" s="1634" customFormat="1">
      <c r="G49549" s="3336"/>
      <c r="P49549" s="3337"/>
    </row>
    <row r="49550" spans="7:16" s="1634" customFormat="1">
      <c r="G49550" s="3336"/>
      <c r="P49550" s="3337"/>
    </row>
    <row r="49551" spans="7:16" s="1634" customFormat="1">
      <c r="G49551" s="3336"/>
      <c r="P49551" s="3337"/>
    </row>
    <row r="49552" spans="7:16" s="1634" customFormat="1">
      <c r="G49552" s="3336"/>
      <c r="P49552" s="3337"/>
    </row>
    <row r="49553" spans="7:16" s="1634" customFormat="1">
      <c r="G49553" s="3336"/>
      <c r="P49553" s="3337"/>
    </row>
    <row r="49554" spans="7:16" s="1634" customFormat="1">
      <c r="G49554" s="3336"/>
      <c r="P49554" s="3337"/>
    </row>
    <row r="49555" spans="7:16" s="1634" customFormat="1">
      <c r="G49555" s="3336"/>
      <c r="P49555" s="3337"/>
    </row>
    <row r="49556" spans="7:16" s="1634" customFormat="1">
      <c r="G49556" s="3336"/>
      <c r="P49556" s="3337"/>
    </row>
    <row r="49557" spans="7:16" s="1634" customFormat="1">
      <c r="G49557" s="3336"/>
      <c r="P49557" s="3337"/>
    </row>
    <row r="49558" spans="7:16" s="1634" customFormat="1">
      <c r="G49558" s="3336"/>
      <c r="P49558" s="3337"/>
    </row>
    <row r="49559" spans="7:16" s="1634" customFormat="1">
      <c r="G49559" s="3336"/>
      <c r="P49559" s="3337"/>
    </row>
    <row r="49560" spans="7:16" s="1634" customFormat="1">
      <c r="G49560" s="3336"/>
      <c r="P49560" s="3337"/>
    </row>
    <row r="49561" spans="7:16" s="1634" customFormat="1">
      <c r="G49561" s="3336"/>
      <c r="P49561" s="3337"/>
    </row>
    <row r="49562" spans="7:16" s="1634" customFormat="1">
      <c r="G49562" s="3336"/>
      <c r="P49562" s="3337"/>
    </row>
    <row r="49563" spans="7:16" s="1634" customFormat="1">
      <c r="G49563" s="3336"/>
      <c r="P49563" s="3337"/>
    </row>
    <row r="49564" spans="7:16" s="1634" customFormat="1">
      <c r="G49564" s="3336"/>
      <c r="P49564" s="3337"/>
    </row>
    <row r="49565" spans="7:16" s="1634" customFormat="1">
      <c r="G49565" s="3336"/>
      <c r="P49565" s="3337"/>
    </row>
    <row r="49566" spans="7:16" s="1634" customFormat="1">
      <c r="G49566" s="3336"/>
      <c r="P49566" s="3337"/>
    </row>
    <row r="49567" spans="7:16" s="1634" customFormat="1">
      <c r="G49567" s="3336"/>
      <c r="P49567" s="3337"/>
    </row>
    <row r="49568" spans="7:16" s="1634" customFormat="1">
      <c r="G49568" s="3336"/>
      <c r="P49568" s="3337"/>
    </row>
    <row r="49569" spans="7:16" s="1634" customFormat="1">
      <c r="G49569" s="3336"/>
      <c r="P49569" s="3337"/>
    </row>
    <row r="49570" spans="7:16" s="1634" customFormat="1">
      <c r="G49570" s="3336"/>
      <c r="P49570" s="3337"/>
    </row>
    <row r="49571" spans="7:16" s="1634" customFormat="1">
      <c r="G49571" s="3336"/>
      <c r="P49571" s="3337"/>
    </row>
    <row r="49572" spans="7:16" s="1634" customFormat="1">
      <c r="G49572" s="3336"/>
      <c r="P49572" s="3337"/>
    </row>
    <row r="49573" spans="7:16" s="1634" customFormat="1">
      <c r="G49573" s="3336"/>
      <c r="P49573" s="3337"/>
    </row>
    <row r="49574" spans="7:16" s="1634" customFormat="1">
      <c r="G49574" s="3336"/>
      <c r="P49574" s="3337"/>
    </row>
    <row r="49575" spans="7:16" s="1634" customFormat="1">
      <c r="G49575" s="3336"/>
      <c r="P49575" s="3337"/>
    </row>
    <row r="49576" spans="7:16" s="1634" customFormat="1">
      <c r="G49576" s="3336"/>
      <c r="P49576" s="3337"/>
    </row>
    <row r="49577" spans="7:16" s="1634" customFormat="1">
      <c r="G49577" s="3336"/>
      <c r="P49577" s="3337"/>
    </row>
    <row r="49578" spans="7:16" s="1634" customFormat="1">
      <c r="G49578" s="3336"/>
      <c r="P49578" s="3337"/>
    </row>
    <row r="49579" spans="7:16" s="1634" customFormat="1">
      <c r="G49579" s="3336"/>
      <c r="P49579" s="3337"/>
    </row>
    <row r="49580" spans="7:16" s="1634" customFormat="1">
      <c r="G49580" s="3336"/>
      <c r="P49580" s="3337"/>
    </row>
    <row r="49581" spans="7:16" s="1634" customFormat="1">
      <c r="G49581" s="3336"/>
      <c r="P49581" s="3337"/>
    </row>
    <row r="49582" spans="7:16" s="1634" customFormat="1">
      <c r="G49582" s="3336"/>
      <c r="P49582" s="3337"/>
    </row>
    <row r="49583" spans="7:16" s="1634" customFormat="1">
      <c r="G49583" s="3336"/>
      <c r="P49583" s="3337"/>
    </row>
    <row r="49584" spans="7:16" s="1634" customFormat="1">
      <c r="G49584" s="3336"/>
      <c r="P49584" s="3337"/>
    </row>
    <row r="49585" spans="7:16" s="1634" customFormat="1">
      <c r="G49585" s="3336"/>
      <c r="P49585" s="3337"/>
    </row>
    <row r="49586" spans="7:16" s="1634" customFormat="1">
      <c r="G49586" s="3336"/>
      <c r="P49586" s="3337"/>
    </row>
    <row r="49587" spans="7:16" s="1634" customFormat="1">
      <c r="G49587" s="3336"/>
      <c r="P49587" s="3337"/>
    </row>
    <row r="49588" spans="7:16" s="1634" customFormat="1">
      <c r="G49588" s="3336"/>
      <c r="P49588" s="3337"/>
    </row>
    <row r="49589" spans="7:16" s="1634" customFormat="1">
      <c r="G49589" s="3336"/>
      <c r="P49589" s="3337"/>
    </row>
    <row r="49590" spans="7:16" s="1634" customFormat="1">
      <c r="G49590" s="3336"/>
      <c r="P49590" s="3337"/>
    </row>
    <row r="49591" spans="7:16" s="1634" customFormat="1">
      <c r="G49591" s="3336"/>
      <c r="P49591" s="3337"/>
    </row>
    <row r="49592" spans="7:16" s="1634" customFormat="1">
      <c r="G49592" s="3336"/>
      <c r="P49592" s="3337"/>
    </row>
    <row r="49593" spans="7:16" s="1634" customFormat="1">
      <c r="G49593" s="3336"/>
      <c r="P49593" s="3337"/>
    </row>
    <row r="49594" spans="7:16" s="1634" customFormat="1">
      <c r="G49594" s="3336"/>
      <c r="P49594" s="3337"/>
    </row>
    <row r="49595" spans="7:16" s="1634" customFormat="1">
      <c r="G49595" s="3336"/>
      <c r="P49595" s="3337"/>
    </row>
    <row r="49596" spans="7:16" s="1634" customFormat="1">
      <c r="G49596" s="3336"/>
      <c r="P49596" s="3337"/>
    </row>
    <row r="49597" spans="7:16" s="1634" customFormat="1">
      <c r="G49597" s="3336"/>
      <c r="P49597" s="3337"/>
    </row>
    <row r="49598" spans="7:16" s="1634" customFormat="1">
      <c r="G49598" s="3336"/>
      <c r="P49598" s="3337"/>
    </row>
    <row r="49599" spans="7:16" s="1634" customFormat="1">
      <c r="G49599" s="3336"/>
      <c r="P49599" s="3337"/>
    </row>
    <row r="49600" spans="7:16" s="1634" customFormat="1">
      <c r="G49600" s="3336"/>
      <c r="P49600" s="3337"/>
    </row>
    <row r="49601" spans="7:16" s="1634" customFormat="1">
      <c r="G49601" s="3336"/>
      <c r="P49601" s="3337"/>
    </row>
    <row r="49602" spans="7:16" s="1634" customFormat="1">
      <c r="G49602" s="3336"/>
      <c r="P49602" s="3337"/>
    </row>
    <row r="49603" spans="7:16" s="1634" customFormat="1">
      <c r="G49603" s="3336"/>
      <c r="P49603" s="3337"/>
    </row>
    <row r="49604" spans="7:16" s="1634" customFormat="1">
      <c r="G49604" s="3336"/>
      <c r="P49604" s="3337"/>
    </row>
    <row r="49605" spans="7:16" s="1634" customFormat="1">
      <c r="G49605" s="3336"/>
      <c r="P49605" s="3337"/>
    </row>
    <row r="49606" spans="7:16" s="1634" customFormat="1">
      <c r="G49606" s="3336"/>
      <c r="P49606" s="3337"/>
    </row>
    <row r="49607" spans="7:16" s="1634" customFormat="1">
      <c r="G49607" s="3336"/>
      <c r="P49607" s="3337"/>
    </row>
    <row r="49608" spans="7:16" s="1634" customFormat="1">
      <c r="G49608" s="3336"/>
      <c r="P49608" s="3337"/>
    </row>
    <row r="49609" spans="7:16" s="1634" customFormat="1">
      <c r="G49609" s="3336"/>
      <c r="P49609" s="3337"/>
    </row>
    <row r="49610" spans="7:16" s="1634" customFormat="1">
      <c r="G49610" s="3336"/>
      <c r="P49610" s="3337"/>
    </row>
    <row r="49611" spans="7:16" s="1634" customFormat="1">
      <c r="G49611" s="3336"/>
      <c r="P49611" s="3337"/>
    </row>
    <row r="49612" spans="7:16" s="1634" customFormat="1">
      <c r="G49612" s="3336"/>
      <c r="P49612" s="3337"/>
    </row>
    <row r="49613" spans="7:16" s="1634" customFormat="1">
      <c r="G49613" s="3336"/>
      <c r="P49613" s="3337"/>
    </row>
    <row r="49614" spans="7:16" s="1634" customFormat="1">
      <c r="G49614" s="3336"/>
      <c r="P49614" s="3337"/>
    </row>
    <row r="49615" spans="7:16" s="1634" customFormat="1">
      <c r="G49615" s="3336"/>
      <c r="P49615" s="3337"/>
    </row>
    <row r="49616" spans="7:16" s="1634" customFormat="1">
      <c r="G49616" s="3336"/>
      <c r="P49616" s="3337"/>
    </row>
    <row r="49617" spans="7:16" s="1634" customFormat="1">
      <c r="G49617" s="3336"/>
      <c r="P49617" s="3337"/>
    </row>
    <row r="49618" spans="7:16" s="1634" customFormat="1">
      <c r="G49618" s="3336"/>
      <c r="P49618" s="3337"/>
    </row>
    <row r="49619" spans="7:16" s="1634" customFormat="1">
      <c r="G49619" s="3336"/>
      <c r="P49619" s="3337"/>
    </row>
    <row r="49620" spans="7:16" s="1634" customFormat="1">
      <c r="G49620" s="3336"/>
      <c r="P49620" s="3337"/>
    </row>
    <row r="49621" spans="7:16" s="1634" customFormat="1">
      <c r="G49621" s="3336"/>
      <c r="P49621" s="3337"/>
    </row>
    <row r="49622" spans="7:16" s="1634" customFormat="1">
      <c r="G49622" s="3336"/>
      <c r="P49622" s="3337"/>
    </row>
    <row r="49623" spans="7:16" s="1634" customFormat="1">
      <c r="G49623" s="3336"/>
      <c r="P49623" s="3337"/>
    </row>
    <row r="49624" spans="7:16" s="1634" customFormat="1">
      <c r="G49624" s="3336"/>
      <c r="P49624" s="3337"/>
    </row>
    <row r="49625" spans="7:16" s="1634" customFormat="1">
      <c r="G49625" s="3336"/>
      <c r="P49625" s="3337"/>
    </row>
    <row r="49626" spans="7:16" s="1634" customFormat="1">
      <c r="G49626" s="3336"/>
      <c r="P49626" s="3337"/>
    </row>
    <row r="49627" spans="7:16" s="1634" customFormat="1">
      <c r="G49627" s="3336"/>
      <c r="P49627" s="3337"/>
    </row>
    <row r="49628" spans="7:16" s="1634" customFormat="1">
      <c r="G49628" s="3336"/>
      <c r="P49628" s="3337"/>
    </row>
    <row r="49629" spans="7:16" s="1634" customFormat="1">
      <c r="G49629" s="3336"/>
      <c r="P49629" s="3337"/>
    </row>
    <row r="49630" spans="7:16" s="1634" customFormat="1">
      <c r="G49630" s="3336"/>
      <c r="P49630" s="3337"/>
    </row>
    <row r="49631" spans="7:16" s="1634" customFormat="1">
      <c r="G49631" s="3336"/>
      <c r="P49631" s="3337"/>
    </row>
    <row r="49632" spans="7:16" s="1634" customFormat="1">
      <c r="G49632" s="3336"/>
      <c r="P49632" s="3337"/>
    </row>
    <row r="49633" spans="7:16" s="1634" customFormat="1">
      <c r="G49633" s="3336"/>
      <c r="P49633" s="3337"/>
    </row>
    <row r="49634" spans="7:16" s="1634" customFormat="1">
      <c r="G49634" s="3336"/>
      <c r="P49634" s="3337"/>
    </row>
    <row r="49635" spans="7:16" s="1634" customFormat="1">
      <c r="G49635" s="3336"/>
      <c r="P49635" s="3337"/>
    </row>
    <row r="49636" spans="7:16" s="1634" customFormat="1">
      <c r="G49636" s="3336"/>
      <c r="P49636" s="3337"/>
    </row>
    <row r="49637" spans="7:16" s="1634" customFormat="1">
      <c r="G49637" s="3336"/>
      <c r="P49637" s="3337"/>
    </row>
    <row r="49638" spans="7:16" s="1634" customFormat="1">
      <c r="G49638" s="3336"/>
      <c r="P49638" s="3337"/>
    </row>
    <row r="49639" spans="7:16" s="1634" customFormat="1">
      <c r="G49639" s="3336"/>
      <c r="P49639" s="3337"/>
    </row>
    <row r="49640" spans="7:16" s="1634" customFormat="1">
      <c r="G49640" s="3336"/>
      <c r="P49640" s="3337"/>
    </row>
    <row r="49641" spans="7:16" s="1634" customFormat="1">
      <c r="G49641" s="3336"/>
      <c r="P49641" s="3337"/>
    </row>
    <row r="49642" spans="7:16" s="1634" customFormat="1">
      <c r="G49642" s="3336"/>
      <c r="P49642" s="3337"/>
    </row>
    <row r="49643" spans="7:16" s="1634" customFormat="1">
      <c r="G49643" s="3336"/>
      <c r="P49643" s="3337"/>
    </row>
    <row r="49644" spans="7:16" s="1634" customFormat="1">
      <c r="G49644" s="3336"/>
      <c r="P49644" s="3337"/>
    </row>
    <row r="49645" spans="7:16" s="1634" customFormat="1">
      <c r="G49645" s="3336"/>
      <c r="P49645" s="3337"/>
    </row>
    <row r="49646" spans="7:16" s="1634" customFormat="1">
      <c r="G49646" s="3336"/>
      <c r="P49646" s="3337"/>
    </row>
    <row r="49647" spans="7:16" s="1634" customFormat="1">
      <c r="G49647" s="3336"/>
      <c r="P49647" s="3337"/>
    </row>
    <row r="49648" spans="7:16" s="1634" customFormat="1">
      <c r="G49648" s="3336"/>
      <c r="P49648" s="3337"/>
    </row>
    <row r="49649" spans="7:16" s="1634" customFormat="1">
      <c r="G49649" s="3336"/>
      <c r="P49649" s="3337"/>
    </row>
    <row r="49650" spans="7:16" s="1634" customFormat="1">
      <c r="G49650" s="3336"/>
      <c r="P49650" s="3337"/>
    </row>
    <row r="49651" spans="7:16" s="1634" customFormat="1">
      <c r="G49651" s="3336"/>
      <c r="P49651" s="3337"/>
    </row>
    <row r="49652" spans="7:16" s="1634" customFormat="1">
      <c r="G49652" s="3336"/>
      <c r="P49652" s="3337"/>
    </row>
    <row r="49653" spans="7:16" s="1634" customFormat="1">
      <c r="G49653" s="3336"/>
      <c r="P49653" s="3337"/>
    </row>
    <row r="49654" spans="7:16" s="1634" customFormat="1">
      <c r="G49654" s="3336"/>
      <c r="P49654" s="3337"/>
    </row>
    <row r="49655" spans="7:16" s="1634" customFormat="1">
      <c r="G49655" s="3336"/>
      <c r="P49655" s="3337"/>
    </row>
    <row r="49656" spans="7:16" s="1634" customFormat="1">
      <c r="G49656" s="3336"/>
      <c r="P49656" s="3337"/>
    </row>
    <row r="49657" spans="7:16" s="1634" customFormat="1">
      <c r="G49657" s="3336"/>
      <c r="P49657" s="3337"/>
    </row>
    <row r="49658" spans="7:16" s="1634" customFormat="1">
      <c r="G49658" s="3336"/>
      <c r="P49658" s="3337"/>
    </row>
    <row r="49659" spans="7:16" s="1634" customFormat="1">
      <c r="G49659" s="3336"/>
      <c r="P49659" s="3337"/>
    </row>
    <row r="49660" spans="7:16" s="1634" customFormat="1">
      <c r="G49660" s="3336"/>
      <c r="P49660" s="3337"/>
    </row>
    <row r="49661" spans="7:16" s="1634" customFormat="1">
      <c r="G49661" s="3336"/>
      <c r="P49661" s="3337"/>
    </row>
    <row r="49662" spans="7:16" s="1634" customFormat="1">
      <c r="G49662" s="3336"/>
      <c r="P49662" s="3337"/>
    </row>
    <row r="49663" spans="7:16" s="1634" customFormat="1">
      <c r="G49663" s="3336"/>
      <c r="P49663" s="3337"/>
    </row>
    <row r="49664" spans="7:16" s="1634" customFormat="1">
      <c r="G49664" s="3336"/>
      <c r="P49664" s="3337"/>
    </row>
    <row r="49665" spans="7:16" s="1634" customFormat="1">
      <c r="G49665" s="3336"/>
      <c r="P49665" s="3337"/>
    </row>
    <row r="49666" spans="7:16" s="1634" customFormat="1">
      <c r="G49666" s="3336"/>
      <c r="P49666" s="3337"/>
    </row>
    <row r="49667" spans="7:16" s="1634" customFormat="1">
      <c r="G49667" s="3336"/>
      <c r="P49667" s="3337"/>
    </row>
    <row r="49668" spans="7:16" s="1634" customFormat="1">
      <c r="G49668" s="3336"/>
      <c r="P49668" s="3337"/>
    </row>
    <row r="49669" spans="7:16" s="1634" customFormat="1">
      <c r="G49669" s="3336"/>
      <c r="P49669" s="3337"/>
    </row>
    <row r="49670" spans="7:16" s="1634" customFormat="1">
      <c r="G49670" s="3336"/>
      <c r="P49670" s="3337"/>
    </row>
    <row r="49671" spans="7:16" s="1634" customFormat="1">
      <c r="G49671" s="3336"/>
      <c r="P49671" s="3337"/>
    </row>
    <row r="49672" spans="7:16" s="1634" customFormat="1">
      <c r="G49672" s="3336"/>
      <c r="P49672" s="3337"/>
    </row>
    <row r="49673" spans="7:16" s="1634" customFormat="1">
      <c r="G49673" s="3336"/>
      <c r="P49673" s="3337"/>
    </row>
    <row r="49674" spans="7:16" s="1634" customFormat="1">
      <c r="G49674" s="3336"/>
      <c r="P49674" s="3337"/>
    </row>
    <row r="49675" spans="7:16" s="1634" customFormat="1">
      <c r="G49675" s="3336"/>
      <c r="P49675" s="3337"/>
    </row>
    <row r="49676" spans="7:16" s="1634" customFormat="1">
      <c r="G49676" s="3336"/>
      <c r="P49676" s="3337"/>
    </row>
    <row r="49677" spans="7:16" s="1634" customFormat="1">
      <c r="G49677" s="3336"/>
      <c r="P49677" s="3337"/>
    </row>
    <row r="49678" spans="7:16" s="1634" customFormat="1">
      <c r="G49678" s="3336"/>
      <c r="P49678" s="3337"/>
    </row>
    <row r="49679" spans="7:16" s="1634" customFormat="1">
      <c r="G49679" s="3336"/>
      <c r="P49679" s="3337"/>
    </row>
    <row r="49680" spans="7:16" s="1634" customFormat="1">
      <c r="G49680" s="3336"/>
      <c r="P49680" s="3337"/>
    </row>
    <row r="49681" spans="7:16" s="1634" customFormat="1">
      <c r="G49681" s="3336"/>
      <c r="P49681" s="3337"/>
    </row>
    <row r="49682" spans="7:16" s="1634" customFormat="1">
      <c r="G49682" s="3336"/>
      <c r="P49682" s="3337"/>
    </row>
    <row r="49683" spans="7:16" s="1634" customFormat="1">
      <c r="G49683" s="3336"/>
      <c r="P49683" s="3337"/>
    </row>
    <row r="49684" spans="7:16" s="1634" customFormat="1">
      <c r="G49684" s="3336"/>
      <c r="P49684" s="3337"/>
    </row>
    <row r="49685" spans="7:16" s="1634" customFormat="1">
      <c r="G49685" s="3336"/>
      <c r="P49685" s="3337"/>
    </row>
    <row r="49686" spans="7:16" s="1634" customFormat="1">
      <c r="G49686" s="3336"/>
      <c r="P49686" s="3337"/>
    </row>
    <row r="49687" spans="7:16" s="1634" customFormat="1">
      <c r="G49687" s="3336"/>
      <c r="P49687" s="3337"/>
    </row>
    <row r="49688" spans="7:16" s="1634" customFormat="1">
      <c r="G49688" s="3336"/>
      <c r="P49688" s="3337"/>
    </row>
    <row r="49689" spans="7:16" s="1634" customFormat="1">
      <c r="G49689" s="3336"/>
      <c r="P49689" s="3337"/>
    </row>
    <row r="49690" spans="7:16" s="1634" customFormat="1">
      <c r="G49690" s="3336"/>
      <c r="P49690" s="3337"/>
    </row>
    <row r="49691" spans="7:16" s="1634" customFormat="1">
      <c r="G49691" s="3336"/>
      <c r="P49691" s="3337"/>
    </row>
    <row r="49692" spans="7:16" s="1634" customFormat="1">
      <c r="G49692" s="3336"/>
      <c r="P49692" s="3337"/>
    </row>
    <row r="49693" spans="7:16" s="1634" customFormat="1">
      <c r="G49693" s="3336"/>
      <c r="P49693" s="3337"/>
    </row>
    <row r="49694" spans="7:16" s="1634" customFormat="1">
      <c r="G49694" s="3336"/>
      <c r="P49694" s="3337"/>
    </row>
    <row r="49695" spans="7:16" s="1634" customFormat="1">
      <c r="G49695" s="3336"/>
      <c r="P49695" s="3337"/>
    </row>
    <row r="49696" spans="7:16" s="1634" customFormat="1">
      <c r="G49696" s="3336"/>
      <c r="P49696" s="3337"/>
    </row>
    <row r="49697" spans="7:16" s="1634" customFormat="1">
      <c r="G49697" s="3336"/>
      <c r="P49697" s="3337"/>
    </row>
    <row r="49698" spans="7:16" s="1634" customFormat="1">
      <c r="G49698" s="3336"/>
      <c r="P49698" s="3337"/>
    </row>
    <row r="49699" spans="7:16" s="1634" customFormat="1">
      <c r="G49699" s="3336"/>
      <c r="P49699" s="3337"/>
    </row>
    <row r="49700" spans="7:16" s="1634" customFormat="1">
      <c r="G49700" s="3336"/>
      <c r="P49700" s="3337"/>
    </row>
    <row r="49701" spans="7:16" s="1634" customFormat="1">
      <c r="G49701" s="3336"/>
      <c r="P49701" s="3337"/>
    </row>
    <row r="49702" spans="7:16" s="1634" customFormat="1">
      <c r="G49702" s="3336"/>
      <c r="P49702" s="3337"/>
    </row>
    <row r="49703" spans="7:16" s="1634" customFormat="1">
      <c r="G49703" s="3336"/>
      <c r="P49703" s="3337"/>
    </row>
    <row r="49704" spans="7:16" s="1634" customFormat="1">
      <c r="G49704" s="3336"/>
      <c r="P49704" s="3337"/>
    </row>
    <row r="49705" spans="7:16" s="1634" customFormat="1">
      <c r="G49705" s="3336"/>
      <c r="P49705" s="3337"/>
    </row>
    <row r="49706" spans="7:16" s="1634" customFormat="1">
      <c r="G49706" s="3336"/>
      <c r="P49706" s="3337"/>
    </row>
    <row r="49707" spans="7:16" s="1634" customFormat="1">
      <c r="G49707" s="3336"/>
      <c r="P49707" s="3337"/>
    </row>
    <row r="49708" spans="7:16" s="1634" customFormat="1">
      <c r="G49708" s="3336"/>
      <c r="P49708" s="3337"/>
    </row>
    <row r="49709" spans="7:16" s="1634" customFormat="1">
      <c r="G49709" s="3336"/>
      <c r="P49709" s="3337"/>
    </row>
    <row r="49710" spans="7:16" s="1634" customFormat="1">
      <c r="G49710" s="3336"/>
      <c r="P49710" s="3337"/>
    </row>
    <row r="49711" spans="7:16" s="1634" customFormat="1">
      <c r="G49711" s="3336"/>
      <c r="P49711" s="3337"/>
    </row>
    <row r="49712" spans="7:16" s="1634" customFormat="1">
      <c r="G49712" s="3336"/>
      <c r="P49712" s="3337"/>
    </row>
    <row r="49713" spans="7:16" s="1634" customFormat="1">
      <c r="G49713" s="3336"/>
      <c r="P49713" s="3337"/>
    </row>
    <row r="49714" spans="7:16" s="1634" customFormat="1">
      <c r="G49714" s="3336"/>
      <c r="P49714" s="3337"/>
    </row>
    <row r="49715" spans="7:16" s="1634" customFormat="1">
      <c r="G49715" s="3336"/>
      <c r="P49715" s="3337"/>
    </row>
    <row r="49716" spans="7:16" s="1634" customFormat="1">
      <c r="G49716" s="3336"/>
      <c r="P49716" s="3337"/>
    </row>
    <row r="49717" spans="7:16" s="1634" customFormat="1">
      <c r="G49717" s="3336"/>
      <c r="P49717" s="3337"/>
    </row>
    <row r="49718" spans="7:16" s="1634" customFormat="1">
      <c r="G49718" s="3336"/>
      <c r="P49718" s="3337"/>
    </row>
    <row r="49719" spans="7:16" s="1634" customFormat="1">
      <c r="G49719" s="3336"/>
      <c r="P49719" s="3337"/>
    </row>
    <row r="49720" spans="7:16" s="1634" customFormat="1">
      <c r="G49720" s="3336"/>
      <c r="P49720" s="3337"/>
    </row>
    <row r="49721" spans="7:16" s="1634" customFormat="1">
      <c r="G49721" s="3336"/>
      <c r="P49721" s="3337"/>
    </row>
    <row r="49722" spans="7:16" s="1634" customFormat="1">
      <c r="G49722" s="3336"/>
      <c r="P49722" s="3337"/>
    </row>
    <row r="49723" spans="7:16" s="1634" customFormat="1">
      <c r="G49723" s="3336"/>
      <c r="P49723" s="3337"/>
    </row>
    <row r="49724" spans="7:16" s="1634" customFormat="1">
      <c r="G49724" s="3336"/>
      <c r="P49724" s="3337"/>
    </row>
    <row r="49725" spans="7:16" s="1634" customFormat="1">
      <c r="G49725" s="3336"/>
      <c r="P49725" s="3337"/>
    </row>
    <row r="49726" spans="7:16" s="1634" customFormat="1">
      <c r="G49726" s="3336"/>
      <c r="P49726" s="3337"/>
    </row>
    <row r="49727" spans="7:16" s="1634" customFormat="1">
      <c r="G49727" s="3336"/>
      <c r="P49727" s="3337"/>
    </row>
    <row r="49728" spans="7:16" s="1634" customFormat="1">
      <c r="G49728" s="3336"/>
      <c r="P49728" s="3337"/>
    </row>
    <row r="49729" spans="7:16" s="1634" customFormat="1">
      <c r="G49729" s="3336"/>
      <c r="P49729" s="3337"/>
    </row>
    <row r="49730" spans="7:16" s="1634" customFormat="1">
      <c r="G49730" s="3336"/>
      <c r="P49730" s="3337"/>
    </row>
    <row r="49731" spans="7:16" s="1634" customFormat="1">
      <c r="G49731" s="3336"/>
      <c r="P49731" s="3337"/>
    </row>
    <row r="49732" spans="7:16" s="1634" customFormat="1">
      <c r="G49732" s="3336"/>
      <c r="P49732" s="3337"/>
    </row>
    <row r="49733" spans="7:16" s="1634" customFormat="1">
      <c r="G49733" s="3336"/>
      <c r="P49733" s="3337"/>
    </row>
    <row r="49734" spans="7:16" s="1634" customFormat="1">
      <c r="G49734" s="3336"/>
      <c r="P49734" s="3337"/>
    </row>
    <row r="49735" spans="7:16" s="1634" customFormat="1">
      <c r="G49735" s="3336"/>
      <c r="P49735" s="3337"/>
    </row>
    <row r="49736" spans="7:16" s="1634" customFormat="1">
      <c r="G49736" s="3336"/>
      <c r="P49736" s="3337"/>
    </row>
    <row r="49737" spans="7:16" s="1634" customFormat="1">
      <c r="G49737" s="3336"/>
      <c r="P49737" s="3337"/>
    </row>
    <row r="49738" spans="7:16" s="1634" customFormat="1">
      <c r="G49738" s="3336"/>
      <c r="P49738" s="3337"/>
    </row>
    <row r="49739" spans="7:16" s="1634" customFormat="1">
      <c r="G49739" s="3336"/>
      <c r="P49739" s="3337"/>
    </row>
    <row r="49740" spans="7:16" s="1634" customFormat="1">
      <c r="G49740" s="3336"/>
      <c r="P49740" s="3337"/>
    </row>
    <row r="49741" spans="7:16" s="1634" customFormat="1">
      <c r="G49741" s="3336"/>
      <c r="P49741" s="3337"/>
    </row>
    <row r="49742" spans="7:16" s="1634" customFormat="1">
      <c r="G49742" s="3336"/>
      <c r="P49742" s="3337"/>
    </row>
    <row r="49743" spans="7:16" s="1634" customFormat="1">
      <c r="G49743" s="3336"/>
      <c r="P49743" s="3337"/>
    </row>
    <row r="49744" spans="7:16" s="1634" customFormat="1">
      <c r="G49744" s="3336"/>
      <c r="P49744" s="3337"/>
    </row>
    <row r="49745" spans="7:16" s="1634" customFormat="1">
      <c r="G49745" s="3336"/>
      <c r="P49745" s="3337"/>
    </row>
    <row r="49746" spans="7:16" s="1634" customFormat="1">
      <c r="G49746" s="3336"/>
      <c r="P49746" s="3337"/>
    </row>
    <row r="49747" spans="7:16" s="1634" customFormat="1">
      <c r="G49747" s="3336"/>
      <c r="P49747" s="3337"/>
    </row>
    <row r="49748" spans="7:16" s="1634" customFormat="1">
      <c r="G49748" s="3336"/>
      <c r="P49748" s="3337"/>
    </row>
    <row r="49749" spans="7:16" s="1634" customFormat="1">
      <c r="G49749" s="3336"/>
      <c r="P49749" s="3337"/>
    </row>
    <row r="49750" spans="7:16" s="1634" customFormat="1">
      <c r="G49750" s="3336"/>
      <c r="P49750" s="3337"/>
    </row>
    <row r="49751" spans="7:16" s="1634" customFormat="1">
      <c r="G49751" s="3336"/>
      <c r="P49751" s="3337"/>
    </row>
    <row r="49752" spans="7:16" s="1634" customFormat="1">
      <c r="G49752" s="3336"/>
      <c r="P49752" s="3337"/>
    </row>
    <row r="49753" spans="7:16" s="1634" customFormat="1">
      <c r="G49753" s="3336"/>
      <c r="P49753" s="3337"/>
    </row>
    <row r="49754" spans="7:16" s="1634" customFormat="1">
      <c r="G49754" s="3336"/>
      <c r="P49754" s="3337"/>
    </row>
    <row r="49755" spans="7:16" s="1634" customFormat="1">
      <c r="G49755" s="3336"/>
      <c r="P49755" s="3337"/>
    </row>
    <row r="49756" spans="7:16" s="1634" customFormat="1">
      <c r="G49756" s="3336"/>
      <c r="P49756" s="3337"/>
    </row>
    <row r="49757" spans="7:16" s="1634" customFormat="1">
      <c r="G49757" s="3336"/>
      <c r="P49757" s="3337"/>
    </row>
    <row r="49758" spans="7:16" s="1634" customFormat="1">
      <c r="G49758" s="3336"/>
      <c r="P49758" s="3337"/>
    </row>
    <row r="49759" spans="7:16" s="1634" customFormat="1">
      <c r="G49759" s="3336"/>
      <c r="P49759" s="3337"/>
    </row>
    <row r="49760" spans="7:16" s="1634" customFormat="1">
      <c r="G49760" s="3336"/>
      <c r="P49760" s="3337"/>
    </row>
    <row r="49761" spans="7:16" s="1634" customFormat="1">
      <c r="G49761" s="3336"/>
      <c r="P49761" s="3337"/>
    </row>
    <row r="49762" spans="7:16" s="1634" customFormat="1">
      <c r="G49762" s="3336"/>
      <c r="P49762" s="3337"/>
    </row>
    <row r="49763" spans="7:16" s="1634" customFormat="1">
      <c r="G49763" s="3336"/>
      <c r="P49763" s="3337"/>
    </row>
    <row r="49764" spans="7:16" s="1634" customFormat="1">
      <c r="G49764" s="3336"/>
      <c r="P49764" s="3337"/>
    </row>
    <row r="49765" spans="7:16" s="1634" customFormat="1">
      <c r="G49765" s="3336"/>
      <c r="P49765" s="3337"/>
    </row>
    <row r="49766" spans="7:16" s="1634" customFormat="1">
      <c r="G49766" s="3336"/>
      <c r="P49766" s="3337"/>
    </row>
    <row r="49767" spans="7:16" s="1634" customFormat="1">
      <c r="G49767" s="3336"/>
      <c r="P49767" s="3337"/>
    </row>
    <row r="49768" spans="7:16" s="1634" customFormat="1">
      <c r="G49768" s="3336"/>
      <c r="P49768" s="3337"/>
    </row>
    <row r="49769" spans="7:16" s="1634" customFormat="1">
      <c r="G49769" s="3336"/>
      <c r="P49769" s="3337"/>
    </row>
    <row r="49770" spans="7:16" s="1634" customFormat="1">
      <c r="G49770" s="3336"/>
      <c r="P49770" s="3337"/>
    </row>
    <row r="49771" spans="7:16" s="1634" customFormat="1">
      <c r="G49771" s="3336"/>
      <c r="P49771" s="3337"/>
    </row>
    <row r="49772" spans="7:16" s="1634" customFormat="1">
      <c r="G49772" s="3336"/>
      <c r="P49772" s="3337"/>
    </row>
    <row r="49773" spans="7:16" s="1634" customFormat="1">
      <c r="G49773" s="3336"/>
      <c r="P49773" s="3337"/>
    </row>
    <row r="49774" spans="7:16" s="1634" customFormat="1">
      <c r="G49774" s="3336"/>
      <c r="P49774" s="3337"/>
    </row>
    <row r="49775" spans="7:16" s="1634" customFormat="1">
      <c r="G49775" s="3336"/>
      <c r="P49775" s="3337"/>
    </row>
    <row r="49776" spans="7:16" s="1634" customFormat="1">
      <c r="G49776" s="3336"/>
      <c r="P49776" s="3337"/>
    </row>
    <row r="49777" spans="7:16" s="1634" customFormat="1">
      <c r="G49777" s="3336"/>
      <c r="P49777" s="3337"/>
    </row>
    <row r="49778" spans="7:16" s="1634" customFormat="1">
      <c r="G49778" s="3336"/>
      <c r="P49778" s="3337"/>
    </row>
    <row r="49779" spans="7:16" s="1634" customFormat="1">
      <c r="G49779" s="3336"/>
      <c r="P49779" s="3337"/>
    </row>
    <row r="49780" spans="7:16" s="1634" customFormat="1">
      <c r="G49780" s="3336"/>
      <c r="P49780" s="3337"/>
    </row>
    <row r="49781" spans="7:16" s="1634" customFormat="1">
      <c r="G49781" s="3336"/>
      <c r="P49781" s="3337"/>
    </row>
    <row r="49782" spans="7:16" s="1634" customFormat="1">
      <c r="G49782" s="3336"/>
      <c r="P49782" s="3337"/>
    </row>
    <row r="49783" spans="7:16" s="1634" customFormat="1">
      <c r="G49783" s="3336"/>
      <c r="P49783" s="3337"/>
    </row>
    <row r="49784" spans="7:16" s="1634" customFormat="1">
      <c r="G49784" s="3336"/>
      <c r="P49784" s="3337"/>
    </row>
    <row r="49785" spans="7:16" s="1634" customFormat="1">
      <c r="G49785" s="3336"/>
      <c r="P49785" s="3337"/>
    </row>
    <row r="49786" spans="7:16" s="1634" customFormat="1">
      <c r="G49786" s="3336"/>
      <c r="P49786" s="3337"/>
    </row>
    <row r="49787" spans="7:16" s="1634" customFormat="1">
      <c r="G49787" s="3336"/>
      <c r="P49787" s="3337"/>
    </row>
    <row r="49788" spans="7:16" s="1634" customFormat="1">
      <c r="G49788" s="3336"/>
      <c r="P49788" s="3337"/>
    </row>
    <row r="49789" spans="7:16" s="1634" customFormat="1">
      <c r="G49789" s="3336"/>
      <c r="P49789" s="3337"/>
    </row>
    <row r="49790" spans="7:16" s="1634" customFormat="1">
      <c r="G49790" s="3336"/>
      <c r="P49790" s="3337"/>
    </row>
    <row r="49791" spans="7:16" s="1634" customFormat="1">
      <c r="G49791" s="3336"/>
      <c r="P49791" s="3337"/>
    </row>
    <row r="49792" spans="7:16" s="1634" customFormat="1">
      <c r="G49792" s="3336"/>
      <c r="P49792" s="3337"/>
    </row>
    <row r="49793" spans="7:16" s="1634" customFormat="1">
      <c r="G49793" s="3336"/>
      <c r="P49793" s="3337"/>
    </row>
    <row r="49794" spans="7:16" s="1634" customFormat="1">
      <c r="G49794" s="3336"/>
      <c r="P49794" s="3337"/>
    </row>
    <row r="49795" spans="7:16" s="1634" customFormat="1">
      <c r="G49795" s="3336"/>
      <c r="P49795" s="3337"/>
    </row>
    <row r="49796" spans="7:16" s="1634" customFormat="1">
      <c r="G49796" s="3336"/>
      <c r="P49796" s="3337"/>
    </row>
    <row r="49797" spans="7:16" s="1634" customFormat="1">
      <c r="G49797" s="3336"/>
      <c r="P49797" s="3337"/>
    </row>
    <row r="49798" spans="7:16" s="1634" customFormat="1">
      <c r="G49798" s="3336"/>
      <c r="P49798" s="3337"/>
    </row>
    <row r="49799" spans="7:16" s="1634" customFormat="1">
      <c r="G49799" s="3336"/>
      <c r="P49799" s="3337"/>
    </row>
    <row r="49800" spans="7:16" s="1634" customFormat="1">
      <c r="G49800" s="3336"/>
      <c r="P49800" s="3337"/>
    </row>
    <row r="49801" spans="7:16" s="1634" customFormat="1">
      <c r="G49801" s="3336"/>
      <c r="P49801" s="3337"/>
    </row>
    <row r="49802" spans="7:16" s="1634" customFormat="1">
      <c r="G49802" s="3336"/>
      <c r="P49802" s="3337"/>
    </row>
    <row r="49803" spans="7:16" s="1634" customFormat="1">
      <c r="G49803" s="3336"/>
      <c r="P49803" s="3337"/>
    </row>
    <row r="49804" spans="7:16" s="1634" customFormat="1">
      <c r="G49804" s="3336"/>
      <c r="P49804" s="3337"/>
    </row>
    <row r="49805" spans="7:16" s="1634" customFormat="1">
      <c r="G49805" s="3336"/>
      <c r="P49805" s="3337"/>
    </row>
    <row r="49806" spans="7:16" s="1634" customFormat="1">
      <c r="G49806" s="3336"/>
      <c r="P49806" s="3337"/>
    </row>
    <row r="49807" spans="7:16" s="1634" customFormat="1">
      <c r="G49807" s="3336"/>
      <c r="P49807" s="3337"/>
    </row>
    <row r="49808" spans="7:16" s="1634" customFormat="1">
      <c r="G49808" s="3336"/>
      <c r="P49808" s="3337"/>
    </row>
    <row r="49809" spans="7:16" s="1634" customFormat="1">
      <c r="G49809" s="3336"/>
      <c r="P49809" s="3337"/>
    </row>
    <row r="49810" spans="7:16" s="1634" customFormat="1">
      <c r="G49810" s="3336"/>
      <c r="P49810" s="3337"/>
    </row>
    <row r="49811" spans="7:16" s="1634" customFormat="1">
      <c r="G49811" s="3336"/>
      <c r="P49811" s="3337"/>
    </row>
    <row r="49812" spans="7:16" s="1634" customFormat="1">
      <c r="G49812" s="3336"/>
      <c r="P49812" s="3337"/>
    </row>
    <row r="49813" spans="7:16" s="1634" customFormat="1">
      <c r="G49813" s="3336"/>
      <c r="P49813" s="3337"/>
    </row>
    <row r="49814" spans="7:16" s="1634" customFormat="1">
      <c r="G49814" s="3336"/>
      <c r="P49814" s="3337"/>
    </row>
    <row r="49815" spans="7:16" s="1634" customFormat="1">
      <c r="G49815" s="3336"/>
      <c r="P49815" s="3337"/>
    </row>
    <row r="49816" spans="7:16" s="1634" customFormat="1">
      <c r="G49816" s="3336"/>
      <c r="P49816" s="3337"/>
    </row>
    <row r="49817" spans="7:16" s="1634" customFormat="1">
      <c r="G49817" s="3336"/>
      <c r="P49817" s="3337"/>
    </row>
    <row r="49818" spans="7:16" s="1634" customFormat="1">
      <c r="G49818" s="3336"/>
      <c r="P49818" s="3337"/>
    </row>
    <row r="49819" spans="7:16" s="1634" customFormat="1">
      <c r="G49819" s="3336"/>
      <c r="P49819" s="3337"/>
    </row>
    <row r="49820" spans="7:16" s="1634" customFormat="1">
      <c r="G49820" s="3336"/>
      <c r="P49820" s="3337"/>
    </row>
    <row r="49821" spans="7:16" s="1634" customFormat="1">
      <c r="G49821" s="3336"/>
      <c r="P49821" s="3337"/>
    </row>
    <row r="49822" spans="7:16" s="1634" customFormat="1">
      <c r="G49822" s="3336"/>
      <c r="P49822" s="3337"/>
    </row>
    <row r="49823" spans="7:16" s="1634" customFormat="1">
      <c r="G49823" s="3336"/>
      <c r="P49823" s="3337"/>
    </row>
    <row r="49824" spans="7:16" s="1634" customFormat="1">
      <c r="G49824" s="3336"/>
      <c r="P49824" s="3337"/>
    </row>
    <row r="49825" spans="7:16" s="1634" customFormat="1">
      <c r="G49825" s="3336"/>
      <c r="P49825" s="3337"/>
    </row>
    <row r="49826" spans="7:16" s="1634" customFormat="1">
      <c r="G49826" s="3336"/>
      <c r="P49826" s="3337"/>
    </row>
    <row r="49827" spans="7:16" s="1634" customFormat="1">
      <c r="G49827" s="3336"/>
      <c r="P49827" s="3337"/>
    </row>
    <row r="49828" spans="7:16" s="1634" customFormat="1">
      <c r="G49828" s="3336"/>
      <c r="P49828" s="3337"/>
    </row>
    <row r="49829" spans="7:16" s="1634" customFormat="1">
      <c r="G49829" s="3336"/>
      <c r="P49829" s="3337"/>
    </row>
    <row r="49830" spans="7:16" s="1634" customFormat="1">
      <c r="G49830" s="3336"/>
      <c r="P49830" s="3337"/>
    </row>
    <row r="49831" spans="7:16" s="1634" customFormat="1">
      <c r="G49831" s="3336"/>
      <c r="P49831" s="3337"/>
    </row>
    <row r="49832" spans="7:16" s="1634" customFormat="1">
      <c r="G49832" s="3336"/>
      <c r="P49832" s="3337"/>
    </row>
    <row r="49833" spans="7:16" s="1634" customFormat="1">
      <c r="G49833" s="3336"/>
      <c r="P49833" s="3337"/>
    </row>
    <row r="49834" spans="7:16" s="1634" customFormat="1">
      <c r="G49834" s="3336"/>
      <c r="P49834" s="3337"/>
    </row>
    <row r="49835" spans="7:16" s="1634" customFormat="1">
      <c r="G49835" s="3336"/>
      <c r="P49835" s="3337"/>
    </row>
    <row r="49836" spans="7:16" s="1634" customFormat="1">
      <c r="G49836" s="3336"/>
      <c r="P49836" s="3337"/>
    </row>
    <row r="49837" spans="7:16" s="1634" customFormat="1">
      <c r="G49837" s="3336"/>
      <c r="P49837" s="3337"/>
    </row>
    <row r="49838" spans="7:16" s="1634" customFormat="1">
      <c r="G49838" s="3336"/>
      <c r="P49838" s="3337"/>
    </row>
    <row r="49839" spans="7:16" s="1634" customFormat="1">
      <c r="G49839" s="3336"/>
      <c r="P49839" s="3337"/>
    </row>
    <row r="49840" spans="7:16" s="1634" customFormat="1">
      <c r="G49840" s="3336"/>
      <c r="P49840" s="3337"/>
    </row>
    <row r="49841" spans="7:16" s="1634" customFormat="1">
      <c r="G49841" s="3336"/>
      <c r="P49841" s="3337"/>
    </row>
    <row r="49842" spans="7:16" s="1634" customFormat="1">
      <c r="G49842" s="3336"/>
      <c r="P49842" s="3337"/>
    </row>
    <row r="49843" spans="7:16" s="1634" customFormat="1">
      <c r="G49843" s="3336"/>
      <c r="P49843" s="3337"/>
    </row>
    <row r="49844" spans="7:16" s="1634" customFormat="1">
      <c r="G49844" s="3336"/>
      <c r="P49844" s="3337"/>
    </row>
    <row r="49845" spans="7:16" s="1634" customFormat="1">
      <c r="G49845" s="3336"/>
      <c r="P49845" s="3337"/>
    </row>
    <row r="49846" spans="7:16" s="1634" customFormat="1">
      <c r="G49846" s="3336"/>
      <c r="P49846" s="3337"/>
    </row>
    <row r="49847" spans="7:16" s="1634" customFormat="1">
      <c r="G49847" s="3336"/>
      <c r="P49847" s="3337"/>
    </row>
    <row r="49848" spans="7:16" s="1634" customFormat="1">
      <c r="G49848" s="3336"/>
      <c r="P49848" s="3337"/>
    </row>
    <row r="49849" spans="7:16" s="1634" customFormat="1">
      <c r="G49849" s="3336"/>
      <c r="P49849" s="3337"/>
    </row>
    <row r="49850" spans="7:16" s="1634" customFormat="1">
      <c r="G49850" s="3336"/>
      <c r="P49850" s="3337"/>
    </row>
    <row r="49851" spans="7:16" s="1634" customFormat="1">
      <c r="G49851" s="3336"/>
      <c r="P49851" s="3337"/>
    </row>
    <row r="49852" spans="7:16" s="1634" customFormat="1">
      <c r="G49852" s="3336"/>
      <c r="P49852" s="3337"/>
    </row>
    <row r="49853" spans="7:16" s="1634" customFormat="1">
      <c r="G49853" s="3336"/>
      <c r="P49853" s="3337"/>
    </row>
    <row r="49854" spans="7:16" s="1634" customFormat="1">
      <c r="G49854" s="3336"/>
      <c r="P49854" s="3337"/>
    </row>
    <row r="49855" spans="7:16" s="1634" customFormat="1">
      <c r="G49855" s="3336"/>
      <c r="P49855" s="3337"/>
    </row>
    <row r="49856" spans="7:16" s="1634" customFormat="1">
      <c r="G49856" s="3336"/>
      <c r="P49856" s="3337"/>
    </row>
    <row r="49857" spans="7:16" s="1634" customFormat="1">
      <c r="G49857" s="3336"/>
      <c r="P49857" s="3337"/>
    </row>
    <row r="49858" spans="7:16" s="1634" customFormat="1">
      <c r="G49858" s="3336"/>
      <c r="P49858" s="3337"/>
    </row>
    <row r="49859" spans="7:16" s="1634" customFormat="1">
      <c r="G49859" s="3336"/>
      <c r="P49859" s="3337"/>
    </row>
    <row r="49860" spans="7:16" s="1634" customFormat="1">
      <c r="G49860" s="3336"/>
      <c r="P49860" s="3337"/>
    </row>
    <row r="49861" spans="7:16" s="1634" customFormat="1">
      <c r="G49861" s="3336"/>
      <c r="P49861" s="3337"/>
    </row>
    <row r="49862" spans="7:16" s="1634" customFormat="1">
      <c r="G49862" s="3336"/>
      <c r="P49862" s="3337"/>
    </row>
    <row r="49863" spans="7:16" s="1634" customFormat="1">
      <c r="G49863" s="3336"/>
      <c r="P49863" s="3337"/>
    </row>
    <row r="49864" spans="7:16" s="1634" customFormat="1">
      <c r="G49864" s="3336"/>
      <c r="P49864" s="3337"/>
    </row>
    <row r="49865" spans="7:16" s="1634" customFormat="1">
      <c r="G49865" s="3336"/>
      <c r="P49865" s="3337"/>
    </row>
    <row r="49866" spans="7:16" s="1634" customFormat="1">
      <c r="G49866" s="3336"/>
      <c r="P49866" s="3337"/>
    </row>
    <row r="49867" spans="7:16" s="1634" customFormat="1">
      <c r="G49867" s="3336"/>
      <c r="P49867" s="3337"/>
    </row>
    <row r="49868" spans="7:16" s="1634" customFormat="1">
      <c r="G49868" s="3336"/>
      <c r="P49868" s="3337"/>
    </row>
    <row r="49869" spans="7:16" s="1634" customFormat="1">
      <c r="G49869" s="3336"/>
      <c r="P49869" s="3337"/>
    </row>
    <row r="49870" spans="7:16" s="1634" customFormat="1">
      <c r="G49870" s="3336"/>
      <c r="P49870" s="3337"/>
    </row>
    <row r="49871" spans="7:16" s="1634" customFormat="1">
      <c r="G49871" s="3336"/>
      <c r="P49871" s="3337"/>
    </row>
    <row r="49872" spans="7:16" s="1634" customFormat="1">
      <c r="G49872" s="3336"/>
      <c r="P49872" s="3337"/>
    </row>
    <row r="49873" spans="7:16" s="1634" customFormat="1">
      <c r="G49873" s="3336"/>
      <c r="P49873" s="3337"/>
    </row>
    <row r="49874" spans="7:16" s="1634" customFormat="1">
      <c r="G49874" s="3336"/>
      <c r="P49874" s="3337"/>
    </row>
    <row r="49875" spans="7:16" s="1634" customFormat="1">
      <c r="G49875" s="3336"/>
      <c r="P49875" s="3337"/>
    </row>
    <row r="49876" spans="7:16" s="1634" customFormat="1">
      <c r="G49876" s="3336"/>
      <c r="P49876" s="3337"/>
    </row>
    <row r="49877" spans="7:16" s="1634" customFormat="1">
      <c r="G49877" s="3336"/>
      <c r="P49877" s="3337"/>
    </row>
    <row r="49878" spans="7:16" s="1634" customFormat="1">
      <c r="G49878" s="3336"/>
      <c r="P49878" s="3337"/>
    </row>
    <row r="49879" spans="7:16" s="1634" customFormat="1">
      <c r="G49879" s="3336"/>
      <c r="P49879" s="3337"/>
    </row>
    <row r="49880" spans="7:16" s="1634" customFormat="1">
      <c r="G49880" s="3336"/>
      <c r="P49880" s="3337"/>
    </row>
    <row r="49881" spans="7:16" s="1634" customFormat="1">
      <c r="G49881" s="3336"/>
      <c r="P49881" s="3337"/>
    </row>
    <row r="49882" spans="7:16" s="1634" customFormat="1">
      <c r="G49882" s="3336"/>
      <c r="P49882" s="3337"/>
    </row>
    <row r="49883" spans="7:16" s="1634" customFormat="1">
      <c r="G49883" s="3336"/>
      <c r="P49883" s="3337"/>
    </row>
    <row r="49884" spans="7:16" s="1634" customFormat="1">
      <c r="G49884" s="3336"/>
      <c r="P49884" s="3337"/>
    </row>
    <row r="49885" spans="7:16" s="1634" customFormat="1">
      <c r="G49885" s="3336"/>
      <c r="P49885" s="3337"/>
    </row>
    <row r="49886" spans="7:16" s="1634" customFormat="1">
      <c r="G49886" s="3336"/>
      <c r="P49886" s="3337"/>
    </row>
    <row r="49887" spans="7:16" s="1634" customFormat="1">
      <c r="G49887" s="3336"/>
      <c r="P49887" s="3337"/>
    </row>
    <row r="49888" spans="7:16" s="1634" customFormat="1">
      <c r="G49888" s="3336"/>
      <c r="P49888" s="3337"/>
    </row>
    <row r="49889" spans="7:16" s="1634" customFormat="1">
      <c r="G49889" s="3336"/>
      <c r="P49889" s="3337"/>
    </row>
    <row r="49890" spans="7:16" s="1634" customFormat="1">
      <c r="G49890" s="3336"/>
      <c r="P49890" s="3337"/>
    </row>
    <row r="49891" spans="7:16" s="1634" customFormat="1">
      <c r="G49891" s="3336"/>
      <c r="P49891" s="3337"/>
    </row>
    <row r="49892" spans="7:16" s="1634" customFormat="1">
      <c r="G49892" s="3336"/>
      <c r="P49892" s="3337"/>
    </row>
    <row r="49893" spans="7:16" s="1634" customFormat="1">
      <c r="G49893" s="3336"/>
      <c r="P49893" s="3337"/>
    </row>
    <row r="49894" spans="7:16" s="1634" customFormat="1">
      <c r="G49894" s="3336"/>
      <c r="P49894" s="3337"/>
    </row>
    <row r="49895" spans="7:16" s="1634" customFormat="1">
      <c r="G49895" s="3336"/>
      <c r="P49895" s="3337"/>
    </row>
    <row r="49896" spans="7:16" s="1634" customFormat="1">
      <c r="G49896" s="3336"/>
      <c r="P49896" s="3337"/>
    </row>
    <row r="49897" spans="7:16" s="1634" customFormat="1">
      <c r="G49897" s="3336"/>
      <c r="P49897" s="3337"/>
    </row>
    <row r="49898" spans="7:16" s="1634" customFormat="1">
      <c r="G49898" s="3336"/>
      <c r="P49898" s="3337"/>
    </row>
    <row r="49899" spans="7:16" s="1634" customFormat="1">
      <c r="G49899" s="3336"/>
      <c r="P49899" s="3337"/>
    </row>
    <row r="49900" spans="7:16" s="1634" customFormat="1">
      <c r="G49900" s="3336"/>
      <c r="P49900" s="3337"/>
    </row>
    <row r="49901" spans="7:16" s="1634" customFormat="1">
      <c r="G49901" s="3336"/>
      <c r="P49901" s="3337"/>
    </row>
    <row r="49902" spans="7:16" s="1634" customFormat="1">
      <c r="G49902" s="3336"/>
      <c r="P49902" s="3337"/>
    </row>
    <row r="49903" spans="7:16" s="1634" customFormat="1">
      <c r="G49903" s="3336"/>
      <c r="P49903" s="3337"/>
    </row>
    <row r="49904" spans="7:16" s="1634" customFormat="1">
      <c r="G49904" s="3336"/>
      <c r="P49904" s="3337"/>
    </row>
    <row r="49905" spans="7:16" s="1634" customFormat="1">
      <c r="G49905" s="3336"/>
      <c r="P49905" s="3337"/>
    </row>
    <row r="49906" spans="7:16" s="1634" customFormat="1">
      <c r="G49906" s="3336"/>
      <c r="P49906" s="3337"/>
    </row>
    <row r="49907" spans="7:16" s="1634" customFormat="1">
      <c r="G49907" s="3336"/>
      <c r="P49907" s="3337"/>
    </row>
    <row r="49908" spans="7:16" s="1634" customFormat="1">
      <c r="G49908" s="3336"/>
      <c r="P49908" s="3337"/>
    </row>
    <row r="49909" spans="7:16" s="1634" customFormat="1">
      <c r="G49909" s="3336"/>
      <c r="P49909" s="3337"/>
    </row>
    <row r="49910" spans="7:16" s="1634" customFormat="1">
      <c r="G49910" s="3336"/>
      <c r="P49910" s="3337"/>
    </row>
    <row r="49911" spans="7:16" s="1634" customFormat="1">
      <c r="G49911" s="3336"/>
      <c r="P49911" s="3337"/>
    </row>
    <row r="49912" spans="7:16" s="1634" customFormat="1">
      <c r="G49912" s="3336"/>
      <c r="P49912" s="3337"/>
    </row>
    <row r="49913" spans="7:16" s="1634" customFormat="1">
      <c r="G49913" s="3336"/>
      <c r="P49913" s="3337"/>
    </row>
    <row r="49914" spans="7:16" s="1634" customFormat="1">
      <c r="G49914" s="3336"/>
      <c r="P49914" s="3337"/>
    </row>
    <row r="49915" spans="7:16" s="1634" customFormat="1">
      <c r="G49915" s="3336"/>
      <c r="P49915" s="3337"/>
    </row>
    <row r="49916" spans="7:16" s="1634" customFormat="1">
      <c r="G49916" s="3336"/>
      <c r="P49916" s="3337"/>
    </row>
    <row r="49917" spans="7:16" s="1634" customFormat="1">
      <c r="G49917" s="3336"/>
      <c r="P49917" s="3337"/>
    </row>
    <row r="49918" spans="7:16" s="1634" customFormat="1">
      <c r="G49918" s="3336"/>
      <c r="P49918" s="3337"/>
    </row>
    <row r="49919" spans="7:16" s="1634" customFormat="1">
      <c r="G49919" s="3336"/>
      <c r="P49919" s="3337"/>
    </row>
    <row r="49920" spans="7:16" s="1634" customFormat="1">
      <c r="G49920" s="3336"/>
      <c r="P49920" s="3337"/>
    </row>
    <row r="49921" spans="7:16" s="1634" customFormat="1">
      <c r="G49921" s="3336"/>
      <c r="P49921" s="3337"/>
    </row>
    <row r="49922" spans="7:16" s="1634" customFormat="1">
      <c r="G49922" s="3336"/>
      <c r="P49922" s="3337"/>
    </row>
    <row r="49923" spans="7:16" s="1634" customFormat="1">
      <c r="G49923" s="3336"/>
      <c r="P49923" s="3337"/>
    </row>
    <row r="49924" spans="7:16" s="1634" customFormat="1">
      <c r="G49924" s="3336"/>
      <c r="P49924" s="3337"/>
    </row>
    <row r="49925" spans="7:16" s="1634" customFormat="1">
      <c r="G49925" s="3336"/>
      <c r="P49925" s="3337"/>
    </row>
    <row r="49926" spans="7:16" s="1634" customFormat="1">
      <c r="G49926" s="3336"/>
      <c r="P49926" s="3337"/>
    </row>
    <row r="49927" spans="7:16" s="1634" customFormat="1">
      <c r="G49927" s="3336"/>
      <c r="P49927" s="3337"/>
    </row>
    <row r="49928" spans="7:16" s="1634" customFormat="1">
      <c r="G49928" s="3336"/>
      <c r="P49928" s="3337"/>
    </row>
    <row r="49929" spans="7:16" s="1634" customFormat="1">
      <c r="G49929" s="3336"/>
      <c r="P49929" s="3337"/>
    </row>
    <row r="49930" spans="7:16" s="1634" customFormat="1">
      <c r="G49930" s="3336"/>
      <c r="P49930" s="3337"/>
    </row>
    <row r="49931" spans="7:16" s="1634" customFormat="1">
      <c r="G49931" s="3336"/>
      <c r="P49931" s="3337"/>
    </row>
    <row r="49932" spans="7:16" s="1634" customFormat="1">
      <c r="G49932" s="3336"/>
      <c r="P49932" s="3337"/>
    </row>
    <row r="49933" spans="7:16" s="1634" customFormat="1">
      <c r="G49933" s="3336"/>
      <c r="P49933" s="3337"/>
    </row>
    <row r="49934" spans="7:16" s="1634" customFormat="1">
      <c r="G49934" s="3336"/>
      <c r="P49934" s="3337"/>
    </row>
    <row r="49935" spans="7:16" s="1634" customFormat="1">
      <c r="G49935" s="3336"/>
      <c r="P49935" s="3337"/>
    </row>
    <row r="49936" spans="7:16" s="1634" customFormat="1">
      <c r="G49936" s="3336"/>
      <c r="P49936" s="3337"/>
    </row>
    <row r="49937" spans="7:16" s="1634" customFormat="1">
      <c r="G49937" s="3336"/>
      <c r="P49937" s="3337"/>
    </row>
    <row r="49938" spans="7:16" s="1634" customFormat="1">
      <c r="G49938" s="3336"/>
      <c r="P49938" s="3337"/>
    </row>
    <row r="49939" spans="7:16" s="1634" customFormat="1">
      <c r="G49939" s="3336"/>
      <c r="P49939" s="3337"/>
    </row>
    <row r="49940" spans="7:16" s="1634" customFormat="1">
      <c r="G49940" s="3336"/>
      <c r="P49940" s="3337"/>
    </row>
    <row r="49941" spans="7:16" s="1634" customFormat="1">
      <c r="G49941" s="3336"/>
      <c r="P49941" s="3337"/>
    </row>
    <row r="49942" spans="7:16" s="1634" customFormat="1">
      <c r="G49942" s="3336"/>
      <c r="P49942" s="3337"/>
    </row>
    <row r="49943" spans="7:16" s="1634" customFormat="1">
      <c r="G49943" s="3336"/>
      <c r="P49943" s="3337"/>
    </row>
    <row r="49944" spans="7:16" s="1634" customFormat="1">
      <c r="G49944" s="3336"/>
      <c r="P49944" s="3337"/>
    </row>
    <row r="49945" spans="7:16" s="1634" customFormat="1">
      <c r="G49945" s="3336"/>
      <c r="P49945" s="3337"/>
    </row>
    <row r="49946" spans="7:16" s="1634" customFormat="1">
      <c r="G49946" s="3336"/>
      <c r="P49946" s="3337"/>
    </row>
    <row r="49947" spans="7:16" s="1634" customFormat="1">
      <c r="G49947" s="3336"/>
      <c r="P49947" s="3337"/>
    </row>
    <row r="49948" spans="7:16" s="1634" customFormat="1">
      <c r="G49948" s="3336"/>
      <c r="P49948" s="3337"/>
    </row>
    <row r="49949" spans="7:16" s="1634" customFormat="1">
      <c r="G49949" s="3336"/>
      <c r="P49949" s="3337"/>
    </row>
    <row r="49950" spans="7:16" s="1634" customFormat="1">
      <c r="G49950" s="3336"/>
      <c r="P49950" s="3337"/>
    </row>
    <row r="49951" spans="7:16" s="1634" customFormat="1">
      <c r="G49951" s="3336"/>
      <c r="P49951" s="3337"/>
    </row>
    <row r="49952" spans="7:16" s="1634" customFormat="1">
      <c r="G49952" s="3336"/>
      <c r="P49952" s="3337"/>
    </row>
    <row r="49953" spans="7:16" s="1634" customFormat="1">
      <c r="G49953" s="3336"/>
      <c r="P49953" s="3337"/>
    </row>
    <row r="49954" spans="7:16" s="1634" customFormat="1">
      <c r="G49954" s="3336"/>
      <c r="P49954" s="3337"/>
    </row>
    <row r="49955" spans="7:16" s="1634" customFormat="1">
      <c r="G49955" s="3336"/>
      <c r="P49955" s="3337"/>
    </row>
    <row r="49956" spans="7:16" s="1634" customFormat="1">
      <c r="G49956" s="3336"/>
      <c r="P49956" s="3337"/>
    </row>
    <row r="49957" spans="7:16" s="1634" customFormat="1">
      <c r="G49957" s="3336"/>
      <c r="P49957" s="3337"/>
    </row>
    <row r="49958" spans="7:16" s="1634" customFormat="1">
      <c r="G49958" s="3336"/>
      <c r="P49958" s="3337"/>
    </row>
    <row r="49959" spans="7:16" s="1634" customFormat="1">
      <c r="G49959" s="3336"/>
      <c r="P49959" s="3337"/>
    </row>
    <row r="49960" spans="7:16" s="1634" customFormat="1">
      <c r="G49960" s="3336"/>
      <c r="P49960" s="3337"/>
    </row>
    <row r="49961" spans="7:16" s="1634" customFormat="1">
      <c r="G49961" s="3336"/>
      <c r="P49961" s="3337"/>
    </row>
    <row r="49962" spans="7:16" s="1634" customFormat="1">
      <c r="G49962" s="3336"/>
      <c r="P49962" s="3337"/>
    </row>
    <row r="49963" spans="7:16" s="1634" customFormat="1">
      <c r="G49963" s="3336"/>
      <c r="P49963" s="3337"/>
    </row>
    <row r="49964" spans="7:16" s="1634" customFormat="1">
      <c r="G49964" s="3336"/>
      <c r="P49964" s="3337"/>
    </row>
    <row r="49965" spans="7:16" s="1634" customFormat="1">
      <c r="G49965" s="3336"/>
      <c r="P49965" s="3337"/>
    </row>
    <row r="49966" spans="7:16" s="1634" customFormat="1">
      <c r="G49966" s="3336"/>
      <c r="P49966" s="3337"/>
    </row>
    <row r="49967" spans="7:16" s="1634" customFormat="1">
      <c r="G49967" s="3336"/>
      <c r="P49967" s="3337"/>
    </row>
    <row r="49968" spans="7:16" s="1634" customFormat="1">
      <c r="G49968" s="3336"/>
      <c r="P49968" s="3337"/>
    </row>
    <row r="49969" spans="7:16" s="1634" customFormat="1">
      <c r="G49969" s="3336"/>
      <c r="P49969" s="3337"/>
    </row>
    <row r="49970" spans="7:16" s="1634" customFormat="1">
      <c r="G49970" s="3336"/>
      <c r="P49970" s="3337"/>
    </row>
    <row r="49971" spans="7:16" s="1634" customFormat="1">
      <c r="G49971" s="3336"/>
      <c r="P49971" s="3337"/>
    </row>
    <row r="49972" spans="7:16" s="1634" customFormat="1">
      <c r="G49972" s="3336"/>
      <c r="P49972" s="3337"/>
    </row>
    <row r="49973" spans="7:16" s="1634" customFormat="1">
      <c r="G49973" s="3336"/>
      <c r="P49973" s="3337"/>
    </row>
    <row r="49974" spans="7:16" s="1634" customFormat="1">
      <c r="G49974" s="3336"/>
      <c r="P49974" s="3337"/>
    </row>
    <row r="49975" spans="7:16" s="1634" customFormat="1">
      <c r="G49975" s="3336"/>
      <c r="P49975" s="3337"/>
    </row>
    <row r="49976" spans="7:16" s="1634" customFormat="1">
      <c r="G49976" s="3336"/>
      <c r="P49976" s="3337"/>
    </row>
    <row r="49977" spans="7:16" s="1634" customFormat="1">
      <c r="G49977" s="3336"/>
      <c r="P49977" s="3337"/>
    </row>
    <row r="49978" spans="7:16" s="1634" customFormat="1">
      <c r="G49978" s="3336"/>
      <c r="P49978" s="3337"/>
    </row>
    <row r="49979" spans="7:16" s="1634" customFormat="1">
      <c r="G49979" s="3336"/>
      <c r="P49979" s="3337"/>
    </row>
    <row r="49980" spans="7:16" s="1634" customFormat="1">
      <c r="G49980" s="3336"/>
      <c r="P49980" s="3337"/>
    </row>
    <row r="49981" spans="7:16" s="1634" customFormat="1">
      <c r="G49981" s="3336"/>
      <c r="P49981" s="3337"/>
    </row>
    <row r="49982" spans="7:16" s="1634" customFormat="1">
      <c r="G49982" s="3336"/>
      <c r="P49982" s="3337"/>
    </row>
    <row r="49983" spans="7:16" s="1634" customFormat="1">
      <c r="G49983" s="3336"/>
      <c r="P49983" s="3337"/>
    </row>
    <row r="49984" spans="7:16" s="1634" customFormat="1">
      <c r="G49984" s="3336"/>
      <c r="P49984" s="3337"/>
    </row>
    <row r="49985" spans="7:16" s="1634" customFormat="1">
      <c r="G49985" s="3336"/>
      <c r="P49985" s="3337"/>
    </row>
    <row r="49986" spans="7:16" s="1634" customFormat="1">
      <c r="G49986" s="3336"/>
      <c r="P49986" s="3337"/>
    </row>
    <row r="49987" spans="7:16" s="1634" customFormat="1">
      <c r="G49987" s="3336"/>
      <c r="P49987" s="3337"/>
    </row>
    <row r="49988" spans="7:16" s="1634" customFormat="1">
      <c r="G49988" s="3336"/>
      <c r="P49988" s="3337"/>
    </row>
    <row r="49989" spans="7:16" s="1634" customFormat="1">
      <c r="G49989" s="3336"/>
      <c r="P49989" s="3337"/>
    </row>
    <row r="49990" spans="7:16" s="1634" customFormat="1">
      <c r="G49990" s="3336"/>
      <c r="P49990" s="3337"/>
    </row>
    <row r="49991" spans="7:16" s="1634" customFormat="1">
      <c r="G49991" s="3336"/>
      <c r="P49991" s="3337"/>
    </row>
    <row r="49992" spans="7:16" s="1634" customFormat="1">
      <c r="G49992" s="3336"/>
      <c r="P49992" s="3337"/>
    </row>
    <row r="49993" spans="7:16" s="1634" customFormat="1">
      <c r="G49993" s="3336"/>
      <c r="P49993" s="3337"/>
    </row>
    <row r="49994" spans="7:16" s="1634" customFormat="1">
      <c r="G49994" s="3336"/>
      <c r="P49994" s="3337"/>
    </row>
    <row r="49995" spans="7:16" s="1634" customFormat="1">
      <c r="G49995" s="3336"/>
      <c r="P49995" s="3337"/>
    </row>
    <row r="49996" spans="7:16" s="1634" customFormat="1">
      <c r="G49996" s="3336"/>
      <c r="P49996" s="3337"/>
    </row>
    <row r="49997" spans="7:16" s="1634" customFormat="1">
      <c r="G49997" s="3336"/>
      <c r="P49997" s="3337"/>
    </row>
    <row r="49998" spans="7:16" s="1634" customFormat="1">
      <c r="G49998" s="3336"/>
      <c r="P49998" s="3337"/>
    </row>
    <row r="49999" spans="7:16" s="1634" customFormat="1">
      <c r="G49999" s="3336"/>
      <c r="P49999" s="3337"/>
    </row>
    <row r="50000" spans="7:16" s="1634" customFormat="1">
      <c r="G50000" s="3336"/>
      <c r="P50000" s="3337"/>
    </row>
    <row r="50001" spans="7:16" s="1634" customFormat="1">
      <c r="G50001" s="3336"/>
      <c r="P50001" s="3337"/>
    </row>
    <row r="50002" spans="7:16" s="1634" customFormat="1">
      <c r="G50002" s="3336"/>
      <c r="P50002" s="3337"/>
    </row>
    <row r="50003" spans="7:16" s="1634" customFormat="1">
      <c r="G50003" s="3336"/>
      <c r="P50003" s="3337"/>
    </row>
    <row r="50004" spans="7:16" s="1634" customFormat="1">
      <c r="G50004" s="3336"/>
      <c r="P50004" s="3337"/>
    </row>
    <row r="50005" spans="7:16" s="1634" customFormat="1">
      <c r="G50005" s="3336"/>
      <c r="P50005" s="3337"/>
    </row>
    <row r="50006" spans="7:16" s="1634" customFormat="1">
      <c r="G50006" s="3336"/>
      <c r="P50006" s="3337"/>
    </row>
    <row r="50007" spans="7:16" s="1634" customFormat="1">
      <c r="G50007" s="3336"/>
      <c r="P50007" s="3337"/>
    </row>
    <row r="50008" spans="7:16" s="1634" customFormat="1">
      <c r="G50008" s="3336"/>
      <c r="P50008" s="3337"/>
    </row>
    <row r="50009" spans="7:16" s="1634" customFormat="1">
      <c r="G50009" s="3336"/>
      <c r="P50009" s="3337"/>
    </row>
    <row r="50010" spans="7:16" s="1634" customFormat="1">
      <c r="G50010" s="3336"/>
      <c r="P50010" s="3337"/>
    </row>
    <row r="50011" spans="7:16" s="1634" customFormat="1">
      <c r="G50011" s="3336"/>
      <c r="P50011" s="3337"/>
    </row>
    <row r="50012" spans="7:16" s="1634" customFormat="1">
      <c r="G50012" s="3336"/>
      <c r="P50012" s="3337"/>
    </row>
    <row r="50013" spans="7:16" s="1634" customFormat="1">
      <c r="G50013" s="3336"/>
      <c r="P50013" s="3337"/>
    </row>
    <row r="50014" spans="7:16" s="1634" customFormat="1">
      <c r="G50014" s="3336"/>
      <c r="P50014" s="3337"/>
    </row>
    <row r="50015" spans="7:16" s="1634" customFormat="1">
      <c r="G50015" s="3336"/>
      <c r="P50015" s="3337"/>
    </row>
    <row r="50016" spans="7:16" s="1634" customFormat="1">
      <c r="G50016" s="3336"/>
      <c r="P50016" s="3337"/>
    </row>
    <row r="50017" spans="7:16" s="1634" customFormat="1">
      <c r="G50017" s="3336"/>
      <c r="P50017" s="3337"/>
    </row>
    <row r="50018" spans="7:16" s="1634" customFormat="1">
      <c r="G50018" s="3336"/>
      <c r="P50018" s="3337"/>
    </row>
    <row r="50019" spans="7:16" s="1634" customFormat="1">
      <c r="G50019" s="3336"/>
      <c r="P50019" s="3337"/>
    </row>
    <row r="50020" spans="7:16" s="1634" customFormat="1">
      <c r="G50020" s="3336"/>
      <c r="P50020" s="3337"/>
    </row>
    <row r="50021" spans="7:16" s="1634" customFormat="1">
      <c r="G50021" s="3336"/>
      <c r="P50021" s="3337"/>
    </row>
    <row r="50022" spans="7:16" s="1634" customFormat="1">
      <c r="G50022" s="3336"/>
      <c r="P50022" s="3337"/>
    </row>
    <row r="50023" spans="7:16" s="1634" customFormat="1">
      <c r="G50023" s="3336"/>
      <c r="P50023" s="3337"/>
    </row>
    <row r="50024" spans="7:16" s="1634" customFormat="1">
      <c r="G50024" s="3336"/>
      <c r="P50024" s="3337"/>
    </row>
    <row r="50025" spans="7:16" s="1634" customFormat="1">
      <c r="G50025" s="3336"/>
      <c r="P50025" s="3337"/>
    </row>
    <row r="50026" spans="7:16" s="1634" customFormat="1">
      <c r="G50026" s="3336"/>
      <c r="P50026" s="3337"/>
    </row>
    <row r="50027" spans="7:16" s="1634" customFormat="1">
      <c r="G50027" s="3336"/>
      <c r="P50027" s="3337"/>
    </row>
    <row r="50028" spans="7:16" s="1634" customFormat="1">
      <c r="G50028" s="3336"/>
      <c r="P50028" s="3337"/>
    </row>
    <row r="50029" spans="7:16" s="1634" customFormat="1">
      <c r="G50029" s="3336"/>
      <c r="P50029" s="3337"/>
    </row>
    <row r="50030" spans="7:16" s="1634" customFormat="1">
      <c r="G50030" s="3336"/>
      <c r="P50030" s="3337"/>
    </row>
    <row r="50031" spans="7:16" s="1634" customFormat="1">
      <c r="G50031" s="3336"/>
      <c r="P50031" s="3337"/>
    </row>
    <row r="50032" spans="7:16" s="1634" customFormat="1">
      <c r="G50032" s="3336"/>
      <c r="P50032" s="3337"/>
    </row>
    <row r="50033" spans="7:16" s="1634" customFormat="1">
      <c r="G50033" s="3336"/>
      <c r="P50033" s="3337"/>
    </row>
    <row r="50034" spans="7:16" s="1634" customFormat="1">
      <c r="G50034" s="3336"/>
      <c r="P50034" s="3337"/>
    </row>
    <row r="50035" spans="7:16" s="1634" customFormat="1">
      <c r="G50035" s="3336"/>
      <c r="P50035" s="3337"/>
    </row>
    <row r="50036" spans="7:16" s="1634" customFormat="1">
      <c r="G50036" s="3336"/>
      <c r="P50036" s="3337"/>
    </row>
    <row r="50037" spans="7:16" s="1634" customFormat="1">
      <c r="G50037" s="3336"/>
      <c r="P50037" s="3337"/>
    </row>
    <row r="50038" spans="7:16" s="1634" customFormat="1">
      <c r="G50038" s="3336"/>
      <c r="P50038" s="3337"/>
    </row>
    <row r="50039" spans="7:16" s="1634" customFormat="1">
      <c r="G50039" s="3336"/>
      <c r="P50039" s="3337"/>
    </row>
    <row r="50040" spans="7:16" s="1634" customFormat="1">
      <c r="G50040" s="3336"/>
      <c r="P50040" s="3337"/>
    </row>
    <row r="50041" spans="7:16" s="1634" customFormat="1">
      <c r="G50041" s="3336"/>
      <c r="P50041" s="3337"/>
    </row>
    <row r="50042" spans="7:16" s="1634" customFormat="1">
      <c r="G50042" s="3336"/>
      <c r="P50042" s="3337"/>
    </row>
    <row r="50043" spans="7:16" s="1634" customFormat="1">
      <c r="G50043" s="3336"/>
      <c r="P50043" s="3337"/>
    </row>
    <row r="50044" spans="7:16" s="1634" customFormat="1">
      <c r="G50044" s="3336"/>
      <c r="P50044" s="3337"/>
    </row>
    <row r="50045" spans="7:16" s="1634" customFormat="1">
      <c r="G50045" s="3336"/>
      <c r="P50045" s="3337"/>
    </row>
    <row r="50046" spans="7:16" s="1634" customFormat="1">
      <c r="G50046" s="3336"/>
      <c r="P50046" s="3337"/>
    </row>
    <row r="50047" spans="7:16" s="1634" customFormat="1">
      <c r="G50047" s="3336"/>
      <c r="P50047" s="3337"/>
    </row>
    <row r="50048" spans="7:16" s="1634" customFormat="1">
      <c r="G50048" s="3336"/>
      <c r="P50048" s="3337"/>
    </row>
    <row r="50049" spans="7:16" s="1634" customFormat="1">
      <c r="G50049" s="3336"/>
      <c r="P50049" s="3337"/>
    </row>
    <row r="50050" spans="7:16" s="1634" customFormat="1">
      <c r="G50050" s="3336"/>
      <c r="P50050" s="3337"/>
    </row>
    <row r="50051" spans="7:16" s="1634" customFormat="1">
      <c r="G50051" s="3336"/>
      <c r="P50051" s="3337"/>
    </row>
    <row r="50052" spans="7:16" s="1634" customFormat="1">
      <c r="G50052" s="3336"/>
      <c r="P50052" s="3337"/>
    </row>
    <row r="50053" spans="7:16" s="1634" customFormat="1">
      <c r="G50053" s="3336"/>
      <c r="P50053" s="3337"/>
    </row>
    <row r="50054" spans="7:16" s="1634" customFormat="1">
      <c r="G50054" s="3336"/>
      <c r="P50054" s="3337"/>
    </row>
    <row r="50055" spans="7:16" s="1634" customFormat="1">
      <c r="G50055" s="3336"/>
      <c r="P50055" s="3337"/>
    </row>
    <row r="50056" spans="7:16" s="1634" customFormat="1">
      <c r="G50056" s="3336"/>
      <c r="P50056" s="3337"/>
    </row>
    <row r="50057" spans="7:16" s="1634" customFormat="1">
      <c r="G50057" s="3336"/>
      <c r="P50057" s="3337"/>
    </row>
    <row r="50058" spans="7:16" s="1634" customFormat="1">
      <c r="G50058" s="3336"/>
      <c r="P50058" s="3337"/>
    </row>
    <row r="50059" spans="7:16" s="1634" customFormat="1">
      <c r="G50059" s="3336"/>
      <c r="P50059" s="3337"/>
    </row>
    <row r="50060" spans="7:16" s="1634" customFormat="1">
      <c r="G50060" s="3336"/>
      <c r="P50060" s="3337"/>
    </row>
    <row r="50061" spans="7:16" s="1634" customFormat="1">
      <c r="G50061" s="3336"/>
      <c r="P50061" s="3337"/>
    </row>
    <row r="50062" spans="7:16" s="1634" customFormat="1">
      <c r="G50062" s="3336"/>
      <c r="P50062" s="3337"/>
    </row>
    <row r="50063" spans="7:16" s="1634" customFormat="1">
      <c r="G50063" s="3336"/>
      <c r="P50063" s="3337"/>
    </row>
    <row r="50064" spans="7:16" s="1634" customFormat="1">
      <c r="G50064" s="3336"/>
      <c r="P50064" s="3337"/>
    </row>
    <row r="50065" spans="7:16" s="1634" customFormat="1">
      <c r="G50065" s="3336"/>
      <c r="P50065" s="3337"/>
    </row>
    <row r="50066" spans="7:16" s="1634" customFormat="1">
      <c r="G50066" s="3336"/>
      <c r="P50066" s="3337"/>
    </row>
    <row r="50067" spans="7:16" s="1634" customFormat="1">
      <c r="G50067" s="3336"/>
      <c r="P50067" s="3337"/>
    </row>
    <row r="50068" spans="7:16" s="1634" customFormat="1">
      <c r="G50068" s="3336"/>
      <c r="P50068" s="3337"/>
    </row>
    <row r="50069" spans="7:16" s="1634" customFormat="1">
      <c r="G50069" s="3336"/>
      <c r="P50069" s="3337"/>
    </row>
    <row r="50070" spans="7:16" s="1634" customFormat="1">
      <c r="G50070" s="3336"/>
      <c r="P50070" s="3337"/>
    </row>
    <row r="50071" spans="7:16" s="1634" customFormat="1">
      <c r="G50071" s="3336"/>
      <c r="P50071" s="3337"/>
    </row>
    <row r="50072" spans="7:16" s="1634" customFormat="1">
      <c r="G50072" s="3336"/>
      <c r="P50072" s="3337"/>
    </row>
    <row r="50073" spans="7:16" s="1634" customFormat="1">
      <c r="G50073" s="3336"/>
      <c r="P50073" s="3337"/>
    </row>
    <row r="50074" spans="7:16" s="1634" customFormat="1">
      <c r="G50074" s="3336"/>
      <c r="P50074" s="3337"/>
    </row>
    <row r="50075" spans="7:16" s="1634" customFormat="1">
      <c r="G50075" s="3336"/>
      <c r="P50075" s="3337"/>
    </row>
    <row r="50076" spans="7:16" s="1634" customFormat="1">
      <c r="G50076" s="3336"/>
      <c r="P50076" s="3337"/>
    </row>
    <row r="50077" spans="7:16" s="1634" customFormat="1">
      <c r="G50077" s="3336"/>
      <c r="P50077" s="3337"/>
    </row>
    <row r="50078" spans="7:16" s="1634" customFormat="1">
      <c r="G50078" s="3336"/>
      <c r="P50078" s="3337"/>
    </row>
    <row r="50079" spans="7:16" s="1634" customFormat="1">
      <c r="G50079" s="3336"/>
      <c r="P50079" s="3337"/>
    </row>
    <row r="50080" spans="7:16" s="1634" customFormat="1">
      <c r="G50080" s="3336"/>
      <c r="P50080" s="3337"/>
    </row>
    <row r="50081" spans="7:16" s="1634" customFormat="1">
      <c r="G50081" s="3336"/>
      <c r="P50081" s="3337"/>
    </row>
    <row r="50082" spans="7:16" s="1634" customFormat="1">
      <c r="G50082" s="3336"/>
      <c r="P50082" s="3337"/>
    </row>
    <row r="50083" spans="7:16" s="1634" customFormat="1">
      <c r="G50083" s="3336"/>
      <c r="P50083" s="3337"/>
    </row>
    <row r="50084" spans="7:16" s="1634" customFormat="1">
      <c r="G50084" s="3336"/>
      <c r="P50084" s="3337"/>
    </row>
    <row r="50085" spans="7:16" s="1634" customFormat="1">
      <c r="G50085" s="3336"/>
      <c r="P50085" s="3337"/>
    </row>
    <row r="50086" spans="7:16" s="1634" customFormat="1">
      <c r="G50086" s="3336"/>
      <c r="P50086" s="3337"/>
    </row>
    <row r="50087" spans="7:16" s="1634" customFormat="1">
      <c r="G50087" s="3336"/>
      <c r="P50087" s="3337"/>
    </row>
    <row r="50088" spans="7:16" s="1634" customFormat="1">
      <c r="G50088" s="3336"/>
      <c r="P50088" s="3337"/>
    </row>
    <row r="50089" spans="7:16" s="1634" customFormat="1">
      <c r="G50089" s="3336"/>
      <c r="P50089" s="3337"/>
    </row>
    <row r="50090" spans="7:16" s="1634" customFormat="1">
      <c r="G50090" s="3336"/>
      <c r="P50090" s="3337"/>
    </row>
    <row r="50091" spans="7:16" s="1634" customFormat="1">
      <c r="G50091" s="3336"/>
      <c r="P50091" s="3337"/>
    </row>
    <row r="50092" spans="7:16" s="1634" customFormat="1">
      <c r="G50092" s="3336"/>
      <c r="P50092" s="3337"/>
    </row>
    <row r="50093" spans="7:16" s="1634" customFormat="1">
      <c r="G50093" s="3336"/>
      <c r="P50093" s="3337"/>
    </row>
    <row r="50094" spans="7:16" s="1634" customFormat="1">
      <c r="G50094" s="3336"/>
      <c r="P50094" s="3337"/>
    </row>
    <row r="50095" spans="7:16" s="1634" customFormat="1">
      <c r="G50095" s="3336"/>
      <c r="P50095" s="3337"/>
    </row>
    <row r="50096" spans="7:16" s="1634" customFormat="1">
      <c r="G50096" s="3336"/>
      <c r="P50096" s="3337"/>
    </row>
    <row r="50097" spans="7:16" s="1634" customFormat="1">
      <c r="G50097" s="3336"/>
      <c r="P50097" s="3337"/>
    </row>
    <row r="50098" spans="7:16" s="1634" customFormat="1">
      <c r="G50098" s="3336"/>
      <c r="P50098" s="3337"/>
    </row>
    <row r="50099" spans="7:16" s="1634" customFormat="1">
      <c r="G50099" s="3336"/>
      <c r="P50099" s="3337"/>
    </row>
    <row r="50100" spans="7:16" s="1634" customFormat="1">
      <c r="G50100" s="3336"/>
      <c r="P50100" s="3337"/>
    </row>
    <row r="50101" spans="7:16" s="1634" customFormat="1">
      <c r="G50101" s="3336"/>
      <c r="P50101" s="3337"/>
    </row>
    <row r="50102" spans="7:16" s="1634" customFormat="1">
      <c r="G50102" s="3336"/>
      <c r="P50102" s="3337"/>
    </row>
    <row r="50103" spans="7:16" s="1634" customFormat="1">
      <c r="G50103" s="3336"/>
      <c r="P50103" s="3337"/>
    </row>
    <row r="50104" spans="7:16" s="1634" customFormat="1">
      <c r="G50104" s="3336"/>
      <c r="P50104" s="3337"/>
    </row>
    <row r="50105" spans="7:16" s="1634" customFormat="1">
      <c r="G50105" s="3336"/>
      <c r="P50105" s="3337"/>
    </row>
    <row r="50106" spans="7:16" s="1634" customFormat="1">
      <c r="G50106" s="3336"/>
      <c r="P50106" s="3337"/>
    </row>
    <row r="50107" spans="7:16" s="1634" customFormat="1">
      <c r="G50107" s="3336"/>
      <c r="P50107" s="3337"/>
    </row>
    <row r="50108" spans="7:16" s="1634" customFormat="1">
      <c r="G50108" s="3336"/>
      <c r="P50108" s="3337"/>
    </row>
    <row r="50109" spans="7:16" s="1634" customFormat="1">
      <c r="G50109" s="3336"/>
      <c r="P50109" s="3337"/>
    </row>
    <row r="50110" spans="7:16" s="1634" customFormat="1">
      <c r="G50110" s="3336"/>
      <c r="P50110" s="3337"/>
    </row>
    <row r="50111" spans="7:16" s="1634" customFormat="1">
      <c r="G50111" s="3336"/>
      <c r="P50111" s="3337"/>
    </row>
    <row r="50112" spans="7:16" s="1634" customFormat="1">
      <c r="G50112" s="3336"/>
      <c r="P50112" s="3337"/>
    </row>
    <row r="50113" spans="7:16" s="1634" customFormat="1">
      <c r="G50113" s="3336"/>
      <c r="P50113" s="3337"/>
    </row>
    <row r="50114" spans="7:16" s="1634" customFormat="1">
      <c r="G50114" s="3336"/>
      <c r="P50114" s="3337"/>
    </row>
    <row r="50115" spans="7:16" s="1634" customFormat="1">
      <c r="G50115" s="3336"/>
      <c r="P50115" s="3337"/>
    </row>
    <row r="50116" spans="7:16" s="1634" customFormat="1">
      <c r="G50116" s="3336"/>
      <c r="P50116" s="3337"/>
    </row>
    <row r="50117" spans="7:16" s="1634" customFormat="1">
      <c r="G50117" s="3336"/>
      <c r="P50117" s="3337"/>
    </row>
    <row r="50118" spans="7:16" s="1634" customFormat="1">
      <c r="G50118" s="3336"/>
      <c r="P50118" s="3337"/>
    </row>
    <row r="50119" spans="7:16" s="1634" customFormat="1">
      <c r="G50119" s="3336"/>
      <c r="P50119" s="3337"/>
    </row>
    <row r="50120" spans="7:16" s="1634" customFormat="1">
      <c r="G50120" s="3336"/>
      <c r="P50120" s="3337"/>
    </row>
    <row r="50121" spans="7:16" s="1634" customFormat="1">
      <c r="G50121" s="3336"/>
      <c r="P50121" s="3337"/>
    </row>
    <row r="50122" spans="7:16" s="1634" customFormat="1">
      <c r="G50122" s="3336"/>
      <c r="P50122" s="3337"/>
    </row>
    <row r="50123" spans="7:16" s="1634" customFormat="1">
      <c r="G50123" s="3336"/>
      <c r="P50123" s="3337"/>
    </row>
    <row r="50124" spans="7:16" s="1634" customFormat="1">
      <c r="G50124" s="3336"/>
      <c r="P50124" s="3337"/>
    </row>
    <row r="50125" spans="7:16" s="1634" customFormat="1">
      <c r="G50125" s="3336"/>
      <c r="P50125" s="3337"/>
    </row>
    <row r="50126" spans="7:16" s="1634" customFormat="1">
      <c r="G50126" s="3336"/>
      <c r="P50126" s="3337"/>
    </row>
    <row r="50127" spans="7:16" s="1634" customFormat="1">
      <c r="G50127" s="3336"/>
      <c r="P50127" s="3337"/>
    </row>
    <row r="50128" spans="7:16" s="1634" customFormat="1">
      <c r="G50128" s="3336"/>
      <c r="P50128" s="3337"/>
    </row>
    <row r="50129" spans="7:16" s="1634" customFormat="1">
      <c r="G50129" s="3336"/>
      <c r="P50129" s="3337"/>
    </row>
    <row r="50130" spans="7:16" s="1634" customFormat="1">
      <c r="G50130" s="3336"/>
      <c r="P50130" s="3337"/>
    </row>
    <row r="50131" spans="7:16" s="1634" customFormat="1">
      <c r="G50131" s="3336"/>
      <c r="P50131" s="3337"/>
    </row>
    <row r="50132" spans="7:16" s="1634" customFormat="1">
      <c r="G50132" s="3336"/>
      <c r="P50132" s="3337"/>
    </row>
    <row r="50133" spans="7:16" s="1634" customFormat="1">
      <c r="G50133" s="3336"/>
      <c r="P50133" s="3337"/>
    </row>
    <row r="50134" spans="7:16" s="1634" customFormat="1">
      <c r="G50134" s="3336"/>
      <c r="P50134" s="3337"/>
    </row>
    <row r="50135" spans="7:16" s="1634" customFormat="1">
      <c r="G50135" s="3336"/>
      <c r="P50135" s="3337"/>
    </row>
    <row r="50136" spans="7:16" s="1634" customFormat="1">
      <c r="G50136" s="3336"/>
      <c r="P50136" s="3337"/>
    </row>
    <row r="50137" spans="7:16" s="1634" customFormat="1">
      <c r="G50137" s="3336"/>
      <c r="P50137" s="3337"/>
    </row>
    <row r="50138" spans="7:16" s="1634" customFormat="1">
      <c r="G50138" s="3336"/>
      <c r="P50138" s="3337"/>
    </row>
    <row r="50139" spans="7:16" s="1634" customFormat="1">
      <c r="G50139" s="3336"/>
      <c r="P50139" s="3337"/>
    </row>
    <row r="50140" spans="7:16" s="1634" customFormat="1">
      <c r="G50140" s="3336"/>
      <c r="P50140" s="3337"/>
    </row>
    <row r="50141" spans="7:16" s="1634" customFormat="1">
      <c r="G50141" s="3336"/>
      <c r="P50141" s="3337"/>
    </row>
    <row r="50142" spans="7:16" s="1634" customFormat="1">
      <c r="G50142" s="3336"/>
      <c r="P50142" s="3337"/>
    </row>
    <row r="50143" spans="7:16" s="1634" customFormat="1">
      <c r="G50143" s="3336"/>
      <c r="P50143" s="3337"/>
    </row>
    <row r="50144" spans="7:16" s="1634" customFormat="1">
      <c r="G50144" s="3336"/>
      <c r="P50144" s="3337"/>
    </row>
    <row r="50145" spans="7:16" s="1634" customFormat="1">
      <c r="G50145" s="3336"/>
      <c r="P50145" s="3337"/>
    </row>
    <row r="50146" spans="7:16" s="1634" customFormat="1">
      <c r="G50146" s="3336"/>
      <c r="P50146" s="3337"/>
    </row>
    <row r="50147" spans="7:16" s="1634" customFormat="1">
      <c r="G50147" s="3336"/>
      <c r="P50147" s="3337"/>
    </row>
    <row r="50148" spans="7:16" s="1634" customFormat="1">
      <c r="G50148" s="3336"/>
      <c r="P50148" s="3337"/>
    </row>
    <row r="50149" spans="7:16" s="1634" customFormat="1">
      <c r="G50149" s="3336"/>
      <c r="P50149" s="3337"/>
    </row>
    <row r="50150" spans="7:16" s="1634" customFormat="1">
      <c r="G50150" s="3336"/>
      <c r="P50150" s="3337"/>
    </row>
    <row r="50151" spans="7:16" s="1634" customFormat="1">
      <c r="G50151" s="3336"/>
      <c r="P50151" s="3337"/>
    </row>
    <row r="50152" spans="7:16" s="1634" customFormat="1">
      <c r="G50152" s="3336"/>
      <c r="P50152" s="3337"/>
    </row>
    <row r="50153" spans="7:16" s="1634" customFormat="1">
      <c r="G50153" s="3336"/>
      <c r="P50153" s="3337"/>
    </row>
    <row r="50154" spans="7:16" s="1634" customFormat="1">
      <c r="G50154" s="3336"/>
      <c r="P50154" s="3337"/>
    </row>
    <row r="50155" spans="7:16" s="1634" customFormat="1">
      <c r="G50155" s="3336"/>
      <c r="P50155" s="3337"/>
    </row>
    <row r="50156" spans="7:16" s="1634" customFormat="1">
      <c r="G50156" s="3336"/>
      <c r="P50156" s="3337"/>
    </row>
    <row r="50157" spans="7:16" s="1634" customFormat="1">
      <c r="G50157" s="3336"/>
      <c r="P50157" s="3337"/>
    </row>
    <row r="50158" spans="7:16" s="1634" customFormat="1">
      <c r="G50158" s="3336"/>
      <c r="P50158" s="3337"/>
    </row>
    <row r="50159" spans="7:16" s="1634" customFormat="1">
      <c r="G50159" s="3336"/>
      <c r="P50159" s="3337"/>
    </row>
    <row r="50160" spans="7:16" s="1634" customFormat="1">
      <c r="G50160" s="3336"/>
      <c r="P50160" s="3337"/>
    </row>
    <row r="50161" spans="7:16" s="1634" customFormat="1">
      <c r="G50161" s="3336"/>
      <c r="P50161" s="3337"/>
    </row>
    <row r="50162" spans="7:16" s="1634" customFormat="1">
      <c r="G50162" s="3336"/>
      <c r="P50162" s="3337"/>
    </row>
    <row r="50163" spans="7:16" s="1634" customFormat="1">
      <c r="G50163" s="3336"/>
      <c r="P50163" s="3337"/>
    </row>
    <row r="50164" spans="7:16" s="1634" customFormat="1">
      <c r="G50164" s="3336"/>
      <c r="P50164" s="3337"/>
    </row>
    <row r="50165" spans="7:16" s="1634" customFormat="1">
      <c r="G50165" s="3336"/>
      <c r="P50165" s="3337"/>
    </row>
    <row r="50166" spans="7:16" s="1634" customFormat="1">
      <c r="G50166" s="3336"/>
      <c r="P50166" s="3337"/>
    </row>
    <row r="50167" spans="7:16" s="1634" customFormat="1">
      <c r="G50167" s="3336"/>
      <c r="P50167" s="3337"/>
    </row>
    <row r="50168" spans="7:16" s="1634" customFormat="1">
      <c r="G50168" s="3336"/>
      <c r="P50168" s="3337"/>
    </row>
    <row r="50169" spans="7:16" s="1634" customFormat="1">
      <c r="G50169" s="3336"/>
      <c r="P50169" s="3337"/>
    </row>
    <row r="50170" spans="7:16" s="1634" customFormat="1">
      <c r="G50170" s="3336"/>
      <c r="P50170" s="3337"/>
    </row>
    <row r="50171" spans="7:16" s="1634" customFormat="1">
      <c r="G50171" s="3336"/>
      <c r="P50171" s="3337"/>
    </row>
    <row r="50172" spans="7:16" s="1634" customFormat="1">
      <c r="G50172" s="3336"/>
      <c r="P50172" s="3337"/>
    </row>
    <row r="50173" spans="7:16" s="1634" customFormat="1">
      <c r="G50173" s="3336"/>
      <c r="P50173" s="3337"/>
    </row>
    <row r="50174" spans="7:16" s="1634" customFormat="1">
      <c r="G50174" s="3336"/>
      <c r="P50174" s="3337"/>
    </row>
    <row r="50175" spans="7:16" s="1634" customFormat="1">
      <c r="G50175" s="3336"/>
      <c r="P50175" s="3337"/>
    </row>
    <row r="50176" spans="7:16" s="1634" customFormat="1">
      <c r="G50176" s="3336"/>
      <c r="P50176" s="3337"/>
    </row>
    <row r="50177" spans="7:16" s="1634" customFormat="1">
      <c r="G50177" s="3336"/>
      <c r="P50177" s="3337"/>
    </row>
    <row r="50178" spans="7:16" s="1634" customFormat="1">
      <c r="G50178" s="3336"/>
      <c r="P50178" s="3337"/>
    </row>
    <row r="50179" spans="7:16" s="1634" customFormat="1">
      <c r="G50179" s="3336"/>
      <c r="P50179" s="3337"/>
    </row>
    <row r="50180" spans="7:16" s="1634" customFormat="1">
      <c r="G50180" s="3336"/>
      <c r="P50180" s="3337"/>
    </row>
    <row r="50181" spans="7:16" s="1634" customFormat="1">
      <c r="G50181" s="3336"/>
      <c r="P50181" s="3337"/>
    </row>
    <row r="50182" spans="7:16" s="1634" customFormat="1">
      <c r="G50182" s="3336"/>
      <c r="P50182" s="3337"/>
    </row>
    <row r="50183" spans="7:16" s="1634" customFormat="1">
      <c r="G50183" s="3336"/>
      <c r="P50183" s="3337"/>
    </row>
    <row r="50184" spans="7:16" s="1634" customFormat="1">
      <c r="G50184" s="3336"/>
      <c r="P50184" s="3337"/>
    </row>
    <row r="50185" spans="7:16" s="1634" customFormat="1">
      <c r="G50185" s="3336"/>
      <c r="P50185" s="3337"/>
    </row>
    <row r="50186" spans="7:16" s="1634" customFormat="1">
      <c r="G50186" s="3336"/>
      <c r="P50186" s="3337"/>
    </row>
    <row r="50187" spans="7:16" s="1634" customFormat="1">
      <c r="G50187" s="3336"/>
      <c r="P50187" s="3337"/>
    </row>
    <row r="50188" spans="7:16" s="1634" customFormat="1">
      <c r="G50188" s="3336"/>
      <c r="P50188" s="3337"/>
    </row>
    <row r="50189" spans="7:16" s="1634" customFormat="1">
      <c r="G50189" s="3336"/>
      <c r="P50189" s="3337"/>
    </row>
    <row r="50190" spans="7:16" s="1634" customFormat="1">
      <c r="G50190" s="3336"/>
      <c r="P50190" s="3337"/>
    </row>
    <row r="50191" spans="7:16" s="1634" customFormat="1">
      <c r="G50191" s="3336"/>
      <c r="P50191" s="3337"/>
    </row>
    <row r="50192" spans="7:16" s="1634" customFormat="1">
      <c r="G50192" s="3336"/>
      <c r="P50192" s="3337"/>
    </row>
    <row r="50193" spans="7:16" s="1634" customFormat="1">
      <c r="G50193" s="3336"/>
      <c r="P50193" s="3337"/>
    </row>
    <row r="50194" spans="7:16" s="1634" customFormat="1">
      <c r="G50194" s="3336"/>
      <c r="P50194" s="3337"/>
    </row>
    <row r="50195" spans="7:16" s="1634" customFormat="1">
      <c r="G50195" s="3336"/>
      <c r="P50195" s="3337"/>
    </row>
    <row r="50196" spans="7:16" s="1634" customFormat="1">
      <c r="G50196" s="3336"/>
      <c r="P50196" s="3337"/>
    </row>
    <row r="50197" spans="7:16" s="1634" customFormat="1">
      <c r="G50197" s="3336"/>
      <c r="P50197" s="3337"/>
    </row>
    <row r="50198" spans="7:16" s="1634" customFormat="1">
      <c r="G50198" s="3336"/>
      <c r="P50198" s="3337"/>
    </row>
    <row r="50199" spans="7:16" s="1634" customFormat="1">
      <c r="G50199" s="3336"/>
      <c r="P50199" s="3337"/>
    </row>
    <row r="50200" spans="7:16" s="1634" customFormat="1">
      <c r="G50200" s="3336"/>
      <c r="P50200" s="3337"/>
    </row>
    <row r="50201" spans="7:16" s="1634" customFormat="1">
      <c r="G50201" s="3336"/>
      <c r="P50201" s="3337"/>
    </row>
    <row r="50202" spans="7:16" s="1634" customFormat="1">
      <c r="G50202" s="3336"/>
      <c r="P50202" s="3337"/>
    </row>
    <row r="50203" spans="7:16" s="1634" customFormat="1">
      <c r="G50203" s="3336"/>
      <c r="P50203" s="3337"/>
    </row>
    <row r="50204" spans="7:16" s="1634" customFormat="1">
      <c r="G50204" s="3336"/>
      <c r="P50204" s="3337"/>
    </row>
    <row r="50205" spans="7:16" s="1634" customFormat="1">
      <c r="G50205" s="3336"/>
      <c r="P50205" s="3337"/>
    </row>
    <row r="50206" spans="7:16" s="1634" customFormat="1">
      <c r="G50206" s="3336"/>
      <c r="P50206" s="3337"/>
    </row>
    <row r="50207" spans="7:16" s="1634" customFormat="1">
      <c r="G50207" s="3336"/>
      <c r="P50207" s="3337"/>
    </row>
    <row r="50208" spans="7:16" s="1634" customFormat="1">
      <c r="G50208" s="3336"/>
      <c r="P50208" s="3337"/>
    </row>
    <row r="50209" spans="7:16" s="1634" customFormat="1">
      <c r="G50209" s="3336"/>
      <c r="P50209" s="3337"/>
    </row>
    <row r="50210" spans="7:16" s="1634" customFormat="1">
      <c r="G50210" s="3336"/>
      <c r="P50210" s="3337"/>
    </row>
    <row r="50211" spans="7:16" s="1634" customFormat="1">
      <c r="G50211" s="3336"/>
      <c r="P50211" s="3337"/>
    </row>
    <row r="50212" spans="7:16" s="1634" customFormat="1">
      <c r="G50212" s="3336"/>
      <c r="P50212" s="3337"/>
    </row>
    <row r="50213" spans="7:16" s="1634" customFormat="1">
      <c r="G50213" s="3336"/>
      <c r="P50213" s="3337"/>
    </row>
    <row r="50214" spans="7:16" s="1634" customFormat="1">
      <c r="G50214" s="3336"/>
      <c r="P50214" s="3337"/>
    </row>
    <row r="50215" spans="7:16" s="1634" customFormat="1">
      <c r="G50215" s="3336"/>
      <c r="P50215" s="3337"/>
    </row>
    <row r="50216" spans="7:16" s="1634" customFormat="1">
      <c r="G50216" s="3336"/>
      <c r="P50216" s="3337"/>
    </row>
    <row r="50217" spans="7:16" s="1634" customFormat="1">
      <c r="G50217" s="3336"/>
      <c r="P50217" s="3337"/>
    </row>
    <row r="50218" spans="7:16" s="1634" customFormat="1">
      <c r="G50218" s="3336"/>
      <c r="P50218" s="3337"/>
    </row>
    <row r="50219" spans="7:16" s="1634" customFormat="1">
      <c r="G50219" s="3336"/>
      <c r="P50219" s="3337"/>
    </row>
    <row r="50220" spans="7:16" s="1634" customFormat="1">
      <c r="G50220" s="3336"/>
      <c r="P50220" s="3337"/>
    </row>
    <row r="50221" spans="7:16" s="1634" customFormat="1">
      <c r="G50221" s="3336"/>
      <c r="P50221" s="3337"/>
    </row>
    <row r="50222" spans="7:16" s="1634" customFormat="1">
      <c r="G50222" s="3336"/>
      <c r="P50222" s="3337"/>
    </row>
    <row r="50223" spans="7:16" s="1634" customFormat="1">
      <c r="G50223" s="3336"/>
      <c r="P50223" s="3337"/>
    </row>
    <row r="50224" spans="7:16" s="1634" customFormat="1">
      <c r="G50224" s="3336"/>
      <c r="P50224" s="3337"/>
    </row>
    <row r="50225" spans="7:16" s="1634" customFormat="1">
      <c r="G50225" s="3336"/>
      <c r="P50225" s="3337"/>
    </row>
    <row r="50226" spans="7:16" s="1634" customFormat="1">
      <c r="G50226" s="3336"/>
      <c r="P50226" s="3337"/>
    </row>
    <row r="50227" spans="7:16" s="1634" customFormat="1">
      <c r="G50227" s="3336"/>
      <c r="P50227" s="3337"/>
    </row>
    <row r="50228" spans="7:16" s="1634" customFormat="1">
      <c r="G50228" s="3336"/>
      <c r="P50228" s="3337"/>
    </row>
    <row r="50229" spans="7:16" s="1634" customFormat="1">
      <c r="G50229" s="3336"/>
      <c r="P50229" s="3337"/>
    </row>
    <row r="50230" spans="7:16" s="1634" customFormat="1">
      <c r="G50230" s="3336"/>
      <c r="P50230" s="3337"/>
    </row>
    <row r="50231" spans="7:16" s="1634" customFormat="1">
      <c r="G50231" s="3336"/>
      <c r="P50231" s="3337"/>
    </row>
    <row r="50232" spans="7:16" s="1634" customFormat="1">
      <c r="G50232" s="3336"/>
      <c r="P50232" s="3337"/>
    </row>
    <row r="50233" spans="7:16" s="1634" customFormat="1">
      <c r="G50233" s="3336"/>
      <c r="P50233" s="3337"/>
    </row>
    <row r="50234" spans="7:16" s="1634" customFormat="1">
      <c r="G50234" s="3336"/>
      <c r="P50234" s="3337"/>
    </row>
    <row r="50235" spans="7:16" s="1634" customFormat="1">
      <c r="G50235" s="3336"/>
      <c r="P50235" s="3337"/>
    </row>
    <row r="50236" spans="7:16" s="1634" customFormat="1">
      <c r="G50236" s="3336"/>
      <c r="P50236" s="3337"/>
    </row>
    <row r="50237" spans="7:16" s="1634" customFormat="1">
      <c r="G50237" s="3336"/>
      <c r="P50237" s="3337"/>
    </row>
    <row r="50238" spans="7:16" s="1634" customFormat="1">
      <c r="G50238" s="3336"/>
      <c r="P50238" s="3337"/>
    </row>
    <row r="50239" spans="7:16" s="1634" customFormat="1">
      <c r="G50239" s="3336"/>
      <c r="P50239" s="3337"/>
    </row>
    <row r="50240" spans="7:16" s="1634" customFormat="1">
      <c r="G50240" s="3336"/>
      <c r="P50240" s="3337"/>
    </row>
    <row r="50241" spans="7:16" s="1634" customFormat="1">
      <c r="G50241" s="3336"/>
      <c r="P50241" s="3337"/>
    </row>
    <row r="50242" spans="7:16" s="1634" customFormat="1">
      <c r="G50242" s="3336"/>
      <c r="P50242" s="3337"/>
    </row>
    <row r="50243" spans="7:16" s="1634" customFormat="1">
      <c r="G50243" s="3336"/>
      <c r="P50243" s="3337"/>
    </row>
    <row r="50244" spans="7:16" s="1634" customFormat="1">
      <c r="G50244" s="3336"/>
      <c r="P50244" s="3337"/>
    </row>
    <row r="50245" spans="7:16" s="1634" customFormat="1">
      <c r="G50245" s="3336"/>
      <c r="P50245" s="3337"/>
    </row>
    <row r="50246" spans="7:16" s="1634" customFormat="1">
      <c r="G50246" s="3336"/>
      <c r="P50246" s="3337"/>
    </row>
    <row r="50247" spans="7:16" s="1634" customFormat="1">
      <c r="G50247" s="3336"/>
      <c r="P50247" s="3337"/>
    </row>
    <row r="50248" spans="7:16" s="1634" customFormat="1">
      <c r="G50248" s="3336"/>
      <c r="P50248" s="3337"/>
    </row>
    <row r="50249" spans="7:16" s="1634" customFormat="1">
      <c r="G50249" s="3336"/>
      <c r="P50249" s="3337"/>
    </row>
    <row r="50250" spans="7:16" s="1634" customFormat="1">
      <c r="G50250" s="3336"/>
      <c r="P50250" s="3337"/>
    </row>
    <row r="50251" spans="7:16" s="1634" customFormat="1">
      <c r="G50251" s="3336"/>
      <c r="P50251" s="3337"/>
    </row>
    <row r="50252" spans="7:16" s="1634" customFormat="1">
      <c r="G50252" s="3336"/>
      <c r="P50252" s="3337"/>
    </row>
    <row r="50253" spans="7:16" s="1634" customFormat="1">
      <c r="G50253" s="3336"/>
      <c r="P50253" s="3337"/>
    </row>
    <row r="50254" spans="7:16" s="1634" customFormat="1">
      <c r="G50254" s="3336"/>
      <c r="P50254" s="3337"/>
    </row>
    <row r="50255" spans="7:16" s="1634" customFormat="1">
      <c r="G50255" s="3336"/>
      <c r="P50255" s="3337"/>
    </row>
    <row r="50256" spans="7:16" s="1634" customFormat="1">
      <c r="G50256" s="3336"/>
      <c r="P50256" s="3337"/>
    </row>
    <row r="50257" spans="7:16" s="1634" customFormat="1">
      <c r="G50257" s="3336"/>
      <c r="P50257" s="3337"/>
    </row>
    <row r="50258" spans="7:16" s="1634" customFormat="1">
      <c r="G50258" s="3336"/>
      <c r="P50258" s="3337"/>
    </row>
    <row r="50259" spans="7:16" s="1634" customFormat="1">
      <c r="G50259" s="3336"/>
      <c r="P50259" s="3337"/>
    </row>
    <row r="50260" spans="7:16" s="1634" customFormat="1">
      <c r="G50260" s="3336"/>
      <c r="P50260" s="3337"/>
    </row>
    <row r="50261" spans="7:16" s="1634" customFormat="1">
      <c r="G50261" s="3336"/>
      <c r="P50261" s="3337"/>
    </row>
    <row r="50262" spans="7:16" s="1634" customFormat="1">
      <c r="G50262" s="3336"/>
      <c r="P50262" s="3337"/>
    </row>
    <row r="50263" spans="7:16" s="1634" customFormat="1">
      <c r="G50263" s="3336"/>
      <c r="P50263" s="3337"/>
    </row>
    <row r="50264" spans="7:16" s="1634" customFormat="1">
      <c r="G50264" s="3336"/>
      <c r="P50264" s="3337"/>
    </row>
    <row r="50265" spans="7:16" s="1634" customFormat="1">
      <c r="G50265" s="3336"/>
      <c r="P50265" s="3337"/>
    </row>
    <row r="50266" spans="7:16" s="1634" customFormat="1">
      <c r="G50266" s="3336"/>
      <c r="P50266" s="3337"/>
    </row>
    <row r="50267" spans="7:16" s="1634" customFormat="1">
      <c r="G50267" s="3336"/>
      <c r="P50267" s="3337"/>
    </row>
    <row r="50268" spans="7:16" s="1634" customFormat="1">
      <c r="G50268" s="3336"/>
      <c r="P50268" s="3337"/>
    </row>
    <row r="50269" spans="7:16" s="1634" customFormat="1">
      <c r="G50269" s="3336"/>
      <c r="P50269" s="3337"/>
    </row>
    <row r="50270" spans="7:16" s="1634" customFormat="1">
      <c r="G50270" s="3336"/>
      <c r="P50270" s="3337"/>
    </row>
    <row r="50271" spans="7:16" s="1634" customFormat="1">
      <c r="G50271" s="3336"/>
      <c r="P50271" s="3337"/>
    </row>
    <row r="50272" spans="7:16" s="1634" customFormat="1">
      <c r="G50272" s="3336"/>
      <c r="P50272" s="3337"/>
    </row>
    <row r="50273" spans="7:16" s="1634" customFormat="1">
      <c r="G50273" s="3336"/>
      <c r="P50273" s="3337"/>
    </row>
    <row r="50274" spans="7:16" s="1634" customFormat="1">
      <c r="G50274" s="3336"/>
      <c r="P50274" s="3337"/>
    </row>
    <row r="50275" spans="7:16" s="1634" customFormat="1">
      <c r="G50275" s="3336"/>
      <c r="P50275" s="3337"/>
    </row>
    <row r="50276" spans="7:16" s="1634" customFormat="1">
      <c r="G50276" s="3336"/>
      <c r="P50276" s="3337"/>
    </row>
    <row r="50277" spans="7:16" s="1634" customFormat="1">
      <c r="G50277" s="3336"/>
      <c r="P50277" s="3337"/>
    </row>
    <row r="50278" spans="7:16" s="1634" customFormat="1">
      <c r="G50278" s="3336"/>
      <c r="P50278" s="3337"/>
    </row>
    <row r="50279" spans="7:16" s="1634" customFormat="1">
      <c r="G50279" s="3336"/>
      <c r="P50279" s="3337"/>
    </row>
    <row r="50280" spans="7:16" s="1634" customFormat="1">
      <c r="G50280" s="3336"/>
      <c r="P50280" s="3337"/>
    </row>
    <row r="50281" spans="7:16" s="1634" customFormat="1">
      <c r="G50281" s="3336"/>
      <c r="P50281" s="3337"/>
    </row>
    <row r="50282" spans="7:16" s="1634" customFormat="1">
      <c r="G50282" s="3336"/>
      <c r="P50282" s="3337"/>
    </row>
    <row r="50283" spans="7:16" s="1634" customFormat="1">
      <c r="G50283" s="3336"/>
      <c r="P50283" s="3337"/>
    </row>
    <row r="50284" spans="7:16" s="1634" customFormat="1">
      <c r="G50284" s="3336"/>
      <c r="P50284" s="3337"/>
    </row>
    <row r="50285" spans="7:16" s="1634" customFormat="1">
      <c r="G50285" s="3336"/>
      <c r="P50285" s="3337"/>
    </row>
    <row r="50286" spans="7:16" s="1634" customFormat="1">
      <c r="G50286" s="3336"/>
      <c r="P50286" s="3337"/>
    </row>
    <row r="50287" spans="7:16" s="1634" customFormat="1">
      <c r="G50287" s="3336"/>
      <c r="P50287" s="3337"/>
    </row>
    <row r="50288" spans="7:16" s="1634" customFormat="1">
      <c r="G50288" s="3336"/>
      <c r="P50288" s="3337"/>
    </row>
    <row r="50289" spans="7:16" s="1634" customFormat="1">
      <c r="G50289" s="3336"/>
      <c r="P50289" s="3337"/>
    </row>
    <row r="50290" spans="7:16" s="1634" customFormat="1">
      <c r="G50290" s="3336"/>
      <c r="P50290" s="3337"/>
    </row>
    <row r="50291" spans="7:16" s="1634" customFormat="1">
      <c r="G50291" s="3336"/>
      <c r="P50291" s="3337"/>
    </row>
    <row r="50292" spans="7:16" s="1634" customFormat="1">
      <c r="G50292" s="3336"/>
      <c r="P50292" s="3337"/>
    </row>
    <row r="50293" spans="7:16" s="1634" customFormat="1">
      <c r="G50293" s="3336"/>
      <c r="P50293" s="3337"/>
    </row>
    <row r="50294" spans="7:16" s="1634" customFormat="1">
      <c r="G50294" s="3336"/>
      <c r="P50294" s="3337"/>
    </row>
    <row r="50295" spans="7:16" s="1634" customFormat="1">
      <c r="G50295" s="3336"/>
      <c r="P50295" s="3337"/>
    </row>
    <row r="50296" spans="7:16" s="1634" customFormat="1">
      <c r="G50296" s="3336"/>
      <c r="P50296" s="3337"/>
    </row>
    <row r="50297" spans="7:16" s="1634" customFormat="1">
      <c r="G50297" s="3336"/>
      <c r="P50297" s="3337"/>
    </row>
    <row r="50298" spans="7:16" s="1634" customFormat="1">
      <c r="G50298" s="3336"/>
      <c r="P50298" s="3337"/>
    </row>
    <row r="50299" spans="7:16" s="1634" customFormat="1">
      <c r="G50299" s="3336"/>
      <c r="P50299" s="3337"/>
    </row>
    <row r="50300" spans="7:16" s="1634" customFormat="1">
      <c r="G50300" s="3336"/>
      <c r="P50300" s="3337"/>
    </row>
    <row r="50301" spans="7:16" s="1634" customFormat="1">
      <c r="G50301" s="3336"/>
      <c r="P50301" s="3337"/>
    </row>
    <row r="50302" spans="7:16" s="1634" customFormat="1">
      <c r="G50302" s="3336"/>
      <c r="P50302" s="3337"/>
    </row>
    <row r="50303" spans="7:16" s="1634" customFormat="1">
      <c r="G50303" s="3336"/>
      <c r="P50303" s="3337"/>
    </row>
    <row r="50304" spans="7:16" s="1634" customFormat="1">
      <c r="G50304" s="3336"/>
      <c r="P50304" s="3337"/>
    </row>
    <row r="50305" spans="7:16" s="1634" customFormat="1">
      <c r="G50305" s="3336"/>
      <c r="P50305" s="3337"/>
    </row>
    <row r="50306" spans="7:16" s="1634" customFormat="1">
      <c r="G50306" s="3336"/>
      <c r="P50306" s="3337"/>
    </row>
    <row r="50307" spans="7:16" s="1634" customFormat="1">
      <c r="G50307" s="3336"/>
      <c r="P50307" s="3337"/>
    </row>
    <row r="50308" spans="7:16" s="1634" customFormat="1">
      <c r="G50308" s="3336"/>
      <c r="P50308" s="3337"/>
    </row>
    <row r="50309" spans="7:16" s="1634" customFormat="1">
      <c r="G50309" s="3336"/>
      <c r="P50309" s="3337"/>
    </row>
    <row r="50310" spans="7:16" s="1634" customFormat="1">
      <c r="G50310" s="3336"/>
      <c r="P50310" s="3337"/>
    </row>
    <row r="50311" spans="7:16" s="1634" customFormat="1">
      <c r="G50311" s="3336"/>
      <c r="P50311" s="3337"/>
    </row>
    <row r="50312" spans="7:16" s="1634" customFormat="1">
      <c r="G50312" s="3336"/>
      <c r="P50312" s="3337"/>
    </row>
    <row r="50313" spans="7:16" s="1634" customFormat="1">
      <c r="G50313" s="3336"/>
      <c r="P50313" s="3337"/>
    </row>
    <row r="50314" spans="7:16" s="1634" customFormat="1">
      <c r="G50314" s="3336"/>
      <c r="P50314" s="3337"/>
    </row>
    <row r="50315" spans="7:16" s="1634" customFormat="1">
      <c r="G50315" s="3336"/>
      <c r="P50315" s="3337"/>
    </row>
    <row r="50316" spans="7:16" s="1634" customFormat="1">
      <c r="G50316" s="3336"/>
      <c r="P50316" s="3337"/>
    </row>
    <row r="50317" spans="7:16" s="1634" customFormat="1">
      <c r="G50317" s="3336"/>
      <c r="P50317" s="3337"/>
    </row>
    <row r="50318" spans="7:16" s="1634" customFormat="1">
      <c r="G50318" s="3336"/>
      <c r="P50318" s="3337"/>
    </row>
    <row r="50319" spans="7:16" s="1634" customFormat="1">
      <c r="G50319" s="3336"/>
      <c r="P50319" s="3337"/>
    </row>
    <row r="50320" spans="7:16" s="1634" customFormat="1">
      <c r="G50320" s="3336"/>
      <c r="P50320" s="3337"/>
    </row>
    <row r="50321" spans="7:16" s="1634" customFormat="1">
      <c r="G50321" s="3336"/>
      <c r="P50321" s="3337"/>
    </row>
    <row r="50322" spans="7:16" s="1634" customFormat="1">
      <c r="G50322" s="3336"/>
      <c r="P50322" s="3337"/>
    </row>
    <row r="50323" spans="7:16" s="1634" customFormat="1">
      <c r="G50323" s="3336"/>
      <c r="P50323" s="3337"/>
    </row>
    <row r="50324" spans="7:16" s="1634" customFormat="1">
      <c r="G50324" s="3336"/>
      <c r="P50324" s="3337"/>
    </row>
    <row r="50325" spans="7:16" s="1634" customFormat="1">
      <c r="G50325" s="3336"/>
      <c r="P50325" s="3337"/>
    </row>
    <row r="50326" spans="7:16" s="1634" customFormat="1">
      <c r="G50326" s="3336"/>
      <c r="P50326" s="3337"/>
    </row>
    <row r="50327" spans="7:16" s="1634" customFormat="1">
      <c r="G50327" s="3336"/>
      <c r="P50327" s="3337"/>
    </row>
    <row r="50328" spans="7:16" s="1634" customFormat="1">
      <c r="G50328" s="3336"/>
      <c r="P50328" s="3337"/>
    </row>
    <row r="50329" spans="7:16" s="1634" customFormat="1">
      <c r="G50329" s="3336"/>
      <c r="P50329" s="3337"/>
    </row>
    <row r="50330" spans="7:16" s="1634" customFormat="1">
      <c r="G50330" s="3336"/>
      <c r="P50330" s="3337"/>
    </row>
    <row r="50331" spans="7:16" s="1634" customFormat="1">
      <c r="G50331" s="3336"/>
      <c r="P50331" s="3337"/>
    </row>
    <row r="50332" spans="7:16" s="1634" customFormat="1">
      <c r="G50332" s="3336"/>
      <c r="P50332" s="3337"/>
    </row>
    <row r="50333" spans="7:16" s="1634" customFormat="1">
      <c r="G50333" s="3336"/>
      <c r="P50333" s="3337"/>
    </row>
    <row r="50334" spans="7:16" s="1634" customFormat="1">
      <c r="G50334" s="3336"/>
      <c r="P50334" s="3337"/>
    </row>
    <row r="50335" spans="7:16" s="1634" customFormat="1">
      <c r="G50335" s="3336"/>
      <c r="P50335" s="3337"/>
    </row>
    <row r="50336" spans="7:16" s="1634" customFormat="1">
      <c r="G50336" s="3336"/>
      <c r="P50336" s="3337"/>
    </row>
    <row r="50337" spans="7:16" s="1634" customFormat="1">
      <c r="G50337" s="3336"/>
      <c r="P50337" s="3337"/>
    </row>
    <row r="50338" spans="7:16" s="1634" customFormat="1">
      <c r="G50338" s="3336"/>
      <c r="P50338" s="3337"/>
    </row>
    <row r="50339" spans="7:16" s="1634" customFormat="1">
      <c r="G50339" s="3336"/>
      <c r="P50339" s="3337"/>
    </row>
    <row r="50340" spans="7:16" s="1634" customFormat="1">
      <c r="G50340" s="3336"/>
      <c r="P50340" s="3337"/>
    </row>
    <row r="50341" spans="7:16" s="1634" customFormat="1">
      <c r="G50341" s="3336"/>
      <c r="P50341" s="3337"/>
    </row>
    <row r="50342" spans="7:16" s="1634" customFormat="1">
      <c r="G50342" s="3336"/>
      <c r="P50342" s="3337"/>
    </row>
    <row r="50343" spans="7:16" s="1634" customFormat="1">
      <c r="G50343" s="3336"/>
      <c r="P50343" s="3337"/>
    </row>
    <row r="50344" spans="7:16" s="1634" customFormat="1">
      <c r="G50344" s="3336"/>
      <c r="P50344" s="3337"/>
    </row>
    <row r="50345" spans="7:16" s="1634" customFormat="1">
      <c r="G50345" s="3336"/>
      <c r="P50345" s="3337"/>
    </row>
    <row r="50346" spans="7:16" s="1634" customFormat="1">
      <c r="G50346" s="3336"/>
      <c r="P50346" s="3337"/>
    </row>
    <row r="50347" spans="7:16" s="1634" customFormat="1">
      <c r="G50347" s="3336"/>
      <c r="P50347" s="3337"/>
    </row>
    <row r="50348" spans="7:16" s="1634" customFormat="1">
      <c r="G50348" s="3336"/>
      <c r="P50348" s="3337"/>
    </row>
    <row r="50349" spans="7:16" s="1634" customFormat="1">
      <c r="G50349" s="3336"/>
      <c r="P50349" s="3337"/>
    </row>
    <row r="50350" spans="7:16" s="1634" customFormat="1">
      <c r="G50350" s="3336"/>
      <c r="P50350" s="3337"/>
    </row>
    <row r="50351" spans="7:16" s="1634" customFormat="1">
      <c r="G50351" s="3336"/>
      <c r="P50351" s="3337"/>
    </row>
    <row r="50352" spans="7:16" s="1634" customFormat="1">
      <c r="G50352" s="3336"/>
      <c r="P50352" s="3337"/>
    </row>
    <row r="50353" spans="7:16" s="1634" customFormat="1">
      <c r="G50353" s="3336"/>
      <c r="P50353" s="3337"/>
    </row>
    <row r="50354" spans="7:16" s="1634" customFormat="1">
      <c r="G50354" s="3336"/>
      <c r="P50354" s="3337"/>
    </row>
    <row r="50355" spans="7:16" s="1634" customFormat="1">
      <c r="G50355" s="3336"/>
      <c r="P50355" s="3337"/>
    </row>
    <row r="50356" spans="7:16" s="1634" customFormat="1">
      <c r="G50356" s="3336"/>
      <c r="P50356" s="3337"/>
    </row>
    <row r="50357" spans="7:16" s="1634" customFormat="1">
      <c r="G50357" s="3336"/>
      <c r="P50357" s="3337"/>
    </row>
    <row r="50358" spans="7:16" s="1634" customFormat="1">
      <c r="G50358" s="3336"/>
      <c r="P50358" s="3337"/>
    </row>
    <row r="50359" spans="7:16" s="1634" customFormat="1">
      <c r="G50359" s="3336"/>
      <c r="P50359" s="3337"/>
    </row>
    <row r="50360" spans="7:16" s="1634" customFormat="1">
      <c r="G50360" s="3336"/>
      <c r="P50360" s="3337"/>
    </row>
    <row r="50361" spans="7:16" s="1634" customFormat="1">
      <c r="G50361" s="3336"/>
      <c r="P50361" s="3337"/>
    </row>
    <row r="50362" spans="7:16" s="1634" customFormat="1">
      <c r="G50362" s="3336"/>
      <c r="P50362" s="3337"/>
    </row>
    <row r="50363" spans="7:16" s="1634" customFormat="1">
      <c r="G50363" s="3336"/>
      <c r="P50363" s="3337"/>
    </row>
    <row r="50364" spans="7:16" s="1634" customFormat="1">
      <c r="G50364" s="3336"/>
      <c r="P50364" s="3337"/>
    </row>
    <row r="50365" spans="7:16" s="1634" customFormat="1">
      <c r="G50365" s="3336"/>
      <c r="P50365" s="3337"/>
    </row>
    <row r="50366" spans="7:16" s="1634" customFormat="1">
      <c r="G50366" s="3336"/>
      <c r="P50366" s="3337"/>
    </row>
    <row r="50367" spans="7:16" s="1634" customFormat="1">
      <c r="G50367" s="3336"/>
      <c r="P50367" s="3337"/>
    </row>
    <row r="50368" spans="7:16" s="1634" customFormat="1">
      <c r="G50368" s="3336"/>
      <c r="P50368" s="3337"/>
    </row>
    <row r="50369" spans="7:16" s="1634" customFormat="1">
      <c r="G50369" s="3336"/>
      <c r="P50369" s="3337"/>
    </row>
    <row r="50370" spans="7:16" s="1634" customFormat="1">
      <c r="G50370" s="3336"/>
      <c r="P50370" s="3337"/>
    </row>
    <row r="50371" spans="7:16" s="1634" customFormat="1">
      <c r="G50371" s="3336"/>
      <c r="P50371" s="3337"/>
    </row>
    <row r="50372" spans="7:16" s="1634" customFormat="1">
      <c r="G50372" s="3336"/>
      <c r="P50372" s="3337"/>
    </row>
    <row r="50373" spans="7:16" s="1634" customFormat="1">
      <c r="G50373" s="3336"/>
      <c r="P50373" s="3337"/>
    </row>
    <row r="50374" spans="7:16" s="1634" customFormat="1">
      <c r="G50374" s="3336"/>
      <c r="P50374" s="3337"/>
    </row>
    <row r="50375" spans="7:16" s="1634" customFormat="1">
      <c r="G50375" s="3336"/>
      <c r="P50375" s="3337"/>
    </row>
    <row r="50376" spans="7:16" s="1634" customFormat="1">
      <c r="G50376" s="3336"/>
      <c r="P50376" s="3337"/>
    </row>
    <row r="50377" spans="7:16" s="1634" customFormat="1">
      <c r="G50377" s="3336"/>
      <c r="P50377" s="3337"/>
    </row>
    <row r="50378" spans="7:16" s="1634" customFormat="1">
      <c r="G50378" s="3336"/>
      <c r="P50378" s="3337"/>
    </row>
    <row r="50379" spans="7:16" s="1634" customFormat="1">
      <c r="G50379" s="3336"/>
      <c r="P50379" s="3337"/>
    </row>
    <row r="50380" spans="7:16" s="1634" customFormat="1">
      <c r="G50380" s="3336"/>
      <c r="P50380" s="3337"/>
    </row>
    <row r="50381" spans="7:16" s="1634" customFormat="1">
      <c r="G50381" s="3336"/>
      <c r="P50381" s="3337"/>
    </row>
    <row r="50382" spans="7:16" s="1634" customFormat="1">
      <c r="G50382" s="3336"/>
      <c r="P50382" s="3337"/>
    </row>
    <row r="50383" spans="7:16" s="1634" customFormat="1">
      <c r="G50383" s="3336"/>
      <c r="P50383" s="3337"/>
    </row>
    <row r="50384" spans="7:16" s="1634" customFormat="1">
      <c r="G50384" s="3336"/>
      <c r="P50384" s="3337"/>
    </row>
    <row r="50385" spans="7:16" s="1634" customFormat="1">
      <c r="G50385" s="3336"/>
      <c r="P50385" s="3337"/>
    </row>
    <row r="50386" spans="7:16" s="1634" customFormat="1">
      <c r="G50386" s="3336"/>
      <c r="P50386" s="3337"/>
    </row>
    <row r="50387" spans="7:16" s="1634" customFormat="1">
      <c r="G50387" s="3336"/>
      <c r="P50387" s="3337"/>
    </row>
    <row r="50388" spans="7:16" s="1634" customFormat="1">
      <c r="G50388" s="3336"/>
      <c r="P50388" s="3337"/>
    </row>
    <row r="50389" spans="7:16" s="1634" customFormat="1">
      <c r="G50389" s="3336"/>
      <c r="P50389" s="3337"/>
    </row>
    <row r="50390" spans="7:16" s="1634" customFormat="1">
      <c r="G50390" s="3336"/>
      <c r="P50390" s="3337"/>
    </row>
    <row r="50391" spans="7:16" s="1634" customFormat="1">
      <c r="G50391" s="3336"/>
      <c r="P50391" s="3337"/>
    </row>
    <row r="50392" spans="7:16" s="1634" customFormat="1">
      <c r="G50392" s="3336"/>
      <c r="P50392" s="3337"/>
    </row>
    <row r="50393" spans="7:16" s="1634" customFormat="1">
      <c r="G50393" s="3336"/>
      <c r="P50393" s="3337"/>
    </row>
    <row r="50394" spans="7:16" s="1634" customFormat="1">
      <c r="G50394" s="3336"/>
      <c r="P50394" s="3337"/>
    </row>
    <row r="50395" spans="7:16" s="1634" customFormat="1">
      <c r="G50395" s="3336"/>
      <c r="P50395" s="3337"/>
    </row>
    <row r="50396" spans="7:16" s="1634" customFormat="1">
      <c r="G50396" s="3336"/>
      <c r="P50396" s="3337"/>
    </row>
    <row r="50397" spans="7:16" s="1634" customFormat="1">
      <c r="G50397" s="3336"/>
      <c r="P50397" s="3337"/>
    </row>
    <row r="50398" spans="7:16" s="1634" customFormat="1">
      <c r="G50398" s="3336"/>
      <c r="P50398" s="3337"/>
    </row>
    <row r="50399" spans="7:16" s="1634" customFormat="1">
      <c r="G50399" s="3336"/>
      <c r="P50399" s="3337"/>
    </row>
    <row r="50400" spans="7:16" s="1634" customFormat="1">
      <c r="G50400" s="3336"/>
      <c r="P50400" s="3337"/>
    </row>
    <row r="50401" spans="7:16" s="1634" customFormat="1">
      <c r="G50401" s="3336"/>
      <c r="P50401" s="3337"/>
    </row>
    <row r="50402" spans="7:16" s="1634" customFormat="1">
      <c r="G50402" s="3336"/>
      <c r="P50402" s="3337"/>
    </row>
    <row r="50403" spans="7:16" s="1634" customFormat="1">
      <c r="G50403" s="3336"/>
      <c r="P50403" s="3337"/>
    </row>
    <row r="50404" spans="7:16" s="1634" customFormat="1">
      <c r="G50404" s="3336"/>
      <c r="P50404" s="3337"/>
    </row>
    <row r="50405" spans="7:16" s="1634" customFormat="1">
      <c r="G50405" s="3336"/>
      <c r="P50405" s="3337"/>
    </row>
    <row r="50406" spans="7:16" s="1634" customFormat="1">
      <c r="G50406" s="3336"/>
      <c r="P50406" s="3337"/>
    </row>
    <row r="50407" spans="7:16" s="1634" customFormat="1">
      <c r="G50407" s="3336"/>
      <c r="P50407" s="3337"/>
    </row>
    <row r="50408" spans="7:16" s="1634" customFormat="1">
      <c r="G50408" s="3336"/>
      <c r="P50408" s="3337"/>
    </row>
    <row r="50409" spans="7:16" s="1634" customFormat="1">
      <c r="G50409" s="3336"/>
      <c r="P50409" s="3337"/>
    </row>
    <row r="50410" spans="7:16" s="1634" customFormat="1">
      <c r="G50410" s="3336"/>
      <c r="P50410" s="3337"/>
    </row>
    <row r="50411" spans="7:16" s="1634" customFormat="1">
      <c r="G50411" s="3336"/>
      <c r="P50411" s="3337"/>
    </row>
    <row r="50412" spans="7:16" s="1634" customFormat="1">
      <c r="G50412" s="3336"/>
      <c r="P50412" s="3337"/>
    </row>
    <row r="50413" spans="7:16" s="1634" customFormat="1">
      <c r="G50413" s="3336"/>
      <c r="P50413" s="3337"/>
    </row>
    <row r="50414" spans="7:16" s="1634" customFormat="1">
      <c r="G50414" s="3336"/>
      <c r="P50414" s="3337"/>
    </row>
    <row r="50415" spans="7:16" s="1634" customFormat="1">
      <c r="G50415" s="3336"/>
      <c r="P50415" s="3337"/>
    </row>
    <row r="50416" spans="7:16" s="1634" customFormat="1">
      <c r="G50416" s="3336"/>
      <c r="P50416" s="3337"/>
    </row>
    <row r="50417" spans="7:16" s="1634" customFormat="1">
      <c r="G50417" s="3336"/>
      <c r="P50417" s="3337"/>
    </row>
    <row r="50418" spans="7:16" s="1634" customFormat="1">
      <c r="G50418" s="3336"/>
      <c r="P50418" s="3337"/>
    </row>
    <row r="50419" spans="7:16" s="1634" customFormat="1">
      <c r="G50419" s="3336"/>
      <c r="P50419" s="3337"/>
    </row>
    <row r="50420" spans="7:16" s="1634" customFormat="1">
      <c r="G50420" s="3336"/>
      <c r="P50420" s="3337"/>
    </row>
    <row r="50421" spans="7:16" s="1634" customFormat="1">
      <c r="G50421" s="3336"/>
      <c r="P50421" s="3337"/>
    </row>
    <row r="50422" spans="7:16" s="1634" customFormat="1">
      <c r="G50422" s="3336"/>
      <c r="P50422" s="3337"/>
    </row>
    <row r="50423" spans="7:16" s="1634" customFormat="1">
      <c r="G50423" s="3336"/>
      <c r="P50423" s="3337"/>
    </row>
    <row r="50424" spans="7:16" s="1634" customFormat="1">
      <c r="G50424" s="3336"/>
      <c r="P50424" s="3337"/>
    </row>
    <row r="50425" spans="7:16" s="1634" customFormat="1">
      <c r="G50425" s="3336"/>
      <c r="P50425" s="3337"/>
    </row>
    <row r="50426" spans="7:16" s="1634" customFormat="1">
      <c r="G50426" s="3336"/>
      <c r="P50426" s="3337"/>
    </row>
    <row r="50427" spans="7:16" s="1634" customFormat="1">
      <c r="G50427" s="3336"/>
      <c r="P50427" s="3337"/>
    </row>
    <row r="50428" spans="7:16" s="1634" customFormat="1">
      <c r="G50428" s="3336"/>
      <c r="P50428" s="3337"/>
    </row>
    <row r="50429" spans="7:16" s="1634" customFormat="1">
      <c r="G50429" s="3336"/>
      <c r="P50429" s="3337"/>
    </row>
    <row r="50430" spans="7:16" s="1634" customFormat="1">
      <c r="G50430" s="3336"/>
      <c r="P50430" s="3337"/>
    </row>
    <row r="50431" spans="7:16" s="1634" customFormat="1">
      <c r="G50431" s="3336"/>
      <c r="P50431" s="3337"/>
    </row>
    <row r="50432" spans="7:16" s="1634" customFormat="1">
      <c r="G50432" s="3336"/>
      <c r="P50432" s="3337"/>
    </row>
    <row r="50433" spans="7:16" s="1634" customFormat="1">
      <c r="G50433" s="3336"/>
      <c r="P50433" s="3337"/>
    </row>
    <row r="50434" spans="7:16" s="1634" customFormat="1">
      <c r="G50434" s="3336"/>
      <c r="P50434" s="3337"/>
    </row>
    <row r="50435" spans="7:16" s="1634" customFormat="1">
      <c r="G50435" s="3336"/>
      <c r="P50435" s="3337"/>
    </row>
    <row r="50436" spans="7:16" s="1634" customFormat="1">
      <c r="G50436" s="3336"/>
      <c r="P50436" s="3337"/>
    </row>
    <row r="50437" spans="7:16" s="1634" customFormat="1">
      <c r="G50437" s="3336"/>
      <c r="P50437" s="3337"/>
    </row>
    <row r="50438" spans="7:16" s="1634" customFormat="1">
      <c r="G50438" s="3336"/>
      <c r="P50438" s="3337"/>
    </row>
    <row r="50439" spans="7:16" s="1634" customFormat="1">
      <c r="G50439" s="3336"/>
      <c r="P50439" s="3337"/>
    </row>
    <row r="50440" spans="7:16" s="1634" customFormat="1">
      <c r="G50440" s="3336"/>
      <c r="P50440" s="3337"/>
    </row>
    <row r="50441" spans="7:16" s="1634" customFormat="1">
      <c r="G50441" s="3336"/>
      <c r="P50441" s="3337"/>
    </row>
    <row r="50442" spans="7:16" s="1634" customFormat="1">
      <c r="G50442" s="3336"/>
      <c r="P50442" s="3337"/>
    </row>
    <row r="50443" spans="7:16" s="1634" customFormat="1">
      <c r="G50443" s="3336"/>
      <c r="P50443" s="3337"/>
    </row>
    <row r="50444" spans="7:16" s="1634" customFormat="1">
      <c r="G50444" s="3336"/>
      <c r="P50444" s="3337"/>
    </row>
    <row r="50445" spans="7:16" s="1634" customFormat="1">
      <c r="G50445" s="3336"/>
      <c r="P50445" s="3337"/>
    </row>
    <row r="50446" spans="7:16" s="1634" customFormat="1">
      <c r="G50446" s="3336"/>
      <c r="P50446" s="3337"/>
    </row>
    <row r="50447" spans="7:16" s="1634" customFormat="1">
      <c r="G50447" s="3336"/>
      <c r="P50447" s="3337"/>
    </row>
    <row r="50448" spans="7:16" s="1634" customFormat="1">
      <c r="G50448" s="3336"/>
      <c r="P50448" s="3337"/>
    </row>
    <row r="50449" spans="7:16" s="1634" customFormat="1">
      <c r="G50449" s="3336"/>
      <c r="P50449" s="3337"/>
    </row>
    <row r="50450" spans="7:16" s="1634" customFormat="1">
      <c r="G50450" s="3336"/>
      <c r="P50450" s="3337"/>
    </row>
    <row r="50451" spans="7:16" s="1634" customFormat="1">
      <c r="G50451" s="3336"/>
      <c r="P50451" s="3337"/>
    </row>
    <row r="50452" spans="7:16" s="1634" customFormat="1">
      <c r="G50452" s="3336"/>
      <c r="P50452" s="3337"/>
    </row>
    <row r="50453" spans="7:16" s="1634" customFormat="1">
      <c r="G50453" s="3336"/>
      <c r="P50453" s="3337"/>
    </row>
    <row r="50454" spans="7:16" s="1634" customFormat="1">
      <c r="G50454" s="3336"/>
      <c r="P50454" s="3337"/>
    </row>
    <row r="50455" spans="7:16" s="1634" customFormat="1">
      <c r="G50455" s="3336"/>
      <c r="P50455" s="3337"/>
    </row>
    <row r="50456" spans="7:16" s="1634" customFormat="1">
      <c r="G50456" s="3336"/>
      <c r="P50456" s="3337"/>
    </row>
    <row r="50457" spans="7:16" s="1634" customFormat="1">
      <c r="G50457" s="3336"/>
      <c r="P50457" s="3337"/>
    </row>
    <row r="50458" spans="7:16" s="1634" customFormat="1">
      <c r="G50458" s="3336"/>
      <c r="P50458" s="3337"/>
    </row>
    <row r="50459" spans="7:16" s="1634" customFormat="1">
      <c r="G50459" s="3336"/>
      <c r="P50459" s="3337"/>
    </row>
    <row r="50460" spans="7:16" s="1634" customFormat="1">
      <c r="G50460" s="3336"/>
      <c r="P50460" s="3337"/>
    </row>
    <row r="50461" spans="7:16" s="1634" customFormat="1">
      <c r="G50461" s="3336"/>
      <c r="P50461" s="3337"/>
    </row>
    <row r="50462" spans="7:16" s="1634" customFormat="1">
      <c r="G50462" s="3336"/>
      <c r="P50462" s="3337"/>
    </row>
    <row r="50463" spans="7:16" s="1634" customFormat="1">
      <c r="G50463" s="3336"/>
      <c r="P50463" s="3337"/>
    </row>
    <row r="50464" spans="7:16" s="1634" customFormat="1">
      <c r="G50464" s="3336"/>
      <c r="P50464" s="3337"/>
    </row>
    <row r="50465" spans="7:16" s="1634" customFormat="1">
      <c r="G50465" s="3336"/>
      <c r="P50465" s="3337"/>
    </row>
    <row r="50466" spans="7:16" s="1634" customFormat="1">
      <c r="G50466" s="3336"/>
      <c r="P50466" s="3337"/>
    </row>
    <row r="50467" spans="7:16" s="1634" customFormat="1">
      <c r="G50467" s="3336"/>
      <c r="P50467" s="3337"/>
    </row>
    <row r="50468" spans="7:16" s="1634" customFormat="1">
      <c r="G50468" s="3336"/>
      <c r="P50468" s="3337"/>
    </row>
    <row r="50469" spans="7:16" s="1634" customFormat="1">
      <c r="G50469" s="3336"/>
      <c r="P50469" s="3337"/>
    </row>
    <row r="50470" spans="7:16" s="1634" customFormat="1">
      <c r="G50470" s="3336"/>
      <c r="P50470" s="3337"/>
    </row>
    <row r="50471" spans="7:16" s="1634" customFormat="1">
      <c r="G50471" s="3336"/>
      <c r="P50471" s="3337"/>
    </row>
    <row r="50472" spans="7:16" s="1634" customFormat="1">
      <c r="G50472" s="3336"/>
      <c r="P50472" s="3337"/>
    </row>
    <row r="50473" spans="7:16" s="1634" customFormat="1">
      <c r="G50473" s="3336"/>
      <c r="P50473" s="3337"/>
    </row>
    <row r="50474" spans="7:16" s="1634" customFormat="1">
      <c r="G50474" s="3336"/>
      <c r="P50474" s="3337"/>
    </row>
    <row r="50475" spans="7:16" s="1634" customFormat="1">
      <c r="G50475" s="3336"/>
      <c r="P50475" s="3337"/>
    </row>
    <row r="50476" spans="7:16" s="1634" customFormat="1">
      <c r="G50476" s="3336"/>
      <c r="P50476" s="3337"/>
    </row>
    <row r="50477" spans="7:16" s="1634" customFormat="1">
      <c r="G50477" s="3336"/>
      <c r="P50477" s="3337"/>
    </row>
    <row r="50478" spans="7:16" s="1634" customFormat="1">
      <c r="G50478" s="3336"/>
      <c r="P50478" s="3337"/>
    </row>
    <row r="50479" spans="7:16" s="1634" customFormat="1">
      <c r="G50479" s="3336"/>
      <c r="P50479" s="3337"/>
    </row>
    <row r="50480" spans="7:16" s="1634" customFormat="1">
      <c r="G50480" s="3336"/>
      <c r="P50480" s="3337"/>
    </row>
    <row r="50481" spans="7:16" s="1634" customFormat="1">
      <c r="G50481" s="3336"/>
      <c r="P50481" s="3337"/>
    </row>
    <row r="50482" spans="7:16" s="1634" customFormat="1">
      <c r="G50482" s="3336"/>
      <c r="P50482" s="3337"/>
    </row>
    <row r="50483" spans="7:16" s="1634" customFormat="1">
      <c r="G50483" s="3336"/>
      <c r="P50483" s="3337"/>
    </row>
    <row r="50484" spans="7:16" s="1634" customFormat="1">
      <c r="G50484" s="3336"/>
      <c r="P50484" s="3337"/>
    </row>
    <row r="50485" spans="7:16" s="1634" customFormat="1">
      <c r="G50485" s="3336"/>
      <c r="P50485" s="3337"/>
    </row>
    <row r="50486" spans="7:16" s="1634" customFormat="1">
      <c r="G50486" s="3336"/>
      <c r="P50486" s="3337"/>
    </row>
    <row r="50487" spans="7:16" s="1634" customFormat="1">
      <c r="G50487" s="3336"/>
      <c r="P50487" s="3337"/>
    </row>
    <row r="50488" spans="7:16" s="1634" customFormat="1">
      <c r="G50488" s="3336"/>
      <c r="P50488" s="3337"/>
    </row>
    <row r="50489" spans="7:16" s="1634" customFormat="1">
      <c r="G50489" s="3336"/>
      <c r="P50489" s="3337"/>
    </row>
    <row r="50490" spans="7:16" s="1634" customFormat="1">
      <c r="G50490" s="3336"/>
      <c r="P50490" s="3337"/>
    </row>
    <row r="50491" spans="7:16" s="1634" customFormat="1">
      <c r="G50491" s="3336"/>
      <c r="P50491" s="3337"/>
    </row>
    <row r="50492" spans="7:16" s="1634" customFormat="1">
      <c r="G50492" s="3336"/>
      <c r="P50492" s="3337"/>
    </row>
    <row r="50493" spans="7:16" s="1634" customFormat="1">
      <c r="G50493" s="3336"/>
      <c r="P50493" s="3337"/>
    </row>
    <row r="50494" spans="7:16" s="1634" customFormat="1">
      <c r="G50494" s="3336"/>
      <c r="P50494" s="3337"/>
    </row>
    <row r="50495" spans="7:16" s="1634" customFormat="1">
      <c r="G50495" s="3336"/>
      <c r="P50495" s="3337"/>
    </row>
    <row r="50496" spans="7:16" s="1634" customFormat="1">
      <c r="G50496" s="3336"/>
      <c r="P50496" s="3337"/>
    </row>
    <row r="50497" spans="7:16" s="1634" customFormat="1">
      <c r="G50497" s="3336"/>
      <c r="P50497" s="3337"/>
    </row>
    <row r="50498" spans="7:16" s="1634" customFormat="1">
      <c r="G50498" s="3336"/>
      <c r="P50498" s="3337"/>
    </row>
    <row r="50499" spans="7:16" s="1634" customFormat="1">
      <c r="G50499" s="3336"/>
      <c r="P50499" s="3337"/>
    </row>
    <row r="50500" spans="7:16" s="1634" customFormat="1">
      <c r="G50500" s="3336"/>
      <c r="P50500" s="3337"/>
    </row>
    <row r="50501" spans="7:16" s="1634" customFormat="1">
      <c r="G50501" s="3336"/>
      <c r="P50501" s="3337"/>
    </row>
    <row r="50502" spans="7:16" s="1634" customFormat="1">
      <c r="G50502" s="3336"/>
      <c r="P50502" s="3337"/>
    </row>
    <row r="50503" spans="7:16" s="1634" customFormat="1">
      <c r="G50503" s="3336"/>
      <c r="P50503" s="3337"/>
    </row>
    <row r="50504" spans="7:16" s="1634" customFormat="1">
      <c r="G50504" s="3336"/>
      <c r="P50504" s="3337"/>
    </row>
    <row r="50505" spans="7:16" s="1634" customFormat="1">
      <c r="G50505" s="3336"/>
      <c r="P50505" s="3337"/>
    </row>
    <row r="50506" spans="7:16" s="1634" customFormat="1">
      <c r="G50506" s="3336"/>
      <c r="P50506" s="3337"/>
    </row>
    <row r="50507" spans="7:16" s="1634" customFormat="1">
      <c r="G50507" s="3336"/>
      <c r="P50507" s="3337"/>
    </row>
    <row r="50508" spans="7:16" s="1634" customFormat="1">
      <c r="G50508" s="3336"/>
      <c r="P50508" s="3337"/>
    </row>
    <row r="50509" spans="7:16" s="1634" customFormat="1">
      <c r="G50509" s="3336"/>
      <c r="P50509" s="3337"/>
    </row>
    <row r="50510" spans="7:16" s="1634" customFormat="1">
      <c r="G50510" s="3336"/>
      <c r="P50510" s="3337"/>
    </row>
    <row r="50511" spans="7:16" s="1634" customFormat="1">
      <c r="G50511" s="3336"/>
      <c r="P50511" s="3337"/>
    </row>
    <row r="50512" spans="7:16" s="1634" customFormat="1">
      <c r="G50512" s="3336"/>
      <c r="P50512" s="3337"/>
    </row>
    <row r="50513" spans="7:16" s="1634" customFormat="1">
      <c r="G50513" s="3336"/>
      <c r="P50513" s="3337"/>
    </row>
    <row r="50514" spans="7:16" s="1634" customFormat="1">
      <c r="G50514" s="3336"/>
      <c r="P50514" s="3337"/>
    </row>
    <row r="50515" spans="7:16" s="1634" customFormat="1">
      <c r="G50515" s="3336"/>
      <c r="P50515" s="3337"/>
    </row>
    <row r="50516" spans="7:16" s="1634" customFormat="1">
      <c r="G50516" s="3336"/>
      <c r="P50516" s="3337"/>
    </row>
    <row r="50517" spans="7:16" s="1634" customFormat="1">
      <c r="G50517" s="3336"/>
      <c r="P50517" s="3337"/>
    </row>
    <row r="50518" spans="7:16" s="1634" customFormat="1">
      <c r="G50518" s="3336"/>
      <c r="P50518" s="3337"/>
    </row>
    <row r="50519" spans="7:16" s="1634" customFormat="1">
      <c r="G50519" s="3336"/>
      <c r="P50519" s="3337"/>
    </row>
    <row r="50520" spans="7:16" s="1634" customFormat="1">
      <c r="G50520" s="3336"/>
      <c r="P50520" s="3337"/>
    </row>
    <row r="50521" spans="7:16" s="1634" customFormat="1">
      <c r="G50521" s="3336"/>
      <c r="P50521" s="3337"/>
    </row>
    <row r="50522" spans="7:16" s="1634" customFormat="1">
      <c r="G50522" s="3336"/>
      <c r="P50522" s="3337"/>
    </row>
    <row r="50523" spans="7:16" s="1634" customFormat="1">
      <c r="G50523" s="3336"/>
      <c r="P50523" s="3337"/>
    </row>
    <row r="50524" spans="7:16" s="1634" customFormat="1">
      <c r="G50524" s="3336"/>
      <c r="P50524" s="3337"/>
    </row>
    <row r="50525" spans="7:16" s="1634" customFormat="1">
      <c r="G50525" s="3336"/>
      <c r="P50525" s="3337"/>
    </row>
    <row r="50526" spans="7:16" s="1634" customFormat="1">
      <c r="G50526" s="3336"/>
      <c r="P50526" s="3337"/>
    </row>
    <row r="50527" spans="7:16" s="1634" customFormat="1">
      <c r="G50527" s="3336"/>
      <c r="P50527" s="3337"/>
    </row>
    <row r="50528" spans="7:16" s="1634" customFormat="1">
      <c r="G50528" s="3336"/>
      <c r="P50528" s="3337"/>
    </row>
    <row r="50529" spans="7:16" s="1634" customFormat="1">
      <c r="G50529" s="3336"/>
      <c r="P50529" s="3337"/>
    </row>
    <row r="50530" spans="7:16" s="1634" customFormat="1">
      <c r="G50530" s="3336"/>
      <c r="P50530" s="3337"/>
    </row>
    <row r="50531" spans="7:16" s="1634" customFormat="1">
      <c r="G50531" s="3336"/>
      <c r="P50531" s="3337"/>
    </row>
    <row r="50532" spans="7:16" s="1634" customFormat="1">
      <c r="G50532" s="3336"/>
      <c r="P50532" s="3337"/>
    </row>
    <row r="50533" spans="7:16" s="1634" customFormat="1">
      <c r="G50533" s="3336"/>
      <c r="P50533" s="3337"/>
    </row>
    <row r="50534" spans="7:16" s="1634" customFormat="1">
      <c r="G50534" s="3336"/>
      <c r="P50534" s="3337"/>
    </row>
    <row r="50535" spans="7:16" s="1634" customFormat="1">
      <c r="G50535" s="3336"/>
      <c r="P50535" s="3337"/>
    </row>
    <row r="50536" spans="7:16" s="1634" customFormat="1">
      <c r="G50536" s="3336"/>
      <c r="P50536" s="3337"/>
    </row>
    <row r="50537" spans="7:16" s="1634" customFormat="1">
      <c r="G50537" s="3336"/>
      <c r="P50537" s="3337"/>
    </row>
    <row r="50538" spans="7:16" s="1634" customFormat="1">
      <c r="G50538" s="3336"/>
      <c r="P50538" s="3337"/>
    </row>
    <row r="50539" spans="7:16" s="1634" customFormat="1">
      <c r="G50539" s="3336"/>
      <c r="P50539" s="3337"/>
    </row>
    <row r="50540" spans="7:16" s="1634" customFormat="1">
      <c r="G50540" s="3336"/>
      <c r="P50540" s="3337"/>
    </row>
    <row r="50541" spans="7:16" s="1634" customFormat="1">
      <c r="G50541" s="3336"/>
      <c r="P50541" s="3337"/>
    </row>
    <row r="50542" spans="7:16" s="1634" customFormat="1">
      <c r="G50542" s="3336"/>
      <c r="P50542" s="3337"/>
    </row>
    <row r="50543" spans="7:16" s="1634" customFormat="1">
      <c r="G50543" s="3336"/>
      <c r="P50543" s="3337"/>
    </row>
    <row r="50544" spans="7:16" s="1634" customFormat="1">
      <c r="G50544" s="3336"/>
      <c r="P50544" s="3337"/>
    </row>
    <row r="50545" spans="7:16" s="1634" customFormat="1">
      <c r="G50545" s="3336"/>
      <c r="P50545" s="3337"/>
    </row>
    <row r="50546" spans="7:16" s="1634" customFormat="1">
      <c r="G50546" s="3336"/>
      <c r="P50546" s="3337"/>
    </row>
    <row r="50547" spans="7:16" s="1634" customFormat="1">
      <c r="G50547" s="3336"/>
      <c r="P50547" s="3337"/>
    </row>
    <row r="50548" spans="7:16" s="1634" customFormat="1">
      <c r="G50548" s="3336"/>
      <c r="P50548" s="3337"/>
    </row>
    <row r="50549" spans="7:16" s="1634" customFormat="1">
      <c r="G50549" s="3336"/>
      <c r="P50549" s="3337"/>
    </row>
    <row r="50550" spans="7:16" s="1634" customFormat="1">
      <c r="G50550" s="3336"/>
      <c r="P50550" s="3337"/>
    </row>
    <row r="50551" spans="7:16" s="1634" customFormat="1">
      <c r="G50551" s="3336"/>
      <c r="P50551" s="3337"/>
    </row>
    <row r="50552" spans="7:16" s="1634" customFormat="1">
      <c r="G50552" s="3336"/>
      <c r="P50552" s="3337"/>
    </row>
    <row r="50553" spans="7:16" s="1634" customFormat="1">
      <c r="G50553" s="3336"/>
      <c r="P50553" s="3337"/>
    </row>
    <row r="50554" spans="7:16" s="1634" customFormat="1">
      <c r="G50554" s="3336"/>
      <c r="P50554" s="3337"/>
    </row>
    <row r="50555" spans="7:16" s="1634" customFormat="1">
      <c r="G50555" s="3336"/>
      <c r="P50555" s="3337"/>
    </row>
    <row r="50556" spans="7:16" s="1634" customFormat="1">
      <c r="G50556" s="3336"/>
      <c r="P50556" s="3337"/>
    </row>
    <row r="50557" spans="7:16" s="1634" customFormat="1">
      <c r="G50557" s="3336"/>
      <c r="P50557" s="3337"/>
    </row>
    <row r="50558" spans="7:16" s="1634" customFormat="1">
      <c r="G50558" s="3336"/>
      <c r="P50558" s="3337"/>
    </row>
    <row r="50559" spans="7:16" s="1634" customFormat="1">
      <c r="G50559" s="3336"/>
      <c r="P50559" s="3337"/>
    </row>
    <row r="50560" spans="7:16" s="1634" customFormat="1">
      <c r="G50560" s="3336"/>
      <c r="P50560" s="3337"/>
    </row>
    <row r="50561" spans="7:16" s="1634" customFormat="1">
      <c r="G50561" s="3336"/>
      <c r="P50561" s="3337"/>
    </row>
    <row r="50562" spans="7:16" s="1634" customFormat="1">
      <c r="G50562" s="3336"/>
      <c r="P50562" s="3337"/>
    </row>
    <row r="50563" spans="7:16" s="1634" customFormat="1">
      <c r="G50563" s="3336"/>
      <c r="P50563" s="3337"/>
    </row>
    <row r="50564" spans="7:16" s="1634" customFormat="1">
      <c r="G50564" s="3336"/>
      <c r="P50564" s="3337"/>
    </row>
    <row r="50565" spans="7:16" s="1634" customFormat="1">
      <c r="G50565" s="3336"/>
      <c r="P50565" s="3337"/>
    </row>
    <row r="50566" spans="7:16" s="1634" customFormat="1">
      <c r="G50566" s="3336"/>
      <c r="P50566" s="3337"/>
    </row>
    <row r="50567" spans="7:16" s="1634" customFormat="1">
      <c r="G50567" s="3336"/>
      <c r="P50567" s="3337"/>
    </row>
    <row r="50568" spans="7:16" s="1634" customFormat="1">
      <c r="G50568" s="3336"/>
      <c r="P50568" s="3337"/>
    </row>
    <row r="50569" spans="7:16" s="1634" customFormat="1">
      <c r="G50569" s="3336"/>
      <c r="P50569" s="3337"/>
    </row>
    <row r="50570" spans="7:16" s="1634" customFormat="1">
      <c r="G50570" s="3336"/>
      <c r="P50570" s="3337"/>
    </row>
    <row r="50571" spans="7:16" s="1634" customFormat="1">
      <c r="G50571" s="3336"/>
      <c r="P50571" s="3337"/>
    </row>
    <row r="50572" spans="7:16" s="1634" customFormat="1">
      <c r="G50572" s="3336"/>
      <c r="P50572" s="3337"/>
    </row>
    <row r="50573" spans="7:16" s="1634" customFormat="1">
      <c r="G50573" s="3336"/>
      <c r="P50573" s="3337"/>
    </row>
    <row r="50574" spans="7:16" s="1634" customFormat="1">
      <c r="G50574" s="3336"/>
      <c r="P50574" s="3337"/>
    </row>
    <row r="50575" spans="7:16" s="1634" customFormat="1">
      <c r="G50575" s="3336"/>
      <c r="P50575" s="3337"/>
    </row>
    <row r="50576" spans="7:16" s="1634" customFormat="1">
      <c r="G50576" s="3336"/>
      <c r="P50576" s="3337"/>
    </row>
    <row r="50577" spans="7:16" s="1634" customFormat="1">
      <c r="G50577" s="3336"/>
      <c r="P50577" s="3337"/>
    </row>
    <row r="50578" spans="7:16" s="1634" customFormat="1">
      <c r="G50578" s="3336"/>
      <c r="P50578" s="3337"/>
    </row>
    <row r="50579" spans="7:16" s="1634" customFormat="1">
      <c r="G50579" s="3336"/>
      <c r="P50579" s="3337"/>
    </row>
    <row r="50580" spans="7:16" s="1634" customFormat="1">
      <c r="G50580" s="3336"/>
      <c r="P50580" s="3337"/>
    </row>
    <row r="50581" spans="7:16" s="1634" customFormat="1">
      <c r="G50581" s="3336"/>
      <c r="P50581" s="3337"/>
    </row>
    <row r="50582" spans="7:16" s="1634" customFormat="1">
      <c r="G50582" s="3336"/>
      <c r="P50582" s="3337"/>
    </row>
    <row r="50583" spans="7:16" s="1634" customFormat="1">
      <c r="G50583" s="3336"/>
      <c r="P50583" s="3337"/>
    </row>
    <row r="50584" spans="7:16" s="1634" customFormat="1">
      <c r="G50584" s="3336"/>
      <c r="P50584" s="3337"/>
    </row>
    <row r="50585" spans="7:16" s="1634" customFormat="1">
      <c r="G50585" s="3336"/>
      <c r="P50585" s="3337"/>
    </row>
    <row r="50586" spans="7:16" s="1634" customFormat="1">
      <c r="G50586" s="3336"/>
      <c r="P50586" s="3337"/>
    </row>
    <row r="50587" spans="7:16" s="1634" customFormat="1">
      <c r="G50587" s="3336"/>
      <c r="P50587" s="3337"/>
    </row>
    <row r="50588" spans="7:16" s="1634" customFormat="1">
      <c r="G50588" s="3336"/>
      <c r="P50588" s="3337"/>
    </row>
    <row r="50589" spans="7:16" s="1634" customFormat="1">
      <c r="G50589" s="3336"/>
      <c r="P50589" s="3337"/>
    </row>
    <row r="50590" spans="7:16" s="1634" customFormat="1">
      <c r="G50590" s="3336"/>
      <c r="P50590" s="3337"/>
    </row>
    <row r="50591" spans="7:16" s="1634" customFormat="1">
      <c r="G50591" s="3336"/>
      <c r="P50591" s="3337"/>
    </row>
    <row r="50592" spans="7:16" s="1634" customFormat="1">
      <c r="G50592" s="3336"/>
      <c r="P50592" s="3337"/>
    </row>
    <row r="50593" spans="7:16" s="1634" customFormat="1">
      <c r="G50593" s="3336"/>
      <c r="P50593" s="3337"/>
    </row>
    <row r="50594" spans="7:16" s="1634" customFormat="1">
      <c r="G50594" s="3336"/>
      <c r="P50594" s="3337"/>
    </row>
    <row r="50595" spans="7:16" s="1634" customFormat="1">
      <c r="G50595" s="3336"/>
      <c r="P50595" s="3337"/>
    </row>
    <row r="50596" spans="7:16" s="1634" customFormat="1">
      <c r="G50596" s="3336"/>
      <c r="P50596" s="3337"/>
    </row>
    <row r="50597" spans="7:16" s="1634" customFormat="1">
      <c r="G50597" s="3336"/>
      <c r="P50597" s="3337"/>
    </row>
    <row r="50598" spans="7:16" s="1634" customFormat="1">
      <c r="G50598" s="3336"/>
      <c r="P50598" s="3337"/>
    </row>
    <row r="50599" spans="7:16" s="1634" customFormat="1">
      <c r="G50599" s="3336"/>
      <c r="P50599" s="3337"/>
    </row>
    <row r="50600" spans="7:16" s="1634" customFormat="1">
      <c r="G50600" s="3336"/>
      <c r="P50600" s="3337"/>
    </row>
    <row r="50601" spans="7:16" s="1634" customFormat="1">
      <c r="G50601" s="3336"/>
      <c r="P50601" s="3337"/>
    </row>
    <row r="50602" spans="7:16" s="1634" customFormat="1">
      <c r="G50602" s="3336"/>
      <c r="P50602" s="3337"/>
    </row>
    <row r="50603" spans="7:16" s="1634" customFormat="1">
      <c r="G50603" s="3336"/>
      <c r="P50603" s="3337"/>
    </row>
    <row r="50604" spans="7:16" s="1634" customFormat="1">
      <c r="G50604" s="3336"/>
      <c r="P50604" s="3337"/>
    </row>
    <row r="50605" spans="7:16" s="1634" customFormat="1">
      <c r="G50605" s="3336"/>
      <c r="P50605" s="3337"/>
    </row>
    <row r="50606" spans="7:16" s="1634" customFormat="1">
      <c r="G50606" s="3336"/>
      <c r="P50606" s="3337"/>
    </row>
    <row r="50607" spans="7:16" s="1634" customFormat="1">
      <c r="G50607" s="3336"/>
      <c r="P50607" s="3337"/>
    </row>
    <row r="50608" spans="7:16" s="1634" customFormat="1">
      <c r="G50608" s="3336"/>
      <c r="P50608" s="3337"/>
    </row>
    <row r="50609" spans="7:16" s="1634" customFormat="1">
      <c r="G50609" s="3336"/>
      <c r="P50609" s="3337"/>
    </row>
    <row r="50610" spans="7:16" s="1634" customFormat="1">
      <c r="G50610" s="3336"/>
      <c r="P50610" s="3337"/>
    </row>
    <row r="50611" spans="7:16" s="1634" customFormat="1">
      <c r="G50611" s="3336"/>
      <c r="P50611" s="3337"/>
    </row>
    <row r="50612" spans="7:16" s="1634" customFormat="1">
      <c r="G50612" s="3336"/>
      <c r="P50612" s="3337"/>
    </row>
    <row r="50613" spans="7:16" s="1634" customFormat="1">
      <c r="G50613" s="3336"/>
      <c r="P50613" s="3337"/>
    </row>
    <row r="50614" spans="7:16" s="1634" customFormat="1">
      <c r="G50614" s="3336"/>
      <c r="P50614" s="3337"/>
    </row>
    <row r="50615" spans="7:16" s="1634" customFormat="1">
      <c r="G50615" s="3336"/>
      <c r="P50615" s="3337"/>
    </row>
    <row r="50616" spans="7:16" s="1634" customFormat="1">
      <c r="G50616" s="3336"/>
      <c r="P50616" s="3337"/>
    </row>
    <row r="50617" spans="7:16" s="1634" customFormat="1">
      <c r="G50617" s="3336"/>
      <c r="P50617" s="3337"/>
    </row>
    <row r="50618" spans="7:16" s="1634" customFormat="1">
      <c r="G50618" s="3336"/>
      <c r="P50618" s="3337"/>
    </row>
    <row r="50619" spans="7:16" s="1634" customFormat="1">
      <c r="G50619" s="3336"/>
      <c r="P50619" s="3337"/>
    </row>
    <row r="50620" spans="7:16" s="1634" customFormat="1">
      <c r="G50620" s="3336"/>
      <c r="P50620" s="3337"/>
    </row>
    <row r="50621" spans="7:16" s="1634" customFormat="1">
      <c r="G50621" s="3336"/>
      <c r="P50621" s="3337"/>
    </row>
    <row r="50622" spans="7:16" s="1634" customFormat="1">
      <c r="G50622" s="3336"/>
      <c r="P50622" s="3337"/>
    </row>
    <row r="50623" spans="7:16" s="1634" customFormat="1">
      <c r="G50623" s="3336"/>
      <c r="P50623" s="3337"/>
    </row>
    <row r="50624" spans="7:16" s="1634" customFormat="1">
      <c r="G50624" s="3336"/>
      <c r="P50624" s="3337"/>
    </row>
    <row r="50625" spans="7:16" s="1634" customFormat="1">
      <c r="G50625" s="3336"/>
      <c r="P50625" s="3337"/>
    </row>
    <row r="50626" spans="7:16" s="1634" customFormat="1">
      <c r="G50626" s="3336"/>
      <c r="P50626" s="3337"/>
    </row>
    <row r="50627" spans="7:16" s="1634" customFormat="1">
      <c r="G50627" s="3336"/>
      <c r="P50627" s="3337"/>
    </row>
    <row r="50628" spans="7:16" s="1634" customFormat="1">
      <c r="G50628" s="3336"/>
      <c r="P50628" s="3337"/>
    </row>
    <row r="50629" spans="7:16" s="1634" customFormat="1">
      <c r="G50629" s="3336"/>
      <c r="P50629" s="3337"/>
    </row>
    <row r="50630" spans="7:16" s="1634" customFormat="1">
      <c r="G50630" s="3336"/>
      <c r="P50630" s="3337"/>
    </row>
    <row r="50631" spans="7:16" s="1634" customFormat="1">
      <c r="G50631" s="3336"/>
      <c r="P50631" s="3337"/>
    </row>
    <row r="50632" spans="7:16" s="1634" customFormat="1">
      <c r="G50632" s="3336"/>
      <c r="P50632" s="3337"/>
    </row>
    <row r="50633" spans="7:16" s="1634" customFormat="1">
      <c r="G50633" s="3336"/>
      <c r="P50633" s="3337"/>
    </row>
    <row r="50634" spans="7:16" s="1634" customFormat="1">
      <c r="G50634" s="3336"/>
      <c r="P50634" s="3337"/>
    </row>
    <row r="50635" spans="7:16" s="1634" customFormat="1">
      <c r="G50635" s="3336"/>
      <c r="P50635" s="3337"/>
    </row>
    <row r="50636" spans="7:16" s="1634" customFormat="1">
      <c r="G50636" s="3336"/>
      <c r="P50636" s="3337"/>
    </row>
    <row r="50637" spans="7:16" s="1634" customFormat="1">
      <c r="G50637" s="3336"/>
      <c r="P50637" s="3337"/>
    </row>
    <row r="50638" spans="7:16" s="1634" customFormat="1">
      <c r="G50638" s="3336"/>
      <c r="P50638" s="3337"/>
    </row>
    <row r="50639" spans="7:16" s="1634" customFormat="1">
      <c r="G50639" s="3336"/>
      <c r="P50639" s="3337"/>
    </row>
    <row r="50640" spans="7:16" s="1634" customFormat="1">
      <c r="G50640" s="3336"/>
      <c r="P50640" s="3337"/>
    </row>
    <row r="50641" spans="7:16" s="1634" customFormat="1">
      <c r="G50641" s="3336"/>
      <c r="P50641" s="3337"/>
    </row>
    <row r="50642" spans="7:16" s="1634" customFormat="1">
      <c r="G50642" s="3336"/>
      <c r="P50642" s="3337"/>
    </row>
    <row r="50643" spans="7:16" s="1634" customFormat="1">
      <c r="G50643" s="3336"/>
      <c r="P50643" s="3337"/>
    </row>
    <row r="50644" spans="7:16" s="1634" customFormat="1">
      <c r="G50644" s="3336"/>
      <c r="P50644" s="3337"/>
    </row>
    <row r="50645" spans="7:16" s="1634" customFormat="1">
      <c r="G50645" s="3336"/>
      <c r="P50645" s="3337"/>
    </row>
    <row r="50646" spans="7:16" s="1634" customFormat="1">
      <c r="G50646" s="3336"/>
      <c r="P50646" s="3337"/>
    </row>
    <row r="50647" spans="7:16" s="1634" customFormat="1">
      <c r="G50647" s="3336"/>
      <c r="P50647" s="3337"/>
    </row>
    <row r="50648" spans="7:16" s="1634" customFormat="1">
      <c r="G50648" s="3336"/>
      <c r="P50648" s="3337"/>
    </row>
    <row r="50649" spans="7:16" s="1634" customFormat="1">
      <c r="G50649" s="3336"/>
      <c r="P50649" s="3337"/>
    </row>
    <row r="50650" spans="7:16" s="1634" customFormat="1">
      <c r="G50650" s="3336"/>
      <c r="P50650" s="3337"/>
    </row>
    <row r="50651" spans="7:16" s="1634" customFormat="1">
      <c r="G50651" s="3336"/>
      <c r="P50651" s="3337"/>
    </row>
    <row r="50652" spans="7:16" s="1634" customFormat="1">
      <c r="G50652" s="3336"/>
      <c r="P50652" s="3337"/>
    </row>
    <row r="50653" spans="7:16" s="1634" customFormat="1">
      <c r="G50653" s="3336"/>
      <c r="P50653" s="3337"/>
    </row>
    <row r="50654" spans="7:16" s="1634" customFormat="1">
      <c r="G50654" s="3336"/>
      <c r="P50654" s="3337"/>
    </row>
    <row r="50655" spans="7:16" s="1634" customFormat="1">
      <c r="G50655" s="3336"/>
      <c r="P50655" s="3337"/>
    </row>
    <row r="50656" spans="7:16" s="1634" customFormat="1">
      <c r="G50656" s="3336"/>
      <c r="P50656" s="3337"/>
    </row>
    <row r="50657" spans="7:16" s="1634" customFormat="1">
      <c r="G50657" s="3336"/>
      <c r="P50657" s="3337"/>
    </row>
    <row r="50658" spans="7:16" s="1634" customFormat="1">
      <c r="G50658" s="3336"/>
      <c r="P50658" s="3337"/>
    </row>
    <row r="50659" spans="7:16" s="1634" customFormat="1">
      <c r="G50659" s="3336"/>
      <c r="P50659" s="3337"/>
    </row>
    <row r="50660" spans="7:16" s="1634" customFormat="1">
      <c r="G50660" s="3336"/>
      <c r="P50660" s="3337"/>
    </row>
    <row r="50661" spans="7:16" s="1634" customFormat="1">
      <c r="G50661" s="3336"/>
      <c r="P50661" s="3337"/>
    </row>
    <row r="50662" spans="7:16" s="1634" customFormat="1">
      <c r="G50662" s="3336"/>
      <c r="P50662" s="3337"/>
    </row>
    <row r="50663" spans="7:16" s="1634" customFormat="1">
      <c r="G50663" s="3336"/>
      <c r="P50663" s="3337"/>
    </row>
    <row r="50664" spans="7:16" s="1634" customFormat="1">
      <c r="G50664" s="3336"/>
      <c r="P50664" s="3337"/>
    </row>
    <row r="50665" spans="7:16" s="1634" customFormat="1">
      <c r="G50665" s="3336"/>
      <c r="P50665" s="3337"/>
    </row>
    <row r="50666" spans="7:16" s="1634" customFormat="1">
      <c r="G50666" s="3336"/>
      <c r="P50666" s="3337"/>
    </row>
    <row r="50667" spans="7:16" s="1634" customFormat="1">
      <c r="G50667" s="3336"/>
      <c r="P50667" s="3337"/>
    </row>
    <row r="50668" spans="7:16" s="1634" customFormat="1">
      <c r="G50668" s="3336"/>
      <c r="P50668" s="3337"/>
    </row>
    <row r="50669" spans="7:16" s="1634" customFormat="1">
      <c r="G50669" s="3336"/>
      <c r="P50669" s="3337"/>
    </row>
    <row r="50670" spans="7:16" s="1634" customFormat="1">
      <c r="G50670" s="3336"/>
      <c r="P50670" s="3337"/>
    </row>
    <row r="50671" spans="7:16" s="1634" customFormat="1">
      <c r="G50671" s="3336"/>
      <c r="P50671" s="3337"/>
    </row>
    <row r="50672" spans="7:16" s="1634" customFormat="1">
      <c r="G50672" s="3336"/>
      <c r="P50672" s="3337"/>
    </row>
    <row r="50673" spans="7:16" s="1634" customFormat="1">
      <c r="G50673" s="3336"/>
      <c r="P50673" s="3337"/>
    </row>
    <row r="50674" spans="7:16" s="1634" customFormat="1">
      <c r="G50674" s="3336"/>
      <c r="P50674" s="3337"/>
    </row>
    <row r="50675" spans="7:16" s="1634" customFormat="1">
      <c r="G50675" s="3336"/>
      <c r="P50675" s="3337"/>
    </row>
    <row r="50676" spans="7:16" s="1634" customFormat="1">
      <c r="G50676" s="3336"/>
      <c r="P50676" s="3337"/>
    </row>
    <row r="50677" spans="7:16" s="1634" customFormat="1">
      <c r="G50677" s="3336"/>
      <c r="P50677" s="3337"/>
    </row>
    <row r="50678" spans="7:16" s="1634" customFormat="1">
      <c r="G50678" s="3336"/>
      <c r="P50678" s="3337"/>
    </row>
    <row r="50679" spans="7:16" s="1634" customFormat="1">
      <c r="G50679" s="3336"/>
      <c r="P50679" s="3337"/>
    </row>
    <row r="50680" spans="7:16" s="1634" customFormat="1">
      <c r="G50680" s="3336"/>
      <c r="P50680" s="3337"/>
    </row>
    <row r="50681" spans="7:16" s="1634" customFormat="1">
      <c r="G50681" s="3336"/>
      <c r="P50681" s="3337"/>
    </row>
    <row r="50682" spans="7:16" s="1634" customFormat="1">
      <c r="G50682" s="3336"/>
      <c r="P50682" s="3337"/>
    </row>
    <row r="50683" spans="7:16" s="1634" customFormat="1">
      <c r="G50683" s="3336"/>
      <c r="P50683" s="3337"/>
    </row>
    <row r="50684" spans="7:16" s="1634" customFormat="1">
      <c r="G50684" s="3336"/>
      <c r="P50684" s="3337"/>
    </row>
    <row r="50685" spans="7:16" s="1634" customFormat="1">
      <c r="G50685" s="3336"/>
      <c r="P50685" s="3337"/>
    </row>
    <row r="50686" spans="7:16" s="1634" customFormat="1">
      <c r="G50686" s="3336"/>
      <c r="P50686" s="3337"/>
    </row>
    <row r="50687" spans="7:16" s="1634" customFormat="1">
      <c r="G50687" s="3336"/>
      <c r="P50687" s="3337"/>
    </row>
    <row r="50688" spans="7:16" s="1634" customFormat="1">
      <c r="G50688" s="3336"/>
      <c r="P50688" s="3337"/>
    </row>
    <row r="50689" spans="7:16" s="1634" customFormat="1">
      <c r="G50689" s="3336"/>
      <c r="P50689" s="3337"/>
    </row>
    <row r="50690" spans="7:16" s="1634" customFormat="1">
      <c r="G50690" s="3336"/>
      <c r="P50690" s="3337"/>
    </row>
    <row r="50691" spans="7:16" s="1634" customFormat="1">
      <c r="G50691" s="3336"/>
      <c r="P50691" s="3337"/>
    </row>
    <row r="50692" spans="7:16" s="1634" customFormat="1">
      <c r="G50692" s="3336"/>
      <c r="P50692" s="3337"/>
    </row>
    <row r="50693" spans="7:16" s="1634" customFormat="1">
      <c r="G50693" s="3336"/>
      <c r="P50693" s="3337"/>
    </row>
    <row r="50694" spans="7:16" s="1634" customFormat="1">
      <c r="G50694" s="3336"/>
      <c r="P50694" s="3337"/>
    </row>
    <row r="50695" spans="7:16" s="1634" customFormat="1">
      <c r="G50695" s="3336"/>
      <c r="P50695" s="3337"/>
    </row>
    <row r="50696" spans="7:16" s="1634" customFormat="1">
      <c r="G50696" s="3336"/>
      <c r="P50696" s="3337"/>
    </row>
    <row r="50697" spans="7:16" s="1634" customFormat="1">
      <c r="G50697" s="3336"/>
      <c r="P50697" s="3337"/>
    </row>
    <row r="50698" spans="7:16" s="1634" customFormat="1">
      <c r="G50698" s="3336"/>
      <c r="P50698" s="3337"/>
    </row>
    <row r="50699" spans="7:16" s="1634" customFormat="1">
      <c r="G50699" s="3336"/>
      <c r="P50699" s="3337"/>
    </row>
    <row r="50700" spans="7:16" s="1634" customFormat="1">
      <c r="G50700" s="3336"/>
      <c r="P50700" s="3337"/>
    </row>
    <row r="50701" spans="7:16" s="1634" customFormat="1">
      <c r="G50701" s="3336"/>
      <c r="P50701" s="3337"/>
    </row>
    <row r="50702" spans="7:16" s="1634" customFormat="1">
      <c r="G50702" s="3336"/>
      <c r="P50702" s="3337"/>
    </row>
    <row r="50703" spans="7:16" s="1634" customFormat="1">
      <c r="G50703" s="3336"/>
      <c r="P50703" s="3337"/>
    </row>
    <row r="50704" spans="7:16" s="1634" customFormat="1">
      <c r="G50704" s="3336"/>
      <c r="P50704" s="3337"/>
    </row>
    <row r="50705" spans="7:16" s="1634" customFormat="1">
      <c r="G50705" s="3336"/>
      <c r="P50705" s="3337"/>
    </row>
    <row r="50706" spans="7:16" s="1634" customFormat="1">
      <c r="G50706" s="3336"/>
      <c r="P50706" s="3337"/>
    </row>
    <row r="50707" spans="7:16" s="1634" customFormat="1">
      <c r="G50707" s="3336"/>
      <c r="P50707" s="3337"/>
    </row>
    <row r="50708" spans="7:16" s="1634" customFormat="1">
      <c r="G50708" s="3336"/>
      <c r="P50708" s="3337"/>
    </row>
    <row r="50709" spans="7:16" s="1634" customFormat="1">
      <c r="G50709" s="3336"/>
      <c r="P50709" s="3337"/>
    </row>
    <row r="50710" spans="7:16" s="1634" customFormat="1">
      <c r="G50710" s="3336"/>
      <c r="P50710" s="3337"/>
    </row>
    <row r="50711" spans="7:16" s="1634" customFormat="1">
      <c r="G50711" s="3336"/>
      <c r="P50711" s="3337"/>
    </row>
    <row r="50712" spans="7:16" s="1634" customFormat="1">
      <c r="G50712" s="3336"/>
      <c r="P50712" s="3337"/>
    </row>
    <row r="50713" spans="7:16" s="1634" customFormat="1">
      <c r="G50713" s="3336"/>
      <c r="P50713" s="3337"/>
    </row>
    <row r="50714" spans="7:16" s="1634" customFormat="1">
      <c r="G50714" s="3336"/>
      <c r="P50714" s="3337"/>
    </row>
    <row r="50715" spans="7:16" s="1634" customFormat="1">
      <c r="G50715" s="3336"/>
      <c r="P50715" s="3337"/>
    </row>
    <row r="50716" spans="7:16" s="1634" customFormat="1">
      <c r="G50716" s="3336"/>
      <c r="P50716" s="3337"/>
    </row>
    <row r="50717" spans="7:16" s="1634" customFormat="1">
      <c r="G50717" s="3336"/>
      <c r="P50717" s="3337"/>
    </row>
    <row r="50718" spans="7:16" s="1634" customFormat="1">
      <c r="G50718" s="3336"/>
      <c r="P50718" s="3337"/>
    </row>
    <row r="50719" spans="7:16" s="1634" customFormat="1">
      <c r="G50719" s="3336"/>
      <c r="P50719" s="3337"/>
    </row>
    <row r="50720" spans="7:16" s="1634" customFormat="1">
      <c r="G50720" s="3336"/>
      <c r="P50720" s="3337"/>
    </row>
    <row r="50721" spans="7:16" s="1634" customFormat="1">
      <c r="G50721" s="3336"/>
      <c r="P50721" s="3337"/>
    </row>
    <row r="50722" spans="7:16" s="1634" customFormat="1">
      <c r="G50722" s="3336"/>
      <c r="P50722" s="3337"/>
    </row>
    <row r="50723" spans="7:16" s="1634" customFormat="1">
      <c r="G50723" s="3336"/>
      <c r="P50723" s="3337"/>
    </row>
    <row r="50724" spans="7:16" s="1634" customFormat="1">
      <c r="G50724" s="3336"/>
      <c r="P50724" s="3337"/>
    </row>
    <row r="50725" spans="7:16" s="1634" customFormat="1">
      <c r="G50725" s="3336"/>
      <c r="P50725" s="3337"/>
    </row>
    <row r="50726" spans="7:16" s="1634" customFormat="1">
      <c r="G50726" s="3336"/>
      <c r="P50726" s="3337"/>
    </row>
    <row r="50727" spans="7:16" s="1634" customFormat="1">
      <c r="G50727" s="3336"/>
      <c r="P50727" s="3337"/>
    </row>
    <row r="50728" spans="7:16" s="1634" customFormat="1">
      <c r="G50728" s="3336"/>
      <c r="P50728" s="3337"/>
    </row>
    <row r="50729" spans="7:16" s="1634" customFormat="1">
      <c r="G50729" s="3336"/>
      <c r="P50729" s="3337"/>
    </row>
    <row r="50730" spans="7:16" s="1634" customFormat="1">
      <c r="G50730" s="3336"/>
      <c r="P50730" s="3337"/>
    </row>
    <row r="50731" spans="7:16" s="1634" customFormat="1">
      <c r="G50731" s="3336"/>
      <c r="P50731" s="3337"/>
    </row>
    <row r="50732" spans="7:16" s="1634" customFormat="1">
      <c r="G50732" s="3336"/>
      <c r="P50732" s="3337"/>
    </row>
    <row r="50733" spans="7:16" s="1634" customFormat="1">
      <c r="G50733" s="3336"/>
      <c r="P50733" s="3337"/>
    </row>
    <row r="50734" spans="7:16" s="1634" customFormat="1">
      <c r="G50734" s="3336"/>
      <c r="P50734" s="3337"/>
    </row>
    <row r="50735" spans="7:16" s="1634" customFormat="1">
      <c r="G50735" s="3336"/>
      <c r="P50735" s="3337"/>
    </row>
    <row r="50736" spans="7:16" s="1634" customFormat="1">
      <c r="G50736" s="3336"/>
      <c r="P50736" s="3337"/>
    </row>
    <row r="50737" spans="7:16" s="1634" customFormat="1">
      <c r="G50737" s="3336"/>
      <c r="P50737" s="3337"/>
    </row>
    <row r="50738" spans="7:16" s="1634" customFormat="1">
      <c r="G50738" s="3336"/>
      <c r="P50738" s="3337"/>
    </row>
    <row r="50739" spans="7:16" s="1634" customFormat="1">
      <c r="G50739" s="3336"/>
      <c r="P50739" s="3337"/>
    </row>
    <row r="50740" spans="7:16" s="1634" customFormat="1">
      <c r="G50740" s="3336"/>
      <c r="P50740" s="3337"/>
    </row>
    <row r="50741" spans="7:16" s="1634" customFormat="1">
      <c r="G50741" s="3336"/>
      <c r="P50741" s="3337"/>
    </row>
    <row r="50742" spans="7:16" s="1634" customFormat="1">
      <c r="G50742" s="3336"/>
      <c r="P50742" s="3337"/>
    </row>
    <row r="50743" spans="7:16" s="1634" customFormat="1">
      <c r="G50743" s="3336"/>
      <c r="P50743" s="3337"/>
    </row>
    <row r="50744" spans="7:16" s="1634" customFormat="1">
      <c r="G50744" s="3336"/>
      <c r="P50744" s="3337"/>
    </row>
    <row r="50745" spans="7:16" s="1634" customFormat="1">
      <c r="G50745" s="3336"/>
      <c r="P50745" s="3337"/>
    </row>
    <row r="50746" spans="7:16" s="1634" customFormat="1">
      <c r="G50746" s="3336"/>
      <c r="P50746" s="3337"/>
    </row>
    <row r="50747" spans="7:16" s="1634" customFormat="1">
      <c r="G50747" s="3336"/>
      <c r="P50747" s="3337"/>
    </row>
    <row r="50748" spans="7:16" s="1634" customFormat="1">
      <c r="G50748" s="3336"/>
      <c r="P50748" s="3337"/>
    </row>
    <row r="50749" spans="7:16" s="1634" customFormat="1">
      <c r="G50749" s="3336"/>
      <c r="P50749" s="3337"/>
    </row>
    <row r="50750" spans="7:16" s="1634" customFormat="1">
      <c r="G50750" s="3336"/>
      <c r="P50750" s="3337"/>
    </row>
    <row r="50751" spans="7:16" s="1634" customFormat="1">
      <c r="G50751" s="3336"/>
      <c r="P50751" s="3337"/>
    </row>
    <row r="50752" spans="7:16" s="1634" customFormat="1">
      <c r="G50752" s="3336"/>
      <c r="P50752" s="3337"/>
    </row>
    <row r="50753" spans="7:16" s="1634" customFormat="1">
      <c r="G50753" s="3336"/>
      <c r="P50753" s="3337"/>
    </row>
    <row r="50754" spans="7:16" s="1634" customFormat="1">
      <c r="G50754" s="3336"/>
      <c r="P50754" s="3337"/>
    </row>
    <row r="50755" spans="7:16" s="1634" customFormat="1">
      <c r="G50755" s="3336"/>
      <c r="P50755" s="3337"/>
    </row>
    <row r="50756" spans="7:16" s="1634" customFormat="1">
      <c r="G50756" s="3336"/>
      <c r="P50756" s="3337"/>
    </row>
    <row r="50757" spans="7:16" s="1634" customFormat="1">
      <c r="G50757" s="3336"/>
      <c r="P50757" s="3337"/>
    </row>
    <row r="50758" spans="7:16" s="1634" customFormat="1">
      <c r="G50758" s="3336"/>
      <c r="P50758" s="3337"/>
    </row>
    <row r="50759" spans="7:16" s="1634" customFormat="1">
      <c r="G50759" s="3336"/>
      <c r="P50759" s="3337"/>
    </row>
    <row r="50760" spans="7:16" s="1634" customFormat="1">
      <c r="G50760" s="3336"/>
      <c r="P50760" s="3337"/>
    </row>
    <row r="50761" spans="7:16" s="1634" customFormat="1">
      <c r="G50761" s="3336"/>
      <c r="P50761" s="3337"/>
    </row>
    <row r="50762" spans="7:16" s="1634" customFormat="1">
      <c r="G50762" s="3336"/>
      <c r="P50762" s="3337"/>
    </row>
    <row r="50763" spans="7:16" s="1634" customFormat="1">
      <c r="G50763" s="3336"/>
      <c r="P50763" s="3337"/>
    </row>
    <row r="50764" spans="7:16" s="1634" customFormat="1">
      <c r="G50764" s="3336"/>
      <c r="P50764" s="3337"/>
    </row>
    <row r="50765" spans="7:16" s="1634" customFormat="1">
      <c r="G50765" s="3336"/>
      <c r="P50765" s="3337"/>
    </row>
    <row r="50766" spans="7:16" s="1634" customFormat="1">
      <c r="G50766" s="3336"/>
      <c r="P50766" s="3337"/>
    </row>
    <row r="50767" spans="7:16" s="1634" customFormat="1">
      <c r="G50767" s="3336"/>
      <c r="P50767" s="3337"/>
    </row>
    <row r="50768" spans="7:16" s="1634" customFormat="1">
      <c r="G50768" s="3336"/>
      <c r="P50768" s="3337"/>
    </row>
    <row r="50769" spans="7:16" s="1634" customFormat="1">
      <c r="G50769" s="3336"/>
      <c r="P50769" s="3337"/>
    </row>
    <row r="50770" spans="7:16" s="1634" customFormat="1">
      <c r="G50770" s="3336"/>
      <c r="P50770" s="3337"/>
    </row>
    <row r="50771" spans="7:16" s="1634" customFormat="1">
      <c r="G50771" s="3336"/>
      <c r="P50771" s="3337"/>
    </row>
    <row r="50772" spans="7:16" s="1634" customFormat="1">
      <c r="G50772" s="3336"/>
      <c r="P50772" s="3337"/>
    </row>
    <row r="50773" spans="7:16" s="1634" customFormat="1">
      <c r="G50773" s="3336"/>
      <c r="P50773" s="3337"/>
    </row>
    <row r="50774" spans="7:16" s="1634" customFormat="1">
      <c r="G50774" s="3336"/>
      <c r="P50774" s="3337"/>
    </row>
    <row r="50775" spans="7:16" s="1634" customFormat="1">
      <c r="G50775" s="3336"/>
      <c r="P50775" s="3337"/>
    </row>
    <row r="50776" spans="7:16" s="1634" customFormat="1">
      <c r="G50776" s="3336"/>
      <c r="P50776" s="3337"/>
    </row>
    <row r="50777" spans="7:16" s="1634" customFormat="1">
      <c r="G50777" s="3336"/>
      <c r="P50777" s="3337"/>
    </row>
    <row r="50778" spans="7:16" s="1634" customFormat="1">
      <c r="G50778" s="3336"/>
      <c r="P50778" s="3337"/>
    </row>
    <row r="50779" spans="7:16" s="1634" customFormat="1">
      <c r="G50779" s="3336"/>
      <c r="P50779" s="3337"/>
    </row>
    <row r="50780" spans="7:16" s="1634" customFormat="1">
      <c r="G50780" s="3336"/>
      <c r="P50780" s="3337"/>
    </row>
    <row r="50781" spans="7:16" s="1634" customFormat="1">
      <c r="G50781" s="3336"/>
      <c r="P50781" s="3337"/>
    </row>
    <row r="50782" spans="7:16" s="1634" customFormat="1">
      <c r="G50782" s="3336"/>
      <c r="P50782" s="3337"/>
    </row>
    <row r="50783" spans="7:16" s="1634" customFormat="1">
      <c r="G50783" s="3336"/>
      <c r="P50783" s="3337"/>
    </row>
    <row r="50784" spans="7:16" s="1634" customFormat="1">
      <c r="G50784" s="3336"/>
      <c r="P50784" s="3337"/>
    </row>
    <row r="50785" spans="7:16" s="1634" customFormat="1">
      <c r="G50785" s="3336"/>
      <c r="P50785" s="3337"/>
    </row>
    <row r="50786" spans="7:16" s="1634" customFormat="1">
      <c r="G50786" s="3336"/>
      <c r="P50786" s="3337"/>
    </row>
    <row r="50787" spans="7:16" s="1634" customFormat="1">
      <c r="G50787" s="3336"/>
      <c r="P50787" s="3337"/>
    </row>
    <row r="50788" spans="7:16" s="1634" customFormat="1">
      <c r="G50788" s="3336"/>
      <c r="P50788" s="3337"/>
    </row>
    <row r="50789" spans="7:16" s="1634" customFormat="1">
      <c r="G50789" s="3336"/>
      <c r="P50789" s="3337"/>
    </row>
    <row r="50790" spans="7:16" s="1634" customFormat="1">
      <c r="G50790" s="3336"/>
      <c r="P50790" s="3337"/>
    </row>
    <row r="50791" spans="7:16" s="1634" customFormat="1">
      <c r="G50791" s="3336"/>
      <c r="P50791" s="3337"/>
    </row>
    <row r="50792" spans="7:16" s="1634" customFormat="1">
      <c r="G50792" s="3336"/>
      <c r="P50792" s="3337"/>
    </row>
    <row r="50793" spans="7:16" s="1634" customFormat="1">
      <c r="G50793" s="3336"/>
      <c r="P50793" s="3337"/>
    </row>
    <row r="50794" spans="7:16" s="1634" customFormat="1">
      <c r="G50794" s="3336"/>
      <c r="P50794" s="3337"/>
    </row>
    <row r="50795" spans="7:16" s="1634" customFormat="1">
      <c r="G50795" s="3336"/>
      <c r="P50795" s="3337"/>
    </row>
    <row r="50796" spans="7:16" s="1634" customFormat="1">
      <c r="G50796" s="3336"/>
      <c r="P50796" s="3337"/>
    </row>
    <row r="50797" spans="7:16" s="1634" customFormat="1">
      <c r="G50797" s="3336"/>
      <c r="P50797" s="3337"/>
    </row>
    <row r="50798" spans="7:16" s="1634" customFormat="1">
      <c r="G50798" s="3336"/>
      <c r="P50798" s="3337"/>
    </row>
    <row r="50799" spans="7:16" s="1634" customFormat="1">
      <c r="G50799" s="3336"/>
      <c r="P50799" s="3337"/>
    </row>
    <row r="50800" spans="7:16" s="1634" customFormat="1">
      <c r="G50800" s="3336"/>
      <c r="P50800" s="3337"/>
    </row>
    <row r="50801" spans="7:16" s="1634" customFormat="1">
      <c r="G50801" s="3336"/>
      <c r="P50801" s="3337"/>
    </row>
    <row r="50802" spans="7:16" s="1634" customFormat="1">
      <c r="G50802" s="3336"/>
      <c r="P50802" s="3337"/>
    </row>
    <row r="50803" spans="7:16" s="1634" customFormat="1">
      <c r="G50803" s="3336"/>
      <c r="P50803" s="3337"/>
    </row>
    <row r="50804" spans="7:16" s="1634" customFormat="1">
      <c r="G50804" s="3336"/>
      <c r="P50804" s="3337"/>
    </row>
    <row r="50805" spans="7:16" s="1634" customFormat="1">
      <c r="G50805" s="3336"/>
      <c r="P50805" s="3337"/>
    </row>
    <row r="50806" spans="7:16" s="1634" customFormat="1">
      <c r="G50806" s="3336"/>
      <c r="P50806" s="3337"/>
    </row>
    <row r="50807" spans="7:16" s="1634" customFormat="1">
      <c r="G50807" s="3336"/>
      <c r="P50807" s="3337"/>
    </row>
    <row r="50808" spans="7:16" s="1634" customFormat="1">
      <c r="G50808" s="3336"/>
      <c r="P50808" s="3337"/>
    </row>
    <row r="50809" spans="7:16" s="1634" customFormat="1">
      <c r="G50809" s="3336"/>
      <c r="P50809" s="3337"/>
    </row>
    <row r="50810" spans="7:16" s="1634" customFormat="1">
      <c r="G50810" s="3336"/>
      <c r="P50810" s="3337"/>
    </row>
    <row r="50811" spans="7:16" s="1634" customFormat="1">
      <c r="G50811" s="3336"/>
      <c r="P50811" s="3337"/>
    </row>
    <row r="50812" spans="7:16" s="1634" customFormat="1">
      <c r="G50812" s="3336"/>
      <c r="P50812" s="3337"/>
    </row>
    <row r="50813" spans="7:16" s="1634" customFormat="1">
      <c r="G50813" s="3336"/>
      <c r="P50813" s="3337"/>
    </row>
    <row r="50814" spans="7:16" s="1634" customFormat="1">
      <c r="G50814" s="3336"/>
      <c r="P50814" s="3337"/>
    </row>
    <row r="50815" spans="7:16" s="1634" customFormat="1">
      <c r="G50815" s="3336"/>
      <c r="P50815" s="3337"/>
    </row>
    <row r="50816" spans="7:16" s="1634" customFormat="1">
      <c r="G50816" s="3336"/>
      <c r="P50816" s="3337"/>
    </row>
    <row r="50817" spans="7:16" s="1634" customFormat="1">
      <c r="G50817" s="3336"/>
      <c r="P50817" s="3337"/>
    </row>
    <row r="50818" spans="7:16" s="1634" customFormat="1">
      <c r="G50818" s="3336"/>
      <c r="P50818" s="3337"/>
    </row>
    <row r="50819" spans="7:16" s="1634" customFormat="1">
      <c r="G50819" s="3336"/>
      <c r="P50819" s="3337"/>
    </row>
    <row r="50820" spans="7:16" s="1634" customFormat="1">
      <c r="G50820" s="3336"/>
      <c r="P50820" s="3337"/>
    </row>
    <row r="50821" spans="7:16" s="1634" customFormat="1">
      <c r="G50821" s="3336"/>
      <c r="P50821" s="3337"/>
    </row>
    <row r="50822" spans="7:16" s="1634" customFormat="1">
      <c r="G50822" s="3336"/>
      <c r="P50822" s="3337"/>
    </row>
    <row r="50823" spans="7:16" s="1634" customFormat="1">
      <c r="G50823" s="3336"/>
      <c r="P50823" s="3337"/>
    </row>
    <row r="50824" spans="7:16" s="1634" customFormat="1">
      <c r="G50824" s="3336"/>
      <c r="P50824" s="3337"/>
    </row>
    <row r="50825" spans="7:16" s="1634" customFormat="1">
      <c r="G50825" s="3336"/>
      <c r="P50825" s="3337"/>
    </row>
    <row r="50826" spans="7:16" s="1634" customFormat="1">
      <c r="G50826" s="3336"/>
      <c r="P50826" s="3337"/>
    </row>
    <row r="50827" spans="7:16" s="1634" customFormat="1">
      <c r="G50827" s="3336"/>
      <c r="P50827" s="3337"/>
    </row>
    <row r="50828" spans="7:16" s="1634" customFormat="1">
      <c r="G50828" s="3336"/>
      <c r="P50828" s="3337"/>
    </row>
    <row r="50829" spans="7:16" s="1634" customFormat="1">
      <c r="G50829" s="3336"/>
      <c r="P50829" s="3337"/>
    </row>
    <row r="50830" spans="7:16" s="1634" customFormat="1">
      <c r="G50830" s="3336"/>
      <c r="P50830" s="3337"/>
    </row>
    <row r="50831" spans="7:16" s="1634" customFormat="1">
      <c r="G50831" s="3336"/>
      <c r="P50831" s="3337"/>
    </row>
    <row r="50832" spans="7:16" s="1634" customFormat="1">
      <c r="G50832" s="3336"/>
      <c r="P50832" s="3337"/>
    </row>
    <row r="50833" spans="7:16" s="1634" customFormat="1">
      <c r="G50833" s="3336"/>
      <c r="P50833" s="3337"/>
    </row>
    <row r="50834" spans="7:16" s="1634" customFormat="1">
      <c r="G50834" s="3336"/>
      <c r="P50834" s="3337"/>
    </row>
    <row r="50835" spans="7:16" s="1634" customFormat="1">
      <c r="G50835" s="3336"/>
      <c r="P50835" s="3337"/>
    </row>
    <row r="50836" spans="7:16" s="1634" customFormat="1">
      <c r="G50836" s="3336"/>
      <c r="P50836" s="3337"/>
    </row>
    <row r="50837" spans="7:16" s="1634" customFormat="1">
      <c r="G50837" s="3336"/>
      <c r="P50837" s="3337"/>
    </row>
    <row r="50838" spans="7:16" s="1634" customFormat="1">
      <c r="G50838" s="3336"/>
      <c r="P50838" s="3337"/>
    </row>
    <row r="50839" spans="7:16" s="1634" customFormat="1">
      <c r="G50839" s="3336"/>
      <c r="P50839" s="3337"/>
    </row>
    <row r="50840" spans="7:16" s="1634" customFormat="1">
      <c r="G50840" s="3336"/>
      <c r="P50840" s="3337"/>
    </row>
    <row r="50841" spans="7:16" s="1634" customFormat="1">
      <c r="G50841" s="3336"/>
      <c r="P50841" s="3337"/>
    </row>
    <row r="50842" spans="7:16" s="1634" customFormat="1">
      <c r="G50842" s="3336"/>
      <c r="P50842" s="3337"/>
    </row>
    <row r="50843" spans="7:16" s="1634" customFormat="1">
      <c r="G50843" s="3336"/>
      <c r="P50843" s="3337"/>
    </row>
    <row r="50844" spans="7:16" s="1634" customFormat="1">
      <c r="G50844" s="3336"/>
      <c r="P50844" s="3337"/>
    </row>
    <row r="50845" spans="7:16" s="1634" customFormat="1">
      <c r="G50845" s="3336"/>
      <c r="P50845" s="3337"/>
    </row>
    <row r="50846" spans="7:16" s="1634" customFormat="1">
      <c r="G50846" s="3336"/>
      <c r="P50846" s="3337"/>
    </row>
    <row r="50847" spans="7:16" s="1634" customFormat="1">
      <c r="G50847" s="3336"/>
      <c r="P50847" s="3337"/>
    </row>
    <row r="50848" spans="7:16" s="1634" customFormat="1">
      <c r="G50848" s="3336"/>
      <c r="P50848" s="3337"/>
    </row>
    <row r="50849" spans="7:16" s="1634" customFormat="1">
      <c r="G50849" s="3336"/>
      <c r="P50849" s="3337"/>
    </row>
    <row r="50850" spans="7:16" s="1634" customFormat="1">
      <c r="G50850" s="3336"/>
      <c r="P50850" s="3337"/>
    </row>
    <row r="50851" spans="7:16" s="1634" customFormat="1">
      <c r="G50851" s="3336"/>
      <c r="P50851" s="3337"/>
    </row>
    <row r="50852" spans="7:16" s="1634" customFormat="1">
      <c r="G50852" s="3336"/>
      <c r="P50852" s="3337"/>
    </row>
    <row r="50853" spans="7:16" s="1634" customFormat="1">
      <c r="G50853" s="3336"/>
      <c r="P50853" s="3337"/>
    </row>
    <row r="50854" spans="7:16" s="1634" customFormat="1">
      <c r="G50854" s="3336"/>
      <c r="P50854" s="3337"/>
    </row>
    <row r="50855" spans="7:16" s="1634" customFormat="1">
      <c r="G50855" s="3336"/>
      <c r="P50855" s="3337"/>
    </row>
    <row r="50856" spans="7:16" s="1634" customFormat="1">
      <c r="G50856" s="3336"/>
      <c r="P50856" s="3337"/>
    </row>
    <row r="50857" spans="7:16" s="1634" customFormat="1">
      <c r="G50857" s="3336"/>
      <c r="P50857" s="3337"/>
    </row>
    <row r="50858" spans="7:16" s="1634" customFormat="1">
      <c r="G50858" s="3336"/>
      <c r="P50858" s="3337"/>
    </row>
    <row r="50859" spans="7:16" s="1634" customFormat="1">
      <c r="G50859" s="3336"/>
      <c r="P50859" s="3337"/>
    </row>
    <row r="50860" spans="7:16" s="1634" customFormat="1">
      <c r="G50860" s="3336"/>
      <c r="P50860" s="3337"/>
    </row>
    <row r="50861" spans="7:16" s="1634" customFormat="1">
      <c r="G50861" s="3336"/>
      <c r="P50861" s="3337"/>
    </row>
    <row r="50862" spans="7:16" s="1634" customFormat="1">
      <c r="G50862" s="3336"/>
      <c r="P50862" s="3337"/>
    </row>
    <row r="50863" spans="7:16" s="1634" customFormat="1">
      <c r="G50863" s="3336"/>
      <c r="P50863" s="3337"/>
    </row>
    <row r="50864" spans="7:16" s="1634" customFormat="1">
      <c r="G50864" s="3336"/>
      <c r="P50864" s="3337"/>
    </row>
    <row r="50865" spans="7:16" s="1634" customFormat="1">
      <c r="G50865" s="3336"/>
      <c r="P50865" s="3337"/>
    </row>
    <row r="50866" spans="7:16" s="1634" customFormat="1">
      <c r="G50866" s="3336"/>
      <c r="P50866" s="3337"/>
    </row>
    <row r="50867" spans="7:16" s="1634" customFormat="1">
      <c r="G50867" s="3336"/>
      <c r="P50867" s="3337"/>
    </row>
    <row r="50868" spans="7:16" s="1634" customFormat="1">
      <c r="G50868" s="3336"/>
      <c r="P50868" s="3337"/>
    </row>
    <row r="50869" spans="7:16" s="1634" customFormat="1">
      <c r="G50869" s="3336"/>
      <c r="P50869" s="3337"/>
    </row>
    <row r="50870" spans="7:16" s="1634" customFormat="1">
      <c r="G50870" s="3336"/>
      <c r="P50870" s="3337"/>
    </row>
    <row r="50871" spans="7:16" s="1634" customFormat="1">
      <c r="G50871" s="3336"/>
      <c r="P50871" s="3337"/>
    </row>
    <row r="50872" spans="7:16" s="1634" customFormat="1">
      <c r="G50872" s="3336"/>
      <c r="P50872" s="3337"/>
    </row>
    <row r="50873" spans="7:16" s="1634" customFormat="1">
      <c r="G50873" s="3336"/>
      <c r="P50873" s="3337"/>
    </row>
    <row r="50874" spans="7:16" s="1634" customFormat="1">
      <c r="G50874" s="3336"/>
      <c r="P50874" s="3337"/>
    </row>
    <row r="50875" spans="7:16" s="1634" customFormat="1">
      <c r="G50875" s="3336"/>
      <c r="P50875" s="3337"/>
    </row>
    <row r="50876" spans="7:16" s="1634" customFormat="1">
      <c r="G50876" s="3336"/>
      <c r="P50876" s="3337"/>
    </row>
    <row r="50877" spans="7:16" s="1634" customFormat="1">
      <c r="G50877" s="3336"/>
      <c r="P50877" s="3337"/>
    </row>
    <row r="50878" spans="7:16" s="1634" customFormat="1">
      <c r="G50878" s="3336"/>
      <c r="P50878" s="3337"/>
    </row>
    <row r="50879" spans="7:16" s="1634" customFormat="1">
      <c r="G50879" s="3336"/>
      <c r="P50879" s="3337"/>
    </row>
    <row r="50880" spans="7:16" s="1634" customFormat="1">
      <c r="G50880" s="3336"/>
      <c r="P50880" s="3337"/>
    </row>
    <row r="50881" spans="7:16" s="1634" customFormat="1">
      <c r="G50881" s="3336"/>
      <c r="P50881" s="3337"/>
    </row>
    <row r="50882" spans="7:16" s="1634" customFormat="1">
      <c r="G50882" s="3336"/>
      <c r="P50882" s="3337"/>
    </row>
    <row r="50883" spans="7:16" s="1634" customFormat="1">
      <c r="G50883" s="3336"/>
      <c r="P50883" s="3337"/>
    </row>
    <row r="50884" spans="7:16" s="1634" customFormat="1">
      <c r="G50884" s="3336"/>
      <c r="P50884" s="3337"/>
    </row>
    <row r="50885" spans="7:16" s="1634" customFormat="1">
      <c r="G50885" s="3336"/>
      <c r="P50885" s="3337"/>
    </row>
    <row r="50886" spans="7:16" s="1634" customFormat="1">
      <c r="G50886" s="3336"/>
      <c r="P50886" s="3337"/>
    </row>
    <row r="50887" spans="7:16" s="1634" customFormat="1">
      <c r="G50887" s="3336"/>
      <c r="P50887" s="3337"/>
    </row>
    <row r="50888" spans="7:16" s="1634" customFormat="1">
      <c r="G50888" s="3336"/>
      <c r="P50888" s="3337"/>
    </row>
    <row r="50889" spans="7:16" s="1634" customFormat="1">
      <c r="G50889" s="3336"/>
      <c r="P50889" s="3337"/>
    </row>
    <row r="50890" spans="7:16" s="1634" customFormat="1">
      <c r="G50890" s="3336"/>
      <c r="P50890" s="3337"/>
    </row>
    <row r="50891" spans="7:16" s="1634" customFormat="1">
      <c r="G50891" s="3336"/>
      <c r="P50891" s="3337"/>
    </row>
    <row r="50892" spans="7:16" s="1634" customFormat="1">
      <c r="G50892" s="3336"/>
      <c r="P50892" s="3337"/>
    </row>
    <row r="50893" spans="7:16" s="1634" customFormat="1">
      <c r="G50893" s="3336"/>
      <c r="P50893" s="3337"/>
    </row>
    <row r="50894" spans="7:16" s="1634" customFormat="1">
      <c r="G50894" s="3336"/>
      <c r="P50894" s="3337"/>
    </row>
    <row r="50895" spans="7:16" s="1634" customFormat="1">
      <c r="G50895" s="3336"/>
      <c r="P50895" s="3337"/>
    </row>
    <row r="50896" spans="7:16" s="1634" customFormat="1">
      <c r="G50896" s="3336"/>
      <c r="P50896" s="3337"/>
    </row>
    <row r="50897" spans="7:16" s="1634" customFormat="1">
      <c r="G50897" s="3336"/>
      <c r="P50897" s="3337"/>
    </row>
    <row r="50898" spans="7:16" s="1634" customFormat="1">
      <c r="G50898" s="3336"/>
      <c r="P50898" s="3337"/>
    </row>
    <row r="50899" spans="7:16" s="1634" customFormat="1">
      <c r="G50899" s="3336"/>
      <c r="P50899" s="3337"/>
    </row>
    <row r="50900" spans="7:16" s="1634" customFormat="1">
      <c r="G50900" s="3336"/>
      <c r="P50900" s="3337"/>
    </row>
    <row r="50901" spans="7:16" s="1634" customFormat="1">
      <c r="G50901" s="3336"/>
      <c r="P50901" s="3337"/>
    </row>
    <row r="50902" spans="7:16" s="1634" customFormat="1">
      <c r="G50902" s="3336"/>
      <c r="P50902" s="3337"/>
    </row>
    <row r="50903" spans="7:16" s="1634" customFormat="1">
      <c r="G50903" s="3336"/>
      <c r="P50903" s="3337"/>
    </row>
    <row r="50904" spans="7:16" s="1634" customFormat="1">
      <c r="G50904" s="3336"/>
      <c r="P50904" s="3337"/>
    </row>
    <row r="50905" spans="7:16" s="1634" customFormat="1">
      <c r="G50905" s="3336"/>
      <c r="P50905" s="3337"/>
    </row>
    <row r="50906" spans="7:16" s="1634" customFormat="1">
      <c r="G50906" s="3336"/>
      <c r="P50906" s="3337"/>
    </row>
    <row r="50907" spans="7:16" s="1634" customFormat="1">
      <c r="G50907" s="3336"/>
      <c r="P50907" s="3337"/>
    </row>
    <row r="50908" spans="7:16" s="1634" customFormat="1">
      <c r="G50908" s="3336"/>
      <c r="P50908" s="3337"/>
    </row>
    <row r="50909" spans="7:16" s="1634" customFormat="1">
      <c r="G50909" s="3336"/>
      <c r="P50909" s="3337"/>
    </row>
    <row r="50910" spans="7:16" s="1634" customFormat="1">
      <c r="G50910" s="3336"/>
      <c r="P50910" s="3337"/>
    </row>
    <row r="50911" spans="7:16" s="1634" customFormat="1">
      <c r="G50911" s="3336"/>
      <c r="P50911" s="3337"/>
    </row>
    <row r="50912" spans="7:16" s="1634" customFormat="1">
      <c r="G50912" s="3336"/>
      <c r="P50912" s="3337"/>
    </row>
    <row r="50913" spans="7:16" s="1634" customFormat="1">
      <c r="G50913" s="3336"/>
      <c r="P50913" s="3337"/>
    </row>
    <row r="50914" spans="7:16" s="1634" customFormat="1">
      <c r="G50914" s="3336"/>
      <c r="P50914" s="3337"/>
    </row>
    <row r="50915" spans="7:16" s="1634" customFormat="1">
      <c r="G50915" s="3336"/>
      <c r="P50915" s="3337"/>
    </row>
    <row r="50916" spans="7:16" s="1634" customFormat="1">
      <c r="G50916" s="3336"/>
      <c r="P50916" s="3337"/>
    </row>
    <row r="50917" spans="7:16" s="1634" customFormat="1">
      <c r="G50917" s="3336"/>
      <c r="P50917" s="3337"/>
    </row>
    <row r="50918" spans="7:16" s="1634" customFormat="1">
      <c r="G50918" s="3336"/>
      <c r="P50918" s="3337"/>
    </row>
    <row r="50919" spans="7:16" s="1634" customFormat="1">
      <c r="G50919" s="3336"/>
      <c r="P50919" s="3337"/>
    </row>
    <row r="50920" spans="7:16" s="1634" customFormat="1">
      <c r="G50920" s="3336"/>
      <c r="P50920" s="3337"/>
    </row>
    <row r="50921" spans="7:16" s="1634" customFormat="1">
      <c r="G50921" s="3336"/>
      <c r="P50921" s="3337"/>
    </row>
    <row r="50922" spans="7:16" s="1634" customFormat="1">
      <c r="G50922" s="3336"/>
      <c r="P50922" s="3337"/>
    </row>
    <row r="50923" spans="7:16" s="1634" customFormat="1">
      <c r="G50923" s="3336"/>
      <c r="P50923" s="3337"/>
    </row>
    <row r="50924" spans="7:16" s="1634" customFormat="1">
      <c r="G50924" s="3336"/>
      <c r="P50924" s="3337"/>
    </row>
    <row r="50925" spans="7:16" s="1634" customFormat="1">
      <c r="G50925" s="3336"/>
      <c r="P50925" s="3337"/>
    </row>
    <row r="50926" spans="7:16" s="1634" customFormat="1">
      <c r="G50926" s="3336"/>
      <c r="P50926" s="3337"/>
    </row>
    <row r="50927" spans="7:16" s="1634" customFormat="1">
      <c r="G50927" s="3336"/>
      <c r="P50927" s="3337"/>
    </row>
    <row r="50928" spans="7:16" s="1634" customFormat="1">
      <c r="G50928" s="3336"/>
      <c r="P50928" s="3337"/>
    </row>
    <row r="50929" spans="7:16" s="1634" customFormat="1">
      <c r="G50929" s="3336"/>
      <c r="P50929" s="3337"/>
    </row>
    <row r="50930" spans="7:16" s="1634" customFormat="1">
      <c r="G50930" s="3336"/>
      <c r="P50930" s="3337"/>
    </row>
    <row r="50931" spans="7:16" s="1634" customFormat="1">
      <c r="G50931" s="3336"/>
      <c r="P50931" s="3337"/>
    </row>
    <row r="50932" spans="7:16" s="1634" customFormat="1">
      <c r="G50932" s="3336"/>
      <c r="P50932" s="3337"/>
    </row>
    <row r="50933" spans="7:16" s="1634" customFormat="1">
      <c r="G50933" s="3336"/>
      <c r="P50933" s="3337"/>
    </row>
    <row r="50934" spans="7:16" s="1634" customFormat="1">
      <c r="G50934" s="3336"/>
      <c r="P50934" s="3337"/>
    </row>
    <row r="50935" spans="7:16" s="1634" customFormat="1">
      <c r="G50935" s="3336"/>
      <c r="P50935" s="3337"/>
    </row>
    <row r="50936" spans="7:16" s="1634" customFormat="1">
      <c r="G50936" s="3336"/>
      <c r="P50936" s="3337"/>
    </row>
    <row r="50937" spans="7:16" s="1634" customFormat="1">
      <c r="G50937" s="3336"/>
      <c r="P50937" s="3337"/>
    </row>
    <row r="50938" spans="7:16" s="1634" customFormat="1">
      <c r="G50938" s="3336"/>
      <c r="P50938" s="3337"/>
    </row>
    <row r="50939" spans="7:16" s="1634" customFormat="1">
      <c r="G50939" s="3336"/>
      <c r="P50939" s="3337"/>
    </row>
    <row r="50940" spans="7:16" s="1634" customFormat="1">
      <c r="G50940" s="3336"/>
      <c r="P50940" s="3337"/>
    </row>
    <row r="50941" spans="7:16" s="1634" customFormat="1">
      <c r="G50941" s="3336"/>
      <c r="P50941" s="3337"/>
    </row>
    <row r="50942" spans="7:16" s="1634" customFormat="1">
      <c r="G50942" s="3336"/>
      <c r="P50942" s="3337"/>
    </row>
    <row r="50943" spans="7:16" s="1634" customFormat="1">
      <c r="G50943" s="3336"/>
      <c r="P50943" s="3337"/>
    </row>
    <row r="50944" spans="7:16" s="1634" customFormat="1">
      <c r="G50944" s="3336"/>
      <c r="P50944" s="3337"/>
    </row>
    <row r="50945" spans="7:16" s="1634" customFormat="1">
      <c r="G50945" s="3336"/>
      <c r="P50945" s="3337"/>
    </row>
    <row r="50946" spans="7:16" s="1634" customFormat="1">
      <c r="G50946" s="3336"/>
      <c r="P50946" s="3337"/>
    </row>
    <row r="50947" spans="7:16" s="1634" customFormat="1">
      <c r="G50947" s="3336"/>
      <c r="P50947" s="3337"/>
    </row>
    <row r="50948" spans="7:16" s="1634" customFormat="1">
      <c r="G50948" s="3336"/>
      <c r="P50948" s="3337"/>
    </row>
    <row r="50949" spans="7:16" s="1634" customFormat="1">
      <c r="G50949" s="3336"/>
      <c r="P50949" s="3337"/>
    </row>
    <row r="50950" spans="7:16" s="1634" customFormat="1">
      <c r="G50950" s="3336"/>
      <c r="P50950" s="3337"/>
    </row>
    <row r="50951" spans="7:16" s="1634" customFormat="1">
      <c r="G50951" s="3336"/>
      <c r="P50951" s="3337"/>
    </row>
    <row r="50952" spans="7:16" s="1634" customFormat="1">
      <c r="G50952" s="3336"/>
      <c r="P50952" s="3337"/>
    </row>
    <row r="50953" spans="7:16" s="1634" customFormat="1">
      <c r="G50953" s="3336"/>
      <c r="P50953" s="3337"/>
    </row>
    <row r="50954" spans="7:16" s="1634" customFormat="1">
      <c r="G50954" s="3336"/>
      <c r="P50954" s="3337"/>
    </row>
    <row r="50955" spans="7:16" s="1634" customFormat="1">
      <c r="G50955" s="3336"/>
      <c r="P50955" s="3337"/>
    </row>
    <row r="50956" spans="7:16" s="1634" customFormat="1">
      <c r="G50956" s="3336"/>
      <c r="P50956" s="3337"/>
    </row>
    <row r="50957" spans="7:16" s="1634" customFormat="1">
      <c r="G50957" s="3336"/>
      <c r="P50957" s="3337"/>
    </row>
    <row r="50958" spans="7:16" s="1634" customFormat="1">
      <c r="G50958" s="3336"/>
      <c r="P50958" s="3337"/>
    </row>
    <row r="50959" spans="7:16" s="1634" customFormat="1">
      <c r="G50959" s="3336"/>
      <c r="P50959" s="3337"/>
    </row>
    <row r="50960" spans="7:16" s="1634" customFormat="1">
      <c r="G50960" s="3336"/>
      <c r="P50960" s="3337"/>
    </row>
    <row r="50961" spans="7:16" s="1634" customFormat="1">
      <c r="G50961" s="3336"/>
      <c r="P50961" s="3337"/>
    </row>
    <row r="50962" spans="7:16" s="1634" customFormat="1">
      <c r="G50962" s="3336"/>
      <c r="P50962" s="3337"/>
    </row>
    <row r="50963" spans="7:16" s="1634" customFormat="1">
      <c r="G50963" s="3336"/>
      <c r="P50963" s="3337"/>
    </row>
    <row r="50964" spans="7:16" s="1634" customFormat="1">
      <c r="G50964" s="3336"/>
      <c r="P50964" s="3337"/>
    </row>
    <row r="50965" spans="7:16" s="1634" customFormat="1">
      <c r="G50965" s="3336"/>
      <c r="P50965" s="3337"/>
    </row>
    <row r="50966" spans="7:16" s="1634" customFormat="1">
      <c r="G50966" s="3336"/>
      <c r="P50966" s="3337"/>
    </row>
    <row r="50967" spans="7:16" s="1634" customFormat="1">
      <c r="G50967" s="3336"/>
      <c r="P50967" s="3337"/>
    </row>
    <row r="50968" spans="7:16" s="1634" customFormat="1">
      <c r="G50968" s="3336"/>
      <c r="P50968" s="3337"/>
    </row>
    <row r="50969" spans="7:16" s="1634" customFormat="1">
      <c r="G50969" s="3336"/>
      <c r="P50969" s="3337"/>
    </row>
    <row r="50970" spans="7:16" s="1634" customFormat="1">
      <c r="G50970" s="3336"/>
      <c r="P50970" s="3337"/>
    </row>
    <row r="50971" spans="7:16" s="1634" customFormat="1">
      <c r="G50971" s="3336"/>
      <c r="P50971" s="3337"/>
    </row>
    <row r="50972" spans="7:16" s="1634" customFormat="1">
      <c r="G50972" s="3336"/>
      <c r="P50972" s="3337"/>
    </row>
    <row r="50973" spans="7:16" s="1634" customFormat="1">
      <c r="G50973" s="3336"/>
      <c r="P50973" s="3337"/>
    </row>
    <row r="50974" spans="7:16" s="1634" customFormat="1">
      <c r="G50974" s="3336"/>
      <c r="P50974" s="3337"/>
    </row>
    <row r="50975" spans="7:16" s="1634" customFormat="1">
      <c r="G50975" s="3336"/>
      <c r="P50975" s="3337"/>
    </row>
    <row r="50976" spans="7:16" s="1634" customFormat="1">
      <c r="G50976" s="3336"/>
      <c r="P50976" s="3337"/>
    </row>
    <row r="50977" spans="7:16" s="1634" customFormat="1">
      <c r="G50977" s="3336"/>
      <c r="P50977" s="3337"/>
    </row>
    <row r="50978" spans="7:16" s="1634" customFormat="1">
      <c r="G50978" s="3336"/>
      <c r="P50978" s="3337"/>
    </row>
    <row r="50979" spans="7:16" s="1634" customFormat="1">
      <c r="G50979" s="3336"/>
      <c r="P50979" s="3337"/>
    </row>
    <row r="50980" spans="7:16" s="1634" customFormat="1">
      <c r="G50980" s="3336"/>
      <c r="P50980" s="3337"/>
    </row>
    <row r="50981" spans="7:16" s="1634" customFormat="1">
      <c r="G50981" s="3336"/>
      <c r="P50981" s="3337"/>
    </row>
    <row r="50982" spans="7:16" s="1634" customFormat="1">
      <c r="G50982" s="3336"/>
      <c r="P50982" s="3337"/>
    </row>
    <row r="50983" spans="7:16" s="1634" customFormat="1">
      <c r="G50983" s="3336"/>
      <c r="P50983" s="3337"/>
    </row>
    <row r="50984" spans="7:16" s="1634" customFormat="1">
      <c r="G50984" s="3336"/>
      <c r="P50984" s="3337"/>
    </row>
    <row r="50985" spans="7:16" s="1634" customFormat="1">
      <c r="G50985" s="3336"/>
      <c r="P50985" s="3337"/>
    </row>
    <row r="50986" spans="7:16" s="1634" customFormat="1">
      <c r="G50986" s="3336"/>
      <c r="P50986" s="3337"/>
    </row>
    <row r="50987" spans="7:16" s="1634" customFormat="1">
      <c r="G50987" s="3336"/>
      <c r="P50987" s="3337"/>
    </row>
    <row r="50988" spans="7:16" s="1634" customFormat="1">
      <c r="G50988" s="3336"/>
      <c r="P50988" s="3337"/>
    </row>
    <row r="50989" spans="7:16" s="1634" customFormat="1">
      <c r="G50989" s="3336"/>
      <c r="P50989" s="3337"/>
    </row>
    <row r="50990" spans="7:16" s="1634" customFormat="1">
      <c r="G50990" s="3336"/>
      <c r="P50990" s="3337"/>
    </row>
    <row r="50991" spans="7:16" s="1634" customFormat="1">
      <c r="G50991" s="3336"/>
      <c r="P50991" s="3337"/>
    </row>
    <row r="50992" spans="7:16" s="1634" customFormat="1">
      <c r="G50992" s="3336"/>
      <c r="P50992" s="3337"/>
    </row>
    <row r="50993" spans="7:16" s="1634" customFormat="1">
      <c r="G50993" s="3336"/>
      <c r="P50993" s="3337"/>
    </row>
    <row r="50994" spans="7:16" s="1634" customFormat="1">
      <c r="G50994" s="3336"/>
      <c r="P50994" s="3337"/>
    </row>
    <row r="50995" spans="7:16" s="1634" customFormat="1">
      <c r="G50995" s="3336"/>
      <c r="P50995" s="3337"/>
    </row>
    <row r="50996" spans="7:16" s="1634" customFormat="1">
      <c r="G50996" s="3336"/>
      <c r="P50996" s="3337"/>
    </row>
    <row r="50997" spans="7:16" s="1634" customFormat="1">
      <c r="G50997" s="3336"/>
      <c r="P50997" s="3337"/>
    </row>
    <row r="50998" spans="7:16" s="1634" customFormat="1">
      <c r="G50998" s="3336"/>
      <c r="P50998" s="3337"/>
    </row>
    <row r="50999" spans="7:16" s="1634" customFormat="1">
      <c r="G50999" s="3336"/>
      <c r="P50999" s="3337"/>
    </row>
    <row r="51000" spans="7:16" s="1634" customFormat="1">
      <c r="G51000" s="3336"/>
      <c r="P51000" s="3337"/>
    </row>
    <row r="51001" spans="7:16" s="1634" customFormat="1">
      <c r="G51001" s="3336"/>
      <c r="P51001" s="3337"/>
    </row>
    <row r="51002" spans="7:16" s="1634" customFormat="1">
      <c r="G51002" s="3336"/>
      <c r="P51002" s="3337"/>
    </row>
    <row r="51003" spans="7:16" s="1634" customFormat="1">
      <c r="G51003" s="3336"/>
      <c r="P51003" s="3337"/>
    </row>
    <row r="51004" spans="7:16" s="1634" customFormat="1">
      <c r="G51004" s="3336"/>
      <c r="P51004" s="3337"/>
    </row>
    <row r="51005" spans="7:16" s="1634" customFormat="1">
      <c r="G51005" s="3336"/>
      <c r="P51005" s="3337"/>
    </row>
    <row r="51006" spans="7:16" s="1634" customFormat="1">
      <c r="G51006" s="3336"/>
      <c r="P51006" s="3337"/>
    </row>
    <row r="51007" spans="7:16" s="1634" customFormat="1">
      <c r="G51007" s="3336"/>
      <c r="P51007" s="3337"/>
    </row>
    <row r="51008" spans="7:16" s="1634" customFormat="1">
      <c r="G51008" s="3336"/>
      <c r="P51008" s="3337"/>
    </row>
    <row r="51009" spans="7:16" s="1634" customFormat="1">
      <c r="G51009" s="3336"/>
      <c r="P51009" s="3337"/>
    </row>
    <row r="51010" spans="7:16" s="1634" customFormat="1">
      <c r="G51010" s="3336"/>
      <c r="P51010" s="3337"/>
    </row>
    <row r="51011" spans="7:16" s="1634" customFormat="1">
      <c r="G51011" s="3336"/>
      <c r="P51011" s="3337"/>
    </row>
    <row r="51012" spans="7:16" s="1634" customFormat="1">
      <c r="G51012" s="3336"/>
      <c r="P51012" s="3337"/>
    </row>
    <row r="51013" spans="7:16" s="1634" customFormat="1">
      <c r="G51013" s="3336"/>
      <c r="P51013" s="3337"/>
    </row>
    <row r="51014" spans="7:16" s="1634" customFormat="1">
      <c r="G51014" s="3336"/>
      <c r="P51014" s="3337"/>
    </row>
    <row r="51015" spans="7:16" s="1634" customFormat="1">
      <c r="G51015" s="3336"/>
      <c r="P51015" s="3337"/>
    </row>
    <row r="51016" spans="7:16" s="1634" customFormat="1">
      <c r="G51016" s="3336"/>
      <c r="P51016" s="3337"/>
    </row>
    <row r="51017" spans="7:16" s="1634" customFormat="1">
      <c r="G51017" s="3336"/>
      <c r="P51017" s="3337"/>
    </row>
    <row r="51018" spans="7:16" s="1634" customFormat="1">
      <c r="G51018" s="3336"/>
      <c r="P51018" s="3337"/>
    </row>
    <row r="51019" spans="7:16" s="1634" customFormat="1">
      <c r="G51019" s="3336"/>
      <c r="P51019" s="3337"/>
    </row>
    <row r="51020" spans="7:16" s="1634" customFormat="1">
      <c r="G51020" s="3336"/>
      <c r="P51020" s="3337"/>
    </row>
    <row r="51021" spans="7:16" s="1634" customFormat="1">
      <c r="G51021" s="3336"/>
      <c r="P51021" s="3337"/>
    </row>
    <row r="51022" spans="7:16" s="1634" customFormat="1">
      <c r="G51022" s="3336"/>
      <c r="P51022" s="3337"/>
    </row>
    <row r="51023" spans="7:16" s="1634" customFormat="1">
      <c r="G51023" s="3336"/>
      <c r="P51023" s="3337"/>
    </row>
    <row r="51024" spans="7:16" s="1634" customFormat="1">
      <c r="G51024" s="3336"/>
      <c r="P51024" s="3337"/>
    </row>
    <row r="51025" spans="7:16" s="1634" customFormat="1">
      <c r="G51025" s="3336"/>
      <c r="P51025" s="3337"/>
    </row>
    <row r="51026" spans="7:16" s="1634" customFormat="1">
      <c r="G51026" s="3336"/>
      <c r="P51026" s="3337"/>
    </row>
    <row r="51027" spans="7:16" s="1634" customFormat="1">
      <c r="G51027" s="3336"/>
      <c r="P51027" s="3337"/>
    </row>
    <row r="51028" spans="7:16" s="1634" customFormat="1">
      <c r="G51028" s="3336"/>
      <c r="P51028" s="3337"/>
    </row>
    <row r="51029" spans="7:16" s="1634" customFormat="1">
      <c r="G51029" s="3336"/>
      <c r="P51029" s="3337"/>
    </row>
    <row r="51030" spans="7:16" s="1634" customFormat="1">
      <c r="G51030" s="3336"/>
      <c r="P51030" s="3337"/>
    </row>
    <row r="51031" spans="7:16" s="1634" customFormat="1">
      <c r="G51031" s="3336"/>
      <c r="P51031" s="3337"/>
    </row>
    <row r="51032" spans="7:16" s="1634" customFormat="1">
      <c r="G51032" s="3336"/>
      <c r="P51032" s="3337"/>
    </row>
    <row r="51033" spans="7:16" s="1634" customFormat="1">
      <c r="G51033" s="3336"/>
      <c r="P51033" s="3337"/>
    </row>
    <row r="51034" spans="7:16" s="1634" customFormat="1">
      <c r="G51034" s="3336"/>
      <c r="P51034" s="3337"/>
    </row>
    <row r="51035" spans="7:16" s="1634" customFormat="1">
      <c r="G51035" s="3336"/>
      <c r="P51035" s="3337"/>
    </row>
    <row r="51036" spans="7:16" s="1634" customFormat="1">
      <c r="G51036" s="3336"/>
      <c r="P51036" s="3337"/>
    </row>
    <row r="51037" spans="7:16" s="1634" customFormat="1">
      <c r="G51037" s="3336"/>
      <c r="P51037" s="3337"/>
    </row>
    <row r="51038" spans="7:16" s="1634" customFormat="1">
      <c r="G51038" s="3336"/>
      <c r="P51038" s="3337"/>
    </row>
    <row r="51039" spans="7:16" s="1634" customFormat="1">
      <c r="G51039" s="3336"/>
      <c r="P51039" s="3337"/>
    </row>
    <row r="51040" spans="7:16" s="1634" customFormat="1">
      <c r="G51040" s="3336"/>
      <c r="P51040" s="3337"/>
    </row>
    <row r="51041" spans="7:16" s="1634" customFormat="1">
      <c r="G51041" s="3336"/>
      <c r="P51041" s="3337"/>
    </row>
    <row r="51042" spans="7:16" s="1634" customFormat="1">
      <c r="G51042" s="3336"/>
      <c r="P51042" s="3337"/>
    </row>
    <row r="51043" spans="7:16" s="1634" customFormat="1">
      <c r="G51043" s="3336"/>
      <c r="P51043" s="3337"/>
    </row>
    <row r="51044" spans="7:16" s="1634" customFormat="1">
      <c r="G51044" s="3336"/>
      <c r="P51044" s="3337"/>
    </row>
    <row r="51045" spans="7:16" s="1634" customFormat="1">
      <c r="G51045" s="3336"/>
      <c r="P51045" s="3337"/>
    </row>
    <row r="51046" spans="7:16" s="1634" customFormat="1">
      <c r="G51046" s="3336"/>
      <c r="P51046" s="3337"/>
    </row>
    <row r="51047" spans="7:16" s="1634" customFormat="1">
      <c r="G51047" s="3336"/>
      <c r="P51047" s="3337"/>
    </row>
    <row r="51048" spans="7:16" s="1634" customFormat="1">
      <c r="G51048" s="3336"/>
      <c r="P51048" s="3337"/>
    </row>
    <row r="51049" spans="7:16" s="1634" customFormat="1">
      <c r="G51049" s="3336"/>
      <c r="P51049" s="3337"/>
    </row>
    <row r="51050" spans="7:16" s="1634" customFormat="1">
      <c r="G51050" s="3336"/>
      <c r="P51050" s="3337"/>
    </row>
    <row r="51051" spans="7:16" s="1634" customFormat="1">
      <c r="G51051" s="3336"/>
      <c r="P51051" s="3337"/>
    </row>
    <row r="51052" spans="7:16" s="1634" customFormat="1">
      <c r="G51052" s="3336"/>
      <c r="P51052" s="3337"/>
    </row>
    <row r="51053" spans="7:16" s="1634" customFormat="1">
      <c r="G51053" s="3336"/>
      <c r="P51053" s="3337"/>
    </row>
    <row r="51054" spans="7:16" s="1634" customFormat="1">
      <c r="G51054" s="3336"/>
      <c r="P51054" s="3337"/>
    </row>
    <row r="51055" spans="7:16" s="1634" customFormat="1">
      <c r="G51055" s="3336"/>
      <c r="P51055" s="3337"/>
    </row>
    <row r="51056" spans="7:16" s="1634" customFormat="1">
      <c r="G51056" s="3336"/>
      <c r="P51056" s="3337"/>
    </row>
    <row r="51057" spans="7:16" s="1634" customFormat="1">
      <c r="G51057" s="3336"/>
      <c r="P51057" s="3337"/>
    </row>
    <row r="51058" spans="7:16" s="1634" customFormat="1">
      <c r="G51058" s="3336"/>
      <c r="P51058" s="3337"/>
    </row>
    <row r="51059" spans="7:16" s="1634" customFormat="1">
      <c r="G51059" s="3336"/>
      <c r="P51059" s="3337"/>
    </row>
    <row r="51060" spans="7:16" s="1634" customFormat="1">
      <c r="G51060" s="3336"/>
      <c r="P51060" s="3337"/>
    </row>
    <row r="51061" spans="7:16" s="1634" customFormat="1">
      <c r="G51061" s="3336"/>
      <c r="P51061" s="3337"/>
    </row>
    <row r="51062" spans="7:16" s="1634" customFormat="1">
      <c r="G51062" s="3336"/>
      <c r="P51062" s="3337"/>
    </row>
    <row r="51063" spans="7:16" s="1634" customFormat="1">
      <c r="G51063" s="3336"/>
      <c r="P51063" s="3337"/>
    </row>
    <row r="51064" spans="7:16" s="1634" customFormat="1">
      <c r="G51064" s="3336"/>
      <c r="P51064" s="3337"/>
    </row>
    <row r="51065" spans="7:16" s="1634" customFormat="1">
      <c r="G51065" s="3336"/>
      <c r="P51065" s="3337"/>
    </row>
    <row r="51066" spans="7:16" s="1634" customFormat="1">
      <c r="G51066" s="3336"/>
      <c r="P51066" s="3337"/>
    </row>
    <row r="51067" spans="7:16" s="1634" customFormat="1">
      <c r="G51067" s="3336"/>
      <c r="P51067" s="3337"/>
    </row>
    <row r="51068" spans="7:16" s="1634" customFormat="1">
      <c r="G51068" s="3336"/>
      <c r="P51068" s="3337"/>
    </row>
    <row r="51069" spans="7:16" s="1634" customFormat="1">
      <c r="G51069" s="3336"/>
      <c r="P51069" s="3337"/>
    </row>
    <row r="51070" spans="7:16" s="1634" customFormat="1">
      <c r="G51070" s="3336"/>
      <c r="P51070" s="3337"/>
    </row>
    <row r="51071" spans="7:16" s="1634" customFormat="1">
      <c r="G51071" s="3336"/>
      <c r="P51071" s="3337"/>
    </row>
    <row r="51072" spans="7:16" s="1634" customFormat="1">
      <c r="G51072" s="3336"/>
      <c r="P51072" s="3337"/>
    </row>
    <row r="51073" spans="7:16" s="1634" customFormat="1">
      <c r="G51073" s="3336"/>
      <c r="P51073" s="3337"/>
    </row>
    <row r="51074" spans="7:16" s="1634" customFormat="1">
      <c r="G51074" s="3336"/>
      <c r="P51074" s="3337"/>
    </row>
    <row r="51075" spans="7:16" s="1634" customFormat="1">
      <c r="G51075" s="3336"/>
      <c r="P51075" s="3337"/>
    </row>
    <row r="51076" spans="7:16" s="1634" customFormat="1">
      <c r="G51076" s="3336"/>
      <c r="P51076" s="3337"/>
    </row>
    <row r="51077" spans="7:16" s="1634" customFormat="1">
      <c r="G51077" s="3336"/>
      <c r="P51077" s="3337"/>
    </row>
    <row r="51078" spans="7:16" s="1634" customFormat="1">
      <c r="G51078" s="3336"/>
      <c r="P51078" s="3337"/>
    </row>
    <row r="51079" spans="7:16" s="1634" customFormat="1">
      <c r="G51079" s="3336"/>
      <c r="P51079" s="3337"/>
    </row>
    <row r="51080" spans="7:16" s="1634" customFormat="1">
      <c r="G51080" s="3336"/>
      <c r="P51080" s="3337"/>
    </row>
    <row r="51081" spans="7:16" s="1634" customFormat="1">
      <c r="G51081" s="3336"/>
      <c r="P51081" s="3337"/>
    </row>
    <row r="51082" spans="7:16" s="1634" customFormat="1">
      <c r="G51082" s="3336"/>
      <c r="P51082" s="3337"/>
    </row>
    <row r="51083" spans="7:16" s="1634" customFormat="1">
      <c r="G51083" s="3336"/>
      <c r="P51083" s="3337"/>
    </row>
    <row r="51084" spans="7:16" s="1634" customFormat="1">
      <c r="G51084" s="3336"/>
      <c r="P51084" s="3337"/>
    </row>
    <row r="51085" spans="7:16" s="1634" customFormat="1">
      <c r="G51085" s="3336"/>
      <c r="P51085" s="3337"/>
    </row>
    <row r="51086" spans="7:16" s="1634" customFormat="1">
      <c r="G51086" s="3336"/>
      <c r="P51086" s="3337"/>
    </row>
    <row r="51087" spans="7:16" s="1634" customFormat="1">
      <c r="G51087" s="3336"/>
      <c r="P51087" s="3337"/>
    </row>
    <row r="51088" spans="7:16" s="1634" customFormat="1">
      <c r="G51088" s="3336"/>
      <c r="P51088" s="3337"/>
    </row>
    <row r="51089" spans="7:16" s="1634" customFormat="1">
      <c r="G51089" s="3336"/>
      <c r="P51089" s="3337"/>
    </row>
    <row r="51090" spans="7:16" s="1634" customFormat="1">
      <c r="G51090" s="3336"/>
      <c r="P51090" s="3337"/>
    </row>
    <row r="51091" spans="7:16" s="1634" customFormat="1">
      <c r="G51091" s="3336"/>
      <c r="P51091" s="3337"/>
    </row>
    <row r="51092" spans="7:16" s="1634" customFormat="1">
      <c r="G51092" s="3336"/>
      <c r="P51092" s="3337"/>
    </row>
    <row r="51093" spans="7:16" s="1634" customFormat="1">
      <c r="G51093" s="3336"/>
      <c r="P51093" s="3337"/>
    </row>
    <row r="51094" spans="7:16" s="1634" customFormat="1">
      <c r="G51094" s="3336"/>
      <c r="P51094" s="3337"/>
    </row>
    <row r="51095" spans="7:16" s="1634" customFormat="1">
      <c r="G51095" s="3336"/>
      <c r="P51095" s="3337"/>
    </row>
    <row r="51096" spans="7:16" s="1634" customFormat="1">
      <c r="G51096" s="3336"/>
      <c r="P51096" s="3337"/>
    </row>
    <row r="51097" spans="7:16" s="1634" customFormat="1">
      <c r="G51097" s="3336"/>
      <c r="P51097" s="3337"/>
    </row>
    <row r="51098" spans="7:16" s="1634" customFormat="1">
      <c r="G51098" s="3336"/>
      <c r="P51098" s="3337"/>
    </row>
    <row r="51099" spans="7:16" s="1634" customFormat="1">
      <c r="G51099" s="3336"/>
      <c r="P51099" s="3337"/>
    </row>
    <row r="51100" spans="7:16" s="1634" customFormat="1">
      <c r="G51100" s="3336"/>
      <c r="P51100" s="3337"/>
    </row>
    <row r="51101" spans="7:16" s="1634" customFormat="1">
      <c r="G51101" s="3336"/>
      <c r="P51101" s="3337"/>
    </row>
    <row r="51102" spans="7:16" s="1634" customFormat="1">
      <c r="G51102" s="3336"/>
      <c r="P51102" s="3337"/>
    </row>
    <row r="51103" spans="7:16" s="1634" customFormat="1">
      <c r="G51103" s="3336"/>
      <c r="P51103" s="3337"/>
    </row>
    <row r="51104" spans="7:16" s="1634" customFormat="1">
      <c r="G51104" s="3336"/>
      <c r="P51104" s="3337"/>
    </row>
    <row r="51105" spans="7:16" s="1634" customFormat="1">
      <c r="G51105" s="3336"/>
      <c r="P51105" s="3337"/>
    </row>
    <row r="51106" spans="7:16" s="1634" customFormat="1">
      <c r="G51106" s="3336"/>
      <c r="P51106" s="3337"/>
    </row>
    <row r="51107" spans="7:16" s="1634" customFormat="1">
      <c r="G51107" s="3336"/>
      <c r="P51107" s="3337"/>
    </row>
    <row r="51108" spans="7:16" s="1634" customFormat="1">
      <c r="G51108" s="3336"/>
      <c r="P51108" s="3337"/>
    </row>
    <row r="51109" spans="7:16" s="1634" customFormat="1">
      <c r="G51109" s="3336"/>
      <c r="P51109" s="3337"/>
    </row>
    <row r="51110" spans="7:16" s="1634" customFormat="1">
      <c r="G51110" s="3336"/>
      <c r="P51110" s="3337"/>
    </row>
    <row r="51111" spans="7:16" s="1634" customFormat="1">
      <c r="G51111" s="3336"/>
      <c r="P51111" s="3337"/>
    </row>
    <row r="51112" spans="7:16" s="1634" customFormat="1">
      <c r="G51112" s="3336"/>
      <c r="P51112" s="3337"/>
    </row>
    <row r="51113" spans="7:16" s="1634" customFormat="1">
      <c r="G51113" s="3336"/>
      <c r="P51113" s="3337"/>
    </row>
    <row r="51114" spans="7:16" s="1634" customFormat="1">
      <c r="G51114" s="3336"/>
      <c r="P51114" s="3337"/>
    </row>
    <row r="51115" spans="7:16" s="1634" customFormat="1">
      <c r="G51115" s="3336"/>
      <c r="P51115" s="3337"/>
    </row>
    <row r="51116" spans="7:16" s="1634" customFormat="1">
      <c r="G51116" s="3336"/>
      <c r="P51116" s="3337"/>
    </row>
    <row r="51117" spans="7:16" s="1634" customFormat="1">
      <c r="G51117" s="3336"/>
      <c r="P51117" s="3337"/>
    </row>
    <row r="51118" spans="7:16" s="1634" customFormat="1">
      <c r="G51118" s="3336"/>
      <c r="P51118" s="3337"/>
    </row>
    <row r="51119" spans="7:16" s="1634" customFormat="1">
      <c r="G51119" s="3336"/>
      <c r="P51119" s="3337"/>
    </row>
    <row r="51120" spans="7:16" s="1634" customFormat="1">
      <c r="G51120" s="3336"/>
      <c r="P51120" s="3337"/>
    </row>
    <row r="51121" spans="7:16" s="1634" customFormat="1">
      <c r="G51121" s="3336"/>
      <c r="P51121" s="3337"/>
    </row>
    <row r="51122" spans="7:16" s="1634" customFormat="1">
      <c r="G51122" s="3336"/>
      <c r="P51122" s="3337"/>
    </row>
    <row r="51123" spans="7:16" s="1634" customFormat="1">
      <c r="G51123" s="3336"/>
      <c r="P51123" s="3337"/>
    </row>
    <row r="51124" spans="7:16" s="1634" customFormat="1">
      <c r="G51124" s="3336"/>
      <c r="P51124" s="3337"/>
    </row>
    <row r="51125" spans="7:16" s="1634" customFormat="1">
      <c r="G51125" s="3336"/>
      <c r="P51125" s="3337"/>
    </row>
    <row r="51126" spans="7:16" s="1634" customFormat="1">
      <c r="G51126" s="3336"/>
      <c r="P51126" s="3337"/>
    </row>
    <row r="51127" spans="7:16" s="1634" customFormat="1">
      <c r="G51127" s="3336"/>
      <c r="P51127" s="3337"/>
    </row>
    <row r="51128" spans="7:16" s="1634" customFormat="1">
      <c r="G51128" s="3336"/>
      <c r="P51128" s="3337"/>
    </row>
    <row r="51129" spans="7:16" s="1634" customFormat="1">
      <c r="G51129" s="3336"/>
      <c r="P51129" s="3337"/>
    </row>
    <row r="51130" spans="7:16" s="1634" customFormat="1">
      <c r="G51130" s="3336"/>
      <c r="P51130" s="3337"/>
    </row>
    <row r="51131" spans="7:16" s="1634" customFormat="1">
      <c r="G51131" s="3336"/>
      <c r="P51131" s="3337"/>
    </row>
    <row r="51132" spans="7:16" s="1634" customFormat="1">
      <c r="G51132" s="3336"/>
      <c r="P51132" s="3337"/>
    </row>
    <row r="51133" spans="7:16" s="1634" customFormat="1">
      <c r="G51133" s="3336"/>
      <c r="P51133" s="3337"/>
    </row>
    <row r="51134" spans="7:16" s="1634" customFormat="1">
      <c r="G51134" s="3336"/>
      <c r="P51134" s="3337"/>
    </row>
    <row r="51135" spans="7:16" s="1634" customFormat="1">
      <c r="G51135" s="3336"/>
      <c r="P51135" s="3337"/>
    </row>
    <row r="51136" spans="7:16" s="1634" customFormat="1">
      <c r="G51136" s="3336"/>
      <c r="P51136" s="3337"/>
    </row>
    <row r="51137" spans="7:16" s="1634" customFormat="1">
      <c r="G51137" s="3336"/>
      <c r="P51137" s="3337"/>
    </row>
    <row r="51138" spans="7:16" s="1634" customFormat="1">
      <c r="G51138" s="3336"/>
      <c r="P51138" s="3337"/>
    </row>
    <row r="51139" spans="7:16" s="1634" customFormat="1">
      <c r="G51139" s="3336"/>
      <c r="P51139" s="3337"/>
    </row>
    <row r="51140" spans="7:16" s="1634" customFormat="1">
      <c r="G51140" s="3336"/>
      <c r="P51140" s="3337"/>
    </row>
    <row r="51141" spans="7:16" s="1634" customFormat="1">
      <c r="G51141" s="3336"/>
      <c r="P51141" s="3337"/>
    </row>
    <row r="51142" spans="7:16" s="1634" customFormat="1">
      <c r="G51142" s="3336"/>
      <c r="P51142" s="3337"/>
    </row>
    <row r="51143" spans="7:16" s="1634" customFormat="1">
      <c r="G51143" s="3336"/>
      <c r="P51143" s="3337"/>
    </row>
    <row r="51144" spans="7:16" s="1634" customFormat="1">
      <c r="G51144" s="3336"/>
      <c r="P51144" s="3337"/>
    </row>
    <row r="51145" spans="7:16" s="1634" customFormat="1">
      <c r="G51145" s="3336"/>
      <c r="P51145" s="3337"/>
    </row>
    <row r="51146" spans="7:16" s="1634" customFormat="1">
      <c r="G51146" s="3336"/>
      <c r="P51146" s="3337"/>
    </row>
    <row r="51147" spans="7:16" s="1634" customFormat="1">
      <c r="G51147" s="3336"/>
      <c r="P51147" s="3337"/>
    </row>
    <row r="51148" spans="7:16" s="1634" customFormat="1">
      <c r="G51148" s="3336"/>
      <c r="P51148" s="3337"/>
    </row>
    <row r="51149" spans="7:16" s="1634" customFormat="1">
      <c r="G51149" s="3336"/>
      <c r="P51149" s="3337"/>
    </row>
    <row r="51150" spans="7:16" s="1634" customFormat="1">
      <c r="G51150" s="3336"/>
      <c r="P51150" s="3337"/>
    </row>
    <row r="51151" spans="7:16" s="1634" customFormat="1">
      <c r="G51151" s="3336"/>
      <c r="P51151" s="3337"/>
    </row>
    <row r="51152" spans="7:16" s="1634" customFormat="1">
      <c r="G51152" s="3336"/>
      <c r="P51152" s="3337"/>
    </row>
    <row r="51153" spans="7:16" s="1634" customFormat="1">
      <c r="G51153" s="3336"/>
      <c r="P51153" s="3337"/>
    </row>
    <row r="51154" spans="7:16" s="1634" customFormat="1">
      <c r="G51154" s="3336"/>
      <c r="P51154" s="3337"/>
    </row>
    <row r="51155" spans="7:16" s="1634" customFormat="1">
      <c r="G51155" s="3336"/>
      <c r="P51155" s="3337"/>
    </row>
    <row r="51156" spans="7:16" s="1634" customFormat="1">
      <c r="G51156" s="3336"/>
      <c r="P51156" s="3337"/>
    </row>
    <row r="51157" spans="7:16" s="1634" customFormat="1">
      <c r="G51157" s="3336"/>
      <c r="P51157" s="3337"/>
    </row>
    <row r="51158" spans="7:16" s="1634" customFormat="1">
      <c r="G51158" s="3336"/>
      <c r="P51158" s="3337"/>
    </row>
    <row r="51159" spans="7:16" s="1634" customFormat="1">
      <c r="G51159" s="3336"/>
      <c r="P51159" s="3337"/>
    </row>
    <row r="51160" spans="7:16" s="1634" customFormat="1">
      <c r="G51160" s="3336"/>
      <c r="P51160" s="3337"/>
    </row>
    <row r="51161" spans="7:16" s="1634" customFormat="1">
      <c r="G51161" s="3336"/>
      <c r="P51161" s="3337"/>
    </row>
    <row r="51162" spans="7:16" s="1634" customFormat="1">
      <c r="G51162" s="3336"/>
      <c r="P51162" s="3337"/>
    </row>
    <row r="51163" spans="7:16" s="1634" customFormat="1">
      <c r="G51163" s="3336"/>
      <c r="P51163" s="3337"/>
    </row>
    <row r="51164" spans="7:16" s="1634" customFormat="1">
      <c r="G51164" s="3336"/>
      <c r="P51164" s="3337"/>
    </row>
    <row r="51165" spans="7:16" s="1634" customFormat="1">
      <c r="G51165" s="3336"/>
      <c r="P51165" s="3337"/>
    </row>
    <row r="51166" spans="7:16" s="1634" customFormat="1">
      <c r="G51166" s="3336"/>
      <c r="P51166" s="3337"/>
    </row>
    <row r="51167" spans="7:16" s="1634" customFormat="1">
      <c r="G51167" s="3336"/>
      <c r="P51167" s="3337"/>
    </row>
    <row r="51168" spans="7:16" s="1634" customFormat="1">
      <c r="G51168" s="3336"/>
      <c r="P51168" s="3337"/>
    </row>
    <row r="51169" spans="7:16" s="1634" customFormat="1">
      <c r="G51169" s="3336"/>
      <c r="P51169" s="3337"/>
    </row>
    <row r="51170" spans="7:16" s="1634" customFormat="1">
      <c r="G51170" s="3336"/>
      <c r="P51170" s="3337"/>
    </row>
    <row r="51171" spans="7:16" s="1634" customFormat="1">
      <c r="G51171" s="3336"/>
      <c r="P51171" s="3337"/>
    </row>
    <row r="51172" spans="7:16" s="1634" customFormat="1">
      <c r="G51172" s="3336"/>
      <c r="P51172" s="3337"/>
    </row>
    <row r="51173" spans="7:16" s="1634" customFormat="1">
      <c r="G51173" s="3336"/>
      <c r="P51173" s="3337"/>
    </row>
    <row r="51174" spans="7:16" s="1634" customFormat="1">
      <c r="G51174" s="3336"/>
      <c r="P51174" s="3337"/>
    </row>
    <row r="51175" spans="7:16" s="1634" customFormat="1">
      <c r="G51175" s="3336"/>
      <c r="P51175" s="3337"/>
    </row>
    <row r="51176" spans="7:16" s="1634" customFormat="1">
      <c r="G51176" s="3336"/>
      <c r="P51176" s="3337"/>
    </row>
    <row r="51177" spans="7:16" s="1634" customFormat="1">
      <c r="G51177" s="3336"/>
      <c r="P51177" s="3337"/>
    </row>
    <row r="51178" spans="7:16" s="1634" customFormat="1">
      <c r="G51178" s="3336"/>
      <c r="P51178" s="3337"/>
    </row>
    <row r="51179" spans="7:16" s="1634" customFormat="1">
      <c r="G51179" s="3336"/>
      <c r="P51179" s="3337"/>
    </row>
    <row r="51180" spans="7:16" s="1634" customFormat="1">
      <c r="G51180" s="3336"/>
      <c r="P51180" s="3337"/>
    </row>
    <row r="51181" spans="7:16" s="1634" customFormat="1">
      <c r="G51181" s="3336"/>
      <c r="P51181" s="3337"/>
    </row>
    <row r="51182" spans="7:16" s="1634" customFormat="1">
      <c r="G51182" s="3336"/>
      <c r="P51182" s="3337"/>
    </row>
    <row r="51183" spans="7:16" s="1634" customFormat="1">
      <c r="G51183" s="3336"/>
      <c r="P51183" s="3337"/>
    </row>
    <row r="51184" spans="7:16" s="1634" customFormat="1">
      <c r="G51184" s="3336"/>
      <c r="P51184" s="3337"/>
    </row>
    <row r="51185" spans="7:16" s="1634" customFormat="1">
      <c r="G51185" s="3336"/>
      <c r="P51185" s="3337"/>
    </row>
    <row r="51186" spans="7:16" s="1634" customFormat="1">
      <c r="G51186" s="3336"/>
      <c r="P51186" s="3337"/>
    </row>
    <row r="51187" spans="7:16" s="1634" customFormat="1">
      <c r="G51187" s="3336"/>
      <c r="P51187" s="3337"/>
    </row>
    <row r="51188" spans="7:16" s="1634" customFormat="1">
      <c r="G51188" s="3336"/>
      <c r="P51188" s="3337"/>
    </row>
    <row r="51189" spans="7:16" s="1634" customFormat="1">
      <c r="G51189" s="3336"/>
      <c r="P51189" s="3337"/>
    </row>
    <row r="51190" spans="7:16" s="1634" customFormat="1">
      <c r="G51190" s="3336"/>
      <c r="P51190" s="3337"/>
    </row>
    <row r="51191" spans="7:16" s="1634" customFormat="1">
      <c r="G51191" s="3336"/>
      <c r="P51191" s="3337"/>
    </row>
    <row r="51192" spans="7:16" s="1634" customFormat="1">
      <c r="G51192" s="3336"/>
      <c r="P51192" s="3337"/>
    </row>
    <row r="51193" spans="7:16" s="1634" customFormat="1">
      <c r="G51193" s="3336"/>
      <c r="P51193" s="3337"/>
    </row>
    <row r="51194" spans="7:16" s="1634" customFormat="1">
      <c r="G51194" s="3336"/>
      <c r="P51194" s="3337"/>
    </row>
    <row r="51195" spans="7:16" s="1634" customFormat="1">
      <c r="G51195" s="3336"/>
      <c r="P51195" s="3337"/>
    </row>
    <row r="51196" spans="7:16" s="1634" customFormat="1">
      <c r="G51196" s="3336"/>
      <c r="P51196" s="3337"/>
    </row>
    <row r="51197" spans="7:16" s="1634" customFormat="1">
      <c r="G51197" s="3336"/>
      <c r="P51197" s="3337"/>
    </row>
    <row r="51198" spans="7:16" s="1634" customFormat="1">
      <c r="G51198" s="3336"/>
      <c r="P51198" s="3337"/>
    </row>
    <row r="51199" spans="7:16" s="1634" customFormat="1">
      <c r="G51199" s="3336"/>
      <c r="P51199" s="3337"/>
    </row>
    <row r="51200" spans="7:16" s="1634" customFormat="1">
      <c r="G51200" s="3336"/>
      <c r="P51200" s="3337"/>
    </row>
    <row r="51201" spans="7:16" s="1634" customFormat="1">
      <c r="G51201" s="3336"/>
      <c r="P51201" s="3337"/>
    </row>
    <row r="51202" spans="7:16" s="1634" customFormat="1">
      <c r="G51202" s="3336"/>
      <c r="P51202" s="3337"/>
    </row>
    <row r="51203" spans="7:16" s="1634" customFormat="1">
      <c r="G51203" s="3336"/>
      <c r="P51203" s="3337"/>
    </row>
    <row r="51204" spans="7:16" s="1634" customFormat="1">
      <c r="G51204" s="3336"/>
      <c r="P51204" s="3337"/>
    </row>
    <row r="51205" spans="7:16" s="1634" customFormat="1">
      <c r="G51205" s="3336"/>
      <c r="P51205" s="3337"/>
    </row>
    <row r="51206" spans="7:16" s="1634" customFormat="1">
      <c r="G51206" s="3336"/>
      <c r="P51206" s="3337"/>
    </row>
    <row r="51207" spans="7:16" s="1634" customFormat="1">
      <c r="G51207" s="3336"/>
      <c r="P51207" s="3337"/>
    </row>
    <row r="51208" spans="7:16" s="1634" customFormat="1">
      <c r="G51208" s="3336"/>
      <c r="P51208" s="3337"/>
    </row>
    <row r="51209" spans="7:16" s="1634" customFormat="1">
      <c r="G51209" s="3336"/>
      <c r="P51209" s="3337"/>
    </row>
    <row r="51210" spans="7:16" s="1634" customFormat="1">
      <c r="G51210" s="3336"/>
      <c r="P51210" s="3337"/>
    </row>
    <row r="51211" spans="7:16" s="1634" customFormat="1">
      <c r="G51211" s="3336"/>
      <c r="P51211" s="3337"/>
    </row>
    <row r="51212" spans="7:16" s="1634" customFormat="1">
      <c r="G51212" s="3336"/>
      <c r="P51212" s="3337"/>
    </row>
    <row r="51213" spans="7:16" s="1634" customFormat="1">
      <c r="G51213" s="3336"/>
      <c r="P51213" s="3337"/>
    </row>
    <row r="51214" spans="7:16" s="1634" customFormat="1">
      <c r="G51214" s="3336"/>
      <c r="P51214" s="3337"/>
    </row>
    <row r="51215" spans="7:16" s="1634" customFormat="1">
      <c r="G51215" s="3336"/>
      <c r="P51215" s="3337"/>
    </row>
    <row r="51216" spans="7:16" s="1634" customFormat="1">
      <c r="G51216" s="3336"/>
      <c r="P51216" s="3337"/>
    </row>
    <row r="51217" spans="7:16" s="1634" customFormat="1">
      <c r="G51217" s="3336"/>
      <c r="P51217" s="3337"/>
    </row>
    <row r="51218" spans="7:16" s="1634" customFormat="1">
      <c r="G51218" s="3336"/>
      <c r="P51218" s="3337"/>
    </row>
    <row r="51219" spans="7:16" s="1634" customFormat="1">
      <c r="G51219" s="3336"/>
      <c r="P51219" s="3337"/>
    </row>
    <row r="51220" spans="7:16" s="1634" customFormat="1">
      <c r="G51220" s="3336"/>
      <c r="P51220" s="3337"/>
    </row>
    <row r="51221" spans="7:16" s="1634" customFormat="1">
      <c r="G51221" s="3336"/>
      <c r="P51221" s="3337"/>
    </row>
    <row r="51222" spans="7:16" s="1634" customFormat="1">
      <c r="G51222" s="3336"/>
      <c r="P51222" s="3337"/>
    </row>
    <row r="51223" spans="7:16" s="1634" customFormat="1">
      <c r="G51223" s="3336"/>
      <c r="P51223" s="3337"/>
    </row>
    <row r="51224" spans="7:16" s="1634" customFormat="1">
      <c r="G51224" s="3336"/>
      <c r="P51224" s="3337"/>
    </row>
    <row r="51225" spans="7:16" s="1634" customFormat="1">
      <c r="G51225" s="3336"/>
      <c r="P51225" s="3337"/>
    </row>
    <row r="51226" spans="7:16" s="1634" customFormat="1">
      <c r="G51226" s="3336"/>
      <c r="P51226" s="3337"/>
    </row>
    <row r="51227" spans="7:16" s="1634" customFormat="1">
      <c r="G51227" s="3336"/>
      <c r="P51227" s="3337"/>
    </row>
    <row r="51228" spans="7:16" s="1634" customFormat="1">
      <c r="G51228" s="3336"/>
      <c r="P51228" s="3337"/>
    </row>
    <row r="51229" spans="7:16" s="1634" customFormat="1">
      <c r="G51229" s="3336"/>
      <c r="P51229" s="3337"/>
    </row>
    <row r="51230" spans="7:16" s="1634" customFormat="1">
      <c r="G51230" s="3336"/>
      <c r="P51230" s="3337"/>
    </row>
    <row r="51231" spans="7:16" s="1634" customFormat="1">
      <c r="G51231" s="3336"/>
      <c r="P51231" s="3337"/>
    </row>
    <row r="51232" spans="7:16" s="1634" customFormat="1">
      <c r="G51232" s="3336"/>
      <c r="P51232" s="3337"/>
    </row>
    <row r="51233" spans="7:16" s="1634" customFormat="1">
      <c r="G51233" s="3336"/>
      <c r="P51233" s="3337"/>
    </row>
    <row r="51234" spans="7:16" s="1634" customFormat="1">
      <c r="G51234" s="3336"/>
      <c r="P51234" s="3337"/>
    </row>
    <row r="51235" spans="7:16" s="1634" customFormat="1">
      <c r="G51235" s="3336"/>
      <c r="P51235" s="3337"/>
    </row>
    <row r="51236" spans="7:16" s="1634" customFormat="1">
      <c r="G51236" s="3336"/>
      <c r="P51236" s="3337"/>
    </row>
    <row r="51237" spans="7:16" s="1634" customFormat="1">
      <c r="G51237" s="3336"/>
      <c r="P51237" s="3337"/>
    </row>
    <row r="51238" spans="7:16" s="1634" customFormat="1">
      <c r="G51238" s="3336"/>
      <c r="P51238" s="3337"/>
    </row>
    <row r="51239" spans="7:16" s="1634" customFormat="1">
      <c r="G51239" s="3336"/>
      <c r="P51239" s="3337"/>
    </row>
    <row r="51240" spans="7:16" s="1634" customFormat="1">
      <c r="G51240" s="3336"/>
      <c r="P51240" s="3337"/>
    </row>
    <row r="51241" spans="7:16" s="1634" customFormat="1">
      <c r="G51241" s="3336"/>
      <c r="P51241" s="3337"/>
    </row>
    <row r="51242" spans="7:16" s="1634" customFormat="1">
      <c r="G51242" s="3336"/>
      <c r="P51242" s="3337"/>
    </row>
    <row r="51243" spans="7:16" s="1634" customFormat="1">
      <c r="G51243" s="3336"/>
      <c r="P51243" s="3337"/>
    </row>
    <row r="51244" spans="7:16" s="1634" customFormat="1">
      <c r="G51244" s="3336"/>
      <c r="P51244" s="3337"/>
    </row>
    <row r="51245" spans="7:16" s="1634" customFormat="1">
      <c r="G51245" s="3336"/>
      <c r="P51245" s="3337"/>
    </row>
    <row r="51246" spans="7:16" s="1634" customFormat="1">
      <c r="G51246" s="3336"/>
      <c r="P51246" s="3337"/>
    </row>
    <row r="51247" spans="7:16" s="1634" customFormat="1">
      <c r="G51247" s="3336"/>
      <c r="P51247" s="3337"/>
    </row>
    <row r="51248" spans="7:16" s="1634" customFormat="1">
      <c r="G51248" s="3336"/>
      <c r="P51248" s="3337"/>
    </row>
    <row r="51249" spans="7:16" s="1634" customFormat="1">
      <c r="G51249" s="3336"/>
      <c r="P51249" s="3337"/>
    </row>
    <row r="51250" spans="7:16" s="1634" customFormat="1">
      <c r="G51250" s="3336"/>
      <c r="P51250" s="3337"/>
    </row>
    <row r="51251" spans="7:16" s="1634" customFormat="1">
      <c r="G51251" s="3336"/>
      <c r="P51251" s="3337"/>
    </row>
    <row r="51252" spans="7:16" s="1634" customFormat="1">
      <c r="G51252" s="3336"/>
      <c r="P51252" s="3337"/>
    </row>
    <row r="51253" spans="7:16" s="1634" customFormat="1">
      <c r="G51253" s="3336"/>
      <c r="P51253" s="3337"/>
    </row>
    <row r="51254" spans="7:16" s="1634" customFormat="1">
      <c r="G51254" s="3336"/>
      <c r="P51254" s="3337"/>
    </row>
    <row r="51255" spans="7:16" s="1634" customFormat="1">
      <c r="G51255" s="3336"/>
      <c r="P51255" s="3337"/>
    </row>
    <row r="51256" spans="7:16" s="1634" customFormat="1">
      <c r="G51256" s="3336"/>
      <c r="P51256" s="3337"/>
    </row>
    <row r="51257" spans="7:16" s="1634" customFormat="1">
      <c r="G51257" s="3336"/>
      <c r="P51257" s="3337"/>
    </row>
    <row r="51258" spans="7:16" s="1634" customFormat="1">
      <c r="G51258" s="3336"/>
      <c r="P51258" s="3337"/>
    </row>
    <row r="51259" spans="7:16" s="1634" customFormat="1">
      <c r="G51259" s="3336"/>
      <c r="P51259" s="3337"/>
    </row>
    <row r="51260" spans="7:16" s="1634" customFormat="1">
      <c r="G51260" s="3336"/>
      <c r="P51260" s="3337"/>
    </row>
    <row r="51261" spans="7:16" s="1634" customFormat="1">
      <c r="G51261" s="3336"/>
      <c r="P51261" s="3337"/>
    </row>
    <row r="51262" spans="7:16" s="1634" customFormat="1">
      <c r="G51262" s="3336"/>
      <c r="P51262" s="3337"/>
    </row>
    <row r="51263" spans="7:16" s="1634" customFormat="1">
      <c r="G51263" s="3336"/>
      <c r="P51263" s="3337"/>
    </row>
    <row r="51264" spans="7:16" s="1634" customFormat="1">
      <c r="G51264" s="3336"/>
      <c r="P51264" s="3337"/>
    </row>
    <row r="51265" spans="7:16" s="1634" customFormat="1">
      <c r="G51265" s="3336"/>
      <c r="P51265" s="3337"/>
    </row>
    <row r="51266" spans="7:16" s="1634" customFormat="1">
      <c r="G51266" s="3336"/>
      <c r="P51266" s="3337"/>
    </row>
    <row r="51267" spans="7:16" s="1634" customFormat="1">
      <c r="G51267" s="3336"/>
      <c r="P51267" s="3337"/>
    </row>
    <row r="51268" spans="7:16" s="1634" customFormat="1">
      <c r="G51268" s="3336"/>
      <c r="P51268" s="3337"/>
    </row>
    <row r="51269" spans="7:16" s="1634" customFormat="1">
      <c r="G51269" s="3336"/>
      <c r="P51269" s="3337"/>
    </row>
    <row r="51270" spans="7:16" s="1634" customFormat="1">
      <c r="G51270" s="3336"/>
      <c r="P51270" s="3337"/>
    </row>
    <row r="51271" spans="7:16" s="1634" customFormat="1">
      <c r="G51271" s="3336"/>
      <c r="P51271" s="3337"/>
    </row>
    <row r="51272" spans="7:16" s="1634" customFormat="1">
      <c r="G51272" s="3336"/>
      <c r="P51272" s="3337"/>
    </row>
    <row r="51273" spans="7:16" s="1634" customFormat="1">
      <c r="G51273" s="3336"/>
      <c r="P51273" s="3337"/>
    </row>
    <row r="51274" spans="7:16" s="1634" customFormat="1">
      <c r="G51274" s="3336"/>
      <c r="P51274" s="3337"/>
    </row>
    <row r="51275" spans="7:16" s="1634" customFormat="1">
      <c r="G51275" s="3336"/>
      <c r="P51275" s="3337"/>
    </row>
    <row r="51276" spans="7:16" s="1634" customFormat="1">
      <c r="G51276" s="3336"/>
      <c r="P51276" s="3337"/>
    </row>
    <row r="51277" spans="7:16" s="1634" customFormat="1">
      <c r="G51277" s="3336"/>
      <c r="P51277" s="3337"/>
    </row>
    <row r="51278" spans="7:16" s="1634" customFormat="1">
      <c r="G51278" s="3336"/>
      <c r="P51278" s="3337"/>
    </row>
    <row r="51279" spans="7:16" s="1634" customFormat="1">
      <c r="G51279" s="3336"/>
      <c r="P51279" s="3337"/>
    </row>
    <row r="51280" spans="7:16" s="1634" customFormat="1">
      <c r="G51280" s="3336"/>
      <c r="P51280" s="3337"/>
    </row>
    <row r="51281" spans="7:16" s="1634" customFormat="1">
      <c r="G51281" s="3336"/>
      <c r="P51281" s="3337"/>
    </row>
    <row r="51282" spans="7:16" s="1634" customFormat="1">
      <c r="G51282" s="3336"/>
      <c r="P51282" s="3337"/>
    </row>
    <row r="51283" spans="7:16" s="1634" customFormat="1">
      <c r="G51283" s="3336"/>
      <c r="P51283" s="3337"/>
    </row>
    <row r="51284" spans="7:16" s="1634" customFormat="1">
      <c r="G51284" s="3336"/>
      <c r="P51284" s="3337"/>
    </row>
    <row r="51285" spans="7:16" s="1634" customFormat="1">
      <c r="G51285" s="3336"/>
      <c r="P51285" s="3337"/>
    </row>
    <row r="51286" spans="7:16" s="1634" customFormat="1">
      <c r="G51286" s="3336"/>
      <c r="P51286" s="3337"/>
    </row>
    <row r="51287" spans="7:16" s="1634" customFormat="1">
      <c r="G51287" s="3336"/>
      <c r="P51287" s="3337"/>
    </row>
    <row r="51288" spans="7:16" s="1634" customFormat="1">
      <c r="G51288" s="3336"/>
      <c r="P51288" s="3337"/>
    </row>
    <row r="51289" spans="7:16" s="1634" customFormat="1">
      <c r="G51289" s="3336"/>
      <c r="P51289" s="3337"/>
    </row>
    <row r="51290" spans="7:16" s="1634" customFormat="1">
      <c r="G51290" s="3336"/>
      <c r="P51290" s="3337"/>
    </row>
    <row r="51291" spans="7:16" s="1634" customFormat="1">
      <c r="G51291" s="3336"/>
      <c r="P51291" s="3337"/>
    </row>
    <row r="51292" spans="7:16" s="1634" customFormat="1">
      <c r="G51292" s="3336"/>
      <c r="P51292" s="3337"/>
    </row>
    <row r="51293" spans="7:16" s="1634" customFormat="1">
      <c r="G51293" s="3336"/>
      <c r="P51293" s="3337"/>
    </row>
    <row r="51294" spans="7:16" s="1634" customFormat="1">
      <c r="G51294" s="3336"/>
      <c r="P51294" s="3337"/>
    </row>
    <row r="51295" spans="7:16" s="1634" customFormat="1">
      <c r="G51295" s="3336"/>
      <c r="P51295" s="3337"/>
    </row>
    <row r="51296" spans="7:16" s="1634" customFormat="1">
      <c r="G51296" s="3336"/>
      <c r="P51296" s="3337"/>
    </row>
    <row r="51297" spans="7:16" s="1634" customFormat="1">
      <c r="G51297" s="3336"/>
      <c r="P51297" s="3337"/>
    </row>
    <row r="51298" spans="7:16" s="1634" customFormat="1">
      <c r="G51298" s="3336"/>
      <c r="P51298" s="3337"/>
    </row>
    <row r="51299" spans="7:16" s="1634" customFormat="1">
      <c r="G51299" s="3336"/>
      <c r="P51299" s="3337"/>
    </row>
    <row r="51300" spans="7:16" s="1634" customFormat="1">
      <c r="G51300" s="3336"/>
      <c r="P51300" s="3337"/>
    </row>
    <row r="51301" spans="7:16" s="1634" customFormat="1">
      <c r="G51301" s="3336"/>
      <c r="P51301" s="3337"/>
    </row>
    <row r="51302" spans="7:16" s="1634" customFormat="1">
      <c r="G51302" s="3336"/>
      <c r="P51302" s="3337"/>
    </row>
    <row r="51303" spans="7:16" s="1634" customFormat="1">
      <c r="G51303" s="3336"/>
      <c r="P51303" s="3337"/>
    </row>
    <row r="51304" spans="7:16" s="1634" customFormat="1">
      <c r="G51304" s="3336"/>
      <c r="P51304" s="3337"/>
    </row>
    <row r="51305" spans="7:16" s="1634" customFormat="1">
      <c r="G51305" s="3336"/>
      <c r="P51305" s="3337"/>
    </row>
    <row r="51306" spans="7:16" s="1634" customFormat="1">
      <c r="G51306" s="3336"/>
      <c r="P51306" s="3337"/>
    </row>
    <row r="51307" spans="7:16" s="1634" customFormat="1">
      <c r="G51307" s="3336"/>
      <c r="P51307" s="3337"/>
    </row>
    <row r="51308" spans="7:16" s="1634" customFormat="1">
      <c r="G51308" s="3336"/>
      <c r="P51308" s="3337"/>
    </row>
    <row r="51309" spans="7:16" s="1634" customFormat="1">
      <c r="G51309" s="3336"/>
      <c r="P51309" s="3337"/>
    </row>
    <row r="51310" spans="7:16" s="1634" customFormat="1">
      <c r="G51310" s="3336"/>
      <c r="P51310" s="3337"/>
    </row>
    <row r="51311" spans="7:16" s="1634" customFormat="1">
      <c r="G51311" s="3336"/>
      <c r="P51311" s="3337"/>
    </row>
    <row r="51312" spans="7:16" s="1634" customFormat="1">
      <c r="G51312" s="3336"/>
      <c r="P51312" s="3337"/>
    </row>
    <row r="51313" spans="7:16" s="1634" customFormat="1">
      <c r="G51313" s="3336"/>
      <c r="P51313" s="3337"/>
    </row>
    <row r="51314" spans="7:16" s="1634" customFormat="1">
      <c r="G51314" s="3336"/>
      <c r="P51314" s="3337"/>
    </row>
    <row r="51315" spans="7:16" s="1634" customFormat="1">
      <c r="G51315" s="3336"/>
      <c r="P51315" s="3337"/>
    </row>
    <row r="51316" spans="7:16" s="1634" customFormat="1">
      <c r="G51316" s="3336"/>
      <c r="P51316" s="3337"/>
    </row>
    <row r="51317" spans="7:16" s="1634" customFormat="1">
      <c r="G51317" s="3336"/>
      <c r="P51317" s="3337"/>
    </row>
    <row r="51318" spans="7:16" s="1634" customFormat="1">
      <c r="G51318" s="3336"/>
      <c r="P51318" s="3337"/>
    </row>
    <row r="51319" spans="7:16" s="1634" customFormat="1">
      <c r="G51319" s="3336"/>
      <c r="P51319" s="3337"/>
    </row>
    <row r="51320" spans="7:16" s="1634" customFormat="1">
      <c r="G51320" s="3336"/>
      <c r="P51320" s="3337"/>
    </row>
    <row r="51321" spans="7:16" s="1634" customFormat="1">
      <c r="G51321" s="3336"/>
      <c r="P51321" s="3337"/>
    </row>
    <row r="51322" spans="7:16" s="1634" customFormat="1">
      <c r="G51322" s="3336"/>
      <c r="P51322" s="3337"/>
    </row>
    <row r="51323" spans="7:16" s="1634" customFormat="1">
      <c r="G51323" s="3336"/>
      <c r="P51323" s="3337"/>
    </row>
    <row r="51324" spans="7:16" s="1634" customFormat="1">
      <c r="G51324" s="3336"/>
      <c r="P51324" s="3337"/>
    </row>
    <row r="51325" spans="7:16" s="1634" customFormat="1">
      <c r="G51325" s="3336"/>
      <c r="P51325" s="3337"/>
    </row>
    <row r="51326" spans="7:16" s="1634" customFormat="1">
      <c r="G51326" s="3336"/>
      <c r="P51326" s="3337"/>
    </row>
    <row r="51327" spans="7:16" s="1634" customFormat="1">
      <c r="G51327" s="3336"/>
      <c r="P51327" s="3337"/>
    </row>
    <row r="51328" spans="7:16" s="1634" customFormat="1">
      <c r="G51328" s="3336"/>
      <c r="P51328" s="3337"/>
    </row>
    <row r="51329" spans="7:16" s="1634" customFormat="1">
      <c r="G51329" s="3336"/>
      <c r="P51329" s="3337"/>
    </row>
    <row r="51330" spans="7:16" s="1634" customFormat="1">
      <c r="G51330" s="3336"/>
      <c r="P51330" s="3337"/>
    </row>
    <row r="51331" spans="7:16" s="1634" customFormat="1">
      <c r="G51331" s="3336"/>
      <c r="P51331" s="3337"/>
    </row>
    <row r="51332" spans="7:16" s="1634" customFormat="1">
      <c r="G51332" s="3336"/>
      <c r="P51332" s="3337"/>
    </row>
    <row r="51333" spans="7:16" s="1634" customFormat="1">
      <c r="G51333" s="3336"/>
      <c r="P51333" s="3337"/>
    </row>
    <row r="51334" spans="7:16" s="1634" customFormat="1">
      <c r="G51334" s="3336"/>
      <c r="P51334" s="3337"/>
    </row>
    <row r="51335" spans="7:16" s="1634" customFormat="1">
      <c r="G51335" s="3336"/>
      <c r="P51335" s="3337"/>
    </row>
    <row r="51336" spans="7:16" s="1634" customFormat="1">
      <c r="G51336" s="3336"/>
      <c r="P51336" s="3337"/>
    </row>
    <row r="51337" spans="7:16" s="1634" customFormat="1">
      <c r="G51337" s="3336"/>
      <c r="P51337" s="3337"/>
    </row>
    <row r="51338" spans="7:16" s="1634" customFormat="1">
      <c r="G51338" s="3336"/>
      <c r="P51338" s="3337"/>
    </row>
    <row r="51339" spans="7:16" s="1634" customFormat="1">
      <c r="G51339" s="3336"/>
      <c r="P51339" s="3337"/>
    </row>
    <row r="51340" spans="7:16" s="1634" customFormat="1">
      <c r="G51340" s="3336"/>
      <c r="P51340" s="3337"/>
    </row>
    <row r="51341" spans="7:16" s="1634" customFormat="1">
      <c r="G51341" s="3336"/>
      <c r="P51341" s="3337"/>
    </row>
    <row r="51342" spans="7:16" s="1634" customFormat="1">
      <c r="G51342" s="3336"/>
      <c r="P51342" s="3337"/>
    </row>
    <row r="51343" spans="7:16" s="1634" customFormat="1">
      <c r="G51343" s="3336"/>
      <c r="P51343" s="3337"/>
    </row>
    <row r="51344" spans="7:16" s="1634" customFormat="1">
      <c r="G51344" s="3336"/>
      <c r="P51344" s="3337"/>
    </row>
    <row r="51345" spans="7:16" s="1634" customFormat="1">
      <c r="G51345" s="3336"/>
      <c r="P51345" s="3337"/>
    </row>
    <row r="51346" spans="7:16" s="1634" customFormat="1">
      <c r="G51346" s="3336"/>
      <c r="P51346" s="3337"/>
    </row>
    <row r="51347" spans="7:16" s="1634" customFormat="1">
      <c r="G51347" s="3336"/>
      <c r="P51347" s="3337"/>
    </row>
    <row r="51348" spans="7:16" s="1634" customFormat="1">
      <c r="G51348" s="3336"/>
      <c r="P51348" s="3337"/>
    </row>
    <row r="51349" spans="7:16" s="1634" customFormat="1">
      <c r="G51349" s="3336"/>
      <c r="P51349" s="3337"/>
    </row>
    <row r="51350" spans="7:16" s="1634" customFormat="1">
      <c r="G51350" s="3336"/>
      <c r="P51350" s="3337"/>
    </row>
    <row r="51351" spans="7:16" s="1634" customFormat="1">
      <c r="G51351" s="3336"/>
      <c r="P51351" s="3337"/>
    </row>
    <row r="51352" spans="7:16" s="1634" customFormat="1">
      <c r="G51352" s="3336"/>
      <c r="P51352" s="3337"/>
    </row>
    <row r="51353" spans="7:16" s="1634" customFormat="1">
      <c r="G51353" s="3336"/>
      <c r="P51353" s="3337"/>
    </row>
    <row r="51354" spans="7:16" s="1634" customFormat="1">
      <c r="G51354" s="3336"/>
      <c r="P51354" s="3337"/>
    </row>
    <row r="51355" spans="7:16" s="1634" customFormat="1">
      <c r="G51355" s="3336"/>
      <c r="P51355" s="3337"/>
    </row>
    <row r="51356" spans="7:16" s="1634" customFormat="1">
      <c r="G51356" s="3336"/>
      <c r="P51356" s="3337"/>
    </row>
    <row r="51357" spans="7:16" s="1634" customFormat="1">
      <c r="G51357" s="3336"/>
      <c r="P51357" s="3337"/>
    </row>
    <row r="51358" spans="7:16" s="1634" customFormat="1">
      <c r="G51358" s="3336"/>
      <c r="P51358" s="3337"/>
    </row>
    <row r="51359" spans="7:16" s="1634" customFormat="1">
      <c r="G51359" s="3336"/>
      <c r="P51359" s="3337"/>
    </row>
    <row r="51360" spans="7:16" s="1634" customFormat="1">
      <c r="G51360" s="3336"/>
      <c r="P51360" s="3337"/>
    </row>
    <row r="51361" spans="7:16" s="1634" customFormat="1">
      <c r="G51361" s="3336"/>
      <c r="P51361" s="3337"/>
    </row>
    <row r="51362" spans="7:16" s="1634" customFormat="1">
      <c r="G51362" s="3336"/>
      <c r="P51362" s="3337"/>
    </row>
    <row r="51363" spans="7:16" s="1634" customFormat="1">
      <c r="G51363" s="3336"/>
      <c r="P51363" s="3337"/>
    </row>
    <row r="51364" spans="7:16" s="1634" customFormat="1">
      <c r="G51364" s="3336"/>
      <c r="P51364" s="3337"/>
    </row>
    <row r="51365" spans="7:16" s="1634" customFormat="1">
      <c r="G51365" s="3336"/>
      <c r="P51365" s="3337"/>
    </row>
    <row r="51366" spans="7:16" s="1634" customFormat="1">
      <c r="G51366" s="3336"/>
      <c r="P51366" s="3337"/>
    </row>
    <row r="51367" spans="7:16" s="1634" customFormat="1">
      <c r="G51367" s="3336"/>
      <c r="P51367" s="3337"/>
    </row>
    <row r="51368" spans="7:16" s="1634" customFormat="1">
      <c r="G51368" s="3336"/>
      <c r="P51368" s="3337"/>
    </row>
    <row r="51369" spans="7:16" s="1634" customFormat="1">
      <c r="G51369" s="3336"/>
      <c r="P51369" s="3337"/>
    </row>
    <row r="51370" spans="7:16" s="1634" customFormat="1">
      <c r="G51370" s="3336"/>
      <c r="P51370" s="3337"/>
    </row>
    <row r="51371" spans="7:16" s="1634" customFormat="1">
      <c r="G51371" s="3336"/>
      <c r="P51371" s="3337"/>
    </row>
    <row r="51372" spans="7:16" s="1634" customFormat="1">
      <c r="G51372" s="3336"/>
      <c r="P51372" s="3337"/>
    </row>
    <row r="51373" spans="7:16" s="1634" customFormat="1">
      <c r="G51373" s="3336"/>
      <c r="P51373" s="3337"/>
    </row>
    <row r="51374" spans="7:16" s="1634" customFormat="1">
      <c r="G51374" s="3336"/>
      <c r="P51374" s="3337"/>
    </row>
    <row r="51375" spans="7:16" s="1634" customFormat="1">
      <c r="G51375" s="3336"/>
      <c r="P51375" s="3337"/>
    </row>
    <row r="51376" spans="7:16" s="1634" customFormat="1">
      <c r="G51376" s="3336"/>
      <c r="P51376" s="3337"/>
    </row>
    <row r="51377" spans="7:16" s="1634" customFormat="1">
      <c r="G51377" s="3336"/>
      <c r="P51377" s="3337"/>
    </row>
    <row r="51378" spans="7:16" s="1634" customFormat="1">
      <c r="G51378" s="3336"/>
      <c r="P51378" s="3337"/>
    </row>
    <row r="51379" spans="7:16" s="1634" customFormat="1">
      <c r="G51379" s="3336"/>
      <c r="P51379" s="3337"/>
    </row>
    <row r="51380" spans="7:16" s="1634" customFormat="1">
      <c r="G51380" s="3336"/>
      <c r="P51380" s="3337"/>
    </row>
    <row r="51381" spans="7:16" s="1634" customFormat="1">
      <c r="G51381" s="3336"/>
      <c r="P51381" s="3337"/>
    </row>
    <row r="51382" spans="7:16" s="1634" customFormat="1">
      <c r="G51382" s="3336"/>
      <c r="P51382" s="3337"/>
    </row>
    <row r="51383" spans="7:16" s="1634" customFormat="1">
      <c r="G51383" s="3336"/>
      <c r="P51383" s="3337"/>
    </row>
    <row r="51384" spans="7:16" s="1634" customFormat="1">
      <c r="G51384" s="3336"/>
      <c r="P51384" s="3337"/>
    </row>
    <row r="51385" spans="7:16" s="1634" customFormat="1">
      <c r="G51385" s="3336"/>
      <c r="P51385" s="3337"/>
    </row>
    <row r="51386" spans="7:16" s="1634" customFormat="1">
      <c r="G51386" s="3336"/>
      <c r="P51386" s="3337"/>
    </row>
    <row r="51387" spans="7:16" s="1634" customFormat="1">
      <c r="G51387" s="3336"/>
      <c r="P51387" s="3337"/>
    </row>
    <row r="51388" spans="7:16" s="1634" customFormat="1">
      <c r="G51388" s="3336"/>
      <c r="P51388" s="3337"/>
    </row>
    <row r="51389" spans="7:16" s="1634" customFormat="1">
      <c r="G51389" s="3336"/>
      <c r="P51389" s="3337"/>
    </row>
    <row r="51390" spans="7:16" s="1634" customFormat="1">
      <c r="G51390" s="3336"/>
      <c r="P51390" s="3337"/>
    </row>
    <row r="51391" spans="7:16" s="1634" customFormat="1">
      <c r="G51391" s="3336"/>
      <c r="P51391" s="3337"/>
    </row>
    <row r="51392" spans="7:16" s="1634" customFormat="1">
      <c r="G51392" s="3336"/>
      <c r="P51392" s="3337"/>
    </row>
    <row r="51393" spans="7:16" s="1634" customFormat="1">
      <c r="G51393" s="3336"/>
      <c r="P51393" s="3337"/>
    </row>
    <row r="51394" spans="7:16" s="1634" customFormat="1">
      <c r="G51394" s="3336"/>
      <c r="P51394" s="3337"/>
    </row>
    <row r="51395" spans="7:16" s="1634" customFormat="1">
      <c r="G51395" s="3336"/>
      <c r="P51395" s="3337"/>
    </row>
    <row r="51396" spans="7:16" s="1634" customFormat="1">
      <c r="G51396" s="3336"/>
      <c r="P51396" s="3337"/>
    </row>
    <row r="51397" spans="7:16" s="1634" customFormat="1">
      <c r="G51397" s="3336"/>
      <c r="P51397" s="3337"/>
    </row>
    <row r="51398" spans="7:16" s="1634" customFormat="1">
      <c r="G51398" s="3336"/>
      <c r="P51398" s="3337"/>
    </row>
    <row r="51399" spans="7:16" s="1634" customFormat="1">
      <c r="G51399" s="3336"/>
      <c r="P51399" s="3337"/>
    </row>
    <row r="51400" spans="7:16" s="1634" customFormat="1">
      <c r="G51400" s="3336"/>
      <c r="P51400" s="3337"/>
    </row>
    <row r="51401" spans="7:16" s="1634" customFormat="1">
      <c r="G51401" s="3336"/>
      <c r="P51401" s="3337"/>
    </row>
    <row r="51402" spans="7:16" s="1634" customFormat="1">
      <c r="G51402" s="3336"/>
      <c r="P51402" s="3337"/>
    </row>
    <row r="51403" spans="7:16" s="1634" customFormat="1">
      <c r="G51403" s="3336"/>
      <c r="P51403" s="3337"/>
    </row>
    <row r="51404" spans="7:16" s="1634" customFormat="1">
      <c r="G51404" s="3336"/>
      <c r="P51404" s="3337"/>
    </row>
    <row r="51405" spans="7:16" s="1634" customFormat="1">
      <c r="G51405" s="3336"/>
      <c r="P51405" s="3337"/>
    </row>
    <row r="51406" spans="7:16" s="1634" customFormat="1">
      <c r="G51406" s="3336"/>
      <c r="P51406" s="3337"/>
    </row>
    <row r="51407" spans="7:16" s="1634" customFormat="1">
      <c r="G51407" s="3336"/>
      <c r="P51407" s="3337"/>
    </row>
    <row r="51408" spans="7:16" s="1634" customFormat="1">
      <c r="G51408" s="3336"/>
      <c r="P51408" s="3337"/>
    </row>
    <row r="51409" spans="7:16" s="1634" customFormat="1">
      <c r="G51409" s="3336"/>
      <c r="P51409" s="3337"/>
    </row>
    <row r="51410" spans="7:16" s="1634" customFormat="1">
      <c r="G51410" s="3336"/>
      <c r="P51410" s="3337"/>
    </row>
    <row r="51411" spans="7:16" s="1634" customFormat="1">
      <c r="G51411" s="3336"/>
      <c r="P51411" s="3337"/>
    </row>
    <row r="51412" spans="7:16" s="1634" customFormat="1">
      <c r="G51412" s="3336"/>
      <c r="P51412" s="3337"/>
    </row>
    <row r="51413" spans="7:16" s="1634" customFormat="1">
      <c r="G51413" s="3336"/>
      <c r="P51413" s="3337"/>
    </row>
    <row r="51414" spans="7:16" s="1634" customFormat="1">
      <c r="G51414" s="3336"/>
      <c r="P51414" s="3337"/>
    </row>
    <row r="51415" spans="7:16" s="1634" customFormat="1">
      <c r="G51415" s="3336"/>
      <c r="P51415" s="3337"/>
    </row>
    <row r="51416" spans="7:16" s="1634" customFormat="1">
      <c r="G51416" s="3336"/>
      <c r="P51416" s="3337"/>
    </row>
    <row r="51417" spans="7:16" s="1634" customFormat="1">
      <c r="G51417" s="3336"/>
      <c r="P51417" s="3337"/>
    </row>
    <row r="51418" spans="7:16" s="1634" customFormat="1">
      <c r="G51418" s="3336"/>
      <c r="P51418" s="3337"/>
    </row>
    <row r="51419" spans="7:16" s="1634" customFormat="1">
      <c r="G51419" s="3336"/>
      <c r="P51419" s="3337"/>
    </row>
    <row r="51420" spans="7:16" s="1634" customFormat="1">
      <c r="G51420" s="3336"/>
      <c r="P51420" s="3337"/>
    </row>
    <row r="51421" spans="7:16" s="1634" customFormat="1">
      <c r="G51421" s="3336"/>
      <c r="P51421" s="3337"/>
    </row>
    <row r="51422" spans="7:16" s="1634" customFormat="1">
      <c r="G51422" s="3336"/>
      <c r="P51422" s="3337"/>
    </row>
    <row r="51423" spans="7:16" s="1634" customFormat="1">
      <c r="G51423" s="3336"/>
      <c r="P51423" s="3337"/>
    </row>
    <row r="51424" spans="7:16" s="1634" customFormat="1">
      <c r="G51424" s="3336"/>
      <c r="P51424" s="3337"/>
    </row>
    <row r="51425" spans="7:16" s="1634" customFormat="1">
      <c r="G51425" s="3336"/>
      <c r="P51425" s="3337"/>
    </row>
    <row r="51426" spans="7:16" s="1634" customFormat="1">
      <c r="G51426" s="3336"/>
      <c r="P51426" s="3337"/>
    </row>
    <row r="51427" spans="7:16" s="1634" customFormat="1">
      <c r="G51427" s="3336"/>
      <c r="P51427" s="3337"/>
    </row>
    <row r="51428" spans="7:16" s="1634" customFormat="1">
      <c r="G51428" s="3336"/>
      <c r="P51428" s="3337"/>
    </row>
    <row r="51429" spans="7:16" s="1634" customFormat="1">
      <c r="G51429" s="3336"/>
      <c r="P51429" s="3337"/>
    </row>
    <row r="51430" spans="7:16" s="1634" customFormat="1">
      <c r="G51430" s="3336"/>
      <c r="P51430" s="3337"/>
    </row>
    <row r="51431" spans="7:16" s="1634" customFormat="1">
      <c r="G51431" s="3336"/>
      <c r="P51431" s="3337"/>
    </row>
    <row r="51432" spans="7:16" s="1634" customFormat="1">
      <c r="G51432" s="3336"/>
      <c r="P51432" s="3337"/>
    </row>
    <row r="51433" spans="7:16" s="1634" customFormat="1">
      <c r="G51433" s="3336"/>
      <c r="P51433" s="3337"/>
    </row>
    <row r="51434" spans="7:16" s="1634" customFormat="1">
      <c r="G51434" s="3336"/>
      <c r="P51434" s="3337"/>
    </row>
    <row r="51435" spans="7:16" s="1634" customFormat="1">
      <c r="G51435" s="3336"/>
      <c r="P51435" s="3337"/>
    </row>
    <row r="51436" spans="7:16" s="1634" customFormat="1">
      <c r="G51436" s="3336"/>
      <c r="P51436" s="3337"/>
    </row>
    <row r="51437" spans="7:16" s="1634" customFormat="1">
      <c r="G51437" s="3336"/>
      <c r="P51437" s="3337"/>
    </row>
    <row r="51438" spans="7:16" s="1634" customFormat="1">
      <c r="G51438" s="3336"/>
      <c r="P51438" s="3337"/>
    </row>
    <row r="51439" spans="7:16" s="1634" customFormat="1">
      <c r="G51439" s="3336"/>
      <c r="P51439" s="3337"/>
    </row>
    <row r="51440" spans="7:16" s="1634" customFormat="1">
      <c r="G51440" s="3336"/>
      <c r="P51440" s="3337"/>
    </row>
    <row r="51441" spans="7:16" s="1634" customFormat="1">
      <c r="G51441" s="3336"/>
      <c r="P51441" s="3337"/>
    </row>
    <row r="51442" spans="7:16" s="1634" customFormat="1">
      <c r="G51442" s="3336"/>
      <c r="P51442" s="3337"/>
    </row>
    <row r="51443" spans="7:16" s="1634" customFormat="1">
      <c r="G51443" s="3336"/>
      <c r="P51443" s="3337"/>
    </row>
    <row r="51444" spans="7:16" s="1634" customFormat="1">
      <c r="G51444" s="3336"/>
      <c r="P51444" s="3337"/>
    </row>
    <row r="51445" spans="7:16" s="1634" customFormat="1">
      <c r="G51445" s="3336"/>
      <c r="P51445" s="3337"/>
    </row>
    <row r="51446" spans="7:16" s="1634" customFormat="1">
      <c r="G51446" s="3336"/>
      <c r="P51446" s="3337"/>
    </row>
    <row r="51447" spans="7:16" s="1634" customFormat="1">
      <c r="G51447" s="3336"/>
      <c r="P51447" s="3337"/>
    </row>
    <row r="51448" spans="7:16" s="1634" customFormat="1">
      <c r="G51448" s="3336"/>
      <c r="P51448" s="3337"/>
    </row>
    <row r="51449" spans="7:16" s="1634" customFormat="1">
      <c r="G51449" s="3336"/>
      <c r="P51449" s="3337"/>
    </row>
    <row r="51450" spans="7:16" s="1634" customFormat="1">
      <c r="G51450" s="3336"/>
      <c r="P51450" s="3337"/>
    </row>
    <row r="51451" spans="7:16" s="1634" customFormat="1">
      <c r="G51451" s="3336"/>
      <c r="P51451" s="3337"/>
    </row>
    <row r="51452" spans="7:16" s="1634" customFormat="1">
      <c r="G51452" s="3336"/>
      <c r="P51452" s="3337"/>
    </row>
    <row r="51453" spans="7:16" s="1634" customFormat="1">
      <c r="G51453" s="3336"/>
      <c r="P51453" s="3337"/>
    </row>
    <row r="51454" spans="7:16" s="1634" customFormat="1">
      <c r="G51454" s="3336"/>
      <c r="P51454" s="3337"/>
    </row>
    <row r="51455" spans="7:16" s="1634" customFormat="1">
      <c r="G51455" s="3336"/>
      <c r="P51455" s="3337"/>
    </row>
    <row r="51456" spans="7:16" s="1634" customFormat="1">
      <c r="G51456" s="3336"/>
      <c r="P51456" s="3337"/>
    </row>
    <row r="51457" spans="7:16" s="1634" customFormat="1">
      <c r="G51457" s="3336"/>
      <c r="P51457" s="3337"/>
    </row>
    <row r="51458" spans="7:16" s="1634" customFormat="1">
      <c r="G51458" s="3336"/>
      <c r="P51458" s="3337"/>
    </row>
    <row r="51459" spans="7:16" s="1634" customFormat="1">
      <c r="G51459" s="3336"/>
      <c r="P51459" s="3337"/>
    </row>
    <row r="51460" spans="7:16" s="1634" customFormat="1">
      <c r="G51460" s="3336"/>
      <c r="P51460" s="3337"/>
    </row>
    <row r="51461" spans="7:16" s="1634" customFormat="1">
      <c r="G51461" s="3336"/>
      <c r="P51461" s="3337"/>
    </row>
    <row r="51462" spans="7:16" s="1634" customFormat="1">
      <c r="G51462" s="3336"/>
      <c r="P51462" s="3337"/>
    </row>
    <row r="51463" spans="7:16" s="1634" customFormat="1">
      <c r="G51463" s="3336"/>
      <c r="P51463" s="3337"/>
    </row>
    <row r="51464" spans="7:16" s="1634" customFormat="1">
      <c r="G51464" s="3336"/>
      <c r="P51464" s="3337"/>
    </row>
    <row r="51465" spans="7:16" s="1634" customFormat="1">
      <c r="G51465" s="3336"/>
      <c r="P51465" s="3337"/>
    </row>
    <row r="51466" spans="7:16" s="1634" customFormat="1">
      <c r="G51466" s="3336"/>
      <c r="P51466" s="3337"/>
    </row>
    <row r="51467" spans="7:16" s="1634" customFormat="1">
      <c r="G51467" s="3336"/>
      <c r="P51467" s="3337"/>
    </row>
    <row r="51468" spans="7:16" s="1634" customFormat="1">
      <c r="G51468" s="3336"/>
      <c r="P51468" s="3337"/>
    </row>
    <row r="51469" spans="7:16" s="1634" customFormat="1">
      <c r="G51469" s="3336"/>
      <c r="P51469" s="3337"/>
    </row>
    <row r="51470" spans="7:16" s="1634" customFormat="1">
      <c r="G51470" s="3336"/>
      <c r="P51470" s="3337"/>
    </row>
    <row r="51471" spans="7:16" s="1634" customFormat="1">
      <c r="G51471" s="3336"/>
      <c r="P51471" s="3337"/>
    </row>
    <row r="51472" spans="7:16" s="1634" customFormat="1">
      <c r="G51472" s="3336"/>
      <c r="P51472" s="3337"/>
    </row>
    <row r="51473" spans="7:16" s="1634" customFormat="1">
      <c r="G51473" s="3336"/>
      <c r="P51473" s="3337"/>
    </row>
    <row r="51474" spans="7:16" s="1634" customFormat="1">
      <c r="G51474" s="3336"/>
      <c r="P51474" s="3337"/>
    </row>
    <row r="51475" spans="7:16" s="1634" customFormat="1">
      <c r="G51475" s="3336"/>
      <c r="P51475" s="3337"/>
    </row>
    <row r="51476" spans="7:16" s="1634" customFormat="1">
      <c r="G51476" s="3336"/>
      <c r="P51476" s="3337"/>
    </row>
    <row r="51477" spans="7:16" s="1634" customFormat="1">
      <c r="G51477" s="3336"/>
      <c r="P51477" s="3337"/>
    </row>
    <row r="51478" spans="7:16" s="1634" customFormat="1">
      <c r="G51478" s="3336"/>
      <c r="P51478" s="3337"/>
    </row>
    <row r="51479" spans="7:16" s="1634" customFormat="1">
      <c r="G51479" s="3336"/>
      <c r="P51479" s="3337"/>
    </row>
    <row r="51480" spans="7:16" s="1634" customFormat="1">
      <c r="G51480" s="3336"/>
      <c r="P51480" s="3337"/>
    </row>
    <row r="51481" spans="7:16" s="1634" customFormat="1">
      <c r="G51481" s="3336"/>
      <c r="P51481" s="3337"/>
    </row>
    <row r="51482" spans="7:16" s="1634" customFormat="1">
      <c r="G51482" s="3336"/>
      <c r="P51482" s="3337"/>
    </row>
    <row r="51483" spans="7:16" s="1634" customFormat="1">
      <c r="G51483" s="3336"/>
      <c r="P51483" s="3337"/>
    </row>
    <row r="51484" spans="7:16" s="1634" customFormat="1">
      <c r="G51484" s="3336"/>
      <c r="P51484" s="3337"/>
    </row>
    <row r="51485" spans="7:16" s="1634" customFormat="1">
      <c r="G51485" s="3336"/>
      <c r="P51485" s="3337"/>
    </row>
    <row r="51486" spans="7:16" s="1634" customFormat="1">
      <c r="G51486" s="3336"/>
      <c r="P51486" s="3337"/>
    </row>
    <row r="51487" spans="7:16" s="1634" customFormat="1">
      <c r="G51487" s="3336"/>
      <c r="P51487" s="3337"/>
    </row>
    <row r="51488" spans="7:16" s="1634" customFormat="1">
      <c r="G51488" s="3336"/>
      <c r="P51488" s="3337"/>
    </row>
    <row r="51489" spans="7:16" s="1634" customFormat="1">
      <c r="G51489" s="3336"/>
      <c r="P51489" s="3337"/>
    </row>
    <row r="51490" spans="7:16" s="1634" customFormat="1">
      <c r="G51490" s="3336"/>
      <c r="P51490" s="3337"/>
    </row>
    <row r="51491" spans="7:16" s="1634" customFormat="1">
      <c r="G51491" s="3336"/>
      <c r="P51491" s="3337"/>
    </row>
    <row r="51492" spans="7:16" s="1634" customFormat="1">
      <c r="G51492" s="3336"/>
      <c r="P51492" s="3337"/>
    </row>
    <row r="51493" spans="7:16" s="1634" customFormat="1">
      <c r="G51493" s="3336"/>
      <c r="P51493" s="3337"/>
    </row>
    <row r="51494" spans="7:16" s="1634" customFormat="1">
      <c r="G51494" s="3336"/>
      <c r="P51494" s="3337"/>
    </row>
    <row r="51495" spans="7:16" s="1634" customFormat="1">
      <c r="G51495" s="3336"/>
      <c r="P51495" s="3337"/>
    </row>
    <row r="51496" spans="7:16" s="1634" customFormat="1">
      <c r="G51496" s="3336"/>
      <c r="P51496" s="3337"/>
    </row>
    <row r="51497" spans="7:16" s="1634" customFormat="1">
      <c r="G51497" s="3336"/>
      <c r="P51497" s="3337"/>
    </row>
    <row r="51498" spans="7:16" s="1634" customFormat="1">
      <c r="G51498" s="3336"/>
      <c r="P51498" s="3337"/>
    </row>
    <row r="51499" spans="7:16" s="1634" customFormat="1">
      <c r="G51499" s="3336"/>
      <c r="P51499" s="3337"/>
    </row>
    <row r="51500" spans="7:16" s="1634" customFormat="1">
      <c r="G51500" s="3336"/>
      <c r="P51500" s="3337"/>
    </row>
    <row r="51501" spans="7:16" s="1634" customFormat="1">
      <c r="G51501" s="3336"/>
      <c r="P51501" s="3337"/>
    </row>
    <row r="51502" spans="7:16" s="1634" customFormat="1">
      <c r="G51502" s="3336"/>
      <c r="P51502" s="3337"/>
    </row>
    <row r="51503" spans="7:16" s="1634" customFormat="1">
      <c r="G51503" s="3336"/>
      <c r="P51503" s="3337"/>
    </row>
    <row r="51504" spans="7:16" s="1634" customFormat="1">
      <c r="G51504" s="3336"/>
      <c r="P51504" s="3337"/>
    </row>
    <row r="51505" spans="7:16" s="1634" customFormat="1">
      <c r="G51505" s="3336"/>
      <c r="P51505" s="3337"/>
    </row>
    <row r="51506" spans="7:16" s="1634" customFormat="1">
      <c r="G51506" s="3336"/>
      <c r="P51506" s="3337"/>
    </row>
    <row r="51507" spans="7:16" s="1634" customFormat="1">
      <c r="G51507" s="3336"/>
      <c r="P51507" s="3337"/>
    </row>
    <row r="51508" spans="7:16" s="1634" customFormat="1">
      <c r="G51508" s="3336"/>
      <c r="P51508" s="3337"/>
    </row>
    <row r="51509" spans="7:16" s="1634" customFormat="1">
      <c r="G51509" s="3336"/>
      <c r="P51509" s="3337"/>
    </row>
    <row r="51510" spans="7:16" s="1634" customFormat="1">
      <c r="G51510" s="3336"/>
      <c r="P51510" s="3337"/>
    </row>
    <row r="51511" spans="7:16" s="1634" customFormat="1">
      <c r="G51511" s="3336"/>
      <c r="P51511" s="3337"/>
    </row>
    <row r="51512" spans="7:16" s="1634" customFormat="1">
      <c r="G51512" s="3336"/>
      <c r="P51512" s="3337"/>
    </row>
    <row r="51513" spans="7:16" s="1634" customFormat="1">
      <c r="G51513" s="3336"/>
      <c r="P51513" s="3337"/>
    </row>
    <row r="51514" spans="7:16" s="1634" customFormat="1">
      <c r="G51514" s="3336"/>
      <c r="P51514" s="3337"/>
    </row>
    <row r="51515" spans="7:16" s="1634" customFormat="1">
      <c r="G51515" s="3336"/>
      <c r="P51515" s="3337"/>
    </row>
    <row r="51516" spans="7:16" s="1634" customFormat="1">
      <c r="G51516" s="3336"/>
      <c r="P51516" s="3337"/>
    </row>
    <row r="51517" spans="7:16" s="1634" customFormat="1">
      <c r="G51517" s="3336"/>
      <c r="P51517" s="3337"/>
    </row>
    <row r="51518" spans="7:16" s="1634" customFormat="1">
      <c r="G51518" s="3336"/>
      <c r="P51518" s="3337"/>
    </row>
    <row r="51519" spans="7:16" s="1634" customFormat="1">
      <c r="G51519" s="3336"/>
      <c r="P51519" s="3337"/>
    </row>
    <row r="51520" spans="7:16" s="1634" customFormat="1">
      <c r="G51520" s="3336"/>
      <c r="P51520" s="3337"/>
    </row>
    <row r="51521" spans="7:16" s="1634" customFormat="1">
      <c r="G51521" s="3336"/>
      <c r="P51521" s="3337"/>
    </row>
    <row r="51522" spans="7:16" s="1634" customFormat="1">
      <c r="G51522" s="3336"/>
      <c r="P51522" s="3337"/>
    </row>
    <row r="51523" spans="7:16" s="1634" customFormat="1">
      <c r="G51523" s="3336"/>
      <c r="P51523" s="3337"/>
    </row>
    <row r="51524" spans="7:16" s="1634" customFormat="1">
      <c r="G51524" s="3336"/>
      <c r="P51524" s="3337"/>
    </row>
    <row r="51525" spans="7:16" s="1634" customFormat="1">
      <c r="G51525" s="3336"/>
      <c r="P51525" s="3337"/>
    </row>
    <row r="51526" spans="7:16" s="1634" customFormat="1">
      <c r="G51526" s="3336"/>
      <c r="P51526" s="3337"/>
    </row>
    <row r="51527" spans="7:16" s="1634" customFormat="1">
      <c r="G51527" s="3336"/>
      <c r="P51527" s="3337"/>
    </row>
    <row r="51528" spans="7:16" s="1634" customFormat="1">
      <c r="G51528" s="3336"/>
      <c r="P51528" s="3337"/>
    </row>
    <row r="51529" spans="7:16" s="1634" customFormat="1">
      <c r="G51529" s="3336"/>
      <c r="P51529" s="3337"/>
    </row>
    <row r="51530" spans="7:16" s="1634" customFormat="1">
      <c r="G51530" s="3336"/>
      <c r="P51530" s="3337"/>
    </row>
    <row r="51531" spans="7:16" s="1634" customFormat="1">
      <c r="G51531" s="3336"/>
      <c r="P51531" s="3337"/>
    </row>
    <row r="51532" spans="7:16" s="1634" customFormat="1">
      <c r="G51532" s="3336"/>
      <c r="P51532" s="3337"/>
    </row>
    <row r="51533" spans="7:16" s="1634" customFormat="1">
      <c r="G51533" s="3336"/>
      <c r="P51533" s="3337"/>
    </row>
    <row r="51534" spans="7:16" s="1634" customFormat="1">
      <c r="G51534" s="3336"/>
      <c r="P51534" s="3337"/>
    </row>
    <row r="51535" spans="7:16" s="1634" customFormat="1">
      <c r="G51535" s="3336"/>
      <c r="P51535" s="3337"/>
    </row>
    <row r="51536" spans="7:16" s="1634" customFormat="1">
      <c r="G51536" s="3336"/>
      <c r="P51536" s="3337"/>
    </row>
    <row r="51537" spans="7:16" s="1634" customFormat="1">
      <c r="G51537" s="3336"/>
      <c r="P51537" s="3337"/>
    </row>
    <row r="51538" spans="7:16" s="1634" customFormat="1">
      <c r="G51538" s="3336"/>
      <c r="P51538" s="3337"/>
    </row>
    <row r="51539" spans="7:16" s="1634" customFormat="1">
      <c r="G51539" s="3336"/>
      <c r="P51539" s="3337"/>
    </row>
    <row r="51540" spans="7:16" s="1634" customFormat="1">
      <c r="G51540" s="3336"/>
      <c r="P51540" s="3337"/>
    </row>
    <row r="51541" spans="7:16" s="1634" customFormat="1">
      <c r="G51541" s="3336"/>
      <c r="P51541" s="3337"/>
    </row>
    <row r="51542" spans="7:16" s="1634" customFormat="1">
      <c r="G51542" s="3336"/>
      <c r="P51542" s="3337"/>
    </row>
    <row r="51543" spans="7:16" s="1634" customFormat="1">
      <c r="G51543" s="3336"/>
      <c r="P51543" s="3337"/>
    </row>
    <row r="51544" spans="7:16" s="1634" customFormat="1">
      <c r="G51544" s="3336"/>
      <c r="P51544" s="3337"/>
    </row>
    <row r="51545" spans="7:16" s="1634" customFormat="1">
      <c r="G51545" s="3336"/>
      <c r="P51545" s="3337"/>
    </row>
    <row r="51546" spans="7:16" s="1634" customFormat="1">
      <c r="G51546" s="3336"/>
      <c r="P51546" s="3337"/>
    </row>
    <row r="51547" spans="7:16" s="1634" customFormat="1">
      <c r="G51547" s="3336"/>
      <c r="P51547" s="3337"/>
    </row>
    <row r="51548" spans="7:16" s="1634" customFormat="1">
      <c r="G51548" s="3336"/>
      <c r="P51548" s="3337"/>
    </row>
    <row r="51549" spans="7:16" s="1634" customFormat="1">
      <c r="G51549" s="3336"/>
      <c r="P51549" s="3337"/>
    </row>
    <row r="51550" spans="7:16" s="1634" customFormat="1">
      <c r="G51550" s="3336"/>
      <c r="P51550" s="3337"/>
    </row>
    <row r="51551" spans="7:16" s="1634" customFormat="1">
      <c r="G51551" s="3336"/>
      <c r="P51551" s="3337"/>
    </row>
    <row r="51552" spans="7:16" s="1634" customFormat="1">
      <c r="G51552" s="3336"/>
      <c r="P51552" s="3337"/>
    </row>
    <row r="51553" spans="7:16" s="1634" customFormat="1">
      <c r="G51553" s="3336"/>
      <c r="P51553" s="3337"/>
    </row>
    <row r="51554" spans="7:16" s="1634" customFormat="1">
      <c r="G51554" s="3336"/>
      <c r="P51554" s="3337"/>
    </row>
    <row r="51555" spans="7:16" s="1634" customFormat="1">
      <c r="G51555" s="3336"/>
      <c r="P51555" s="3337"/>
    </row>
    <row r="51556" spans="7:16" s="1634" customFormat="1">
      <c r="G51556" s="3336"/>
      <c r="P51556" s="3337"/>
    </row>
    <row r="51557" spans="7:16" s="1634" customFormat="1">
      <c r="G51557" s="3336"/>
      <c r="P51557" s="3337"/>
    </row>
    <row r="51558" spans="7:16" s="1634" customFormat="1">
      <c r="G51558" s="3336"/>
      <c r="P51558" s="3337"/>
    </row>
    <row r="51559" spans="7:16" s="1634" customFormat="1">
      <c r="G51559" s="3336"/>
      <c r="P51559" s="3337"/>
    </row>
    <row r="51560" spans="7:16" s="1634" customFormat="1">
      <c r="G51560" s="3336"/>
      <c r="P51560" s="3337"/>
    </row>
    <row r="51561" spans="7:16" s="1634" customFormat="1">
      <c r="G51561" s="3336"/>
      <c r="P51561" s="3337"/>
    </row>
    <row r="51562" spans="7:16" s="1634" customFormat="1">
      <c r="G51562" s="3336"/>
      <c r="P51562" s="3337"/>
    </row>
    <row r="51563" spans="7:16" s="1634" customFormat="1">
      <c r="G51563" s="3336"/>
      <c r="P51563" s="3337"/>
    </row>
    <row r="51564" spans="7:16" s="1634" customFormat="1">
      <c r="G51564" s="3336"/>
      <c r="P51564" s="3337"/>
    </row>
    <row r="51565" spans="7:16" s="1634" customFormat="1">
      <c r="G51565" s="3336"/>
      <c r="P51565" s="3337"/>
    </row>
    <row r="51566" spans="7:16" s="1634" customFormat="1">
      <c r="G51566" s="3336"/>
      <c r="P51566" s="3337"/>
    </row>
    <row r="51567" spans="7:16" s="1634" customFormat="1">
      <c r="G51567" s="3336"/>
      <c r="P51567" s="3337"/>
    </row>
    <row r="51568" spans="7:16" s="1634" customFormat="1">
      <c r="G51568" s="3336"/>
      <c r="P51568" s="3337"/>
    </row>
    <row r="51569" spans="7:16" s="1634" customFormat="1">
      <c r="G51569" s="3336"/>
      <c r="P51569" s="3337"/>
    </row>
    <row r="51570" spans="7:16" s="1634" customFormat="1">
      <c r="G51570" s="3336"/>
      <c r="P51570" s="3337"/>
    </row>
    <row r="51571" spans="7:16" s="1634" customFormat="1">
      <c r="G51571" s="3336"/>
      <c r="P51571" s="3337"/>
    </row>
    <row r="51572" spans="7:16" s="1634" customFormat="1">
      <c r="G51572" s="3336"/>
      <c r="P51572" s="3337"/>
    </row>
    <row r="51573" spans="7:16" s="1634" customFormat="1">
      <c r="G51573" s="3336"/>
      <c r="P51573" s="3337"/>
    </row>
    <row r="51574" spans="7:16" s="1634" customFormat="1">
      <c r="G51574" s="3336"/>
      <c r="P51574" s="3337"/>
    </row>
    <row r="51575" spans="7:16" s="1634" customFormat="1">
      <c r="G51575" s="3336"/>
      <c r="P51575" s="3337"/>
    </row>
    <row r="51576" spans="7:16" s="1634" customFormat="1">
      <c r="G51576" s="3336"/>
      <c r="P51576" s="3337"/>
    </row>
    <row r="51577" spans="7:16" s="1634" customFormat="1">
      <c r="G51577" s="3336"/>
      <c r="P51577" s="3337"/>
    </row>
    <row r="51578" spans="7:16" s="1634" customFormat="1">
      <c r="G51578" s="3336"/>
      <c r="P51578" s="3337"/>
    </row>
    <row r="51579" spans="7:16" s="1634" customFormat="1">
      <c r="G51579" s="3336"/>
      <c r="P51579" s="3337"/>
    </row>
    <row r="51580" spans="7:16" s="1634" customFormat="1">
      <c r="G51580" s="3336"/>
      <c r="P51580" s="3337"/>
    </row>
    <row r="51581" spans="7:16" s="1634" customFormat="1">
      <c r="G51581" s="3336"/>
      <c r="P51581" s="3337"/>
    </row>
    <row r="51582" spans="7:16" s="1634" customFormat="1">
      <c r="G51582" s="3336"/>
      <c r="P51582" s="3337"/>
    </row>
    <row r="51583" spans="7:16" s="1634" customFormat="1">
      <c r="G51583" s="3336"/>
      <c r="P51583" s="3337"/>
    </row>
    <row r="51584" spans="7:16" s="1634" customFormat="1">
      <c r="G51584" s="3336"/>
      <c r="P51584" s="3337"/>
    </row>
    <row r="51585" spans="7:16" s="1634" customFormat="1">
      <c r="G51585" s="3336"/>
      <c r="P51585" s="3337"/>
    </row>
    <row r="51586" spans="7:16" s="1634" customFormat="1">
      <c r="G51586" s="3336"/>
      <c r="P51586" s="3337"/>
    </row>
    <row r="51587" spans="7:16" s="1634" customFormat="1">
      <c r="G51587" s="3336"/>
      <c r="P51587" s="3337"/>
    </row>
    <row r="51588" spans="7:16" s="1634" customFormat="1">
      <c r="G51588" s="3336"/>
      <c r="P51588" s="3337"/>
    </row>
    <row r="51589" spans="7:16" s="1634" customFormat="1">
      <c r="G51589" s="3336"/>
      <c r="P51589" s="3337"/>
    </row>
    <row r="51590" spans="7:16" s="1634" customFormat="1">
      <c r="G51590" s="3336"/>
      <c r="P51590" s="3337"/>
    </row>
    <row r="51591" spans="7:16" s="1634" customFormat="1">
      <c r="G51591" s="3336"/>
      <c r="P51591" s="3337"/>
    </row>
    <row r="51592" spans="7:16" s="1634" customFormat="1">
      <c r="G51592" s="3336"/>
      <c r="P51592" s="3337"/>
    </row>
    <row r="51593" spans="7:16" s="1634" customFormat="1">
      <c r="G51593" s="3336"/>
      <c r="P51593" s="3337"/>
    </row>
    <row r="51594" spans="7:16" s="1634" customFormat="1">
      <c r="G51594" s="3336"/>
      <c r="P51594" s="3337"/>
    </row>
    <row r="51595" spans="7:16" s="1634" customFormat="1">
      <c r="G51595" s="3336"/>
      <c r="P51595" s="3337"/>
    </row>
    <row r="51596" spans="7:16" s="1634" customFormat="1">
      <c r="G51596" s="3336"/>
      <c r="P51596" s="3337"/>
    </row>
    <row r="51597" spans="7:16" s="1634" customFormat="1">
      <c r="G51597" s="3336"/>
      <c r="P51597" s="3337"/>
    </row>
    <row r="51598" spans="7:16" s="1634" customFormat="1">
      <c r="G51598" s="3336"/>
      <c r="P51598" s="3337"/>
    </row>
    <row r="51599" spans="7:16" s="1634" customFormat="1">
      <c r="G51599" s="3336"/>
      <c r="P51599" s="3337"/>
    </row>
    <row r="51600" spans="7:16" s="1634" customFormat="1">
      <c r="G51600" s="3336"/>
      <c r="P51600" s="3337"/>
    </row>
    <row r="51601" spans="7:16" s="1634" customFormat="1">
      <c r="G51601" s="3336"/>
      <c r="P51601" s="3337"/>
    </row>
    <row r="51602" spans="7:16" s="1634" customFormat="1">
      <c r="G51602" s="3336"/>
      <c r="P51602" s="3337"/>
    </row>
    <row r="51603" spans="7:16" s="1634" customFormat="1">
      <c r="G51603" s="3336"/>
      <c r="P51603" s="3337"/>
    </row>
    <row r="51604" spans="7:16" s="1634" customFormat="1">
      <c r="G51604" s="3336"/>
      <c r="P51604" s="3337"/>
    </row>
    <row r="51605" spans="7:16" s="1634" customFormat="1">
      <c r="G51605" s="3336"/>
      <c r="P51605" s="3337"/>
    </row>
    <row r="51606" spans="7:16" s="1634" customFormat="1">
      <c r="G51606" s="3336"/>
      <c r="P51606" s="3337"/>
    </row>
    <row r="51607" spans="7:16" s="1634" customFormat="1">
      <c r="G51607" s="3336"/>
      <c r="P51607" s="3337"/>
    </row>
    <row r="51608" spans="7:16" s="1634" customFormat="1">
      <c r="G51608" s="3336"/>
      <c r="P51608" s="3337"/>
    </row>
    <row r="51609" spans="7:16" s="1634" customFormat="1">
      <c r="G51609" s="3336"/>
      <c r="P51609" s="3337"/>
    </row>
    <row r="51610" spans="7:16" s="1634" customFormat="1">
      <c r="G51610" s="3336"/>
      <c r="P51610" s="3337"/>
    </row>
    <row r="51611" spans="7:16" s="1634" customFormat="1">
      <c r="G51611" s="3336"/>
      <c r="P51611" s="3337"/>
    </row>
    <row r="51612" spans="7:16" s="1634" customFormat="1">
      <c r="G51612" s="3336"/>
      <c r="P51612" s="3337"/>
    </row>
    <row r="51613" spans="7:16" s="1634" customFormat="1">
      <c r="G51613" s="3336"/>
      <c r="P51613" s="3337"/>
    </row>
    <row r="51614" spans="7:16" s="1634" customFormat="1">
      <c r="G51614" s="3336"/>
      <c r="P51614" s="3337"/>
    </row>
    <row r="51615" spans="7:16" s="1634" customFormat="1">
      <c r="G51615" s="3336"/>
      <c r="P51615" s="3337"/>
    </row>
    <row r="51616" spans="7:16" s="1634" customFormat="1">
      <c r="G51616" s="3336"/>
      <c r="P51616" s="3337"/>
    </row>
    <row r="51617" spans="7:16" s="1634" customFormat="1">
      <c r="G51617" s="3336"/>
      <c r="P51617" s="3337"/>
    </row>
    <row r="51618" spans="7:16" s="1634" customFormat="1">
      <c r="G51618" s="3336"/>
      <c r="P51618" s="3337"/>
    </row>
    <row r="51619" spans="7:16" s="1634" customFormat="1">
      <c r="G51619" s="3336"/>
      <c r="P51619" s="3337"/>
    </row>
    <row r="51620" spans="7:16" s="1634" customFormat="1">
      <c r="G51620" s="3336"/>
      <c r="P51620" s="3337"/>
    </row>
    <row r="51621" spans="7:16" s="1634" customFormat="1">
      <c r="G51621" s="3336"/>
      <c r="P51621" s="3337"/>
    </row>
    <row r="51622" spans="7:16" s="1634" customFormat="1">
      <c r="G51622" s="3336"/>
      <c r="P51622" s="3337"/>
    </row>
    <row r="51623" spans="7:16" s="1634" customFormat="1">
      <c r="G51623" s="3336"/>
      <c r="P51623" s="3337"/>
    </row>
    <row r="51624" spans="7:16" s="1634" customFormat="1">
      <c r="G51624" s="3336"/>
      <c r="P51624" s="3337"/>
    </row>
    <row r="51625" spans="7:16" s="1634" customFormat="1">
      <c r="G51625" s="3336"/>
      <c r="P51625" s="3337"/>
    </row>
    <row r="51626" spans="7:16" s="1634" customFormat="1">
      <c r="G51626" s="3336"/>
      <c r="P51626" s="3337"/>
    </row>
    <row r="51627" spans="7:16" s="1634" customFormat="1">
      <c r="G51627" s="3336"/>
      <c r="P51627" s="3337"/>
    </row>
    <row r="51628" spans="7:16" s="1634" customFormat="1">
      <c r="G51628" s="3336"/>
      <c r="P51628" s="3337"/>
    </row>
    <row r="51629" spans="7:16" s="1634" customFormat="1">
      <c r="G51629" s="3336"/>
      <c r="P51629" s="3337"/>
    </row>
    <row r="51630" spans="7:16" s="1634" customFormat="1">
      <c r="G51630" s="3336"/>
      <c r="P51630" s="3337"/>
    </row>
    <row r="51631" spans="7:16" s="1634" customFormat="1">
      <c r="G51631" s="3336"/>
      <c r="P51631" s="3337"/>
    </row>
    <row r="51632" spans="7:16" s="1634" customFormat="1">
      <c r="G51632" s="3336"/>
      <c r="P51632" s="3337"/>
    </row>
    <row r="51633" spans="7:16" s="1634" customFormat="1">
      <c r="G51633" s="3336"/>
      <c r="P51633" s="3337"/>
    </row>
    <row r="51634" spans="7:16" s="1634" customFormat="1">
      <c r="G51634" s="3336"/>
      <c r="P51634" s="3337"/>
    </row>
    <row r="51635" spans="7:16" s="1634" customFormat="1">
      <c r="G51635" s="3336"/>
      <c r="P51635" s="3337"/>
    </row>
    <row r="51636" spans="7:16" s="1634" customFormat="1">
      <c r="G51636" s="3336"/>
      <c r="P51636" s="3337"/>
    </row>
    <row r="51637" spans="7:16" s="1634" customFormat="1">
      <c r="G51637" s="3336"/>
      <c r="P51637" s="3337"/>
    </row>
    <row r="51638" spans="7:16" s="1634" customFormat="1">
      <c r="G51638" s="3336"/>
      <c r="P51638" s="3337"/>
    </row>
    <row r="51639" spans="7:16" s="1634" customFormat="1">
      <c r="G51639" s="3336"/>
      <c r="P51639" s="3337"/>
    </row>
    <row r="51640" spans="7:16" s="1634" customFormat="1">
      <c r="G51640" s="3336"/>
      <c r="P51640" s="3337"/>
    </row>
    <row r="51641" spans="7:16" s="1634" customFormat="1">
      <c r="G51641" s="3336"/>
      <c r="P51641" s="3337"/>
    </row>
    <row r="51642" spans="7:16" s="1634" customFormat="1">
      <c r="G51642" s="3336"/>
      <c r="P51642" s="3337"/>
    </row>
    <row r="51643" spans="7:16" s="1634" customFormat="1">
      <c r="G51643" s="3336"/>
      <c r="P51643" s="3337"/>
    </row>
    <row r="51644" spans="7:16" s="1634" customFormat="1">
      <c r="G51644" s="3336"/>
      <c r="P51644" s="3337"/>
    </row>
    <row r="51645" spans="7:16" s="1634" customFormat="1">
      <c r="G51645" s="3336"/>
      <c r="P51645" s="3337"/>
    </row>
    <row r="51646" spans="7:16" s="1634" customFormat="1">
      <c r="G51646" s="3336"/>
      <c r="P51646" s="3337"/>
    </row>
    <row r="51647" spans="7:16" s="1634" customFormat="1">
      <c r="G51647" s="3336"/>
      <c r="P51647" s="3337"/>
    </row>
    <row r="51648" spans="7:16" s="1634" customFormat="1">
      <c r="G51648" s="3336"/>
      <c r="P51648" s="3337"/>
    </row>
    <row r="51649" spans="7:16" s="1634" customFormat="1">
      <c r="G51649" s="3336"/>
      <c r="P51649" s="3337"/>
    </row>
    <row r="51650" spans="7:16" s="1634" customFormat="1">
      <c r="G51650" s="3336"/>
      <c r="P51650" s="3337"/>
    </row>
    <row r="51651" spans="7:16" s="1634" customFormat="1">
      <c r="G51651" s="3336"/>
      <c r="P51651" s="3337"/>
    </row>
    <row r="51652" spans="7:16" s="1634" customFormat="1">
      <c r="G51652" s="3336"/>
      <c r="P51652" s="3337"/>
    </row>
    <row r="51653" spans="7:16" s="1634" customFormat="1">
      <c r="G51653" s="3336"/>
      <c r="P51653" s="3337"/>
    </row>
    <row r="51654" spans="7:16" s="1634" customFormat="1">
      <c r="G51654" s="3336"/>
      <c r="P51654" s="3337"/>
    </row>
    <row r="51655" spans="7:16" s="1634" customFormat="1">
      <c r="G51655" s="3336"/>
      <c r="P51655" s="3337"/>
    </row>
    <row r="51656" spans="7:16" s="1634" customFormat="1">
      <c r="G51656" s="3336"/>
      <c r="P51656" s="3337"/>
    </row>
    <row r="51657" spans="7:16" s="1634" customFormat="1">
      <c r="G51657" s="3336"/>
      <c r="P51657" s="3337"/>
    </row>
    <row r="51658" spans="7:16" s="1634" customFormat="1">
      <c r="G51658" s="3336"/>
      <c r="P51658" s="3337"/>
    </row>
    <row r="51659" spans="7:16" s="1634" customFormat="1">
      <c r="G51659" s="3336"/>
      <c r="P51659" s="3337"/>
    </row>
    <row r="51660" spans="7:16" s="1634" customFormat="1">
      <c r="G51660" s="3336"/>
      <c r="P51660" s="3337"/>
    </row>
    <row r="51661" spans="7:16" s="1634" customFormat="1">
      <c r="G51661" s="3336"/>
      <c r="P51661" s="3337"/>
    </row>
    <row r="51662" spans="7:16" s="1634" customFormat="1">
      <c r="G51662" s="3336"/>
      <c r="P51662" s="3337"/>
    </row>
    <row r="51663" spans="7:16" s="1634" customFormat="1">
      <c r="G51663" s="3336"/>
      <c r="P51663" s="3337"/>
    </row>
    <row r="51664" spans="7:16" s="1634" customFormat="1">
      <c r="G51664" s="3336"/>
      <c r="P51664" s="3337"/>
    </row>
    <row r="51665" spans="7:16" s="1634" customFormat="1">
      <c r="G51665" s="3336"/>
      <c r="P51665" s="3337"/>
    </row>
    <row r="51666" spans="7:16" s="1634" customFormat="1">
      <c r="G51666" s="3336"/>
      <c r="P51666" s="3337"/>
    </row>
    <row r="51667" spans="7:16" s="1634" customFormat="1">
      <c r="G51667" s="3336"/>
      <c r="P51667" s="3337"/>
    </row>
    <row r="51668" spans="7:16" s="1634" customFormat="1">
      <c r="G51668" s="3336"/>
      <c r="P51668" s="3337"/>
    </row>
    <row r="51669" spans="7:16" s="1634" customFormat="1">
      <c r="G51669" s="3336"/>
      <c r="P51669" s="3337"/>
    </row>
    <row r="51670" spans="7:16" s="1634" customFormat="1">
      <c r="G51670" s="3336"/>
      <c r="P51670" s="3337"/>
    </row>
    <row r="51671" spans="7:16" s="1634" customFormat="1">
      <c r="G51671" s="3336"/>
      <c r="P51671" s="3337"/>
    </row>
    <row r="51672" spans="7:16" s="1634" customFormat="1">
      <c r="G51672" s="3336"/>
      <c r="P51672" s="3337"/>
    </row>
    <row r="51673" spans="7:16" s="1634" customFormat="1">
      <c r="G51673" s="3336"/>
      <c r="P51673" s="3337"/>
    </row>
    <row r="51674" spans="7:16" s="1634" customFormat="1">
      <c r="G51674" s="3336"/>
      <c r="P51674" s="3337"/>
    </row>
    <row r="51675" spans="7:16" s="1634" customFormat="1">
      <c r="G51675" s="3336"/>
      <c r="P51675" s="3337"/>
    </row>
    <row r="51676" spans="7:16" s="1634" customFormat="1">
      <c r="G51676" s="3336"/>
      <c r="P51676" s="3337"/>
    </row>
    <row r="51677" spans="7:16" s="1634" customFormat="1">
      <c r="G51677" s="3336"/>
      <c r="P51677" s="3337"/>
    </row>
    <row r="51678" spans="7:16" s="1634" customFormat="1">
      <c r="G51678" s="3336"/>
      <c r="P51678" s="3337"/>
    </row>
    <row r="51679" spans="7:16" s="1634" customFormat="1">
      <c r="G51679" s="3336"/>
      <c r="P51679" s="3337"/>
    </row>
    <row r="51680" spans="7:16" s="1634" customFormat="1">
      <c r="G51680" s="3336"/>
      <c r="P51680" s="3337"/>
    </row>
    <row r="51681" spans="7:16" s="1634" customFormat="1">
      <c r="G51681" s="3336"/>
      <c r="P51681" s="3337"/>
    </row>
    <row r="51682" spans="7:16" s="1634" customFormat="1">
      <c r="G51682" s="3336"/>
      <c r="P51682" s="3337"/>
    </row>
    <row r="51683" spans="7:16" s="1634" customFormat="1">
      <c r="G51683" s="3336"/>
      <c r="P51683" s="3337"/>
    </row>
    <row r="51684" spans="7:16" s="1634" customFormat="1">
      <c r="G51684" s="3336"/>
      <c r="P51684" s="3337"/>
    </row>
    <row r="51685" spans="7:16" s="1634" customFormat="1">
      <c r="G51685" s="3336"/>
      <c r="P51685" s="3337"/>
    </row>
    <row r="51686" spans="7:16" s="1634" customFormat="1">
      <c r="G51686" s="3336"/>
      <c r="P51686" s="3337"/>
    </row>
    <row r="51687" spans="7:16" s="1634" customFormat="1">
      <c r="G51687" s="3336"/>
      <c r="P51687" s="3337"/>
    </row>
    <row r="51688" spans="7:16" s="1634" customFormat="1">
      <c r="G51688" s="3336"/>
      <c r="P51688" s="3337"/>
    </row>
    <row r="51689" spans="7:16" s="1634" customFormat="1">
      <c r="G51689" s="3336"/>
      <c r="P51689" s="3337"/>
    </row>
    <row r="51690" spans="7:16" s="1634" customFormat="1">
      <c r="G51690" s="3336"/>
      <c r="P51690" s="3337"/>
    </row>
    <row r="51691" spans="7:16" s="1634" customFormat="1">
      <c r="G51691" s="3336"/>
      <c r="P51691" s="3337"/>
    </row>
    <row r="51692" spans="7:16" s="1634" customFormat="1">
      <c r="G51692" s="3336"/>
      <c r="P51692" s="3337"/>
    </row>
    <row r="51693" spans="7:16" s="1634" customFormat="1">
      <c r="G51693" s="3336"/>
      <c r="P51693" s="3337"/>
    </row>
    <row r="51694" spans="7:16" s="1634" customFormat="1">
      <c r="G51694" s="3336"/>
      <c r="P51694" s="3337"/>
    </row>
    <row r="51695" spans="7:16" s="1634" customFormat="1">
      <c r="G51695" s="3336"/>
      <c r="P51695" s="3337"/>
    </row>
    <row r="51696" spans="7:16" s="1634" customFormat="1">
      <c r="G51696" s="3336"/>
      <c r="P51696" s="3337"/>
    </row>
    <row r="51697" spans="7:16" s="1634" customFormat="1">
      <c r="G51697" s="3336"/>
      <c r="P51697" s="3337"/>
    </row>
    <row r="51698" spans="7:16" s="1634" customFormat="1">
      <c r="G51698" s="3336"/>
      <c r="P51698" s="3337"/>
    </row>
    <row r="51699" spans="7:16" s="1634" customFormat="1">
      <c r="G51699" s="3336"/>
      <c r="P51699" s="3337"/>
    </row>
    <row r="51700" spans="7:16" s="1634" customFormat="1">
      <c r="G51700" s="3336"/>
      <c r="P51700" s="3337"/>
    </row>
    <row r="51701" spans="7:16" s="1634" customFormat="1">
      <c r="G51701" s="3336"/>
      <c r="P51701" s="3337"/>
    </row>
    <row r="51702" spans="7:16" s="1634" customFormat="1">
      <c r="G51702" s="3336"/>
      <c r="P51702" s="3337"/>
    </row>
    <row r="51703" spans="7:16" s="1634" customFormat="1">
      <c r="G51703" s="3336"/>
      <c r="P51703" s="3337"/>
    </row>
    <row r="51704" spans="7:16" s="1634" customFormat="1">
      <c r="G51704" s="3336"/>
      <c r="P51704" s="3337"/>
    </row>
    <row r="51705" spans="7:16" s="1634" customFormat="1">
      <c r="G51705" s="3336"/>
      <c r="P51705" s="3337"/>
    </row>
    <row r="51706" spans="7:16" s="1634" customFormat="1">
      <c r="G51706" s="3336"/>
      <c r="P51706" s="3337"/>
    </row>
    <row r="51707" spans="7:16" s="1634" customFormat="1">
      <c r="G51707" s="3336"/>
      <c r="P51707" s="3337"/>
    </row>
    <row r="51708" spans="7:16" s="1634" customFormat="1">
      <c r="G51708" s="3336"/>
      <c r="P51708" s="3337"/>
    </row>
    <row r="51709" spans="7:16" s="1634" customFormat="1">
      <c r="G51709" s="3336"/>
      <c r="P51709" s="3337"/>
    </row>
    <row r="51710" spans="7:16" s="1634" customFormat="1">
      <c r="G51710" s="3336"/>
      <c r="P51710" s="3337"/>
    </row>
    <row r="51711" spans="7:16" s="1634" customFormat="1">
      <c r="G51711" s="3336"/>
      <c r="P51711" s="3337"/>
    </row>
    <row r="51712" spans="7:16" s="1634" customFormat="1">
      <c r="G51712" s="3336"/>
      <c r="P51712" s="3337"/>
    </row>
    <row r="51713" spans="7:16" s="1634" customFormat="1">
      <c r="G51713" s="3336"/>
      <c r="P51713" s="3337"/>
    </row>
    <row r="51714" spans="7:16" s="1634" customFormat="1">
      <c r="G51714" s="3336"/>
      <c r="P51714" s="3337"/>
    </row>
    <row r="51715" spans="7:16" s="1634" customFormat="1">
      <c r="G51715" s="3336"/>
      <c r="P51715" s="3337"/>
    </row>
    <row r="51716" spans="7:16" s="1634" customFormat="1">
      <c r="G51716" s="3336"/>
      <c r="P51716" s="3337"/>
    </row>
    <row r="51717" spans="7:16" s="1634" customFormat="1">
      <c r="G51717" s="3336"/>
      <c r="P51717" s="3337"/>
    </row>
    <row r="51718" spans="7:16" s="1634" customFormat="1">
      <c r="G51718" s="3336"/>
      <c r="P51718" s="3337"/>
    </row>
    <row r="51719" spans="7:16" s="1634" customFormat="1">
      <c r="G51719" s="3336"/>
      <c r="P51719" s="3337"/>
    </row>
    <row r="51720" spans="7:16" s="1634" customFormat="1">
      <c r="G51720" s="3336"/>
      <c r="P51720" s="3337"/>
    </row>
    <row r="51721" spans="7:16" s="1634" customFormat="1">
      <c r="G51721" s="3336"/>
      <c r="P51721" s="3337"/>
    </row>
    <row r="51722" spans="7:16" s="1634" customFormat="1">
      <c r="G51722" s="3336"/>
      <c r="P51722" s="3337"/>
    </row>
    <row r="51723" spans="7:16" s="1634" customFormat="1">
      <c r="G51723" s="3336"/>
      <c r="P51723" s="3337"/>
    </row>
    <row r="51724" spans="7:16" s="1634" customFormat="1">
      <c r="G51724" s="3336"/>
      <c r="P51724" s="3337"/>
    </row>
    <row r="51725" spans="7:16" s="1634" customFormat="1">
      <c r="G51725" s="3336"/>
      <c r="P51725" s="3337"/>
    </row>
    <row r="51726" spans="7:16" s="1634" customFormat="1">
      <c r="G51726" s="3336"/>
      <c r="P51726" s="3337"/>
    </row>
    <row r="51727" spans="7:16" s="1634" customFormat="1">
      <c r="G51727" s="3336"/>
      <c r="P51727" s="3337"/>
    </row>
    <row r="51728" spans="7:16" s="1634" customFormat="1">
      <c r="G51728" s="3336"/>
      <c r="P51728" s="3337"/>
    </row>
    <row r="51729" spans="7:16" s="1634" customFormat="1">
      <c r="G51729" s="3336"/>
      <c r="P51729" s="3337"/>
    </row>
    <row r="51730" spans="7:16" s="1634" customFormat="1">
      <c r="G51730" s="3336"/>
      <c r="P51730" s="3337"/>
    </row>
    <row r="51731" spans="7:16" s="1634" customFormat="1">
      <c r="G51731" s="3336"/>
      <c r="P51731" s="3337"/>
    </row>
    <row r="51732" spans="7:16" s="1634" customFormat="1">
      <c r="G51732" s="3336"/>
      <c r="P51732" s="3337"/>
    </row>
    <row r="51733" spans="7:16" s="1634" customFormat="1">
      <c r="G51733" s="3336"/>
      <c r="P51733" s="3337"/>
    </row>
    <row r="51734" spans="7:16" s="1634" customFormat="1">
      <c r="G51734" s="3336"/>
      <c r="P51734" s="3337"/>
    </row>
    <row r="51735" spans="7:16" s="1634" customFormat="1">
      <c r="G51735" s="3336"/>
      <c r="P51735" s="3337"/>
    </row>
    <row r="51736" spans="7:16" s="1634" customFormat="1">
      <c r="G51736" s="3336"/>
      <c r="P51736" s="3337"/>
    </row>
    <row r="51737" spans="7:16" s="1634" customFormat="1">
      <c r="G51737" s="3336"/>
      <c r="P51737" s="3337"/>
    </row>
    <row r="51738" spans="7:16" s="1634" customFormat="1">
      <c r="G51738" s="3336"/>
      <c r="P51738" s="3337"/>
    </row>
    <row r="51739" spans="7:16" s="1634" customFormat="1">
      <c r="G51739" s="3336"/>
      <c r="P51739" s="3337"/>
    </row>
    <row r="51740" spans="7:16" s="1634" customFormat="1">
      <c r="G51740" s="3336"/>
      <c r="P51740" s="3337"/>
    </row>
    <row r="51741" spans="7:16" s="1634" customFormat="1">
      <c r="G51741" s="3336"/>
      <c r="P51741" s="3337"/>
    </row>
    <row r="51742" spans="7:16" s="1634" customFormat="1">
      <c r="G51742" s="3336"/>
      <c r="P51742" s="3337"/>
    </row>
    <row r="51743" spans="7:16" s="1634" customFormat="1">
      <c r="G51743" s="3336"/>
      <c r="P51743" s="3337"/>
    </row>
    <row r="51744" spans="7:16" s="1634" customFormat="1">
      <c r="G51744" s="3336"/>
      <c r="P51744" s="3337"/>
    </row>
    <row r="51745" spans="7:16" s="1634" customFormat="1">
      <c r="G51745" s="3336"/>
      <c r="P51745" s="3337"/>
    </row>
    <row r="51746" spans="7:16" s="1634" customFormat="1">
      <c r="G51746" s="3336"/>
      <c r="P51746" s="3337"/>
    </row>
    <row r="51747" spans="7:16" s="1634" customFormat="1">
      <c r="G51747" s="3336"/>
      <c r="P51747" s="3337"/>
    </row>
    <row r="51748" spans="7:16" s="1634" customFormat="1">
      <c r="G51748" s="3336"/>
      <c r="P51748" s="3337"/>
    </row>
    <row r="51749" spans="7:16" s="1634" customFormat="1">
      <c r="G51749" s="3336"/>
      <c r="P51749" s="3337"/>
    </row>
    <row r="51750" spans="7:16" s="1634" customFormat="1">
      <c r="G51750" s="3336"/>
      <c r="P51750" s="3337"/>
    </row>
    <row r="51751" spans="7:16" s="1634" customFormat="1">
      <c r="G51751" s="3336"/>
      <c r="P51751" s="3337"/>
    </row>
    <row r="51752" spans="7:16" s="1634" customFormat="1">
      <c r="G51752" s="3336"/>
      <c r="P51752" s="3337"/>
    </row>
    <row r="51753" spans="7:16" s="1634" customFormat="1">
      <c r="G51753" s="3336"/>
      <c r="P51753" s="3337"/>
    </row>
    <row r="51754" spans="7:16" s="1634" customFormat="1">
      <c r="G51754" s="3336"/>
      <c r="P51754" s="3337"/>
    </row>
    <row r="51755" spans="7:16" s="1634" customFormat="1">
      <c r="G51755" s="3336"/>
      <c r="P51755" s="3337"/>
    </row>
    <row r="51756" spans="7:16" s="1634" customFormat="1">
      <c r="G51756" s="3336"/>
      <c r="P51756" s="3337"/>
    </row>
    <row r="51757" spans="7:16" s="1634" customFormat="1">
      <c r="G51757" s="3336"/>
      <c r="P51757" s="3337"/>
    </row>
    <row r="51758" spans="7:16" s="1634" customFormat="1">
      <c r="G51758" s="3336"/>
      <c r="P51758" s="3337"/>
    </row>
    <row r="51759" spans="7:16" s="1634" customFormat="1">
      <c r="G51759" s="3336"/>
      <c r="P51759" s="3337"/>
    </row>
    <row r="51760" spans="7:16" s="1634" customFormat="1">
      <c r="G51760" s="3336"/>
      <c r="P51760" s="3337"/>
    </row>
    <row r="51761" spans="7:16" s="1634" customFormat="1">
      <c r="G51761" s="3336"/>
      <c r="P51761" s="3337"/>
    </row>
    <row r="51762" spans="7:16" s="1634" customFormat="1">
      <c r="G51762" s="3336"/>
      <c r="P51762" s="3337"/>
    </row>
    <row r="51763" spans="7:16" s="1634" customFormat="1">
      <c r="G51763" s="3336"/>
      <c r="P51763" s="3337"/>
    </row>
    <row r="51764" spans="7:16" s="1634" customFormat="1">
      <c r="G51764" s="3336"/>
      <c r="P51764" s="3337"/>
    </row>
    <row r="51765" spans="7:16" s="1634" customFormat="1">
      <c r="G51765" s="3336"/>
      <c r="P51765" s="3337"/>
    </row>
    <row r="51766" spans="7:16" s="1634" customFormat="1">
      <c r="G51766" s="3336"/>
      <c r="P51766" s="3337"/>
    </row>
    <row r="51767" spans="7:16" s="1634" customFormat="1">
      <c r="G51767" s="3336"/>
      <c r="P51767" s="3337"/>
    </row>
    <row r="51768" spans="7:16" s="1634" customFormat="1">
      <c r="G51768" s="3336"/>
      <c r="P51768" s="3337"/>
    </row>
    <row r="51769" spans="7:16" s="1634" customFormat="1">
      <c r="G51769" s="3336"/>
      <c r="P51769" s="3337"/>
    </row>
    <row r="51770" spans="7:16" s="1634" customFormat="1">
      <c r="G51770" s="3336"/>
      <c r="P51770" s="3337"/>
    </row>
    <row r="51771" spans="7:16" s="1634" customFormat="1">
      <c r="G51771" s="3336"/>
      <c r="P51771" s="3337"/>
    </row>
    <row r="51772" spans="7:16" s="1634" customFormat="1">
      <c r="G51772" s="3336"/>
      <c r="P51772" s="3337"/>
    </row>
    <row r="51773" spans="7:16" s="1634" customFormat="1">
      <c r="G51773" s="3336"/>
      <c r="P51773" s="3337"/>
    </row>
    <row r="51774" spans="7:16" s="1634" customFormat="1">
      <c r="G51774" s="3336"/>
      <c r="P51774" s="3337"/>
    </row>
    <row r="51775" spans="7:16" s="1634" customFormat="1">
      <c r="G51775" s="3336"/>
      <c r="P51775" s="3337"/>
    </row>
    <row r="51776" spans="7:16" s="1634" customFormat="1">
      <c r="G51776" s="3336"/>
      <c r="P51776" s="3337"/>
    </row>
    <row r="51777" spans="7:16" s="1634" customFormat="1">
      <c r="G51777" s="3336"/>
      <c r="P51777" s="3337"/>
    </row>
    <row r="51778" spans="7:16" s="1634" customFormat="1">
      <c r="G51778" s="3336"/>
      <c r="P51778" s="3337"/>
    </row>
    <row r="51779" spans="7:16" s="1634" customFormat="1">
      <c r="G51779" s="3336"/>
      <c r="P51779" s="3337"/>
    </row>
    <row r="51780" spans="7:16" s="1634" customFormat="1">
      <c r="G51780" s="3336"/>
      <c r="P51780" s="3337"/>
    </row>
    <row r="51781" spans="7:16" s="1634" customFormat="1">
      <c r="G51781" s="3336"/>
      <c r="P51781" s="3337"/>
    </row>
    <row r="51782" spans="7:16" s="1634" customFormat="1">
      <c r="G51782" s="3336"/>
      <c r="P51782" s="3337"/>
    </row>
    <row r="51783" spans="7:16" s="1634" customFormat="1">
      <c r="G51783" s="3336"/>
      <c r="P51783" s="3337"/>
    </row>
    <row r="51784" spans="7:16" s="1634" customFormat="1">
      <c r="G51784" s="3336"/>
      <c r="P51784" s="3337"/>
    </row>
    <row r="51785" spans="7:16" s="1634" customFormat="1">
      <c r="G51785" s="3336"/>
      <c r="P51785" s="3337"/>
    </row>
    <row r="51786" spans="7:16" s="1634" customFormat="1">
      <c r="G51786" s="3336"/>
      <c r="P51786" s="3337"/>
    </row>
    <row r="51787" spans="7:16" s="1634" customFormat="1">
      <c r="G51787" s="3336"/>
      <c r="P51787" s="3337"/>
    </row>
    <row r="51788" spans="7:16" s="1634" customFormat="1">
      <c r="G51788" s="3336"/>
      <c r="P51788" s="3337"/>
    </row>
    <row r="51789" spans="7:16" s="1634" customFormat="1">
      <c r="G51789" s="3336"/>
      <c r="P51789" s="3337"/>
    </row>
    <row r="51790" spans="7:16" s="1634" customFormat="1">
      <c r="G51790" s="3336"/>
      <c r="P51790" s="3337"/>
    </row>
    <row r="51791" spans="7:16" s="1634" customFormat="1">
      <c r="G51791" s="3336"/>
      <c r="P51791" s="3337"/>
    </row>
    <row r="51792" spans="7:16" s="1634" customFormat="1">
      <c r="G51792" s="3336"/>
      <c r="P51792" s="3337"/>
    </row>
    <row r="51793" spans="7:16" s="1634" customFormat="1">
      <c r="G51793" s="3336"/>
      <c r="P51793" s="3337"/>
    </row>
    <row r="51794" spans="7:16" s="1634" customFormat="1">
      <c r="G51794" s="3336"/>
      <c r="P51794" s="3337"/>
    </row>
    <row r="51795" spans="7:16" s="1634" customFormat="1">
      <c r="G51795" s="3336"/>
      <c r="P51795" s="3337"/>
    </row>
    <row r="51796" spans="7:16" s="1634" customFormat="1">
      <c r="G51796" s="3336"/>
      <c r="P51796" s="3337"/>
    </row>
    <row r="51797" spans="7:16" s="1634" customFormat="1">
      <c r="G51797" s="3336"/>
      <c r="P51797" s="3337"/>
    </row>
    <row r="51798" spans="7:16" s="1634" customFormat="1">
      <c r="G51798" s="3336"/>
      <c r="P51798" s="3337"/>
    </row>
    <row r="51799" spans="7:16" s="1634" customFormat="1">
      <c r="G51799" s="3336"/>
      <c r="P51799" s="3337"/>
    </row>
    <row r="51800" spans="7:16" s="1634" customFormat="1">
      <c r="G51800" s="3336"/>
      <c r="P51800" s="3337"/>
    </row>
    <row r="51801" spans="7:16" s="1634" customFormat="1">
      <c r="G51801" s="3336"/>
      <c r="P51801" s="3337"/>
    </row>
    <row r="51802" spans="7:16" s="1634" customFormat="1">
      <c r="G51802" s="3336"/>
      <c r="P51802" s="3337"/>
    </row>
    <row r="51803" spans="7:16" s="1634" customFormat="1">
      <c r="G51803" s="3336"/>
      <c r="P51803" s="3337"/>
    </row>
    <row r="51804" spans="7:16" s="1634" customFormat="1">
      <c r="G51804" s="3336"/>
      <c r="P51804" s="3337"/>
    </row>
    <row r="51805" spans="7:16" s="1634" customFormat="1">
      <c r="G51805" s="3336"/>
      <c r="P51805" s="3337"/>
    </row>
    <row r="51806" spans="7:16" s="1634" customFormat="1">
      <c r="G51806" s="3336"/>
      <c r="P51806" s="3337"/>
    </row>
    <row r="51807" spans="7:16" s="1634" customFormat="1">
      <c r="G51807" s="3336"/>
      <c r="P51807" s="3337"/>
    </row>
    <row r="51808" spans="7:16" s="1634" customFormat="1">
      <c r="G51808" s="3336"/>
      <c r="P51808" s="3337"/>
    </row>
    <row r="51809" spans="7:16" s="1634" customFormat="1">
      <c r="G51809" s="3336"/>
      <c r="P51809" s="3337"/>
    </row>
    <row r="51810" spans="7:16" s="1634" customFormat="1">
      <c r="G51810" s="3336"/>
      <c r="P51810" s="3337"/>
    </row>
    <row r="51811" spans="7:16" s="1634" customFormat="1">
      <c r="G51811" s="3336"/>
      <c r="P51811" s="3337"/>
    </row>
    <row r="51812" spans="7:16" s="1634" customFormat="1">
      <c r="G51812" s="3336"/>
      <c r="P51812" s="3337"/>
    </row>
    <row r="51813" spans="7:16" s="1634" customFormat="1">
      <c r="G51813" s="3336"/>
      <c r="P51813" s="3337"/>
    </row>
    <row r="51814" spans="7:16" s="1634" customFormat="1">
      <c r="G51814" s="3336"/>
      <c r="P51814" s="3337"/>
    </row>
    <row r="51815" spans="7:16" s="1634" customFormat="1">
      <c r="G51815" s="3336"/>
      <c r="P51815" s="3337"/>
    </row>
    <row r="51816" spans="7:16" s="1634" customFormat="1">
      <c r="G51816" s="3336"/>
      <c r="P51816" s="3337"/>
    </row>
    <row r="51817" spans="7:16" s="1634" customFormat="1">
      <c r="G51817" s="3336"/>
      <c r="P51817" s="3337"/>
    </row>
    <row r="51818" spans="7:16" s="1634" customFormat="1">
      <c r="G51818" s="3336"/>
      <c r="P51818" s="3337"/>
    </row>
    <row r="51819" spans="7:16" s="1634" customFormat="1">
      <c r="G51819" s="3336"/>
      <c r="P51819" s="3337"/>
    </row>
    <row r="51820" spans="7:16" s="1634" customFormat="1">
      <c r="G51820" s="3336"/>
      <c r="P51820" s="3337"/>
    </row>
    <row r="51821" spans="7:16" s="1634" customFormat="1">
      <c r="G51821" s="3336"/>
      <c r="P51821" s="3337"/>
    </row>
    <row r="51822" spans="7:16" s="1634" customFormat="1">
      <c r="G51822" s="3336"/>
      <c r="P51822" s="3337"/>
    </row>
    <row r="51823" spans="7:16" s="1634" customFormat="1">
      <c r="G51823" s="3336"/>
      <c r="P51823" s="3337"/>
    </row>
    <row r="51824" spans="7:16" s="1634" customFormat="1">
      <c r="G51824" s="3336"/>
      <c r="P51824" s="3337"/>
    </row>
    <row r="51825" spans="7:16" s="1634" customFormat="1">
      <c r="G51825" s="3336"/>
      <c r="P51825" s="3337"/>
    </row>
    <row r="51826" spans="7:16" s="1634" customFormat="1">
      <c r="G51826" s="3336"/>
      <c r="P51826" s="3337"/>
    </row>
    <row r="51827" spans="7:16" s="1634" customFormat="1">
      <c r="G51827" s="3336"/>
      <c r="P51827" s="3337"/>
    </row>
    <row r="51828" spans="7:16" s="1634" customFormat="1">
      <c r="G51828" s="3336"/>
      <c r="P51828" s="3337"/>
    </row>
    <row r="51829" spans="7:16" s="1634" customFormat="1">
      <c r="G51829" s="3336"/>
      <c r="P51829" s="3337"/>
    </row>
    <row r="51830" spans="7:16" s="1634" customFormat="1">
      <c r="G51830" s="3336"/>
      <c r="P51830" s="3337"/>
    </row>
    <row r="51831" spans="7:16" s="1634" customFormat="1">
      <c r="G51831" s="3336"/>
      <c r="P51831" s="3337"/>
    </row>
    <row r="51832" spans="7:16" s="1634" customFormat="1">
      <c r="G51832" s="3336"/>
      <c r="P51832" s="3337"/>
    </row>
    <row r="51833" spans="7:16" s="1634" customFormat="1">
      <c r="G51833" s="3336"/>
      <c r="P51833" s="3337"/>
    </row>
    <row r="51834" spans="7:16" s="1634" customFormat="1">
      <c r="G51834" s="3336"/>
      <c r="P51834" s="3337"/>
    </row>
    <row r="51835" spans="7:16" s="1634" customFormat="1">
      <c r="G51835" s="3336"/>
      <c r="P51835" s="3337"/>
    </row>
    <row r="51836" spans="7:16" s="1634" customFormat="1">
      <c r="G51836" s="3336"/>
      <c r="P51836" s="3337"/>
    </row>
    <row r="51837" spans="7:16" s="1634" customFormat="1">
      <c r="G51837" s="3336"/>
      <c r="P51837" s="3337"/>
    </row>
    <row r="51838" spans="7:16" s="1634" customFormat="1">
      <c r="G51838" s="3336"/>
      <c r="P51838" s="3337"/>
    </row>
    <row r="51839" spans="7:16" s="1634" customFormat="1">
      <c r="G51839" s="3336"/>
      <c r="P51839" s="3337"/>
    </row>
    <row r="51840" spans="7:16" s="1634" customFormat="1">
      <c r="G51840" s="3336"/>
      <c r="P51840" s="3337"/>
    </row>
    <row r="51841" spans="7:16" s="1634" customFormat="1">
      <c r="G51841" s="3336"/>
      <c r="P51841" s="3337"/>
    </row>
    <row r="51842" spans="7:16" s="1634" customFormat="1">
      <c r="G51842" s="3336"/>
      <c r="P51842" s="3337"/>
    </row>
    <row r="51843" spans="7:16" s="1634" customFormat="1">
      <c r="G51843" s="3336"/>
      <c r="P51843" s="3337"/>
    </row>
    <row r="51844" spans="7:16" s="1634" customFormat="1">
      <c r="G51844" s="3336"/>
      <c r="P51844" s="3337"/>
    </row>
    <row r="51845" spans="7:16" s="1634" customFormat="1">
      <c r="G51845" s="3336"/>
      <c r="P51845" s="3337"/>
    </row>
    <row r="51846" spans="7:16" s="1634" customFormat="1">
      <c r="G51846" s="3336"/>
      <c r="P51846" s="3337"/>
    </row>
    <row r="51847" spans="7:16" s="1634" customFormat="1">
      <c r="G51847" s="3336"/>
      <c r="P51847" s="3337"/>
    </row>
    <row r="51848" spans="7:16" s="1634" customFormat="1">
      <c r="G51848" s="3336"/>
      <c r="P51848" s="3337"/>
    </row>
    <row r="51849" spans="7:16" s="1634" customFormat="1">
      <c r="G51849" s="3336"/>
      <c r="P51849" s="3337"/>
    </row>
    <row r="51850" spans="7:16" s="1634" customFormat="1">
      <c r="G51850" s="3336"/>
      <c r="P51850" s="3337"/>
    </row>
    <row r="51851" spans="7:16" s="1634" customFormat="1">
      <c r="G51851" s="3336"/>
      <c r="P51851" s="3337"/>
    </row>
    <row r="51852" spans="7:16" s="1634" customFormat="1">
      <c r="G51852" s="3336"/>
      <c r="P51852" s="3337"/>
    </row>
    <row r="51853" spans="7:16" s="1634" customFormat="1">
      <c r="G51853" s="3336"/>
      <c r="P51853" s="3337"/>
    </row>
    <row r="51854" spans="7:16" s="1634" customFormat="1">
      <c r="G51854" s="3336"/>
      <c r="P51854" s="3337"/>
    </row>
    <row r="51855" spans="7:16" s="1634" customFormat="1">
      <c r="G51855" s="3336"/>
      <c r="P51855" s="3337"/>
    </row>
    <row r="51856" spans="7:16" s="1634" customFormat="1">
      <c r="G51856" s="3336"/>
      <c r="P51856" s="3337"/>
    </row>
    <row r="51857" spans="7:16" s="1634" customFormat="1">
      <c r="G51857" s="3336"/>
      <c r="P51857" s="3337"/>
    </row>
    <row r="51858" spans="7:16" s="1634" customFormat="1">
      <c r="G51858" s="3336"/>
      <c r="P51858" s="3337"/>
    </row>
    <row r="51859" spans="7:16" s="1634" customFormat="1">
      <c r="G51859" s="3336"/>
      <c r="P51859" s="3337"/>
    </row>
    <row r="51860" spans="7:16" s="1634" customFormat="1">
      <c r="G51860" s="3336"/>
      <c r="P51860" s="3337"/>
    </row>
    <row r="51861" spans="7:16" s="1634" customFormat="1">
      <c r="G51861" s="3336"/>
      <c r="P51861" s="3337"/>
    </row>
    <row r="51862" spans="7:16" s="1634" customFormat="1">
      <c r="G51862" s="3336"/>
      <c r="P51862" s="3337"/>
    </row>
    <row r="51863" spans="7:16" s="1634" customFormat="1">
      <c r="G51863" s="3336"/>
      <c r="P51863" s="3337"/>
    </row>
    <row r="51864" spans="7:16" s="1634" customFormat="1">
      <c r="G51864" s="3336"/>
      <c r="P51864" s="3337"/>
    </row>
    <row r="51865" spans="7:16" s="1634" customFormat="1">
      <c r="G51865" s="3336"/>
      <c r="P51865" s="3337"/>
    </row>
    <row r="51866" spans="7:16" s="1634" customFormat="1">
      <c r="G51866" s="3336"/>
      <c r="P51866" s="3337"/>
    </row>
    <row r="51867" spans="7:16" s="1634" customFormat="1">
      <c r="G51867" s="3336"/>
      <c r="P51867" s="3337"/>
    </row>
    <row r="51868" spans="7:16" s="1634" customFormat="1">
      <c r="G51868" s="3336"/>
      <c r="P51868" s="3337"/>
    </row>
    <row r="51869" spans="7:16" s="1634" customFormat="1">
      <c r="G51869" s="3336"/>
      <c r="P51869" s="3337"/>
    </row>
    <row r="51870" spans="7:16" s="1634" customFormat="1">
      <c r="G51870" s="3336"/>
      <c r="P51870" s="3337"/>
    </row>
    <row r="51871" spans="7:16" s="1634" customFormat="1">
      <c r="G51871" s="3336"/>
      <c r="P51871" s="3337"/>
    </row>
    <row r="51872" spans="7:16" s="1634" customFormat="1">
      <c r="G51872" s="3336"/>
      <c r="P51872" s="3337"/>
    </row>
    <row r="51873" spans="7:16" s="1634" customFormat="1">
      <c r="G51873" s="3336"/>
      <c r="P51873" s="3337"/>
    </row>
    <row r="51874" spans="7:16" s="1634" customFormat="1">
      <c r="G51874" s="3336"/>
      <c r="P51874" s="3337"/>
    </row>
    <row r="51875" spans="7:16" s="1634" customFormat="1">
      <c r="G51875" s="3336"/>
      <c r="P51875" s="3337"/>
    </row>
    <row r="51876" spans="7:16" s="1634" customFormat="1">
      <c r="G51876" s="3336"/>
      <c r="P51876" s="3337"/>
    </row>
    <row r="51877" spans="7:16" s="1634" customFormat="1">
      <c r="G51877" s="3336"/>
      <c r="P51877" s="3337"/>
    </row>
    <row r="51878" spans="7:16" s="1634" customFormat="1">
      <c r="G51878" s="3336"/>
      <c r="P51878" s="3337"/>
    </row>
    <row r="51879" spans="7:16" s="1634" customFormat="1">
      <c r="G51879" s="3336"/>
      <c r="P51879" s="3337"/>
    </row>
    <row r="51880" spans="7:16" s="1634" customFormat="1">
      <c r="G51880" s="3336"/>
      <c r="P51880" s="3337"/>
    </row>
    <row r="51881" spans="7:16" s="1634" customFormat="1">
      <c r="G51881" s="3336"/>
      <c r="P51881" s="3337"/>
    </row>
    <row r="51882" spans="7:16" s="1634" customFormat="1">
      <c r="G51882" s="3336"/>
      <c r="P51882" s="3337"/>
    </row>
    <row r="51883" spans="7:16" s="1634" customFormat="1">
      <c r="G51883" s="3336"/>
      <c r="P51883" s="3337"/>
    </row>
    <row r="51884" spans="7:16" s="1634" customFormat="1">
      <c r="G51884" s="3336"/>
      <c r="P51884" s="3337"/>
    </row>
    <row r="51885" spans="7:16" s="1634" customFormat="1">
      <c r="G51885" s="3336"/>
      <c r="P51885" s="3337"/>
    </row>
    <row r="51886" spans="7:16" s="1634" customFormat="1">
      <c r="G51886" s="3336"/>
      <c r="P51886" s="3337"/>
    </row>
    <row r="51887" spans="7:16" s="1634" customFormat="1">
      <c r="G51887" s="3336"/>
      <c r="P51887" s="3337"/>
    </row>
    <row r="51888" spans="7:16" s="1634" customFormat="1">
      <c r="G51888" s="3336"/>
      <c r="P51888" s="3337"/>
    </row>
    <row r="51889" spans="7:16" s="1634" customFormat="1">
      <c r="G51889" s="3336"/>
      <c r="P51889" s="3337"/>
    </row>
    <row r="51890" spans="7:16" s="1634" customFormat="1">
      <c r="G51890" s="3336"/>
      <c r="P51890" s="3337"/>
    </row>
    <row r="51891" spans="7:16" s="1634" customFormat="1">
      <c r="G51891" s="3336"/>
      <c r="P51891" s="3337"/>
    </row>
    <row r="51892" spans="7:16" s="1634" customFormat="1">
      <c r="G51892" s="3336"/>
      <c r="P51892" s="3337"/>
    </row>
    <row r="51893" spans="7:16" s="1634" customFormat="1">
      <c r="G51893" s="3336"/>
      <c r="P51893" s="3337"/>
    </row>
    <row r="51894" spans="7:16" s="1634" customFormat="1">
      <c r="G51894" s="3336"/>
      <c r="P51894" s="3337"/>
    </row>
    <row r="51895" spans="7:16" s="1634" customFormat="1">
      <c r="G51895" s="3336"/>
      <c r="P51895" s="3337"/>
    </row>
    <row r="51896" spans="7:16" s="1634" customFormat="1">
      <c r="G51896" s="3336"/>
      <c r="P51896" s="3337"/>
    </row>
    <row r="51897" spans="7:16" s="1634" customFormat="1">
      <c r="G51897" s="3336"/>
      <c r="P51897" s="3337"/>
    </row>
    <row r="51898" spans="7:16" s="1634" customFormat="1">
      <c r="G51898" s="3336"/>
      <c r="P51898" s="3337"/>
    </row>
    <row r="51899" spans="7:16" s="1634" customFormat="1">
      <c r="G51899" s="3336"/>
      <c r="P51899" s="3337"/>
    </row>
    <row r="51900" spans="7:16" s="1634" customFormat="1">
      <c r="G51900" s="3336"/>
      <c r="P51900" s="3337"/>
    </row>
    <row r="51901" spans="7:16" s="1634" customFormat="1">
      <c r="G51901" s="3336"/>
      <c r="P51901" s="3337"/>
    </row>
    <row r="51902" spans="7:16" s="1634" customFormat="1">
      <c r="G51902" s="3336"/>
      <c r="P51902" s="3337"/>
    </row>
    <row r="51903" spans="7:16" s="1634" customFormat="1">
      <c r="G51903" s="3336"/>
      <c r="P51903" s="3337"/>
    </row>
    <row r="51904" spans="7:16" s="1634" customFormat="1">
      <c r="G51904" s="3336"/>
      <c r="P51904" s="3337"/>
    </row>
    <row r="51905" spans="7:16" s="1634" customFormat="1">
      <c r="G51905" s="3336"/>
      <c r="P51905" s="3337"/>
    </row>
    <row r="51906" spans="7:16" s="1634" customFormat="1">
      <c r="G51906" s="3336"/>
      <c r="P51906" s="3337"/>
    </row>
    <row r="51907" spans="7:16" s="1634" customFormat="1">
      <c r="G51907" s="3336"/>
      <c r="P51907" s="3337"/>
    </row>
    <row r="51908" spans="7:16" s="1634" customFormat="1">
      <c r="G51908" s="3336"/>
      <c r="P51908" s="3337"/>
    </row>
    <row r="51909" spans="7:16" s="1634" customFormat="1">
      <c r="G51909" s="3336"/>
      <c r="P51909" s="3337"/>
    </row>
    <row r="51910" spans="7:16" s="1634" customFormat="1">
      <c r="G51910" s="3336"/>
      <c r="P51910" s="3337"/>
    </row>
    <row r="51911" spans="7:16" s="1634" customFormat="1">
      <c r="G51911" s="3336"/>
      <c r="P51911" s="3337"/>
    </row>
    <row r="51912" spans="7:16" s="1634" customFormat="1">
      <c r="G51912" s="3336"/>
      <c r="P51912" s="3337"/>
    </row>
    <row r="51913" spans="7:16" s="1634" customFormat="1">
      <c r="G51913" s="3336"/>
      <c r="P51913" s="3337"/>
    </row>
    <row r="51914" spans="7:16" s="1634" customFormat="1">
      <c r="G51914" s="3336"/>
      <c r="P51914" s="3337"/>
    </row>
    <row r="51915" spans="7:16" s="1634" customFormat="1">
      <c r="G51915" s="3336"/>
      <c r="P51915" s="3337"/>
    </row>
    <row r="51916" spans="7:16" s="1634" customFormat="1">
      <c r="G51916" s="3336"/>
      <c r="P51916" s="3337"/>
    </row>
    <row r="51917" spans="7:16" s="1634" customFormat="1">
      <c r="G51917" s="3336"/>
      <c r="P51917" s="3337"/>
    </row>
    <row r="51918" spans="7:16" s="1634" customFormat="1">
      <c r="G51918" s="3336"/>
      <c r="P51918" s="3337"/>
    </row>
    <row r="51919" spans="7:16" s="1634" customFormat="1">
      <c r="G51919" s="3336"/>
      <c r="P51919" s="3337"/>
    </row>
    <row r="51920" spans="7:16" s="1634" customFormat="1">
      <c r="G51920" s="3336"/>
      <c r="P51920" s="3337"/>
    </row>
    <row r="51921" spans="7:16" s="1634" customFormat="1">
      <c r="G51921" s="3336"/>
      <c r="P51921" s="3337"/>
    </row>
    <row r="51922" spans="7:16" s="1634" customFormat="1">
      <c r="G51922" s="3336"/>
      <c r="P51922" s="3337"/>
    </row>
    <row r="51923" spans="7:16" s="1634" customFormat="1">
      <c r="G51923" s="3336"/>
      <c r="P51923" s="3337"/>
    </row>
    <row r="51924" spans="7:16" s="1634" customFormat="1">
      <c r="G51924" s="3336"/>
      <c r="P51924" s="3337"/>
    </row>
    <row r="51925" spans="7:16" s="1634" customFormat="1">
      <c r="G51925" s="3336"/>
      <c r="P51925" s="3337"/>
    </row>
    <row r="51926" spans="7:16" s="1634" customFormat="1">
      <c r="G51926" s="3336"/>
      <c r="P51926" s="3337"/>
    </row>
    <row r="51927" spans="7:16" s="1634" customFormat="1">
      <c r="G51927" s="3336"/>
      <c r="P51927" s="3337"/>
    </row>
    <row r="51928" spans="7:16" s="1634" customFormat="1">
      <c r="G51928" s="3336"/>
      <c r="P51928" s="3337"/>
    </row>
    <row r="51929" spans="7:16" s="1634" customFormat="1">
      <c r="G51929" s="3336"/>
      <c r="P51929" s="3337"/>
    </row>
    <row r="51930" spans="7:16" s="1634" customFormat="1">
      <c r="G51930" s="3336"/>
      <c r="P51930" s="3337"/>
    </row>
    <row r="51931" spans="7:16" s="1634" customFormat="1">
      <c r="G51931" s="3336"/>
      <c r="P51931" s="3337"/>
    </row>
    <row r="51932" spans="7:16" s="1634" customFormat="1">
      <c r="G51932" s="3336"/>
      <c r="P51932" s="3337"/>
    </row>
    <row r="51933" spans="7:16" s="1634" customFormat="1">
      <c r="G51933" s="3336"/>
      <c r="P51933" s="3337"/>
    </row>
    <row r="51934" spans="7:16" s="1634" customFormat="1">
      <c r="G51934" s="3336"/>
      <c r="P51934" s="3337"/>
    </row>
    <row r="51935" spans="7:16" s="1634" customFormat="1">
      <c r="G51935" s="3336"/>
      <c r="P51935" s="3337"/>
    </row>
    <row r="51936" spans="7:16" s="1634" customFormat="1">
      <c r="G51936" s="3336"/>
      <c r="P51936" s="3337"/>
    </row>
    <row r="51937" spans="7:16" s="1634" customFormat="1">
      <c r="G51937" s="3336"/>
      <c r="P51937" s="3337"/>
    </row>
    <row r="51938" spans="7:16" s="1634" customFormat="1">
      <c r="G51938" s="3336"/>
      <c r="P51938" s="3337"/>
    </row>
    <row r="51939" spans="7:16" s="1634" customFormat="1">
      <c r="G51939" s="3336"/>
      <c r="P51939" s="3337"/>
    </row>
    <row r="51940" spans="7:16" s="1634" customFormat="1">
      <c r="G51940" s="3336"/>
      <c r="P51940" s="3337"/>
    </row>
    <row r="51941" spans="7:16" s="1634" customFormat="1">
      <c r="G51941" s="3336"/>
      <c r="P51941" s="3337"/>
    </row>
    <row r="51942" spans="7:16" s="1634" customFormat="1">
      <c r="G51942" s="3336"/>
      <c r="P51942" s="3337"/>
    </row>
    <row r="51943" spans="7:16" s="1634" customFormat="1">
      <c r="G51943" s="3336"/>
      <c r="P51943" s="3337"/>
    </row>
    <row r="51944" spans="7:16" s="1634" customFormat="1">
      <c r="G51944" s="3336"/>
      <c r="P51944" s="3337"/>
    </row>
    <row r="51945" spans="7:16" s="1634" customFormat="1">
      <c r="G51945" s="3336"/>
      <c r="P51945" s="3337"/>
    </row>
    <row r="51946" spans="7:16" s="1634" customFormat="1">
      <c r="G51946" s="3336"/>
      <c r="P51946" s="3337"/>
    </row>
    <row r="51947" spans="7:16" s="1634" customFormat="1">
      <c r="G51947" s="3336"/>
      <c r="P51947" s="3337"/>
    </row>
    <row r="51948" spans="7:16" s="1634" customFormat="1">
      <c r="G51948" s="3336"/>
      <c r="P51948" s="3337"/>
    </row>
    <row r="51949" spans="7:16" s="1634" customFormat="1">
      <c r="G51949" s="3336"/>
      <c r="P51949" s="3337"/>
    </row>
    <row r="51950" spans="7:16" s="1634" customFormat="1">
      <c r="G51950" s="3336"/>
      <c r="P51950" s="3337"/>
    </row>
    <row r="51951" spans="7:16" s="1634" customFormat="1">
      <c r="G51951" s="3336"/>
      <c r="P51951" s="3337"/>
    </row>
    <row r="51952" spans="7:16" s="1634" customFormat="1">
      <c r="G51952" s="3336"/>
      <c r="P51952" s="3337"/>
    </row>
    <row r="51953" spans="7:16" s="1634" customFormat="1">
      <c r="G51953" s="3336"/>
      <c r="P51953" s="3337"/>
    </row>
    <row r="51954" spans="7:16" s="1634" customFormat="1">
      <c r="G51954" s="3336"/>
      <c r="P51954" s="3337"/>
    </row>
    <row r="51955" spans="7:16" s="1634" customFormat="1">
      <c r="G51955" s="3336"/>
      <c r="P51955" s="3337"/>
    </row>
    <row r="51956" spans="7:16" s="1634" customFormat="1">
      <c r="G51956" s="3336"/>
      <c r="P51956" s="3337"/>
    </row>
    <row r="51957" spans="7:16" s="1634" customFormat="1">
      <c r="G51957" s="3336"/>
      <c r="P51957" s="3337"/>
    </row>
    <row r="51958" spans="7:16" s="1634" customFormat="1">
      <c r="G51958" s="3336"/>
      <c r="P51958" s="3337"/>
    </row>
    <row r="51959" spans="7:16" s="1634" customFormat="1">
      <c r="G51959" s="3336"/>
      <c r="P51959" s="3337"/>
    </row>
    <row r="51960" spans="7:16" s="1634" customFormat="1">
      <c r="G51960" s="3336"/>
      <c r="P51960" s="3337"/>
    </row>
    <row r="51961" spans="7:16" s="1634" customFormat="1">
      <c r="G51961" s="3336"/>
      <c r="P51961" s="3337"/>
    </row>
    <row r="51962" spans="7:16" s="1634" customFormat="1">
      <c r="G51962" s="3336"/>
      <c r="P51962" s="3337"/>
    </row>
    <row r="51963" spans="7:16" s="1634" customFormat="1">
      <c r="G51963" s="3336"/>
      <c r="P51963" s="3337"/>
    </row>
    <row r="51964" spans="7:16" s="1634" customFormat="1">
      <c r="G51964" s="3336"/>
      <c r="P51964" s="3337"/>
    </row>
    <row r="51965" spans="7:16" s="1634" customFormat="1">
      <c r="G51965" s="3336"/>
      <c r="P51965" s="3337"/>
    </row>
    <row r="51966" spans="7:16" s="1634" customFormat="1">
      <c r="G51966" s="3336"/>
      <c r="P51966" s="3337"/>
    </row>
    <row r="51967" spans="7:16" s="1634" customFormat="1">
      <c r="G51967" s="3336"/>
      <c r="P51967" s="3337"/>
    </row>
    <row r="51968" spans="7:16" s="1634" customFormat="1">
      <c r="G51968" s="3336"/>
      <c r="P51968" s="3337"/>
    </row>
    <row r="51969" spans="7:16" s="1634" customFormat="1">
      <c r="G51969" s="3336"/>
      <c r="P51969" s="3337"/>
    </row>
    <row r="51970" spans="7:16" s="1634" customFormat="1">
      <c r="G51970" s="3336"/>
      <c r="P51970" s="3337"/>
    </row>
    <row r="51971" spans="7:16" s="1634" customFormat="1">
      <c r="G51971" s="3336"/>
      <c r="P51971" s="3337"/>
    </row>
    <row r="51972" spans="7:16" s="1634" customFormat="1">
      <c r="G51972" s="3336"/>
      <c r="P51972" s="3337"/>
    </row>
    <row r="51973" spans="7:16" s="1634" customFormat="1">
      <c r="G51973" s="3336"/>
      <c r="P51973" s="3337"/>
    </row>
    <row r="51974" spans="7:16" s="1634" customFormat="1">
      <c r="G51974" s="3336"/>
      <c r="P51974" s="3337"/>
    </row>
    <row r="51975" spans="7:16" s="1634" customFormat="1">
      <c r="G51975" s="3336"/>
      <c r="P51975" s="3337"/>
    </row>
    <row r="51976" spans="7:16" s="1634" customFormat="1">
      <c r="G51976" s="3336"/>
      <c r="P51976" s="3337"/>
    </row>
    <row r="51977" spans="7:16" s="1634" customFormat="1">
      <c r="G51977" s="3336"/>
      <c r="P51977" s="3337"/>
    </row>
    <row r="51978" spans="7:16" s="1634" customFormat="1">
      <c r="G51978" s="3336"/>
      <c r="P51978" s="3337"/>
    </row>
    <row r="51979" spans="7:16" s="1634" customFormat="1">
      <c r="G51979" s="3336"/>
      <c r="P51979" s="3337"/>
    </row>
    <row r="51980" spans="7:16" s="1634" customFormat="1">
      <c r="G51980" s="3336"/>
      <c r="P51980" s="3337"/>
    </row>
    <row r="51981" spans="7:16" s="1634" customFormat="1">
      <c r="G51981" s="3336"/>
      <c r="P51981" s="3337"/>
    </row>
    <row r="51982" spans="7:16" s="1634" customFormat="1">
      <c r="G51982" s="3336"/>
      <c r="P51982" s="3337"/>
    </row>
    <row r="51983" spans="7:16" s="1634" customFormat="1">
      <c r="G51983" s="3336"/>
      <c r="P51983" s="3337"/>
    </row>
    <row r="51984" spans="7:16" s="1634" customFormat="1">
      <c r="G51984" s="3336"/>
      <c r="P51984" s="3337"/>
    </row>
    <row r="51985" spans="7:16" s="1634" customFormat="1">
      <c r="G51985" s="3336"/>
      <c r="P51985" s="3337"/>
    </row>
    <row r="51986" spans="7:16" s="1634" customFormat="1">
      <c r="G51986" s="3336"/>
      <c r="P51986" s="3337"/>
    </row>
    <row r="51987" spans="7:16" s="1634" customFormat="1">
      <c r="G51987" s="3336"/>
      <c r="P51987" s="3337"/>
    </row>
    <row r="51988" spans="7:16" s="1634" customFormat="1">
      <c r="G51988" s="3336"/>
      <c r="P51988" s="3337"/>
    </row>
    <row r="51989" spans="7:16" s="1634" customFormat="1">
      <c r="G51989" s="3336"/>
      <c r="P51989" s="3337"/>
    </row>
    <row r="51990" spans="7:16" s="1634" customFormat="1">
      <c r="G51990" s="3336"/>
      <c r="P51990" s="3337"/>
    </row>
    <row r="51991" spans="7:16" s="1634" customFormat="1">
      <c r="G51991" s="3336"/>
      <c r="P51991" s="3337"/>
    </row>
    <row r="51992" spans="7:16" s="1634" customFormat="1">
      <c r="G51992" s="3336"/>
      <c r="P51992" s="3337"/>
    </row>
    <row r="51993" spans="7:16" s="1634" customFormat="1">
      <c r="G51993" s="3336"/>
      <c r="P51993" s="3337"/>
    </row>
    <row r="51994" spans="7:16" s="1634" customFormat="1">
      <c r="G51994" s="3336"/>
      <c r="P51994" s="3337"/>
    </row>
    <row r="51995" spans="7:16" s="1634" customFormat="1">
      <c r="G51995" s="3336"/>
      <c r="P51995" s="3337"/>
    </row>
    <row r="51996" spans="7:16" s="1634" customFormat="1">
      <c r="G51996" s="3336"/>
      <c r="P51996" s="3337"/>
    </row>
    <row r="51997" spans="7:16" s="1634" customFormat="1">
      <c r="G51997" s="3336"/>
      <c r="P51997" s="3337"/>
    </row>
    <row r="51998" spans="7:16" s="1634" customFormat="1">
      <c r="G51998" s="3336"/>
      <c r="P51998" s="3337"/>
    </row>
    <row r="51999" spans="7:16" s="1634" customFormat="1">
      <c r="G51999" s="3336"/>
      <c r="P51999" s="3337"/>
    </row>
    <row r="52000" spans="7:16" s="1634" customFormat="1">
      <c r="G52000" s="3336"/>
      <c r="P52000" s="3337"/>
    </row>
    <row r="52001" spans="7:16" s="1634" customFormat="1">
      <c r="G52001" s="3336"/>
      <c r="P52001" s="3337"/>
    </row>
    <row r="52002" spans="7:16" s="1634" customFormat="1">
      <c r="G52002" s="3336"/>
      <c r="P52002" s="3337"/>
    </row>
    <row r="52003" spans="7:16" s="1634" customFormat="1">
      <c r="G52003" s="3336"/>
      <c r="P52003" s="3337"/>
    </row>
    <row r="52004" spans="7:16" s="1634" customFormat="1">
      <c r="G52004" s="3336"/>
      <c r="P52004" s="3337"/>
    </row>
    <row r="52005" spans="7:16" s="1634" customFormat="1">
      <c r="G52005" s="3336"/>
      <c r="P52005" s="3337"/>
    </row>
    <row r="52006" spans="7:16" s="1634" customFormat="1">
      <c r="G52006" s="3336"/>
      <c r="P52006" s="3337"/>
    </row>
    <row r="52007" spans="7:16" s="1634" customFormat="1">
      <c r="G52007" s="3336"/>
      <c r="P52007" s="3337"/>
    </row>
    <row r="52008" spans="7:16" s="1634" customFormat="1">
      <c r="G52008" s="3336"/>
      <c r="P52008" s="3337"/>
    </row>
    <row r="52009" spans="7:16" s="1634" customFormat="1">
      <c r="G52009" s="3336"/>
      <c r="P52009" s="3337"/>
    </row>
    <row r="52010" spans="7:16" s="1634" customFormat="1">
      <c r="G52010" s="3336"/>
      <c r="P52010" s="3337"/>
    </row>
    <row r="52011" spans="7:16" s="1634" customFormat="1">
      <c r="G52011" s="3336"/>
      <c r="P52011" s="3337"/>
    </row>
    <row r="52012" spans="7:16" s="1634" customFormat="1">
      <c r="G52012" s="3336"/>
      <c r="P52012" s="3337"/>
    </row>
    <row r="52013" spans="7:16" s="1634" customFormat="1">
      <c r="G52013" s="3336"/>
      <c r="P52013" s="3337"/>
    </row>
    <row r="52014" spans="7:16" s="1634" customFormat="1">
      <c r="G52014" s="3336"/>
      <c r="P52014" s="3337"/>
    </row>
    <row r="52015" spans="7:16" s="1634" customFormat="1">
      <c r="G52015" s="3336"/>
      <c r="P52015" s="3337"/>
    </row>
    <row r="52016" spans="7:16" s="1634" customFormat="1">
      <c r="G52016" s="3336"/>
      <c r="P52016" s="3337"/>
    </row>
    <row r="52017" spans="7:16" s="1634" customFormat="1">
      <c r="G52017" s="3336"/>
      <c r="P52017" s="3337"/>
    </row>
    <row r="52018" spans="7:16" s="1634" customFormat="1">
      <c r="G52018" s="3336"/>
      <c r="P52018" s="3337"/>
    </row>
    <row r="52019" spans="7:16" s="1634" customFormat="1">
      <c r="G52019" s="3336"/>
      <c r="P52019" s="3337"/>
    </row>
    <row r="52020" spans="7:16" s="1634" customFormat="1">
      <c r="G52020" s="3336"/>
      <c r="P52020" s="3337"/>
    </row>
    <row r="52021" spans="7:16" s="1634" customFormat="1">
      <c r="G52021" s="3336"/>
      <c r="P52021" s="3337"/>
    </row>
    <row r="52022" spans="7:16" s="1634" customFormat="1">
      <c r="G52022" s="3336"/>
      <c r="P52022" s="3337"/>
    </row>
    <row r="52023" spans="7:16" s="1634" customFormat="1">
      <c r="G52023" s="3336"/>
      <c r="P52023" s="3337"/>
    </row>
    <row r="52024" spans="7:16" s="1634" customFormat="1">
      <c r="G52024" s="3336"/>
      <c r="P52024" s="3337"/>
    </row>
    <row r="52025" spans="7:16" s="1634" customFormat="1">
      <c r="G52025" s="3336"/>
      <c r="P52025" s="3337"/>
    </row>
    <row r="52026" spans="7:16" s="1634" customFormat="1">
      <c r="G52026" s="3336"/>
      <c r="P52026" s="3337"/>
    </row>
    <row r="52027" spans="7:16" s="1634" customFormat="1">
      <c r="G52027" s="3336"/>
      <c r="P52027" s="3337"/>
    </row>
    <row r="52028" spans="7:16" s="1634" customFormat="1">
      <c r="G52028" s="3336"/>
      <c r="P52028" s="3337"/>
    </row>
    <row r="52029" spans="7:16" s="1634" customFormat="1">
      <c r="G52029" s="3336"/>
      <c r="P52029" s="3337"/>
    </row>
    <row r="52030" spans="7:16" s="1634" customFormat="1">
      <c r="G52030" s="3336"/>
      <c r="P52030" s="3337"/>
    </row>
    <row r="52031" spans="7:16" s="1634" customFormat="1">
      <c r="G52031" s="3336"/>
      <c r="P52031" s="3337"/>
    </row>
    <row r="52032" spans="7:16" s="1634" customFormat="1">
      <c r="G52032" s="3336"/>
      <c r="P52032" s="3337"/>
    </row>
    <row r="52033" spans="7:16" s="1634" customFormat="1">
      <c r="G52033" s="3336"/>
      <c r="P52033" s="3337"/>
    </row>
    <row r="52034" spans="7:16" s="1634" customFormat="1">
      <c r="G52034" s="3336"/>
      <c r="P52034" s="3337"/>
    </row>
    <row r="52035" spans="7:16" s="1634" customFormat="1">
      <c r="G52035" s="3336"/>
      <c r="P52035" s="3337"/>
    </row>
    <row r="52036" spans="7:16" s="1634" customFormat="1">
      <c r="G52036" s="3336"/>
      <c r="P52036" s="3337"/>
    </row>
    <row r="52037" spans="7:16" s="1634" customFormat="1">
      <c r="G52037" s="3336"/>
      <c r="P52037" s="3337"/>
    </row>
    <row r="52038" spans="7:16" s="1634" customFormat="1">
      <c r="G52038" s="3336"/>
      <c r="P52038" s="3337"/>
    </row>
    <row r="52039" spans="7:16" s="1634" customFormat="1">
      <c r="G52039" s="3336"/>
      <c r="P52039" s="3337"/>
    </row>
    <row r="52040" spans="7:16" s="1634" customFormat="1">
      <c r="G52040" s="3336"/>
      <c r="P52040" s="3337"/>
    </row>
    <row r="52041" spans="7:16" s="1634" customFormat="1">
      <c r="G52041" s="3336"/>
      <c r="P52041" s="3337"/>
    </row>
    <row r="52042" spans="7:16" s="1634" customFormat="1">
      <c r="G52042" s="3336"/>
      <c r="P52042" s="3337"/>
    </row>
    <row r="52043" spans="7:16" s="1634" customFormat="1">
      <c r="G52043" s="3336"/>
      <c r="P52043" s="3337"/>
    </row>
    <row r="52044" spans="7:16" s="1634" customFormat="1">
      <c r="G52044" s="3336"/>
      <c r="P52044" s="3337"/>
    </row>
    <row r="52045" spans="7:16" s="1634" customFormat="1">
      <c r="G52045" s="3336"/>
      <c r="P52045" s="3337"/>
    </row>
    <row r="52046" spans="7:16" s="1634" customFormat="1">
      <c r="G52046" s="3336"/>
      <c r="P52046" s="3337"/>
    </row>
    <row r="52047" spans="7:16" s="1634" customFormat="1">
      <c r="G52047" s="3336"/>
      <c r="P52047" s="3337"/>
    </row>
    <row r="52048" spans="7:16" s="1634" customFormat="1">
      <c r="G52048" s="3336"/>
      <c r="P52048" s="3337"/>
    </row>
    <row r="52049" spans="7:16" s="1634" customFormat="1">
      <c r="G52049" s="3336"/>
      <c r="P52049" s="3337"/>
    </row>
    <row r="52050" spans="7:16" s="1634" customFormat="1">
      <c r="G52050" s="3336"/>
      <c r="P52050" s="3337"/>
    </row>
    <row r="52051" spans="7:16" s="1634" customFormat="1">
      <c r="G52051" s="3336"/>
      <c r="P52051" s="3337"/>
    </row>
    <row r="52052" spans="7:16" s="1634" customFormat="1">
      <c r="G52052" s="3336"/>
      <c r="P52052" s="3337"/>
    </row>
    <row r="52053" spans="7:16" s="1634" customFormat="1">
      <c r="G52053" s="3336"/>
      <c r="P52053" s="3337"/>
    </row>
    <row r="52054" spans="7:16" s="1634" customFormat="1">
      <c r="G52054" s="3336"/>
      <c r="P52054" s="3337"/>
    </row>
    <row r="52055" spans="7:16" s="1634" customFormat="1">
      <c r="G52055" s="3336"/>
      <c r="P52055" s="3337"/>
    </row>
    <row r="52056" spans="7:16" s="1634" customFormat="1">
      <c r="G52056" s="3336"/>
      <c r="P52056" s="3337"/>
    </row>
    <row r="52057" spans="7:16" s="1634" customFormat="1">
      <c r="G52057" s="3336"/>
      <c r="P52057" s="3337"/>
    </row>
    <row r="52058" spans="7:16" s="1634" customFormat="1">
      <c r="G52058" s="3336"/>
      <c r="P52058" s="3337"/>
    </row>
    <row r="52059" spans="7:16" s="1634" customFormat="1">
      <c r="G52059" s="3336"/>
      <c r="P52059" s="3337"/>
    </row>
    <row r="52060" spans="7:16" s="1634" customFormat="1">
      <c r="G52060" s="3336"/>
      <c r="P52060" s="3337"/>
    </row>
    <row r="52061" spans="7:16" s="1634" customFormat="1">
      <c r="G52061" s="3336"/>
      <c r="P52061" s="3337"/>
    </row>
    <row r="52062" spans="7:16" s="1634" customFormat="1">
      <c r="G52062" s="3336"/>
      <c r="P52062" s="3337"/>
    </row>
    <row r="52063" spans="7:16" s="1634" customFormat="1">
      <c r="G52063" s="3336"/>
      <c r="P52063" s="3337"/>
    </row>
    <row r="52064" spans="7:16" s="1634" customFormat="1">
      <c r="G52064" s="3336"/>
      <c r="P52064" s="3337"/>
    </row>
    <row r="52065" spans="7:16" s="1634" customFormat="1">
      <c r="G52065" s="3336"/>
      <c r="P52065" s="3337"/>
    </row>
    <row r="52066" spans="7:16" s="1634" customFormat="1">
      <c r="G52066" s="3336"/>
      <c r="P52066" s="3337"/>
    </row>
    <row r="52067" spans="7:16" s="1634" customFormat="1">
      <c r="G52067" s="3336"/>
      <c r="P52067" s="3337"/>
    </row>
    <row r="52068" spans="7:16" s="1634" customFormat="1">
      <c r="G52068" s="3336"/>
      <c r="P52068" s="3337"/>
    </row>
    <row r="52069" spans="7:16" s="1634" customFormat="1">
      <c r="G52069" s="3336"/>
      <c r="P52069" s="3337"/>
    </row>
    <row r="52070" spans="7:16" s="1634" customFormat="1">
      <c r="G52070" s="3336"/>
      <c r="P52070" s="3337"/>
    </row>
    <row r="52071" spans="7:16" s="1634" customFormat="1">
      <c r="G52071" s="3336"/>
      <c r="P52071" s="3337"/>
    </row>
    <row r="52072" spans="7:16" s="1634" customFormat="1">
      <c r="G52072" s="3336"/>
      <c r="P52072" s="3337"/>
    </row>
    <row r="52073" spans="7:16" s="1634" customFormat="1">
      <c r="G52073" s="3336"/>
      <c r="P52073" s="3337"/>
    </row>
    <row r="52074" spans="7:16" s="1634" customFormat="1">
      <c r="G52074" s="3336"/>
      <c r="P52074" s="3337"/>
    </row>
    <row r="52075" spans="7:16" s="1634" customFormat="1">
      <c r="G52075" s="3336"/>
      <c r="P52075" s="3337"/>
    </row>
    <row r="52076" spans="7:16" s="1634" customFormat="1">
      <c r="G52076" s="3336"/>
      <c r="P52076" s="3337"/>
    </row>
    <row r="52077" spans="7:16" s="1634" customFormat="1">
      <c r="G52077" s="3336"/>
      <c r="P52077" s="3337"/>
    </row>
    <row r="52078" spans="7:16" s="1634" customFormat="1">
      <c r="G52078" s="3336"/>
      <c r="P52078" s="3337"/>
    </row>
    <row r="52079" spans="7:16" s="1634" customFormat="1">
      <c r="G52079" s="3336"/>
      <c r="P52079" s="3337"/>
    </row>
    <row r="52080" spans="7:16" s="1634" customFormat="1">
      <c r="G52080" s="3336"/>
      <c r="P52080" s="3337"/>
    </row>
    <row r="52081" spans="7:16" s="1634" customFormat="1">
      <c r="G52081" s="3336"/>
      <c r="P52081" s="3337"/>
    </row>
    <row r="52082" spans="7:16" s="1634" customFormat="1">
      <c r="G52082" s="3336"/>
      <c r="P52082" s="3337"/>
    </row>
    <row r="52083" spans="7:16" s="1634" customFormat="1">
      <c r="G52083" s="3336"/>
      <c r="P52083" s="3337"/>
    </row>
    <row r="52084" spans="7:16" s="1634" customFormat="1">
      <c r="G52084" s="3336"/>
      <c r="P52084" s="3337"/>
    </row>
    <row r="52085" spans="7:16" s="1634" customFormat="1">
      <c r="G52085" s="3336"/>
      <c r="P52085" s="3337"/>
    </row>
    <row r="52086" spans="7:16" s="1634" customFormat="1">
      <c r="G52086" s="3336"/>
      <c r="P52086" s="3337"/>
    </row>
    <row r="52087" spans="7:16" s="1634" customFormat="1">
      <c r="G52087" s="3336"/>
      <c r="P52087" s="3337"/>
    </row>
    <row r="52088" spans="7:16" s="1634" customFormat="1">
      <c r="G52088" s="3336"/>
      <c r="P52088" s="3337"/>
    </row>
    <row r="52089" spans="7:16" s="1634" customFormat="1">
      <c r="G52089" s="3336"/>
      <c r="P52089" s="3337"/>
    </row>
    <row r="52090" spans="7:16" s="1634" customFormat="1">
      <c r="G52090" s="3336"/>
      <c r="P52090" s="3337"/>
    </row>
    <row r="52091" spans="7:16" s="1634" customFormat="1">
      <c r="G52091" s="3336"/>
      <c r="P52091" s="3337"/>
    </row>
    <row r="52092" spans="7:16" s="1634" customFormat="1">
      <c r="G52092" s="3336"/>
      <c r="P52092" s="3337"/>
    </row>
    <row r="52093" spans="7:16" s="1634" customFormat="1">
      <c r="G52093" s="3336"/>
      <c r="P52093" s="3337"/>
    </row>
    <row r="52094" spans="7:16" s="1634" customFormat="1">
      <c r="G52094" s="3336"/>
      <c r="P52094" s="3337"/>
    </row>
    <row r="52095" spans="7:16" s="1634" customFormat="1">
      <c r="G52095" s="3336"/>
      <c r="P52095" s="3337"/>
    </row>
    <row r="52096" spans="7:16" s="1634" customFormat="1">
      <c r="G52096" s="3336"/>
      <c r="P52096" s="3337"/>
    </row>
    <row r="52097" spans="7:16" s="1634" customFormat="1">
      <c r="G52097" s="3336"/>
      <c r="P52097" s="3337"/>
    </row>
    <row r="52098" spans="7:16" s="1634" customFormat="1">
      <c r="G52098" s="3336"/>
      <c r="P52098" s="3337"/>
    </row>
    <row r="52099" spans="7:16" s="1634" customFormat="1">
      <c r="G52099" s="3336"/>
      <c r="P52099" s="3337"/>
    </row>
    <row r="52100" spans="7:16" s="1634" customFormat="1">
      <c r="G52100" s="3336"/>
      <c r="P52100" s="3337"/>
    </row>
    <row r="52101" spans="7:16" s="1634" customFormat="1">
      <c r="G52101" s="3336"/>
      <c r="P52101" s="3337"/>
    </row>
    <row r="52102" spans="7:16" s="1634" customFormat="1">
      <c r="G52102" s="3336"/>
      <c r="P52102" s="3337"/>
    </row>
    <row r="52103" spans="7:16" s="1634" customFormat="1">
      <c r="G52103" s="3336"/>
      <c r="P52103" s="3337"/>
    </row>
    <row r="52104" spans="7:16" s="1634" customFormat="1">
      <c r="G52104" s="3336"/>
      <c r="P52104" s="3337"/>
    </row>
    <row r="52105" spans="7:16" s="1634" customFormat="1">
      <c r="G52105" s="3336"/>
      <c r="P52105" s="3337"/>
    </row>
    <row r="52106" spans="7:16" s="1634" customFormat="1">
      <c r="G52106" s="3336"/>
      <c r="P52106" s="3337"/>
    </row>
    <row r="52107" spans="7:16" s="1634" customFormat="1">
      <c r="G52107" s="3336"/>
      <c r="P52107" s="3337"/>
    </row>
    <row r="52108" spans="7:16" s="1634" customFormat="1">
      <c r="G52108" s="3336"/>
      <c r="P52108" s="3337"/>
    </row>
    <row r="52109" spans="7:16" s="1634" customFormat="1">
      <c r="G52109" s="3336"/>
      <c r="P52109" s="3337"/>
    </row>
    <row r="52110" spans="7:16" s="1634" customFormat="1">
      <c r="G52110" s="3336"/>
      <c r="P52110" s="3337"/>
    </row>
    <row r="52111" spans="7:16" s="1634" customFormat="1">
      <c r="G52111" s="3336"/>
      <c r="P52111" s="3337"/>
    </row>
    <row r="52112" spans="7:16" s="1634" customFormat="1">
      <c r="G52112" s="3336"/>
      <c r="P52112" s="3337"/>
    </row>
    <row r="52113" spans="7:16" s="1634" customFormat="1">
      <c r="G52113" s="3336"/>
      <c r="P52113" s="3337"/>
    </row>
    <row r="52114" spans="7:16" s="1634" customFormat="1">
      <c r="G52114" s="3336"/>
      <c r="P52114" s="3337"/>
    </row>
    <row r="52115" spans="7:16" s="1634" customFormat="1">
      <c r="G52115" s="3336"/>
      <c r="P52115" s="3337"/>
    </row>
    <row r="52116" spans="7:16" s="1634" customFormat="1">
      <c r="G52116" s="3336"/>
      <c r="P52116" s="3337"/>
    </row>
    <row r="52117" spans="7:16" s="1634" customFormat="1">
      <c r="G52117" s="3336"/>
      <c r="P52117" s="3337"/>
    </row>
    <row r="52118" spans="7:16" s="1634" customFormat="1">
      <c r="G52118" s="3336"/>
      <c r="P52118" s="3337"/>
    </row>
    <row r="52119" spans="7:16" s="1634" customFormat="1">
      <c r="G52119" s="3336"/>
      <c r="P52119" s="3337"/>
    </row>
    <row r="52120" spans="7:16" s="1634" customFormat="1">
      <c r="G52120" s="3336"/>
      <c r="P52120" s="3337"/>
    </row>
    <row r="52121" spans="7:16" s="1634" customFormat="1">
      <c r="G52121" s="3336"/>
      <c r="P52121" s="3337"/>
    </row>
    <row r="52122" spans="7:16" s="1634" customFormat="1">
      <c r="G52122" s="3336"/>
      <c r="P52122" s="3337"/>
    </row>
    <row r="52123" spans="7:16" s="1634" customFormat="1">
      <c r="G52123" s="3336"/>
      <c r="P52123" s="3337"/>
    </row>
    <row r="52124" spans="7:16" s="1634" customFormat="1">
      <c r="G52124" s="3336"/>
      <c r="P52124" s="3337"/>
    </row>
    <row r="52125" spans="7:16" s="1634" customFormat="1">
      <c r="G52125" s="3336"/>
      <c r="P52125" s="3337"/>
    </row>
    <row r="52126" spans="7:16" s="1634" customFormat="1">
      <c r="G52126" s="3336"/>
      <c r="P52126" s="3337"/>
    </row>
    <row r="52127" spans="7:16" s="1634" customFormat="1">
      <c r="G52127" s="3336"/>
      <c r="P52127" s="3337"/>
    </row>
    <row r="52128" spans="7:16" s="1634" customFormat="1">
      <c r="G52128" s="3336"/>
      <c r="P52128" s="3337"/>
    </row>
    <row r="52129" spans="7:16" s="1634" customFormat="1">
      <c r="G52129" s="3336"/>
      <c r="P52129" s="3337"/>
    </row>
    <row r="52130" spans="7:16" s="1634" customFormat="1">
      <c r="G52130" s="3336"/>
      <c r="P52130" s="3337"/>
    </row>
    <row r="52131" spans="7:16" s="1634" customFormat="1">
      <c r="G52131" s="3336"/>
      <c r="P52131" s="3337"/>
    </row>
    <row r="52132" spans="7:16" s="1634" customFormat="1">
      <c r="G52132" s="3336"/>
      <c r="P52132" s="3337"/>
    </row>
    <row r="52133" spans="7:16" s="1634" customFormat="1">
      <c r="G52133" s="3336"/>
      <c r="P52133" s="3337"/>
    </row>
    <row r="52134" spans="7:16" s="1634" customFormat="1">
      <c r="G52134" s="3336"/>
      <c r="P52134" s="3337"/>
    </row>
    <row r="52135" spans="7:16" s="1634" customFormat="1">
      <c r="G52135" s="3336"/>
      <c r="P52135" s="3337"/>
    </row>
    <row r="52136" spans="7:16" s="1634" customFormat="1">
      <c r="G52136" s="3336"/>
      <c r="P52136" s="3337"/>
    </row>
    <row r="52137" spans="7:16" s="1634" customFormat="1">
      <c r="G52137" s="3336"/>
      <c r="P52137" s="3337"/>
    </row>
    <row r="52138" spans="7:16" s="1634" customFormat="1">
      <c r="G52138" s="3336"/>
      <c r="P52138" s="3337"/>
    </row>
    <row r="52139" spans="7:16" s="1634" customFormat="1">
      <c r="G52139" s="3336"/>
      <c r="P52139" s="3337"/>
    </row>
    <row r="52140" spans="7:16" s="1634" customFormat="1">
      <c r="G52140" s="3336"/>
      <c r="P52140" s="3337"/>
    </row>
    <row r="52141" spans="7:16" s="1634" customFormat="1">
      <c r="G52141" s="3336"/>
      <c r="P52141" s="3337"/>
    </row>
    <row r="52142" spans="7:16" s="1634" customFormat="1">
      <c r="G52142" s="3336"/>
      <c r="P52142" s="3337"/>
    </row>
    <row r="52143" spans="7:16" s="1634" customFormat="1">
      <c r="G52143" s="3336"/>
      <c r="P52143" s="3337"/>
    </row>
    <row r="52144" spans="7:16" s="1634" customFormat="1">
      <c r="G52144" s="3336"/>
      <c r="P52144" s="3337"/>
    </row>
    <row r="52145" spans="7:16" s="1634" customFormat="1">
      <c r="G52145" s="3336"/>
      <c r="P52145" s="3337"/>
    </row>
    <row r="52146" spans="7:16" s="1634" customFormat="1">
      <c r="G52146" s="3336"/>
      <c r="P52146" s="3337"/>
    </row>
    <row r="52147" spans="7:16" s="1634" customFormat="1">
      <c r="G52147" s="3336"/>
      <c r="P52147" s="3337"/>
    </row>
    <row r="52148" spans="7:16" s="1634" customFormat="1">
      <c r="G52148" s="3336"/>
      <c r="P52148" s="3337"/>
    </row>
    <row r="52149" spans="7:16" s="1634" customFormat="1">
      <c r="G52149" s="3336"/>
      <c r="P52149" s="3337"/>
    </row>
    <row r="52150" spans="7:16" s="1634" customFormat="1">
      <c r="G52150" s="3336"/>
      <c r="P52150" s="3337"/>
    </row>
    <row r="52151" spans="7:16" s="1634" customFormat="1">
      <c r="G52151" s="3336"/>
      <c r="P52151" s="3337"/>
    </row>
    <row r="52152" spans="7:16" s="1634" customFormat="1">
      <c r="G52152" s="3336"/>
      <c r="P52152" s="3337"/>
    </row>
    <row r="52153" spans="7:16" s="1634" customFormat="1">
      <c r="G52153" s="3336"/>
      <c r="P52153" s="3337"/>
    </row>
    <row r="52154" spans="7:16" s="1634" customFormat="1">
      <c r="G52154" s="3336"/>
      <c r="P52154" s="3337"/>
    </row>
    <row r="52155" spans="7:16" s="1634" customFormat="1">
      <c r="G52155" s="3336"/>
      <c r="P52155" s="3337"/>
    </row>
    <row r="52156" spans="7:16" s="1634" customFormat="1">
      <c r="G52156" s="3336"/>
      <c r="P52156" s="3337"/>
    </row>
    <row r="52157" spans="7:16" s="1634" customFormat="1">
      <c r="G52157" s="3336"/>
      <c r="P52157" s="3337"/>
    </row>
    <row r="52158" spans="7:16" s="1634" customFormat="1">
      <c r="G52158" s="3336"/>
      <c r="P52158" s="3337"/>
    </row>
    <row r="52159" spans="7:16" s="1634" customFormat="1">
      <c r="G52159" s="3336"/>
      <c r="P52159" s="3337"/>
    </row>
    <row r="52160" spans="7:16" s="1634" customFormat="1">
      <c r="G52160" s="3336"/>
      <c r="P52160" s="3337"/>
    </row>
    <row r="52161" spans="7:16" s="1634" customFormat="1">
      <c r="G52161" s="3336"/>
      <c r="P52161" s="3337"/>
    </row>
    <row r="52162" spans="7:16" s="1634" customFormat="1">
      <c r="G52162" s="3336"/>
      <c r="P52162" s="3337"/>
    </row>
    <row r="52163" spans="7:16" s="1634" customFormat="1">
      <c r="G52163" s="3336"/>
      <c r="P52163" s="3337"/>
    </row>
    <row r="52164" spans="7:16" s="1634" customFormat="1">
      <c r="G52164" s="3336"/>
      <c r="P52164" s="3337"/>
    </row>
    <row r="52165" spans="7:16" s="1634" customFormat="1">
      <c r="G52165" s="3336"/>
      <c r="P52165" s="3337"/>
    </row>
    <row r="52166" spans="7:16" s="1634" customFormat="1">
      <c r="G52166" s="3336"/>
      <c r="P52166" s="3337"/>
    </row>
    <row r="52167" spans="7:16" s="1634" customFormat="1">
      <c r="G52167" s="3336"/>
      <c r="P52167" s="3337"/>
    </row>
    <row r="52168" spans="7:16" s="1634" customFormat="1">
      <c r="G52168" s="3336"/>
      <c r="P52168" s="3337"/>
    </row>
    <row r="52169" spans="7:16" s="1634" customFormat="1">
      <c r="G52169" s="3336"/>
      <c r="P52169" s="3337"/>
    </row>
    <row r="52170" spans="7:16" s="1634" customFormat="1">
      <c r="G52170" s="3336"/>
      <c r="P52170" s="3337"/>
    </row>
    <row r="52171" spans="7:16" s="1634" customFormat="1">
      <c r="G52171" s="3336"/>
      <c r="P52171" s="3337"/>
    </row>
    <row r="52172" spans="7:16" s="1634" customFormat="1">
      <c r="G52172" s="3336"/>
      <c r="P52172" s="3337"/>
    </row>
    <row r="52173" spans="7:16" s="1634" customFormat="1">
      <c r="G52173" s="3336"/>
      <c r="P52173" s="3337"/>
    </row>
    <row r="52174" spans="7:16" s="1634" customFormat="1">
      <c r="G52174" s="3336"/>
      <c r="P52174" s="3337"/>
    </row>
    <row r="52175" spans="7:16" s="1634" customFormat="1">
      <c r="G52175" s="3336"/>
      <c r="P52175" s="3337"/>
    </row>
    <row r="52176" spans="7:16" s="1634" customFormat="1">
      <c r="G52176" s="3336"/>
      <c r="P52176" s="3337"/>
    </row>
    <row r="52177" spans="7:16" s="1634" customFormat="1">
      <c r="G52177" s="3336"/>
      <c r="P52177" s="3337"/>
    </row>
    <row r="52178" spans="7:16" s="1634" customFormat="1">
      <c r="G52178" s="3336"/>
      <c r="P52178" s="3337"/>
    </row>
    <row r="52179" spans="7:16" s="1634" customFormat="1">
      <c r="G52179" s="3336"/>
      <c r="P52179" s="3337"/>
    </row>
    <row r="52180" spans="7:16" s="1634" customFormat="1">
      <c r="G52180" s="3336"/>
      <c r="P52180" s="3337"/>
    </row>
    <row r="52181" spans="7:16" s="1634" customFormat="1">
      <c r="G52181" s="3336"/>
      <c r="P52181" s="3337"/>
    </row>
    <row r="52182" spans="7:16" s="1634" customFormat="1">
      <c r="G52182" s="3336"/>
      <c r="P52182" s="3337"/>
    </row>
    <row r="52183" spans="7:16" s="1634" customFormat="1">
      <c r="G52183" s="3336"/>
      <c r="P52183" s="3337"/>
    </row>
    <row r="52184" spans="7:16" s="1634" customFormat="1">
      <c r="G52184" s="3336"/>
      <c r="P52184" s="3337"/>
    </row>
    <row r="52185" spans="7:16" s="1634" customFormat="1">
      <c r="G52185" s="3336"/>
      <c r="P52185" s="3337"/>
    </row>
    <row r="52186" spans="7:16" s="1634" customFormat="1">
      <c r="G52186" s="3336"/>
      <c r="P52186" s="3337"/>
    </row>
    <row r="52187" spans="7:16" s="1634" customFormat="1">
      <c r="G52187" s="3336"/>
      <c r="P52187" s="3337"/>
    </row>
    <row r="52188" spans="7:16" s="1634" customFormat="1">
      <c r="G52188" s="3336"/>
      <c r="P52188" s="3337"/>
    </row>
    <row r="52189" spans="7:16" s="1634" customFormat="1">
      <c r="G52189" s="3336"/>
      <c r="P52189" s="3337"/>
    </row>
    <row r="52190" spans="7:16" s="1634" customFormat="1">
      <c r="G52190" s="3336"/>
      <c r="P52190" s="3337"/>
    </row>
    <row r="52191" spans="7:16" s="1634" customFormat="1">
      <c r="G52191" s="3336"/>
      <c r="P52191" s="3337"/>
    </row>
    <row r="52192" spans="7:16" s="1634" customFormat="1">
      <c r="G52192" s="3336"/>
      <c r="P52192" s="3337"/>
    </row>
    <row r="52193" spans="7:16" s="1634" customFormat="1">
      <c r="G52193" s="3336"/>
      <c r="P52193" s="3337"/>
    </row>
    <row r="52194" spans="7:16" s="1634" customFormat="1">
      <c r="G52194" s="3336"/>
      <c r="P52194" s="3337"/>
    </row>
    <row r="52195" spans="7:16" s="1634" customFormat="1">
      <c r="G52195" s="3336"/>
      <c r="P52195" s="3337"/>
    </row>
    <row r="52196" spans="7:16" s="1634" customFormat="1">
      <c r="G52196" s="3336"/>
      <c r="P52196" s="3337"/>
    </row>
    <row r="52197" spans="7:16" s="1634" customFormat="1">
      <c r="G52197" s="3336"/>
      <c r="P52197" s="3337"/>
    </row>
    <row r="52198" spans="7:16" s="1634" customFormat="1">
      <c r="G52198" s="3336"/>
      <c r="P52198" s="3337"/>
    </row>
    <row r="52199" spans="7:16" s="1634" customFormat="1">
      <c r="G52199" s="3336"/>
      <c r="P52199" s="3337"/>
    </row>
    <row r="52200" spans="7:16" s="1634" customFormat="1">
      <c r="G52200" s="3336"/>
      <c r="P52200" s="3337"/>
    </row>
    <row r="52201" spans="7:16" s="1634" customFormat="1">
      <c r="G52201" s="3336"/>
      <c r="P52201" s="3337"/>
    </row>
    <row r="52202" spans="7:16" s="1634" customFormat="1">
      <c r="G52202" s="3336"/>
      <c r="P52202" s="3337"/>
    </row>
    <row r="52203" spans="7:16" s="1634" customFormat="1">
      <c r="G52203" s="3336"/>
      <c r="P52203" s="3337"/>
    </row>
    <row r="52204" spans="7:16" s="1634" customFormat="1">
      <c r="G52204" s="3336"/>
      <c r="P52204" s="3337"/>
    </row>
    <row r="52205" spans="7:16" s="1634" customFormat="1">
      <c r="G52205" s="3336"/>
      <c r="P52205" s="3337"/>
    </row>
    <row r="52206" spans="7:16" s="1634" customFormat="1">
      <c r="G52206" s="3336"/>
      <c r="P52206" s="3337"/>
    </row>
    <row r="52207" spans="7:16" s="1634" customFormat="1">
      <c r="G52207" s="3336"/>
      <c r="P52207" s="3337"/>
    </row>
    <row r="52208" spans="7:16" s="1634" customFormat="1">
      <c r="G52208" s="3336"/>
      <c r="P52208" s="3337"/>
    </row>
    <row r="52209" spans="7:16" s="1634" customFormat="1">
      <c r="G52209" s="3336"/>
      <c r="P52209" s="3337"/>
    </row>
    <row r="52210" spans="7:16" s="1634" customFormat="1">
      <c r="G52210" s="3336"/>
      <c r="P52210" s="3337"/>
    </row>
    <row r="52211" spans="7:16" s="1634" customFormat="1">
      <c r="G52211" s="3336"/>
      <c r="P52211" s="3337"/>
    </row>
    <row r="52212" spans="7:16" s="1634" customFormat="1">
      <c r="G52212" s="3336"/>
      <c r="P52212" s="3337"/>
    </row>
    <row r="52213" spans="7:16" s="1634" customFormat="1">
      <c r="G52213" s="3336"/>
      <c r="P52213" s="3337"/>
    </row>
    <row r="52214" spans="7:16" s="1634" customFormat="1">
      <c r="G52214" s="3336"/>
      <c r="P52214" s="3337"/>
    </row>
    <row r="52215" spans="7:16" s="1634" customFormat="1">
      <c r="G52215" s="3336"/>
      <c r="P52215" s="3337"/>
    </row>
    <row r="52216" spans="7:16" s="1634" customFormat="1">
      <c r="G52216" s="3336"/>
      <c r="P52216" s="3337"/>
    </row>
    <row r="52217" spans="7:16" s="1634" customFormat="1">
      <c r="G52217" s="3336"/>
      <c r="P52217" s="3337"/>
    </row>
    <row r="52218" spans="7:16" s="1634" customFormat="1">
      <c r="G52218" s="3336"/>
      <c r="P52218" s="3337"/>
    </row>
    <row r="52219" spans="7:16" s="1634" customFormat="1">
      <c r="G52219" s="3336"/>
      <c r="P52219" s="3337"/>
    </row>
    <row r="52220" spans="7:16" s="1634" customFormat="1">
      <c r="G52220" s="3336"/>
      <c r="P52220" s="3337"/>
    </row>
    <row r="52221" spans="7:16" s="1634" customFormat="1">
      <c r="G52221" s="3336"/>
      <c r="P52221" s="3337"/>
    </row>
    <row r="52222" spans="7:16" s="1634" customFormat="1">
      <c r="G52222" s="3336"/>
      <c r="P52222" s="3337"/>
    </row>
    <row r="52223" spans="7:16" s="1634" customFormat="1">
      <c r="G52223" s="3336"/>
      <c r="P52223" s="3337"/>
    </row>
    <row r="52224" spans="7:16" s="1634" customFormat="1">
      <c r="G52224" s="3336"/>
      <c r="P52224" s="3337"/>
    </row>
    <row r="52225" spans="7:16" s="1634" customFormat="1">
      <c r="G52225" s="3336"/>
      <c r="P52225" s="3337"/>
    </row>
    <row r="52226" spans="7:16" s="1634" customFormat="1">
      <c r="G52226" s="3336"/>
      <c r="P52226" s="3337"/>
    </row>
    <row r="52227" spans="7:16" s="1634" customFormat="1">
      <c r="G52227" s="3336"/>
      <c r="P52227" s="3337"/>
    </row>
    <row r="52228" spans="7:16" s="1634" customFormat="1">
      <c r="G52228" s="3336"/>
      <c r="P52228" s="3337"/>
    </row>
    <row r="52229" spans="7:16" s="1634" customFormat="1">
      <c r="G52229" s="3336"/>
      <c r="P52229" s="3337"/>
    </row>
    <row r="52230" spans="7:16" s="1634" customFormat="1">
      <c r="G52230" s="3336"/>
      <c r="P52230" s="3337"/>
    </row>
    <row r="52231" spans="7:16" s="1634" customFormat="1">
      <c r="G52231" s="3336"/>
      <c r="P52231" s="3337"/>
    </row>
    <row r="52232" spans="7:16" s="1634" customFormat="1">
      <c r="G52232" s="3336"/>
      <c r="P52232" s="3337"/>
    </row>
    <row r="52233" spans="7:16" s="1634" customFormat="1">
      <c r="G52233" s="3336"/>
      <c r="P52233" s="3337"/>
    </row>
    <row r="52234" spans="7:16" s="1634" customFormat="1">
      <c r="G52234" s="3336"/>
      <c r="P52234" s="3337"/>
    </row>
    <row r="52235" spans="7:16" s="1634" customFormat="1">
      <c r="G52235" s="3336"/>
      <c r="P52235" s="3337"/>
    </row>
    <row r="52236" spans="7:16" s="1634" customFormat="1">
      <c r="G52236" s="3336"/>
      <c r="P52236" s="3337"/>
    </row>
    <row r="52237" spans="7:16" s="1634" customFormat="1">
      <c r="G52237" s="3336"/>
      <c r="P52237" s="3337"/>
    </row>
    <row r="52238" spans="7:16" s="1634" customFormat="1">
      <c r="G52238" s="3336"/>
      <c r="P52238" s="3337"/>
    </row>
    <row r="52239" spans="7:16" s="1634" customFormat="1">
      <c r="G52239" s="3336"/>
      <c r="P52239" s="3337"/>
    </row>
    <row r="52240" spans="7:16" s="1634" customFormat="1">
      <c r="G52240" s="3336"/>
      <c r="P52240" s="3337"/>
    </row>
    <row r="52241" spans="7:16" s="1634" customFormat="1">
      <c r="G52241" s="3336"/>
      <c r="P52241" s="3337"/>
    </row>
    <row r="52242" spans="7:16" s="1634" customFormat="1">
      <c r="G52242" s="3336"/>
      <c r="P52242" s="3337"/>
    </row>
    <row r="52243" spans="7:16" s="1634" customFormat="1">
      <c r="G52243" s="3336"/>
      <c r="P52243" s="3337"/>
    </row>
    <row r="52244" spans="7:16" s="1634" customFormat="1">
      <c r="G52244" s="3336"/>
      <c r="P52244" s="3337"/>
    </row>
    <row r="52245" spans="7:16" s="1634" customFormat="1">
      <c r="G52245" s="3336"/>
      <c r="P52245" s="3337"/>
    </row>
    <row r="52246" spans="7:16" s="1634" customFormat="1">
      <c r="G52246" s="3336"/>
      <c r="P52246" s="3337"/>
    </row>
    <row r="52247" spans="7:16" s="1634" customFormat="1">
      <c r="G52247" s="3336"/>
      <c r="P52247" s="3337"/>
    </row>
    <row r="52248" spans="7:16" s="1634" customFormat="1">
      <c r="G52248" s="3336"/>
      <c r="P52248" s="3337"/>
    </row>
    <row r="52249" spans="7:16" s="1634" customFormat="1">
      <c r="G52249" s="3336"/>
      <c r="P52249" s="3337"/>
    </row>
    <row r="52250" spans="7:16" s="1634" customFormat="1">
      <c r="G52250" s="3336"/>
      <c r="P52250" s="3337"/>
    </row>
    <row r="52251" spans="7:16" s="1634" customFormat="1">
      <c r="G52251" s="3336"/>
      <c r="P52251" s="3337"/>
    </row>
    <row r="52252" spans="7:16" s="1634" customFormat="1">
      <c r="G52252" s="3336"/>
      <c r="P52252" s="3337"/>
    </row>
    <row r="52253" spans="7:16" s="1634" customFormat="1">
      <c r="G52253" s="3336"/>
      <c r="P52253" s="3337"/>
    </row>
    <row r="52254" spans="7:16" s="1634" customFormat="1">
      <c r="G52254" s="3336"/>
      <c r="P52254" s="3337"/>
    </row>
    <row r="52255" spans="7:16" s="1634" customFormat="1">
      <c r="G52255" s="3336"/>
      <c r="P52255" s="3337"/>
    </row>
    <row r="52256" spans="7:16" s="1634" customFormat="1">
      <c r="G52256" s="3336"/>
      <c r="P52256" s="3337"/>
    </row>
    <row r="52257" spans="7:16" s="1634" customFormat="1">
      <c r="G52257" s="3336"/>
      <c r="P52257" s="3337"/>
    </row>
    <row r="52258" spans="7:16" s="1634" customFormat="1">
      <c r="G52258" s="3336"/>
      <c r="P52258" s="3337"/>
    </row>
    <row r="52259" spans="7:16" s="1634" customFormat="1">
      <c r="G52259" s="3336"/>
      <c r="P52259" s="3337"/>
    </row>
    <row r="52260" spans="7:16" s="1634" customFormat="1">
      <c r="G52260" s="3336"/>
      <c r="P52260" s="3337"/>
    </row>
    <row r="52261" spans="7:16" s="1634" customFormat="1">
      <c r="G52261" s="3336"/>
      <c r="P52261" s="3337"/>
    </row>
    <row r="52262" spans="7:16" s="1634" customFormat="1">
      <c r="G52262" s="3336"/>
      <c r="P52262" s="3337"/>
    </row>
    <row r="52263" spans="7:16" s="1634" customFormat="1">
      <c r="G52263" s="3336"/>
      <c r="P52263" s="3337"/>
    </row>
    <row r="52264" spans="7:16" s="1634" customFormat="1">
      <c r="G52264" s="3336"/>
      <c r="P52264" s="3337"/>
    </row>
    <row r="52265" spans="7:16" s="1634" customFormat="1">
      <c r="G52265" s="3336"/>
      <c r="P52265" s="3337"/>
    </row>
    <row r="52266" spans="7:16" s="1634" customFormat="1">
      <c r="G52266" s="3336"/>
      <c r="P52266" s="3337"/>
    </row>
    <row r="52267" spans="7:16" s="1634" customFormat="1">
      <c r="G52267" s="3336"/>
      <c r="P52267" s="3337"/>
    </row>
    <row r="52268" spans="7:16" s="1634" customFormat="1">
      <c r="G52268" s="3336"/>
      <c r="P52268" s="3337"/>
    </row>
    <row r="52269" spans="7:16" s="1634" customFormat="1">
      <c r="G52269" s="3336"/>
      <c r="P52269" s="3337"/>
    </row>
    <row r="52270" spans="7:16" s="1634" customFormat="1">
      <c r="G52270" s="3336"/>
      <c r="P52270" s="3337"/>
    </row>
    <row r="52271" spans="7:16" s="1634" customFormat="1">
      <c r="G52271" s="3336"/>
      <c r="P52271" s="3337"/>
    </row>
    <row r="52272" spans="7:16" s="1634" customFormat="1">
      <c r="G52272" s="3336"/>
      <c r="P52272" s="3337"/>
    </row>
    <row r="52273" spans="7:16" s="1634" customFormat="1">
      <c r="G52273" s="3336"/>
      <c r="P52273" s="3337"/>
    </row>
    <row r="52274" spans="7:16" s="1634" customFormat="1">
      <c r="G52274" s="3336"/>
      <c r="P52274" s="3337"/>
    </row>
    <row r="52275" spans="7:16" s="1634" customFormat="1">
      <c r="G52275" s="3336"/>
      <c r="P52275" s="3337"/>
    </row>
    <row r="52276" spans="7:16" s="1634" customFormat="1">
      <c r="G52276" s="3336"/>
      <c r="P52276" s="3337"/>
    </row>
    <row r="52277" spans="7:16" s="1634" customFormat="1">
      <c r="G52277" s="3336"/>
      <c r="P52277" s="3337"/>
    </row>
    <row r="52278" spans="7:16" s="1634" customFormat="1">
      <c r="G52278" s="3336"/>
      <c r="P52278" s="3337"/>
    </row>
    <row r="52279" spans="7:16" s="1634" customFormat="1">
      <c r="G52279" s="3336"/>
      <c r="P52279" s="3337"/>
    </row>
    <row r="52280" spans="7:16" s="1634" customFormat="1">
      <c r="G52280" s="3336"/>
      <c r="P52280" s="3337"/>
    </row>
    <row r="52281" spans="7:16" s="1634" customFormat="1">
      <c r="G52281" s="3336"/>
      <c r="P52281" s="3337"/>
    </row>
    <row r="52282" spans="7:16" s="1634" customFormat="1">
      <c r="G52282" s="3336"/>
      <c r="P52282" s="3337"/>
    </row>
    <row r="52283" spans="7:16" s="1634" customFormat="1">
      <c r="G52283" s="3336"/>
      <c r="P52283" s="3337"/>
    </row>
    <row r="52284" spans="7:16" s="1634" customFormat="1">
      <c r="G52284" s="3336"/>
      <c r="P52284" s="3337"/>
    </row>
    <row r="52285" spans="7:16" s="1634" customFormat="1">
      <c r="G52285" s="3336"/>
      <c r="P52285" s="3337"/>
    </row>
    <row r="52286" spans="7:16" s="1634" customFormat="1">
      <c r="G52286" s="3336"/>
      <c r="P52286" s="3337"/>
    </row>
    <row r="52287" spans="7:16" s="1634" customFormat="1">
      <c r="G52287" s="3336"/>
      <c r="P52287" s="3337"/>
    </row>
    <row r="52288" spans="7:16" s="1634" customFormat="1">
      <c r="G52288" s="3336"/>
      <c r="P52288" s="3337"/>
    </row>
    <row r="52289" spans="7:16" s="1634" customFormat="1">
      <c r="G52289" s="3336"/>
      <c r="P52289" s="3337"/>
    </row>
    <row r="52290" spans="7:16" s="1634" customFormat="1">
      <c r="G52290" s="3336"/>
      <c r="P52290" s="3337"/>
    </row>
    <row r="52291" spans="7:16" s="1634" customFormat="1">
      <c r="G52291" s="3336"/>
      <c r="P52291" s="3337"/>
    </row>
    <row r="52292" spans="7:16" s="1634" customFormat="1">
      <c r="G52292" s="3336"/>
      <c r="P52292" s="3337"/>
    </row>
    <row r="52293" spans="7:16" s="1634" customFormat="1">
      <c r="G52293" s="3336"/>
      <c r="P52293" s="3337"/>
    </row>
    <row r="52294" spans="7:16" s="1634" customFormat="1">
      <c r="G52294" s="3336"/>
      <c r="P52294" s="3337"/>
    </row>
    <row r="52295" spans="7:16" s="1634" customFormat="1">
      <c r="G52295" s="3336"/>
      <c r="P52295" s="3337"/>
    </row>
    <row r="52296" spans="7:16" s="1634" customFormat="1">
      <c r="G52296" s="3336"/>
      <c r="P52296" s="3337"/>
    </row>
    <row r="52297" spans="7:16" s="1634" customFormat="1">
      <c r="G52297" s="3336"/>
      <c r="P52297" s="3337"/>
    </row>
    <row r="52298" spans="7:16" s="1634" customFormat="1">
      <c r="G52298" s="3336"/>
      <c r="P52298" s="3337"/>
    </row>
    <row r="52299" spans="7:16" s="1634" customFormat="1">
      <c r="G52299" s="3336"/>
      <c r="P52299" s="3337"/>
    </row>
    <row r="52300" spans="7:16" s="1634" customFormat="1">
      <c r="G52300" s="3336"/>
      <c r="P52300" s="3337"/>
    </row>
    <row r="52301" spans="7:16" s="1634" customFormat="1">
      <c r="G52301" s="3336"/>
      <c r="P52301" s="3337"/>
    </row>
    <row r="52302" spans="7:16" s="1634" customFormat="1">
      <c r="G52302" s="3336"/>
      <c r="P52302" s="3337"/>
    </row>
    <row r="52303" spans="7:16" s="1634" customFormat="1">
      <c r="G52303" s="3336"/>
      <c r="P52303" s="3337"/>
    </row>
    <row r="52304" spans="7:16" s="1634" customFormat="1">
      <c r="G52304" s="3336"/>
      <c r="P52304" s="3337"/>
    </row>
    <row r="52305" spans="7:16" s="1634" customFormat="1">
      <c r="G52305" s="3336"/>
      <c r="P52305" s="3337"/>
    </row>
    <row r="52306" spans="7:16" s="1634" customFormat="1">
      <c r="G52306" s="3336"/>
      <c r="P52306" s="3337"/>
    </row>
    <row r="52307" spans="7:16" s="1634" customFormat="1">
      <c r="G52307" s="3336"/>
      <c r="P52307" s="3337"/>
    </row>
    <row r="52308" spans="7:16" s="1634" customFormat="1">
      <c r="G52308" s="3336"/>
      <c r="P52308" s="3337"/>
    </row>
    <row r="52309" spans="7:16" s="1634" customFormat="1">
      <c r="G52309" s="3336"/>
      <c r="P52309" s="3337"/>
    </row>
    <row r="52310" spans="7:16" s="1634" customFormat="1">
      <c r="G52310" s="3336"/>
      <c r="P52310" s="3337"/>
    </row>
    <row r="52311" spans="7:16" s="1634" customFormat="1">
      <c r="G52311" s="3336"/>
      <c r="P52311" s="3337"/>
    </row>
    <row r="52312" spans="7:16" s="1634" customFormat="1">
      <c r="G52312" s="3336"/>
      <c r="P52312" s="3337"/>
    </row>
    <row r="52313" spans="7:16" s="1634" customFormat="1">
      <c r="G52313" s="3336"/>
      <c r="P52313" s="3337"/>
    </row>
    <row r="52314" spans="7:16" s="1634" customFormat="1">
      <c r="G52314" s="3336"/>
      <c r="P52314" s="3337"/>
    </row>
    <row r="52315" spans="7:16" s="1634" customFormat="1">
      <c r="G52315" s="3336"/>
      <c r="P52315" s="3337"/>
    </row>
    <row r="52316" spans="7:16" s="1634" customFormat="1">
      <c r="G52316" s="3336"/>
      <c r="P52316" s="3337"/>
    </row>
    <row r="52317" spans="7:16" s="1634" customFormat="1">
      <c r="G52317" s="3336"/>
      <c r="P52317" s="3337"/>
    </row>
    <row r="52318" spans="7:16" s="1634" customFormat="1">
      <c r="G52318" s="3336"/>
      <c r="P52318" s="3337"/>
    </row>
    <row r="52319" spans="7:16" s="1634" customFormat="1">
      <c r="G52319" s="3336"/>
      <c r="P52319" s="3337"/>
    </row>
    <row r="52320" spans="7:16" s="1634" customFormat="1">
      <c r="G52320" s="3336"/>
      <c r="P52320" s="3337"/>
    </row>
    <row r="52321" spans="7:16" s="1634" customFormat="1">
      <c r="G52321" s="3336"/>
      <c r="P52321" s="3337"/>
    </row>
    <row r="52322" spans="7:16" s="1634" customFormat="1">
      <c r="G52322" s="3336"/>
      <c r="P52322" s="3337"/>
    </row>
    <row r="52323" spans="7:16" s="1634" customFormat="1">
      <c r="G52323" s="3336"/>
      <c r="P52323" s="3337"/>
    </row>
    <row r="52324" spans="7:16" s="1634" customFormat="1">
      <c r="G52324" s="3336"/>
      <c r="P52324" s="3337"/>
    </row>
    <row r="52325" spans="7:16" s="1634" customFormat="1">
      <c r="G52325" s="3336"/>
      <c r="P52325" s="3337"/>
    </row>
    <row r="52326" spans="7:16" s="1634" customFormat="1">
      <c r="G52326" s="3336"/>
      <c r="P52326" s="3337"/>
    </row>
    <row r="52327" spans="7:16" s="1634" customFormat="1">
      <c r="G52327" s="3336"/>
      <c r="P52327" s="3337"/>
    </row>
    <row r="52328" spans="7:16" s="1634" customFormat="1">
      <c r="G52328" s="3336"/>
      <c r="P52328" s="3337"/>
    </row>
    <row r="52329" spans="7:16" s="1634" customFormat="1">
      <c r="G52329" s="3336"/>
      <c r="P52329" s="3337"/>
    </row>
    <row r="52330" spans="7:16" s="1634" customFormat="1">
      <c r="G52330" s="3336"/>
      <c r="P52330" s="3337"/>
    </row>
    <row r="52331" spans="7:16" s="1634" customFormat="1">
      <c r="G52331" s="3336"/>
      <c r="P52331" s="3337"/>
    </row>
    <row r="52332" spans="7:16" s="1634" customFormat="1">
      <c r="G52332" s="3336"/>
      <c r="P52332" s="3337"/>
    </row>
    <row r="52333" spans="7:16" s="1634" customFormat="1">
      <c r="G52333" s="3336"/>
      <c r="P52333" s="3337"/>
    </row>
    <row r="52334" spans="7:16" s="1634" customFormat="1">
      <c r="G52334" s="3336"/>
      <c r="P52334" s="3337"/>
    </row>
    <row r="52335" spans="7:16" s="1634" customFormat="1">
      <c r="G52335" s="3336"/>
      <c r="P52335" s="3337"/>
    </row>
    <row r="52336" spans="7:16" s="1634" customFormat="1">
      <c r="G52336" s="3336"/>
      <c r="P52336" s="3337"/>
    </row>
    <row r="52337" spans="7:16" s="1634" customFormat="1">
      <c r="G52337" s="3336"/>
      <c r="P52337" s="3337"/>
    </row>
    <row r="52338" spans="7:16" s="1634" customFormat="1">
      <c r="G52338" s="3336"/>
      <c r="P52338" s="3337"/>
    </row>
    <row r="52339" spans="7:16" s="1634" customFormat="1">
      <c r="G52339" s="3336"/>
      <c r="P52339" s="3337"/>
    </row>
    <row r="52340" spans="7:16" s="1634" customFormat="1">
      <c r="G52340" s="3336"/>
      <c r="P52340" s="3337"/>
    </row>
    <row r="52341" spans="7:16" s="1634" customFormat="1">
      <c r="G52341" s="3336"/>
      <c r="P52341" s="3337"/>
    </row>
    <row r="52342" spans="7:16" s="1634" customFormat="1">
      <c r="G52342" s="3336"/>
      <c r="P52342" s="3337"/>
    </row>
    <row r="52343" spans="7:16" s="1634" customFormat="1">
      <c r="G52343" s="3336"/>
      <c r="P52343" s="3337"/>
    </row>
    <row r="52344" spans="7:16" s="1634" customFormat="1">
      <c r="G52344" s="3336"/>
      <c r="P52344" s="3337"/>
    </row>
    <row r="52345" spans="7:16" s="1634" customFormat="1">
      <c r="G52345" s="3336"/>
      <c r="P52345" s="3337"/>
    </row>
    <row r="52346" spans="7:16" s="1634" customFormat="1">
      <c r="G52346" s="3336"/>
      <c r="P52346" s="3337"/>
    </row>
    <row r="52347" spans="7:16" s="1634" customFormat="1">
      <c r="G52347" s="3336"/>
      <c r="P52347" s="3337"/>
    </row>
    <row r="52348" spans="7:16" s="1634" customFormat="1">
      <c r="G52348" s="3336"/>
      <c r="P52348" s="3337"/>
    </row>
    <row r="52349" spans="7:16" s="1634" customFormat="1">
      <c r="G52349" s="3336"/>
      <c r="P52349" s="3337"/>
    </row>
    <row r="52350" spans="7:16" s="1634" customFormat="1">
      <c r="G52350" s="3336"/>
      <c r="P52350" s="3337"/>
    </row>
    <row r="52351" spans="7:16" s="1634" customFormat="1">
      <c r="G52351" s="3336"/>
      <c r="P52351" s="3337"/>
    </row>
    <row r="52352" spans="7:16" s="1634" customFormat="1">
      <c r="G52352" s="3336"/>
      <c r="P52352" s="3337"/>
    </row>
    <row r="52353" spans="7:16" s="1634" customFormat="1">
      <c r="G52353" s="3336"/>
      <c r="P52353" s="3337"/>
    </row>
    <row r="52354" spans="7:16" s="1634" customFormat="1">
      <c r="G52354" s="3336"/>
      <c r="P52354" s="3337"/>
    </row>
    <row r="52355" spans="7:16" s="1634" customFormat="1">
      <c r="G52355" s="3336"/>
      <c r="P52355" s="3337"/>
    </row>
    <row r="52356" spans="7:16" s="1634" customFormat="1">
      <c r="G52356" s="3336"/>
      <c r="P52356" s="3337"/>
    </row>
    <row r="52357" spans="7:16" s="1634" customFormat="1">
      <c r="G52357" s="3336"/>
      <c r="P52357" s="3337"/>
    </row>
    <row r="52358" spans="7:16" s="1634" customFormat="1">
      <c r="G52358" s="3336"/>
      <c r="P52358" s="3337"/>
    </row>
    <row r="52359" spans="7:16" s="1634" customFormat="1">
      <c r="G52359" s="3336"/>
      <c r="P52359" s="3337"/>
    </row>
    <row r="52360" spans="7:16" s="1634" customFormat="1">
      <c r="G52360" s="3336"/>
      <c r="P52360" s="3337"/>
    </row>
    <row r="52361" spans="7:16" s="1634" customFormat="1">
      <c r="G52361" s="3336"/>
      <c r="P52361" s="3337"/>
    </row>
    <row r="52362" spans="7:16" s="1634" customFormat="1">
      <c r="G52362" s="3336"/>
      <c r="P52362" s="3337"/>
    </row>
    <row r="52363" spans="7:16" s="1634" customFormat="1">
      <c r="G52363" s="3336"/>
      <c r="P52363" s="3337"/>
    </row>
    <row r="52364" spans="7:16" s="1634" customFormat="1">
      <c r="G52364" s="3336"/>
      <c r="P52364" s="3337"/>
    </row>
    <row r="52365" spans="7:16" s="1634" customFormat="1">
      <c r="G52365" s="3336"/>
      <c r="P52365" s="3337"/>
    </row>
    <row r="52366" spans="7:16" s="1634" customFormat="1">
      <c r="G52366" s="3336"/>
      <c r="P52366" s="3337"/>
    </row>
    <row r="52367" spans="7:16" s="1634" customFormat="1">
      <c r="G52367" s="3336"/>
      <c r="P52367" s="3337"/>
    </row>
    <row r="52368" spans="7:16" s="1634" customFormat="1">
      <c r="G52368" s="3336"/>
      <c r="P52368" s="3337"/>
    </row>
    <row r="52369" spans="7:16" s="1634" customFormat="1">
      <c r="G52369" s="3336"/>
      <c r="P52369" s="3337"/>
    </row>
    <row r="52370" spans="7:16" s="1634" customFormat="1">
      <c r="G52370" s="3336"/>
      <c r="P52370" s="3337"/>
    </row>
    <row r="52371" spans="7:16" s="1634" customFormat="1">
      <c r="G52371" s="3336"/>
      <c r="P52371" s="3337"/>
    </row>
    <row r="52372" spans="7:16" s="1634" customFormat="1">
      <c r="G52372" s="3336"/>
      <c r="P52372" s="3337"/>
    </row>
    <row r="52373" spans="7:16" s="1634" customFormat="1">
      <c r="G52373" s="3336"/>
      <c r="P52373" s="3337"/>
    </row>
    <row r="52374" spans="7:16" s="1634" customFormat="1">
      <c r="G52374" s="3336"/>
      <c r="P52374" s="3337"/>
    </row>
    <row r="52375" spans="7:16" s="1634" customFormat="1">
      <c r="G52375" s="3336"/>
      <c r="P52375" s="3337"/>
    </row>
    <row r="52376" spans="7:16" s="1634" customFormat="1">
      <c r="G52376" s="3336"/>
      <c r="P52376" s="3337"/>
    </row>
    <row r="52377" spans="7:16" s="1634" customFormat="1">
      <c r="G52377" s="3336"/>
      <c r="P52377" s="3337"/>
    </row>
    <row r="52378" spans="7:16" s="1634" customFormat="1">
      <c r="G52378" s="3336"/>
      <c r="P52378" s="3337"/>
    </row>
    <row r="52379" spans="7:16" s="1634" customFormat="1">
      <c r="G52379" s="3336"/>
      <c r="P52379" s="3337"/>
    </row>
    <row r="52380" spans="7:16" s="1634" customFormat="1">
      <c r="G52380" s="3336"/>
      <c r="P52380" s="3337"/>
    </row>
    <row r="52381" spans="7:16" s="1634" customFormat="1">
      <c r="G52381" s="3336"/>
      <c r="P52381" s="3337"/>
    </row>
    <row r="52382" spans="7:16" s="1634" customFormat="1">
      <c r="G52382" s="3336"/>
      <c r="P52382" s="3337"/>
    </row>
    <row r="52383" spans="7:16" s="1634" customFormat="1">
      <c r="G52383" s="3336"/>
      <c r="P52383" s="3337"/>
    </row>
    <row r="52384" spans="7:16" s="1634" customFormat="1">
      <c r="G52384" s="3336"/>
      <c r="P52384" s="3337"/>
    </row>
    <row r="52385" spans="7:16" s="1634" customFormat="1">
      <c r="G52385" s="3336"/>
      <c r="P52385" s="3337"/>
    </row>
    <row r="52386" spans="7:16" s="1634" customFormat="1">
      <c r="G52386" s="3336"/>
      <c r="P52386" s="3337"/>
    </row>
    <row r="52387" spans="7:16" s="1634" customFormat="1">
      <c r="G52387" s="3336"/>
      <c r="P52387" s="3337"/>
    </row>
    <row r="52388" spans="7:16" s="1634" customFormat="1">
      <c r="G52388" s="3336"/>
      <c r="P52388" s="3337"/>
    </row>
    <row r="52389" spans="7:16" s="1634" customFormat="1">
      <c r="G52389" s="3336"/>
      <c r="P52389" s="3337"/>
    </row>
    <row r="52390" spans="7:16" s="1634" customFormat="1">
      <c r="G52390" s="3336"/>
      <c r="P52390" s="3337"/>
    </row>
    <row r="52391" spans="7:16" s="1634" customFormat="1">
      <c r="G52391" s="3336"/>
      <c r="P52391" s="3337"/>
    </row>
    <row r="52392" spans="7:16" s="1634" customFormat="1">
      <c r="G52392" s="3336"/>
      <c r="P52392" s="3337"/>
    </row>
    <row r="52393" spans="7:16" s="1634" customFormat="1">
      <c r="G52393" s="3336"/>
      <c r="P52393" s="3337"/>
    </row>
    <row r="52394" spans="7:16" s="1634" customFormat="1">
      <c r="G52394" s="3336"/>
      <c r="P52394" s="3337"/>
    </row>
    <row r="52395" spans="7:16" s="1634" customFormat="1">
      <c r="G52395" s="3336"/>
      <c r="P52395" s="3337"/>
    </row>
    <row r="52396" spans="7:16" s="1634" customFormat="1">
      <c r="G52396" s="3336"/>
      <c r="P52396" s="3337"/>
    </row>
    <row r="52397" spans="7:16" s="1634" customFormat="1">
      <c r="G52397" s="3336"/>
      <c r="P52397" s="3337"/>
    </row>
    <row r="52398" spans="7:16" s="1634" customFormat="1">
      <c r="G52398" s="3336"/>
      <c r="P52398" s="3337"/>
    </row>
    <row r="52399" spans="7:16" s="1634" customFormat="1">
      <c r="G52399" s="3336"/>
      <c r="P52399" s="3337"/>
    </row>
    <row r="52400" spans="7:16" s="1634" customFormat="1">
      <c r="G52400" s="3336"/>
      <c r="P52400" s="3337"/>
    </row>
    <row r="52401" spans="7:16" s="1634" customFormat="1">
      <c r="G52401" s="3336"/>
      <c r="P52401" s="3337"/>
    </row>
    <row r="52402" spans="7:16" s="1634" customFormat="1">
      <c r="G52402" s="3336"/>
      <c r="P52402" s="3337"/>
    </row>
    <row r="52403" spans="7:16" s="1634" customFormat="1">
      <c r="G52403" s="3336"/>
      <c r="P52403" s="3337"/>
    </row>
    <row r="52404" spans="7:16" s="1634" customFormat="1">
      <c r="G52404" s="3336"/>
      <c r="P52404" s="3337"/>
    </row>
    <row r="52405" spans="7:16" s="1634" customFormat="1">
      <c r="G52405" s="3336"/>
      <c r="P52405" s="3337"/>
    </row>
    <row r="52406" spans="7:16" s="1634" customFormat="1">
      <c r="G52406" s="3336"/>
      <c r="P52406" s="3337"/>
    </row>
    <row r="52407" spans="7:16" s="1634" customFormat="1">
      <c r="G52407" s="3336"/>
      <c r="P52407" s="3337"/>
    </row>
    <row r="52408" spans="7:16" s="1634" customFormat="1">
      <c r="G52408" s="3336"/>
      <c r="P52408" s="3337"/>
    </row>
    <row r="52409" spans="7:16" s="1634" customFormat="1">
      <c r="G52409" s="3336"/>
      <c r="P52409" s="3337"/>
    </row>
    <row r="52410" spans="7:16" s="1634" customFormat="1">
      <c r="G52410" s="3336"/>
      <c r="P52410" s="3337"/>
    </row>
    <row r="52411" spans="7:16" s="1634" customFormat="1">
      <c r="G52411" s="3336"/>
      <c r="P52411" s="3337"/>
    </row>
    <row r="52412" spans="7:16" s="1634" customFormat="1">
      <c r="G52412" s="3336"/>
      <c r="P52412" s="3337"/>
    </row>
    <row r="52413" spans="7:16" s="1634" customFormat="1">
      <c r="G52413" s="3336"/>
      <c r="P52413" s="3337"/>
    </row>
    <row r="52414" spans="7:16" s="1634" customFormat="1">
      <c r="G52414" s="3336"/>
      <c r="P52414" s="3337"/>
    </row>
    <row r="52415" spans="7:16" s="1634" customFormat="1">
      <c r="G52415" s="3336"/>
      <c r="P52415" s="3337"/>
    </row>
    <row r="52416" spans="7:16" s="1634" customFormat="1">
      <c r="G52416" s="3336"/>
      <c r="P52416" s="3337"/>
    </row>
    <row r="52417" spans="7:16" s="1634" customFormat="1">
      <c r="G52417" s="3336"/>
      <c r="P52417" s="3337"/>
    </row>
    <row r="52418" spans="7:16" s="1634" customFormat="1">
      <c r="G52418" s="3336"/>
      <c r="P52418" s="3337"/>
    </row>
    <row r="52419" spans="7:16" s="1634" customFormat="1">
      <c r="G52419" s="3336"/>
      <c r="P52419" s="3337"/>
    </row>
    <row r="52420" spans="7:16" s="1634" customFormat="1">
      <c r="G52420" s="3336"/>
      <c r="P52420" s="3337"/>
    </row>
    <row r="52421" spans="7:16" s="1634" customFormat="1">
      <c r="G52421" s="3336"/>
      <c r="P52421" s="3337"/>
    </row>
    <row r="52422" spans="7:16" s="1634" customFormat="1">
      <c r="G52422" s="3336"/>
      <c r="P52422" s="3337"/>
    </row>
    <row r="52423" spans="7:16" s="1634" customFormat="1">
      <c r="G52423" s="3336"/>
      <c r="P52423" s="3337"/>
    </row>
    <row r="52424" spans="7:16" s="1634" customFormat="1">
      <c r="G52424" s="3336"/>
      <c r="P52424" s="3337"/>
    </row>
    <row r="52425" spans="7:16" s="1634" customFormat="1">
      <c r="G52425" s="3336"/>
      <c r="P52425" s="3337"/>
    </row>
    <row r="52426" spans="7:16" s="1634" customFormat="1">
      <c r="G52426" s="3336"/>
      <c r="P52426" s="3337"/>
    </row>
    <row r="52427" spans="7:16" s="1634" customFormat="1">
      <c r="G52427" s="3336"/>
      <c r="P52427" s="3337"/>
    </row>
    <row r="52428" spans="7:16" s="1634" customFormat="1">
      <c r="G52428" s="3336"/>
      <c r="P52428" s="3337"/>
    </row>
    <row r="52429" spans="7:16" s="1634" customFormat="1">
      <c r="G52429" s="3336"/>
      <c r="P52429" s="3337"/>
    </row>
    <row r="52430" spans="7:16" s="1634" customFormat="1">
      <c r="G52430" s="3336"/>
      <c r="P52430" s="3337"/>
    </row>
    <row r="52431" spans="7:16" s="1634" customFormat="1">
      <c r="G52431" s="3336"/>
      <c r="P52431" s="3337"/>
    </row>
    <row r="52432" spans="7:16" s="1634" customFormat="1">
      <c r="G52432" s="3336"/>
      <c r="P52432" s="3337"/>
    </row>
    <row r="52433" spans="7:16" s="1634" customFormat="1">
      <c r="G52433" s="3336"/>
      <c r="P52433" s="3337"/>
    </row>
    <row r="52434" spans="7:16" s="1634" customFormat="1">
      <c r="G52434" s="3336"/>
      <c r="P52434" s="3337"/>
    </row>
    <row r="52435" spans="7:16" s="1634" customFormat="1">
      <c r="G52435" s="3336"/>
      <c r="P52435" s="3337"/>
    </row>
    <row r="52436" spans="7:16" s="1634" customFormat="1">
      <c r="G52436" s="3336"/>
      <c r="P52436" s="3337"/>
    </row>
    <row r="52437" spans="7:16" s="1634" customFormat="1">
      <c r="G52437" s="3336"/>
      <c r="P52437" s="3337"/>
    </row>
    <row r="52438" spans="7:16" s="1634" customFormat="1">
      <c r="G52438" s="3336"/>
      <c r="P52438" s="3337"/>
    </row>
    <row r="52439" spans="7:16" s="1634" customFormat="1">
      <c r="G52439" s="3336"/>
      <c r="P52439" s="3337"/>
    </row>
    <row r="52440" spans="7:16" s="1634" customFormat="1">
      <c r="G52440" s="3336"/>
      <c r="P52440" s="3337"/>
    </row>
    <row r="52441" spans="7:16" s="1634" customFormat="1">
      <c r="G52441" s="3336"/>
      <c r="P52441" s="3337"/>
    </row>
    <row r="52442" spans="7:16" s="1634" customFormat="1">
      <c r="G52442" s="3336"/>
      <c r="P52442" s="3337"/>
    </row>
    <row r="52443" spans="7:16" s="1634" customFormat="1">
      <c r="G52443" s="3336"/>
      <c r="P52443" s="3337"/>
    </row>
    <row r="52444" spans="7:16" s="1634" customFormat="1">
      <c r="G52444" s="3336"/>
      <c r="P52444" s="3337"/>
    </row>
    <row r="52445" spans="7:16" s="1634" customFormat="1">
      <c r="G52445" s="3336"/>
      <c r="P52445" s="3337"/>
    </row>
    <row r="52446" spans="7:16" s="1634" customFormat="1">
      <c r="G52446" s="3336"/>
      <c r="P52446" s="3337"/>
    </row>
    <row r="52447" spans="7:16" s="1634" customFormat="1">
      <c r="G52447" s="3336"/>
      <c r="P52447" s="3337"/>
    </row>
    <row r="52448" spans="7:16" s="1634" customFormat="1">
      <c r="G52448" s="3336"/>
      <c r="P52448" s="3337"/>
    </row>
    <row r="52449" spans="7:16" s="1634" customFormat="1">
      <c r="G52449" s="3336"/>
      <c r="P52449" s="3337"/>
    </row>
    <row r="52450" spans="7:16" s="1634" customFormat="1">
      <c r="G52450" s="3336"/>
      <c r="P52450" s="3337"/>
    </row>
    <row r="52451" spans="7:16" s="1634" customFormat="1">
      <c r="G52451" s="3336"/>
      <c r="P52451" s="3337"/>
    </row>
    <row r="52452" spans="7:16" s="1634" customFormat="1">
      <c r="G52452" s="3336"/>
      <c r="P52452" s="3337"/>
    </row>
    <row r="52453" spans="7:16" s="1634" customFormat="1">
      <c r="G52453" s="3336"/>
      <c r="P52453" s="3337"/>
    </row>
    <row r="52454" spans="7:16" s="1634" customFormat="1">
      <c r="G52454" s="3336"/>
      <c r="P52454" s="3337"/>
    </row>
    <row r="52455" spans="7:16" s="1634" customFormat="1">
      <c r="G52455" s="3336"/>
      <c r="P52455" s="3337"/>
    </row>
    <row r="52456" spans="7:16" s="1634" customFormat="1">
      <c r="G52456" s="3336"/>
      <c r="P52456" s="3337"/>
    </row>
    <row r="52457" spans="7:16" s="1634" customFormat="1">
      <c r="G52457" s="3336"/>
      <c r="P52457" s="3337"/>
    </row>
    <row r="52458" spans="7:16" s="1634" customFormat="1">
      <c r="G52458" s="3336"/>
      <c r="P52458" s="3337"/>
    </row>
    <row r="52459" spans="7:16" s="1634" customFormat="1">
      <c r="G52459" s="3336"/>
      <c r="P52459" s="3337"/>
    </row>
    <row r="52460" spans="7:16" s="1634" customFormat="1">
      <c r="G52460" s="3336"/>
      <c r="P52460" s="3337"/>
    </row>
    <row r="52461" spans="7:16" s="1634" customFormat="1">
      <c r="G52461" s="3336"/>
      <c r="P52461" s="3337"/>
    </row>
    <row r="52462" spans="7:16" s="1634" customFormat="1">
      <c r="G52462" s="3336"/>
      <c r="P52462" s="3337"/>
    </row>
    <row r="52463" spans="7:16" s="1634" customFormat="1">
      <c r="G52463" s="3336"/>
      <c r="P52463" s="3337"/>
    </row>
    <row r="52464" spans="7:16" s="1634" customFormat="1">
      <c r="G52464" s="3336"/>
      <c r="P52464" s="3337"/>
    </row>
    <row r="52465" spans="7:16" s="1634" customFormat="1">
      <c r="G52465" s="3336"/>
      <c r="P52465" s="3337"/>
    </row>
    <row r="52466" spans="7:16" s="1634" customFormat="1">
      <c r="G52466" s="3336"/>
      <c r="P52466" s="3337"/>
    </row>
    <row r="52467" spans="7:16" s="1634" customFormat="1">
      <c r="G52467" s="3336"/>
      <c r="P52467" s="3337"/>
    </row>
    <row r="52468" spans="7:16" s="1634" customFormat="1">
      <c r="G52468" s="3336"/>
      <c r="P52468" s="3337"/>
    </row>
    <row r="52469" spans="7:16" s="1634" customFormat="1">
      <c r="G52469" s="3336"/>
      <c r="P52469" s="3337"/>
    </row>
    <row r="52470" spans="7:16" s="1634" customFormat="1">
      <c r="G52470" s="3336"/>
      <c r="P52470" s="3337"/>
    </row>
    <row r="52471" spans="7:16" s="1634" customFormat="1">
      <c r="G52471" s="3336"/>
      <c r="P52471" s="3337"/>
    </row>
    <row r="52472" spans="7:16" s="1634" customFormat="1">
      <c r="G52472" s="3336"/>
      <c r="P52472" s="3337"/>
    </row>
    <row r="52473" spans="7:16" s="1634" customFormat="1">
      <c r="G52473" s="3336"/>
      <c r="P52473" s="3337"/>
    </row>
    <row r="52474" spans="7:16" s="1634" customFormat="1">
      <c r="G52474" s="3336"/>
      <c r="P52474" s="3337"/>
    </row>
    <row r="52475" spans="7:16" s="1634" customFormat="1">
      <c r="G52475" s="3336"/>
      <c r="P52475" s="3337"/>
    </row>
    <row r="52476" spans="7:16" s="1634" customFormat="1">
      <c r="G52476" s="3336"/>
      <c r="P52476" s="3337"/>
    </row>
    <row r="52477" spans="7:16" s="1634" customFormat="1">
      <c r="G52477" s="3336"/>
      <c r="P52477" s="3337"/>
    </row>
    <row r="52478" spans="7:16" s="1634" customFormat="1">
      <c r="G52478" s="3336"/>
      <c r="P52478" s="3337"/>
    </row>
    <row r="52479" spans="7:16" s="1634" customFormat="1">
      <c r="G52479" s="3336"/>
      <c r="P52479" s="3337"/>
    </row>
    <row r="52480" spans="7:16" s="1634" customFormat="1">
      <c r="G52480" s="3336"/>
      <c r="P52480" s="3337"/>
    </row>
    <row r="52481" spans="7:16" s="1634" customFormat="1">
      <c r="G52481" s="3336"/>
      <c r="P52481" s="3337"/>
    </row>
    <row r="52482" spans="7:16" s="1634" customFormat="1">
      <c r="G52482" s="3336"/>
      <c r="P52482" s="3337"/>
    </row>
    <row r="52483" spans="7:16" s="1634" customFormat="1">
      <c r="G52483" s="3336"/>
      <c r="P52483" s="3337"/>
    </row>
    <row r="52484" spans="7:16" s="1634" customFormat="1">
      <c r="G52484" s="3336"/>
      <c r="P52484" s="3337"/>
    </row>
    <row r="52485" spans="7:16" s="1634" customFormat="1">
      <c r="G52485" s="3336"/>
      <c r="P52485" s="3337"/>
    </row>
    <row r="52486" spans="7:16" s="1634" customFormat="1">
      <c r="G52486" s="3336"/>
      <c r="P52486" s="3337"/>
    </row>
    <row r="52487" spans="7:16" s="1634" customFormat="1">
      <c r="G52487" s="3336"/>
      <c r="P52487" s="3337"/>
    </row>
    <row r="52488" spans="7:16" s="1634" customFormat="1">
      <c r="G52488" s="3336"/>
      <c r="P52488" s="3337"/>
    </row>
    <row r="52489" spans="7:16" s="1634" customFormat="1">
      <c r="G52489" s="3336"/>
      <c r="P52489" s="3337"/>
    </row>
    <row r="52490" spans="7:16" s="1634" customFormat="1">
      <c r="G52490" s="3336"/>
      <c r="P52490" s="3337"/>
    </row>
    <row r="52491" spans="7:16" s="1634" customFormat="1">
      <c r="G52491" s="3336"/>
      <c r="P52491" s="3337"/>
    </row>
    <row r="52492" spans="7:16" s="1634" customFormat="1">
      <c r="G52492" s="3336"/>
      <c r="P52492" s="3337"/>
    </row>
    <row r="52493" spans="7:16" s="1634" customFormat="1">
      <c r="G52493" s="3336"/>
      <c r="P52493" s="3337"/>
    </row>
    <row r="52494" spans="7:16" s="1634" customFormat="1">
      <c r="G52494" s="3336"/>
      <c r="P52494" s="3337"/>
    </row>
    <row r="52495" spans="7:16" s="1634" customFormat="1">
      <c r="G52495" s="3336"/>
      <c r="P52495" s="3337"/>
    </row>
    <row r="52496" spans="7:16" s="1634" customFormat="1">
      <c r="G52496" s="3336"/>
      <c r="P52496" s="3337"/>
    </row>
    <row r="52497" spans="7:16" s="1634" customFormat="1">
      <c r="G52497" s="3336"/>
      <c r="P52497" s="3337"/>
    </row>
    <row r="52498" spans="7:16" s="1634" customFormat="1">
      <c r="G52498" s="3336"/>
      <c r="P52498" s="3337"/>
    </row>
    <row r="52499" spans="7:16" s="1634" customFormat="1">
      <c r="G52499" s="3336"/>
      <c r="P52499" s="3337"/>
    </row>
    <row r="52500" spans="7:16" s="1634" customFormat="1">
      <c r="G52500" s="3336"/>
      <c r="P52500" s="3337"/>
    </row>
    <row r="52501" spans="7:16" s="1634" customFormat="1">
      <c r="G52501" s="3336"/>
      <c r="P52501" s="3337"/>
    </row>
    <row r="52502" spans="7:16" s="1634" customFormat="1">
      <c r="G52502" s="3336"/>
      <c r="P52502" s="3337"/>
    </row>
    <row r="52503" spans="7:16" s="1634" customFormat="1">
      <c r="G52503" s="3336"/>
      <c r="P52503" s="3337"/>
    </row>
    <row r="52504" spans="7:16" s="1634" customFormat="1">
      <c r="G52504" s="3336"/>
      <c r="P52504" s="3337"/>
    </row>
    <row r="52505" spans="7:16" s="1634" customFormat="1">
      <c r="G52505" s="3336"/>
      <c r="P52505" s="3337"/>
    </row>
    <row r="52506" spans="7:16" s="1634" customFormat="1">
      <c r="G52506" s="3336"/>
      <c r="P52506" s="3337"/>
    </row>
    <row r="52507" spans="7:16" s="1634" customFormat="1">
      <c r="G52507" s="3336"/>
      <c r="P52507" s="3337"/>
    </row>
    <row r="52508" spans="7:16" s="1634" customFormat="1">
      <c r="G52508" s="3336"/>
      <c r="P52508" s="3337"/>
    </row>
    <row r="52509" spans="7:16" s="1634" customFormat="1">
      <c r="G52509" s="3336"/>
      <c r="P52509" s="3337"/>
    </row>
    <row r="52510" spans="7:16" s="1634" customFormat="1">
      <c r="G52510" s="3336"/>
      <c r="P52510" s="3337"/>
    </row>
    <row r="52511" spans="7:16" s="1634" customFormat="1">
      <c r="G52511" s="3336"/>
      <c r="P52511" s="3337"/>
    </row>
    <row r="52512" spans="7:16" s="1634" customFormat="1">
      <c r="G52512" s="3336"/>
      <c r="P52512" s="3337"/>
    </row>
    <row r="52513" spans="7:16" s="1634" customFormat="1">
      <c r="G52513" s="3336"/>
      <c r="P52513" s="3337"/>
    </row>
    <row r="52514" spans="7:16" s="1634" customFormat="1">
      <c r="G52514" s="3336"/>
      <c r="P52514" s="3337"/>
    </row>
    <row r="52515" spans="7:16" s="1634" customFormat="1">
      <c r="G52515" s="3336"/>
      <c r="P52515" s="3337"/>
    </row>
    <row r="52516" spans="7:16" s="1634" customFormat="1">
      <c r="G52516" s="3336"/>
      <c r="P52516" s="3337"/>
    </row>
    <row r="52517" spans="7:16" s="1634" customFormat="1">
      <c r="G52517" s="3336"/>
      <c r="P52517" s="3337"/>
    </row>
    <row r="52518" spans="7:16" s="1634" customFormat="1">
      <c r="G52518" s="3336"/>
      <c r="P52518" s="3337"/>
    </row>
    <row r="52519" spans="7:16" s="1634" customFormat="1">
      <c r="G52519" s="3336"/>
      <c r="P52519" s="3337"/>
    </row>
    <row r="52520" spans="7:16" s="1634" customFormat="1">
      <c r="G52520" s="3336"/>
      <c r="P52520" s="3337"/>
    </row>
    <row r="52521" spans="7:16" s="1634" customFormat="1">
      <c r="G52521" s="3336"/>
      <c r="P52521" s="3337"/>
    </row>
    <row r="52522" spans="7:16" s="1634" customFormat="1">
      <c r="G52522" s="3336"/>
      <c r="P52522" s="3337"/>
    </row>
    <row r="52523" spans="7:16" s="1634" customFormat="1">
      <c r="G52523" s="3336"/>
      <c r="P52523" s="3337"/>
    </row>
    <row r="52524" spans="7:16" s="1634" customFormat="1">
      <c r="G52524" s="3336"/>
      <c r="P52524" s="3337"/>
    </row>
    <row r="52525" spans="7:16" s="1634" customFormat="1">
      <c r="G52525" s="3336"/>
      <c r="P52525" s="3337"/>
    </row>
    <row r="52526" spans="7:16" s="1634" customFormat="1">
      <c r="G52526" s="3336"/>
      <c r="P52526" s="3337"/>
    </row>
    <row r="52527" spans="7:16" s="1634" customFormat="1">
      <c r="G52527" s="3336"/>
      <c r="P52527" s="3337"/>
    </row>
    <row r="52528" spans="7:16" s="1634" customFormat="1">
      <c r="G52528" s="3336"/>
      <c r="P52528" s="3337"/>
    </row>
    <row r="52529" spans="7:16" s="1634" customFormat="1">
      <c r="G52529" s="3336"/>
      <c r="P52529" s="3337"/>
    </row>
    <row r="52530" spans="7:16" s="1634" customFormat="1">
      <c r="G52530" s="3336"/>
      <c r="P52530" s="3337"/>
    </row>
    <row r="52531" spans="7:16" s="1634" customFormat="1">
      <c r="G52531" s="3336"/>
      <c r="P52531" s="3337"/>
    </row>
    <row r="52532" spans="7:16" s="1634" customFormat="1">
      <c r="G52532" s="3336"/>
      <c r="P52532" s="3337"/>
    </row>
    <row r="52533" spans="7:16" s="1634" customFormat="1">
      <c r="G52533" s="3336"/>
      <c r="P52533" s="3337"/>
    </row>
    <row r="52534" spans="7:16" s="1634" customFormat="1">
      <c r="G52534" s="3336"/>
      <c r="P52534" s="3337"/>
    </row>
    <row r="52535" spans="7:16" s="1634" customFormat="1">
      <c r="G52535" s="3336"/>
      <c r="P52535" s="3337"/>
    </row>
    <row r="52536" spans="7:16" s="1634" customFormat="1">
      <c r="G52536" s="3336"/>
      <c r="P52536" s="3337"/>
    </row>
    <row r="52537" spans="7:16" s="1634" customFormat="1">
      <c r="G52537" s="3336"/>
      <c r="P52537" s="3337"/>
    </row>
    <row r="52538" spans="7:16" s="1634" customFormat="1">
      <c r="G52538" s="3336"/>
      <c r="P52538" s="3337"/>
    </row>
    <row r="52539" spans="7:16" s="1634" customFormat="1">
      <c r="G52539" s="3336"/>
      <c r="P52539" s="3337"/>
    </row>
    <row r="52540" spans="7:16" s="1634" customFormat="1">
      <c r="G52540" s="3336"/>
      <c r="P52540" s="3337"/>
    </row>
    <row r="52541" spans="7:16" s="1634" customFormat="1">
      <c r="G52541" s="3336"/>
      <c r="P52541" s="3337"/>
    </row>
    <row r="52542" spans="7:16" s="1634" customFormat="1">
      <c r="G52542" s="3336"/>
      <c r="P52542" s="3337"/>
    </row>
    <row r="52543" spans="7:16" s="1634" customFormat="1">
      <c r="G52543" s="3336"/>
      <c r="P52543" s="3337"/>
    </row>
    <row r="52544" spans="7:16" s="1634" customFormat="1">
      <c r="G52544" s="3336"/>
      <c r="P52544" s="3337"/>
    </row>
    <row r="52545" spans="7:16" s="1634" customFormat="1">
      <c r="G52545" s="3336"/>
      <c r="P52545" s="3337"/>
    </row>
    <row r="52546" spans="7:16" s="1634" customFormat="1">
      <c r="G52546" s="3336"/>
      <c r="P52546" s="3337"/>
    </row>
    <row r="52547" spans="7:16" s="1634" customFormat="1">
      <c r="G52547" s="3336"/>
      <c r="P52547" s="3337"/>
    </row>
    <row r="52548" spans="7:16" s="1634" customFormat="1">
      <c r="G52548" s="3336"/>
      <c r="P52548" s="3337"/>
    </row>
    <row r="52549" spans="7:16" s="1634" customFormat="1">
      <c r="G52549" s="3336"/>
      <c r="P52549" s="3337"/>
    </row>
    <row r="52550" spans="7:16" s="1634" customFormat="1">
      <c r="G52550" s="3336"/>
      <c r="P52550" s="3337"/>
    </row>
    <row r="52551" spans="7:16" s="1634" customFormat="1">
      <c r="G52551" s="3336"/>
      <c r="P52551" s="3337"/>
    </row>
    <row r="52552" spans="7:16" s="1634" customFormat="1">
      <c r="G52552" s="3336"/>
      <c r="P52552" s="3337"/>
    </row>
    <row r="52553" spans="7:16" s="1634" customFormat="1">
      <c r="G52553" s="3336"/>
      <c r="P52553" s="3337"/>
    </row>
    <row r="52554" spans="7:16" s="1634" customFormat="1">
      <c r="G52554" s="3336"/>
      <c r="P52554" s="3337"/>
    </row>
    <row r="52555" spans="7:16" s="1634" customFormat="1">
      <c r="G52555" s="3336"/>
      <c r="P52555" s="3337"/>
    </row>
    <row r="52556" spans="7:16" s="1634" customFormat="1">
      <c r="G52556" s="3336"/>
      <c r="P52556" s="3337"/>
    </row>
    <row r="52557" spans="7:16" s="1634" customFormat="1">
      <c r="G52557" s="3336"/>
      <c r="P52557" s="3337"/>
    </row>
    <row r="52558" spans="7:16" s="1634" customFormat="1">
      <c r="G52558" s="3336"/>
      <c r="P52558" s="3337"/>
    </row>
    <row r="52559" spans="7:16" s="1634" customFormat="1">
      <c r="G52559" s="3336"/>
      <c r="P52559" s="3337"/>
    </row>
    <row r="52560" spans="7:16" s="1634" customFormat="1">
      <c r="G52560" s="3336"/>
      <c r="P52560" s="3337"/>
    </row>
    <row r="52561" spans="7:16" s="1634" customFormat="1">
      <c r="G52561" s="3336"/>
      <c r="P52561" s="3337"/>
    </row>
    <row r="52562" spans="7:16" s="1634" customFormat="1">
      <c r="G52562" s="3336"/>
      <c r="P52562" s="3337"/>
    </row>
    <row r="52563" spans="7:16" s="1634" customFormat="1">
      <c r="G52563" s="3336"/>
      <c r="P52563" s="3337"/>
    </row>
    <row r="52564" spans="7:16" s="1634" customFormat="1">
      <c r="G52564" s="3336"/>
      <c r="P52564" s="3337"/>
    </row>
    <row r="52565" spans="7:16" s="1634" customFormat="1">
      <c r="G52565" s="3336"/>
      <c r="P52565" s="3337"/>
    </row>
    <row r="52566" spans="7:16" s="1634" customFormat="1">
      <c r="G52566" s="3336"/>
      <c r="P52566" s="3337"/>
    </row>
    <row r="52567" spans="7:16" s="1634" customFormat="1">
      <c r="G52567" s="3336"/>
      <c r="P52567" s="3337"/>
    </row>
    <row r="52568" spans="7:16" s="1634" customFormat="1">
      <c r="G52568" s="3336"/>
      <c r="P52568" s="3337"/>
    </row>
    <row r="52569" spans="7:16" s="1634" customFormat="1">
      <c r="G52569" s="3336"/>
      <c r="P52569" s="3337"/>
    </row>
    <row r="52570" spans="7:16" s="1634" customFormat="1">
      <c r="G52570" s="3336"/>
      <c r="P52570" s="3337"/>
    </row>
    <row r="52571" spans="7:16" s="1634" customFormat="1">
      <c r="G52571" s="3336"/>
      <c r="P52571" s="3337"/>
    </row>
    <row r="52572" spans="7:16" s="1634" customFormat="1">
      <c r="G52572" s="3336"/>
      <c r="P52572" s="3337"/>
    </row>
    <row r="52573" spans="7:16" s="1634" customFormat="1">
      <c r="G52573" s="3336"/>
      <c r="P52573" s="3337"/>
    </row>
    <row r="52574" spans="7:16" s="1634" customFormat="1">
      <c r="G52574" s="3336"/>
      <c r="P52574" s="3337"/>
    </row>
    <row r="52575" spans="7:16" s="1634" customFormat="1">
      <c r="G52575" s="3336"/>
      <c r="P52575" s="3337"/>
    </row>
    <row r="52576" spans="7:16" s="1634" customFormat="1">
      <c r="G52576" s="3336"/>
      <c r="P52576" s="3337"/>
    </row>
    <row r="52577" spans="7:16" s="1634" customFormat="1">
      <c r="G52577" s="3336"/>
      <c r="P52577" s="3337"/>
    </row>
    <row r="52578" spans="7:16" s="1634" customFormat="1">
      <c r="G52578" s="3336"/>
      <c r="P52578" s="3337"/>
    </row>
    <row r="52579" spans="7:16" s="1634" customFormat="1">
      <c r="G52579" s="3336"/>
      <c r="P52579" s="3337"/>
    </row>
    <row r="52580" spans="7:16" s="1634" customFormat="1">
      <c r="G52580" s="3336"/>
      <c r="P52580" s="3337"/>
    </row>
    <row r="52581" spans="7:16" s="1634" customFormat="1">
      <c r="G52581" s="3336"/>
      <c r="P52581" s="3337"/>
    </row>
    <row r="52582" spans="7:16" s="1634" customFormat="1">
      <c r="G52582" s="3336"/>
      <c r="P52582" s="3337"/>
    </row>
    <row r="52583" spans="7:16" s="1634" customFormat="1">
      <c r="G52583" s="3336"/>
      <c r="P52583" s="3337"/>
    </row>
    <row r="52584" spans="7:16" s="1634" customFormat="1">
      <c r="G52584" s="3336"/>
      <c r="P52584" s="3337"/>
    </row>
    <row r="52585" spans="7:16" s="1634" customFormat="1">
      <c r="G52585" s="3336"/>
      <c r="P52585" s="3337"/>
    </row>
    <row r="52586" spans="7:16" s="1634" customFormat="1">
      <c r="G52586" s="3336"/>
      <c r="P52586" s="3337"/>
    </row>
    <row r="52587" spans="7:16" s="1634" customFormat="1">
      <c r="G52587" s="3336"/>
      <c r="P52587" s="3337"/>
    </row>
    <row r="52588" spans="7:16" s="1634" customFormat="1">
      <c r="G52588" s="3336"/>
      <c r="P52588" s="3337"/>
    </row>
    <row r="52589" spans="7:16" s="1634" customFormat="1">
      <c r="G52589" s="3336"/>
      <c r="P52589" s="3337"/>
    </row>
    <row r="52590" spans="7:16" s="1634" customFormat="1">
      <c r="G52590" s="3336"/>
      <c r="P52590" s="3337"/>
    </row>
    <row r="52591" spans="7:16" s="1634" customFormat="1">
      <c r="G52591" s="3336"/>
      <c r="P52591" s="3337"/>
    </row>
    <row r="52592" spans="7:16" s="1634" customFormat="1">
      <c r="G52592" s="3336"/>
      <c r="P52592" s="3337"/>
    </row>
    <row r="52593" spans="7:16" s="1634" customFormat="1">
      <c r="G52593" s="3336"/>
      <c r="P52593" s="3337"/>
    </row>
    <row r="52594" spans="7:16" s="1634" customFormat="1">
      <c r="G52594" s="3336"/>
      <c r="P52594" s="3337"/>
    </row>
    <row r="52595" spans="7:16" s="1634" customFormat="1">
      <c r="G52595" s="3336"/>
      <c r="P52595" s="3337"/>
    </row>
    <row r="52596" spans="7:16" s="1634" customFormat="1">
      <c r="G52596" s="3336"/>
      <c r="P52596" s="3337"/>
    </row>
    <row r="52597" spans="7:16" s="1634" customFormat="1">
      <c r="G52597" s="3336"/>
      <c r="P52597" s="3337"/>
    </row>
    <row r="52598" spans="7:16" s="1634" customFormat="1">
      <c r="G52598" s="3336"/>
      <c r="P52598" s="3337"/>
    </row>
    <row r="52599" spans="7:16" s="1634" customFormat="1">
      <c r="G52599" s="3336"/>
      <c r="P52599" s="3337"/>
    </row>
    <row r="52600" spans="7:16" s="1634" customFormat="1">
      <c r="G52600" s="3336"/>
      <c r="P52600" s="3337"/>
    </row>
    <row r="52601" spans="7:16" s="1634" customFormat="1">
      <c r="G52601" s="3336"/>
      <c r="P52601" s="3337"/>
    </row>
    <row r="52602" spans="7:16" s="1634" customFormat="1">
      <c r="G52602" s="3336"/>
      <c r="P52602" s="3337"/>
    </row>
    <row r="52603" spans="7:16" s="1634" customFormat="1">
      <c r="G52603" s="3336"/>
      <c r="P52603" s="3337"/>
    </row>
    <row r="52604" spans="7:16" s="1634" customFormat="1">
      <c r="G52604" s="3336"/>
      <c r="P52604" s="3337"/>
    </row>
    <row r="52605" spans="7:16" s="1634" customFormat="1">
      <c r="G52605" s="3336"/>
      <c r="P52605" s="3337"/>
    </row>
    <row r="52606" spans="7:16" s="1634" customFormat="1">
      <c r="G52606" s="3336"/>
      <c r="P52606" s="3337"/>
    </row>
    <row r="52607" spans="7:16" s="1634" customFormat="1">
      <c r="G52607" s="3336"/>
      <c r="P52607" s="3337"/>
    </row>
    <row r="52608" spans="7:16" s="1634" customFormat="1">
      <c r="G52608" s="3336"/>
      <c r="P52608" s="3337"/>
    </row>
    <row r="52609" spans="7:16" s="1634" customFormat="1">
      <c r="G52609" s="3336"/>
      <c r="P52609" s="3337"/>
    </row>
    <row r="52610" spans="7:16" s="1634" customFormat="1">
      <c r="G52610" s="3336"/>
      <c r="P52610" s="3337"/>
    </row>
    <row r="52611" spans="7:16" s="1634" customFormat="1">
      <c r="G52611" s="3336"/>
      <c r="P52611" s="3337"/>
    </row>
    <row r="52612" spans="7:16" s="1634" customFormat="1">
      <c r="G52612" s="3336"/>
      <c r="P52612" s="3337"/>
    </row>
    <row r="52613" spans="7:16" s="1634" customFormat="1">
      <c r="G52613" s="3336"/>
      <c r="P52613" s="3337"/>
    </row>
    <row r="52614" spans="7:16" s="1634" customFormat="1">
      <c r="G52614" s="3336"/>
      <c r="P52614" s="3337"/>
    </row>
    <row r="52615" spans="7:16" s="1634" customFormat="1">
      <c r="G52615" s="3336"/>
      <c r="P52615" s="3337"/>
    </row>
    <row r="52616" spans="7:16" s="1634" customFormat="1">
      <c r="G52616" s="3336"/>
      <c r="P52616" s="3337"/>
    </row>
    <row r="52617" spans="7:16" s="1634" customFormat="1">
      <c r="G52617" s="3336"/>
      <c r="P52617" s="3337"/>
    </row>
    <row r="52618" spans="7:16" s="1634" customFormat="1">
      <c r="G52618" s="3336"/>
      <c r="P52618" s="3337"/>
    </row>
    <row r="52619" spans="7:16" s="1634" customFormat="1">
      <c r="G52619" s="3336"/>
      <c r="P52619" s="3337"/>
    </row>
    <row r="52620" spans="7:16" s="1634" customFormat="1">
      <c r="G52620" s="3336"/>
      <c r="P52620" s="3337"/>
    </row>
    <row r="52621" spans="7:16" s="1634" customFormat="1">
      <c r="G52621" s="3336"/>
      <c r="P52621" s="3337"/>
    </row>
    <row r="52622" spans="7:16" s="1634" customFormat="1">
      <c r="G52622" s="3336"/>
      <c r="P52622" s="3337"/>
    </row>
    <row r="52623" spans="7:16" s="1634" customFormat="1">
      <c r="G52623" s="3336"/>
      <c r="P52623" s="3337"/>
    </row>
    <row r="52624" spans="7:16" s="1634" customFormat="1">
      <c r="G52624" s="3336"/>
      <c r="P52624" s="3337"/>
    </row>
    <row r="52625" spans="7:16" s="1634" customFormat="1">
      <c r="G52625" s="3336"/>
      <c r="P52625" s="3337"/>
    </row>
    <row r="52626" spans="7:16" s="1634" customFormat="1">
      <c r="G52626" s="3336"/>
      <c r="P52626" s="3337"/>
    </row>
    <row r="52627" spans="7:16" s="1634" customFormat="1">
      <c r="G52627" s="3336"/>
      <c r="P52627" s="3337"/>
    </row>
    <row r="52628" spans="7:16" s="1634" customFormat="1">
      <c r="G52628" s="3336"/>
      <c r="P52628" s="3337"/>
    </row>
    <row r="52629" spans="7:16" s="1634" customFormat="1">
      <c r="G52629" s="3336"/>
      <c r="P52629" s="3337"/>
    </row>
    <row r="52630" spans="7:16" s="1634" customFormat="1">
      <c r="G52630" s="3336"/>
      <c r="P52630" s="3337"/>
    </row>
    <row r="52631" spans="7:16" s="1634" customFormat="1">
      <c r="G52631" s="3336"/>
      <c r="P52631" s="3337"/>
    </row>
    <row r="52632" spans="7:16" s="1634" customFormat="1">
      <c r="G52632" s="3336"/>
      <c r="P52632" s="3337"/>
    </row>
    <row r="52633" spans="7:16" s="1634" customFormat="1">
      <c r="G52633" s="3336"/>
      <c r="P52633" s="3337"/>
    </row>
    <row r="52634" spans="7:16" s="1634" customFormat="1">
      <c r="G52634" s="3336"/>
      <c r="P52634" s="3337"/>
    </row>
    <row r="52635" spans="7:16" s="1634" customFormat="1">
      <c r="G52635" s="3336"/>
      <c r="P52635" s="3337"/>
    </row>
    <row r="52636" spans="7:16" s="1634" customFormat="1">
      <c r="G52636" s="3336"/>
      <c r="P52636" s="3337"/>
    </row>
    <row r="52637" spans="7:16" s="1634" customFormat="1">
      <c r="G52637" s="3336"/>
      <c r="P52637" s="3337"/>
    </row>
    <row r="52638" spans="7:16" s="1634" customFormat="1">
      <c r="G52638" s="3336"/>
      <c r="P52638" s="3337"/>
    </row>
    <row r="52639" spans="7:16" s="1634" customFormat="1">
      <c r="G52639" s="3336"/>
      <c r="P52639" s="3337"/>
    </row>
    <row r="52640" spans="7:16" s="1634" customFormat="1">
      <c r="G52640" s="3336"/>
      <c r="P52640" s="3337"/>
    </row>
    <row r="52641" spans="7:16" s="1634" customFormat="1">
      <c r="G52641" s="3336"/>
      <c r="P52641" s="3337"/>
    </row>
    <row r="52642" spans="7:16" s="1634" customFormat="1">
      <c r="G52642" s="3336"/>
      <c r="P52642" s="3337"/>
    </row>
    <row r="52643" spans="7:16" s="1634" customFormat="1">
      <c r="G52643" s="3336"/>
      <c r="P52643" s="3337"/>
    </row>
    <row r="52644" spans="7:16" s="1634" customFormat="1">
      <c r="G52644" s="3336"/>
      <c r="P52644" s="3337"/>
    </row>
    <row r="52645" spans="7:16" s="1634" customFormat="1">
      <c r="G52645" s="3336"/>
      <c r="P52645" s="3337"/>
    </row>
    <row r="52646" spans="7:16" s="1634" customFormat="1">
      <c r="G52646" s="3336"/>
      <c r="P52646" s="3337"/>
    </row>
    <row r="52647" spans="7:16" s="1634" customFormat="1">
      <c r="G52647" s="3336"/>
      <c r="P52647" s="3337"/>
    </row>
    <row r="52648" spans="7:16" s="1634" customFormat="1">
      <c r="G52648" s="3336"/>
      <c r="P52648" s="3337"/>
    </row>
    <row r="52649" spans="7:16" s="1634" customFormat="1">
      <c r="G52649" s="3336"/>
      <c r="P52649" s="3337"/>
    </row>
    <row r="52650" spans="7:16" s="1634" customFormat="1">
      <c r="G52650" s="3336"/>
      <c r="P52650" s="3337"/>
    </row>
    <row r="52651" spans="7:16" s="1634" customFormat="1">
      <c r="G52651" s="3336"/>
      <c r="P52651" s="3337"/>
    </row>
    <row r="52652" spans="7:16" s="1634" customFormat="1">
      <c r="G52652" s="3336"/>
      <c r="P52652" s="3337"/>
    </row>
    <row r="52653" spans="7:16" s="1634" customFormat="1">
      <c r="G52653" s="3336"/>
      <c r="P52653" s="3337"/>
    </row>
    <row r="52654" spans="7:16" s="1634" customFormat="1">
      <c r="G52654" s="3336"/>
      <c r="P52654" s="3337"/>
    </row>
    <row r="52655" spans="7:16" s="1634" customFormat="1">
      <c r="G52655" s="3336"/>
      <c r="P52655" s="3337"/>
    </row>
    <row r="52656" spans="7:16" s="1634" customFormat="1">
      <c r="G52656" s="3336"/>
      <c r="P52656" s="3337"/>
    </row>
    <row r="52657" spans="7:16" s="1634" customFormat="1">
      <c r="G52657" s="3336"/>
      <c r="P52657" s="3337"/>
    </row>
    <row r="52658" spans="7:16" s="1634" customFormat="1">
      <c r="G52658" s="3336"/>
      <c r="P52658" s="3337"/>
    </row>
    <row r="52659" spans="7:16" s="1634" customFormat="1">
      <c r="G52659" s="3336"/>
      <c r="P52659" s="3337"/>
    </row>
    <row r="52660" spans="7:16" s="1634" customFormat="1">
      <c r="G52660" s="3336"/>
      <c r="P52660" s="3337"/>
    </row>
    <row r="52661" spans="7:16" s="1634" customFormat="1">
      <c r="G52661" s="3336"/>
      <c r="P52661" s="3337"/>
    </row>
    <row r="52662" spans="7:16" s="1634" customFormat="1">
      <c r="G52662" s="3336"/>
      <c r="P52662" s="3337"/>
    </row>
    <row r="52663" spans="7:16" s="1634" customFormat="1">
      <c r="G52663" s="3336"/>
      <c r="P52663" s="3337"/>
    </row>
    <row r="52664" spans="7:16" s="1634" customFormat="1">
      <c r="G52664" s="3336"/>
      <c r="P52664" s="3337"/>
    </row>
    <row r="52665" spans="7:16" s="1634" customFormat="1">
      <c r="G52665" s="3336"/>
      <c r="P52665" s="3337"/>
    </row>
    <row r="52666" spans="7:16" s="1634" customFormat="1">
      <c r="G52666" s="3336"/>
      <c r="P52666" s="3337"/>
    </row>
    <row r="52667" spans="7:16" s="1634" customFormat="1">
      <c r="G52667" s="3336"/>
      <c r="P52667" s="3337"/>
    </row>
    <row r="52668" spans="7:16" s="1634" customFormat="1">
      <c r="G52668" s="3336"/>
      <c r="P52668" s="3337"/>
    </row>
    <row r="52669" spans="7:16" s="1634" customFormat="1">
      <c r="G52669" s="3336"/>
      <c r="P52669" s="3337"/>
    </row>
    <row r="52670" spans="7:16" s="1634" customFormat="1">
      <c r="G52670" s="3336"/>
      <c r="P52670" s="3337"/>
    </row>
    <row r="52671" spans="7:16" s="1634" customFormat="1">
      <c r="G52671" s="3336"/>
      <c r="P52671" s="3337"/>
    </row>
    <row r="52672" spans="7:16" s="1634" customFormat="1">
      <c r="G52672" s="3336"/>
      <c r="P52672" s="3337"/>
    </row>
    <row r="52673" spans="7:16" s="1634" customFormat="1">
      <c r="G52673" s="3336"/>
      <c r="P52673" s="3337"/>
    </row>
    <row r="52674" spans="7:16" s="1634" customFormat="1">
      <c r="G52674" s="3336"/>
      <c r="P52674" s="3337"/>
    </row>
    <row r="52675" spans="7:16" s="1634" customFormat="1">
      <c r="G52675" s="3336"/>
      <c r="P52675" s="3337"/>
    </row>
    <row r="52676" spans="7:16" s="1634" customFormat="1">
      <c r="G52676" s="3336"/>
      <c r="P52676" s="3337"/>
    </row>
    <row r="52677" spans="7:16" s="1634" customFormat="1">
      <c r="G52677" s="3336"/>
      <c r="P52677" s="3337"/>
    </row>
    <row r="52678" spans="7:16" s="1634" customFormat="1">
      <c r="G52678" s="3336"/>
      <c r="P52678" s="3337"/>
    </row>
    <row r="52679" spans="7:16" s="1634" customFormat="1">
      <c r="G52679" s="3336"/>
      <c r="P52679" s="3337"/>
    </row>
    <row r="52680" spans="7:16" s="1634" customFormat="1">
      <c r="G52680" s="3336"/>
      <c r="P52680" s="3337"/>
    </row>
    <row r="52681" spans="7:16" s="1634" customFormat="1">
      <c r="G52681" s="3336"/>
      <c r="P52681" s="3337"/>
    </row>
    <row r="52682" spans="7:16" s="1634" customFormat="1">
      <c r="G52682" s="3336"/>
      <c r="P52682" s="3337"/>
    </row>
    <row r="52683" spans="7:16" s="1634" customFormat="1">
      <c r="G52683" s="3336"/>
      <c r="P52683" s="3337"/>
    </row>
    <row r="52684" spans="7:16" s="1634" customFormat="1">
      <c r="G52684" s="3336"/>
      <c r="P52684" s="3337"/>
    </row>
    <row r="52685" spans="7:16" s="1634" customFormat="1">
      <c r="G52685" s="3336"/>
      <c r="P52685" s="3337"/>
    </row>
    <row r="52686" spans="7:16" s="1634" customFormat="1">
      <c r="G52686" s="3336"/>
      <c r="P52686" s="3337"/>
    </row>
    <row r="52687" spans="7:16" s="1634" customFormat="1">
      <c r="G52687" s="3336"/>
      <c r="P52687" s="3337"/>
    </row>
    <row r="52688" spans="7:16" s="1634" customFormat="1">
      <c r="G52688" s="3336"/>
      <c r="P52688" s="3337"/>
    </row>
    <row r="52689" spans="7:16" s="1634" customFormat="1">
      <c r="G52689" s="3336"/>
      <c r="P52689" s="3337"/>
    </row>
    <row r="52690" spans="7:16" s="1634" customFormat="1">
      <c r="G52690" s="3336"/>
      <c r="P52690" s="3337"/>
    </row>
    <row r="52691" spans="7:16" s="1634" customFormat="1">
      <c r="G52691" s="3336"/>
      <c r="P52691" s="3337"/>
    </row>
    <row r="52692" spans="7:16" s="1634" customFormat="1">
      <c r="G52692" s="3336"/>
      <c r="P52692" s="3337"/>
    </row>
    <row r="52693" spans="7:16" s="1634" customFormat="1">
      <c r="G52693" s="3336"/>
      <c r="P52693" s="3337"/>
    </row>
    <row r="52694" spans="7:16" s="1634" customFormat="1">
      <c r="G52694" s="3336"/>
      <c r="P52694" s="3337"/>
    </row>
    <row r="52695" spans="7:16" s="1634" customFormat="1">
      <c r="G52695" s="3336"/>
      <c r="P52695" s="3337"/>
    </row>
    <row r="52696" spans="7:16" s="1634" customFormat="1">
      <c r="G52696" s="3336"/>
      <c r="P52696" s="3337"/>
    </row>
    <row r="52697" spans="7:16" s="1634" customFormat="1">
      <c r="G52697" s="3336"/>
      <c r="P52697" s="3337"/>
    </row>
    <row r="52698" spans="7:16" s="1634" customFormat="1">
      <c r="G52698" s="3336"/>
      <c r="P52698" s="3337"/>
    </row>
    <row r="52699" spans="7:16" s="1634" customFormat="1">
      <c r="G52699" s="3336"/>
      <c r="P52699" s="3337"/>
    </row>
    <row r="52700" spans="7:16" s="1634" customFormat="1">
      <c r="G52700" s="3336"/>
      <c r="P52700" s="3337"/>
    </row>
    <row r="52701" spans="7:16" s="1634" customFormat="1">
      <c r="G52701" s="3336"/>
      <c r="P52701" s="3337"/>
    </row>
    <row r="52702" spans="7:16" s="1634" customFormat="1">
      <c r="G52702" s="3336"/>
      <c r="P52702" s="3337"/>
    </row>
    <row r="52703" spans="7:16" s="1634" customFormat="1">
      <c r="G52703" s="3336"/>
      <c r="P52703" s="3337"/>
    </row>
    <row r="52704" spans="7:16" s="1634" customFormat="1">
      <c r="G52704" s="3336"/>
      <c r="P52704" s="3337"/>
    </row>
    <row r="52705" spans="7:16" s="1634" customFormat="1">
      <c r="G52705" s="3336"/>
      <c r="P52705" s="3337"/>
    </row>
    <row r="52706" spans="7:16" s="1634" customFormat="1">
      <c r="G52706" s="3336"/>
      <c r="P52706" s="3337"/>
    </row>
    <row r="52707" spans="7:16" s="1634" customFormat="1">
      <c r="G52707" s="3336"/>
      <c r="P52707" s="3337"/>
    </row>
    <row r="52708" spans="7:16" s="1634" customFormat="1">
      <c r="G52708" s="3336"/>
      <c r="P52708" s="3337"/>
    </row>
    <row r="52709" spans="7:16" s="1634" customFormat="1">
      <c r="G52709" s="3336"/>
      <c r="P52709" s="3337"/>
    </row>
    <row r="52710" spans="7:16" s="1634" customFormat="1">
      <c r="G52710" s="3336"/>
      <c r="P52710" s="3337"/>
    </row>
    <row r="52711" spans="7:16" s="1634" customFormat="1">
      <c r="G52711" s="3336"/>
      <c r="P52711" s="3337"/>
    </row>
    <row r="52712" spans="7:16" s="1634" customFormat="1">
      <c r="G52712" s="3336"/>
      <c r="P52712" s="3337"/>
    </row>
    <row r="52713" spans="7:16" s="1634" customFormat="1">
      <c r="G52713" s="3336"/>
      <c r="P52713" s="3337"/>
    </row>
    <row r="52714" spans="7:16" s="1634" customFormat="1">
      <c r="G52714" s="3336"/>
      <c r="P52714" s="3337"/>
    </row>
    <row r="52715" spans="7:16" s="1634" customFormat="1">
      <c r="G52715" s="3336"/>
      <c r="P52715" s="3337"/>
    </row>
    <row r="52716" spans="7:16" s="1634" customFormat="1">
      <c r="G52716" s="3336"/>
      <c r="P52716" s="3337"/>
    </row>
    <row r="52717" spans="7:16" s="1634" customFormat="1">
      <c r="G52717" s="3336"/>
      <c r="P52717" s="3337"/>
    </row>
    <row r="52718" spans="7:16" s="1634" customFormat="1">
      <c r="G52718" s="3336"/>
      <c r="P52718" s="3337"/>
    </row>
    <row r="52719" spans="7:16" s="1634" customFormat="1">
      <c r="G52719" s="3336"/>
      <c r="P52719" s="3337"/>
    </row>
    <row r="52720" spans="7:16" s="1634" customFormat="1">
      <c r="G52720" s="3336"/>
      <c r="P52720" s="3337"/>
    </row>
    <row r="52721" spans="7:16" s="1634" customFormat="1">
      <c r="G52721" s="3336"/>
      <c r="P52721" s="3337"/>
    </row>
    <row r="52722" spans="7:16" s="1634" customFormat="1">
      <c r="G52722" s="3336"/>
      <c r="P52722" s="3337"/>
    </row>
    <row r="52723" spans="7:16" s="1634" customFormat="1">
      <c r="G52723" s="3336"/>
      <c r="P52723" s="3337"/>
    </row>
    <row r="52724" spans="7:16" s="1634" customFormat="1">
      <c r="G52724" s="3336"/>
      <c r="P52724" s="3337"/>
    </row>
    <row r="52725" spans="7:16" s="1634" customFormat="1">
      <c r="G52725" s="3336"/>
      <c r="P52725" s="3337"/>
    </row>
    <row r="52726" spans="7:16" s="1634" customFormat="1">
      <c r="G52726" s="3336"/>
      <c r="P52726" s="3337"/>
    </row>
    <row r="52727" spans="7:16" s="1634" customFormat="1">
      <c r="G52727" s="3336"/>
      <c r="P52727" s="3337"/>
    </row>
    <row r="52728" spans="7:16" s="1634" customFormat="1">
      <c r="G52728" s="3336"/>
      <c r="P52728" s="3337"/>
    </row>
    <row r="52729" spans="7:16" s="1634" customFormat="1">
      <c r="G52729" s="3336"/>
      <c r="P52729" s="3337"/>
    </row>
    <row r="52730" spans="7:16" s="1634" customFormat="1">
      <c r="G52730" s="3336"/>
      <c r="P52730" s="3337"/>
    </row>
    <row r="52731" spans="7:16" s="1634" customFormat="1">
      <c r="G52731" s="3336"/>
      <c r="P52731" s="3337"/>
    </row>
    <row r="52732" spans="7:16" s="1634" customFormat="1">
      <c r="G52732" s="3336"/>
      <c r="P52732" s="3337"/>
    </row>
    <row r="52733" spans="7:16" s="1634" customFormat="1">
      <c r="G52733" s="3336"/>
      <c r="P52733" s="3337"/>
    </row>
    <row r="52734" spans="7:16" s="1634" customFormat="1">
      <c r="G52734" s="3336"/>
      <c r="P52734" s="3337"/>
    </row>
    <row r="52735" spans="7:16" s="1634" customFormat="1">
      <c r="G52735" s="3336"/>
      <c r="P52735" s="3337"/>
    </row>
    <row r="52736" spans="7:16" s="1634" customFormat="1">
      <c r="G52736" s="3336"/>
      <c r="P52736" s="3337"/>
    </row>
    <row r="52737" spans="7:16" s="1634" customFormat="1">
      <c r="G52737" s="3336"/>
      <c r="P52737" s="3337"/>
    </row>
    <row r="52738" spans="7:16" s="1634" customFormat="1">
      <c r="G52738" s="3336"/>
      <c r="P52738" s="3337"/>
    </row>
    <row r="52739" spans="7:16" s="1634" customFormat="1">
      <c r="G52739" s="3336"/>
      <c r="P52739" s="3337"/>
    </row>
    <row r="52740" spans="7:16" s="1634" customFormat="1">
      <c r="G52740" s="3336"/>
      <c r="P52740" s="3337"/>
    </row>
    <row r="52741" spans="7:16" s="1634" customFormat="1">
      <c r="G52741" s="3336"/>
      <c r="P52741" s="3337"/>
    </row>
    <row r="52742" spans="7:16" s="1634" customFormat="1">
      <c r="G52742" s="3336"/>
      <c r="P52742" s="3337"/>
    </row>
    <row r="52743" spans="7:16" s="1634" customFormat="1">
      <c r="G52743" s="3336"/>
      <c r="P52743" s="3337"/>
    </row>
    <row r="52744" spans="7:16" s="1634" customFormat="1">
      <c r="G52744" s="3336"/>
      <c r="P52744" s="3337"/>
    </row>
    <row r="52745" spans="7:16" s="1634" customFormat="1">
      <c r="G52745" s="3336"/>
      <c r="P52745" s="3337"/>
    </row>
    <row r="52746" spans="7:16" s="1634" customFormat="1">
      <c r="G52746" s="3336"/>
      <c r="P52746" s="3337"/>
    </row>
    <row r="52747" spans="7:16" s="1634" customFormat="1">
      <c r="G52747" s="3336"/>
      <c r="P52747" s="3337"/>
    </row>
    <row r="52748" spans="7:16" s="1634" customFormat="1">
      <c r="G52748" s="3336"/>
      <c r="P52748" s="3337"/>
    </row>
    <row r="52749" spans="7:16" s="1634" customFormat="1">
      <c r="G52749" s="3336"/>
      <c r="P52749" s="3337"/>
    </row>
    <row r="52750" spans="7:16" s="1634" customFormat="1">
      <c r="G52750" s="3336"/>
      <c r="P52750" s="3337"/>
    </row>
    <row r="52751" spans="7:16" s="1634" customFormat="1">
      <c r="G52751" s="3336"/>
      <c r="P52751" s="3337"/>
    </row>
    <row r="52752" spans="7:16" s="1634" customFormat="1">
      <c r="G52752" s="3336"/>
      <c r="P52752" s="3337"/>
    </row>
    <row r="52753" spans="7:16" s="1634" customFormat="1">
      <c r="G52753" s="3336"/>
      <c r="P52753" s="3337"/>
    </row>
    <row r="52754" spans="7:16" s="1634" customFormat="1">
      <c r="G52754" s="3336"/>
      <c r="P52754" s="3337"/>
    </row>
    <row r="52755" spans="7:16" s="1634" customFormat="1">
      <c r="G52755" s="3336"/>
      <c r="P52755" s="3337"/>
    </row>
    <row r="52756" spans="7:16" s="1634" customFormat="1">
      <c r="G52756" s="3336"/>
      <c r="P52756" s="3337"/>
    </row>
    <row r="52757" spans="7:16" s="1634" customFormat="1">
      <c r="G52757" s="3336"/>
      <c r="P52757" s="3337"/>
    </row>
    <row r="52758" spans="7:16" s="1634" customFormat="1">
      <c r="G52758" s="3336"/>
      <c r="P52758" s="3337"/>
    </row>
    <row r="52759" spans="7:16" s="1634" customFormat="1">
      <c r="G52759" s="3336"/>
      <c r="P52759" s="3337"/>
    </row>
    <row r="52760" spans="7:16" s="1634" customFormat="1">
      <c r="G52760" s="3336"/>
      <c r="P52760" s="3337"/>
    </row>
    <row r="52761" spans="7:16" s="1634" customFormat="1">
      <c r="G52761" s="3336"/>
      <c r="P52761" s="3337"/>
    </row>
    <row r="52762" spans="7:16" s="1634" customFormat="1">
      <c r="G52762" s="3336"/>
      <c r="P52762" s="3337"/>
    </row>
    <row r="52763" spans="7:16" s="1634" customFormat="1">
      <c r="G52763" s="3336"/>
      <c r="P52763" s="3337"/>
    </row>
    <row r="52764" spans="7:16" s="1634" customFormat="1">
      <c r="G52764" s="3336"/>
      <c r="P52764" s="3337"/>
    </row>
    <row r="52765" spans="7:16" s="1634" customFormat="1">
      <c r="G52765" s="3336"/>
      <c r="P52765" s="3337"/>
    </row>
    <row r="52766" spans="7:16" s="1634" customFormat="1">
      <c r="G52766" s="3336"/>
      <c r="P52766" s="3337"/>
    </row>
    <row r="52767" spans="7:16" s="1634" customFormat="1">
      <c r="G52767" s="3336"/>
      <c r="P52767" s="3337"/>
    </row>
    <row r="52768" spans="7:16" s="1634" customFormat="1">
      <c r="G52768" s="3336"/>
      <c r="P52768" s="3337"/>
    </row>
    <row r="52769" spans="7:16" s="1634" customFormat="1">
      <c r="G52769" s="3336"/>
      <c r="P52769" s="3337"/>
    </row>
    <row r="52770" spans="7:16" s="1634" customFormat="1">
      <c r="G52770" s="3336"/>
      <c r="P52770" s="3337"/>
    </row>
    <row r="52771" spans="7:16" s="1634" customFormat="1">
      <c r="G52771" s="3336"/>
      <c r="P52771" s="3337"/>
    </row>
    <row r="52772" spans="7:16" s="1634" customFormat="1">
      <c r="G52772" s="3336"/>
      <c r="P52772" s="3337"/>
    </row>
    <row r="52773" spans="7:16" s="1634" customFormat="1">
      <c r="G52773" s="3336"/>
      <c r="P52773" s="3337"/>
    </row>
    <row r="52774" spans="7:16" s="1634" customFormat="1">
      <c r="G52774" s="3336"/>
      <c r="P52774" s="3337"/>
    </row>
    <row r="52775" spans="7:16" s="1634" customFormat="1">
      <c r="G52775" s="3336"/>
      <c r="P52775" s="3337"/>
    </row>
    <row r="52776" spans="7:16" s="1634" customFormat="1">
      <c r="G52776" s="3336"/>
      <c r="P52776" s="3337"/>
    </row>
    <row r="52777" spans="7:16" s="1634" customFormat="1">
      <c r="G52777" s="3336"/>
      <c r="P52777" s="3337"/>
    </row>
    <row r="52778" spans="7:16" s="1634" customFormat="1">
      <c r="G52778" s="3336"/>
      <c r="P52778" s="3337"/>
    </row>
    <row r="52779" spans="7:16" s="1634" customFormat="1">
      <c r="G52779" s="3336"/>
      <c r="P52779" s="3337"/>
    </row>
    <row r="52780" spans="7:16" s="1634" customFormat="1">
      <c r="G52780" s="3336"/>
      <c r="P52780" s="3337"/>
    </row>
    <row r="52781" spans="7:16" s="1634" customFormat="1">
      <c r="G52781" s="3336"/>
      <c r="P52781" s="3337"/>
    </row>
    <row r="52782" spans="7:16" s="1634" customFormat="1">
      <c r="G52782" s="3336"/>
      <c r="P52782" s="3337"/>
    </row>
    <row r="52783" spans="7:16" s="1634" customFormat="1">
      <c r="G52783" s="3336"/>
      <c r="P52783" s="3337"/>
    </row>
    <row r="52784" spans="7:16" s="1634" customFormat="1">
      <c r="G52784" s="3336"/>
      <c r="P52784" s="3337"/>
    </row>
    <row r="52785" spans="7:16" s="1634" customFormat="1">
      <c r="G52785" s="3336"/>
      <c r="P52785" s="3337"/>
    </row>
    <row r="52786" spans="7:16" s="1634" customFormat="1">
      <c r="G52786" s="3336"/>
      <c r="P52786" s="3337"/>
    </row>
    <row r="52787" spans="7:16" s="1634" customFormat="1">
      <c r="G52787" s="3336"/>
      <c r="P52787" s="3337"/>
    </row>
    <row r="52788" spans="7:16" s="1634" customFormat="1">
      <c r="G52788" s="3336"/>
      <c r="P52788" s="3337"/>
    </row>
    <row r="52789" spans="7:16" s="1634" customFormat="1">
      <c r="G52789" s="3336"/>
      <c r="P52789" s="3337"/>
    </row>
    <row r="52790" spans="7:16" s="1634" customFormat="1">
      <c r="G52790" s="3336"/>
      <c r="P52790" s="3337"/>
    </row>
    <row r="52791" spans="7:16" s="1634" customFormat="1">
      <c r="G52791" s="3336"/>
      <c r="P52791" s="3337"/>
    </row>
    <row r="52792" spans="7:16" s="1634" customFormat="1">
      <c r="G52792" s="3336"/>
      <c r="P52792" s="3337"/>
    </row>
    <row r="52793" spans="7:16" s="1634" customFormat="1">
      <c r="G52793" s="3336"/>
      <c r="P52793" s="3337"/>
    </row>
    <row r="52794" spans="7:16" s="1634" customFormat="1">
      <c r="G52794" s="3336"/>
      <c r="P52794" s="3337"/>
    </row>
    <row r="52795" spans="7:16" s="1634" customFormat="1">
      <c r="G52795" s="3336"/>
      <c r="P52795" s="3337"/>
    </row>
    <row r="52796" spans="7:16" s="1634" customFormat="1">
      <c r="G52796" s="3336"/>
      <c r="P52796" s="3337"/>
    </row>
    <row r="52797" spans="7:16" s="1634" customFormat="1">
      <c r="G52797" s="3336"/>
      <c r="P52797" s="3337"/>
    </row>
    <row r="52798" spans="7:16" s="1634" customFormat="1">
      <c r="G52798" s="3336"/>
      <c r="P52798" s="3337"/>
    </row>
    <row r="52799" spans="7:16" s="1634" customFormat="1">
      <c r="G52799" s="3336"/>
      <c r="P52799" s="3337"/>
    </row>
    <row r="52800" spans="7:16" s="1634" customFormat="1">
      <c r="G52800" s="3336"/>
      <c r="P52800" s="3337"/>
    </row>
    <row r="52801" spans="7:16" s="1634" customFormat="1">
      <c r="G52801" s="3336"/>
      <c r="P52801" s="3337"/>
    </row>
    <row r="52802" spans="7:16" s="1634" customFormat="1">
      <c r="G52802" s="3336"/>
      <c r="P52802" s="3337"/>
    </row>
    <row r="52803" spans="7:16" s="1634" customFormat="1">
      <c r="G52803" s="3336"/>
      <c r="P52803" s="3337"/>
    </row>
    <row r="52804" spans="7:16" s="1634" customFormat="1">
      <c r="G52804" s="3336"/>
      <c r="P52804" s="3337"/>
    </row>
    <row r="52805" spans="7:16" s="1634" customFormat="1">
      <c r="G52805" s="3336"/>
      <c r="P52805" s="3337"/>
    </row>
    <row r="52806" spans="7:16" s="1634" customFormat="1">
      <c r="G52806" s="3336"/>
      <c r="P52806" s="3337"/>
    </row>
    <row r="52807" spans="7:16" s="1634" customFormat="1">
      <c r="G52807" s="3336"/>
      <c r="P52807" s="3337"/>
    </row>
    <row r="52808" spans="7:16" s="1634" customFormat="1">
      <c r="G52808" s="3336"/>
      <c r="P52808" s="3337"/>
    </row>
    <row r="52809" spans="7:16" s="1634" customFormat="1">
      <c r="G52809" s="3336"/>
      <c r="P52809" s="3337"/>
    </row>
    <row r="52810" spans="7:16" s="1634" customFormat="1">
      <c r="G52810" s="3336"/>
      <c r="P52810" s="3337"/>
    </row>
    <row r="52811" spans="7:16" s="1634" customFormat="1">
      <c r="G52811" s="3336"/>
      <c r="P52811" s="3337"/>
    </row>
    <row r="52812" spans="7:16" s="1634" customFormat="1">
      <c r="G52812" s="3336"/>
      <c r="P52812" s="3337"/>
    </row>
    <row r="52813" spans="7:16" s="1634" customFormat="1">
      <c r="G52813" s="3336"/>
      <c r="P52813" s="3337"/>
    </row>
    <row r="52814" spans="7:16" s="1634" customFormat="1">
      <c r="G52814" s="3336"/>
      <c r="P52814" s="3337"/>
    </row>
    <row r="52815" spans="7:16" s="1634" customFormat="1">
      <c r="G52815" s="3336"/>
      <c r="P52815" s="3337"/>
    </row>
    <row r="52816" spans="7:16" s="1634" customFormat="1">
      <c r="G52816" s="3336"/>
      <c r="P52816" s="3337"/>
    </row>
    <row r="52817" spans="7:16" s="1634" customFormat="1">
      <c r="G52817" s="3336"/>
      <c r="P52817" s="3337"/>
    </row>
    <row r="52818" spans="7:16" s="1634" customFormat="1">
      <c r="G52818" s="3336"/>
      <c r="P52818" s="3337"/>
    </row>
    <row r="52819" spans="7:16" s="1634" customFormat="1">
      <c r="G52819" s="3336"/>
      <c r="P52819" s="3337"/>
    </row>
    <row r="52820" spans="7:16" s="1634" customFormat="1">
      <c r="G52820" s="3336"/>
      <c r="P52820" s="3337"/>
    </row>
    <row r="52821" spans="7:16" s="1634" customFormat="1">
      <c r="G52821" s="3336"/>
      <c r="P52821" s="3337"/>
    </row>
    <row r="52822" spans="7:16" s="1634" customFormat="1">
      <c r="G52822" s="3336"/>
      <c r="P52822" s="3337"/>
    </row>
    <row r="52823" spans="7:16" s="1634" customFormat="1">
      <c r="G52823" s="3336"/>
      <c r="P52823" s="3337"/>
    </row>
    <row r="52824" spans="7:16" s="1634" customFormat="1">
      <c r="G52824" s="3336"/>
      <c r="P52824" s="3337"/>
    </row>
    <row r="52825" spans="7:16" s="1634" customFormat="1">
      <c r="G52825" s="3336"/>
      <c r="P52825" s="3337"/>
    </row>
    <row r="52826" spans="7:16" s="1634" customFormat="1">
      <c r="G52826" s="3336"/>
      <c r="P52826" s="3337"/>
    </row>
    <row r="52827" spans="7:16" s="1634" customFormat="1">
      <c r="G52827" s="3336"/>
      <c r="P52827" s="3337"/>
    </row>
    <row r="52828" spans="7:16" s="1634" customFormat="1">
      <c r="G52828" s="3336"/>
      <c r="P52828" s="3337"/>
    </row>
    <row r="52829" spans="7:16" s="1634" customFormat="1">
      <c r="G52829" s="3336"/>
      <c r="P52829" s="3337"/>
    </row>
    <row r="52830" spans="7:16" s="1634" customFormat="1">
      <c r="G52830" s="3336"/>
      <c r="P52830" s="3337"/>
    </row>
    <row r="52831" spans="7:16" s="1634" customFormat="1">
      <c r="G52831" s="3336"/>
      <c r="P52831" s="3337"/>
    </row>
    <row r="52832" spans="7:16" s="1634" customFormat="1">
      <c r="G52832" s="3336"/>
      <c r="P52832" s="3337"/>
    </row>
    <row r="52833" spans="7:16" s="1634" customFormat="1">
      <c r="G52833" s="3336"/>
      <c r="P52833" s="3337"/>
    </row>
    <row r="52834" spans="7:16" s="1634" customFormat="1">
      <c r="G52834" s="3336"/>
      <c r="P52834" s="3337"/>
    </row>
    <row r="52835" spans="7:16" s="1634" customFormat="1">
      <c r="G52835" s="3336"/>
      <c r="P52835" s="3337"/>
    </row>
    <row r="52836" spans="7:16" s="1634" customFormat="1">
      <c r="G52836" s="3336"/>
      <c r="P52836" s="3337"/>
    </row>
    <row r="52837" spans="7:16" s="1634" customFormat="1">
      <c r="G52837" s="3336"/>
      <c r="P52837" s="3337"/>
    </row>
    <row r="52838" spans="7:16" s="1634" customFormat="1">
      <c r="G52838" s="3336"/>
      <c r="P52838" s="3337"/>
    </row>
    <row r="52839" spans="7:16" s="1634" customFormat="1">
      <c r="G52839" s="3336"/>
      <c r="P52839" s="3337"/>
    </row>
    <row r="52840" spans="7:16" s="1634" customFormat="1">
      <c r="G52840" s="3336"/>
      <c r="P52840" s="3337"/>
    </row>
    <row r="52841" spans="7:16" s="1634" customFormat="1">
      <c r="G52841" s="3336"/>
      <c r="P52841" s="3337"/>
    </row>
    <row r="52842" spans="7:16" s="1634" customFormat="1">
      <c r="G52842" s="3336"/>
      <c r="P52842" s="3337"/>
    </row>
    <row r="52843" spans="7:16" s="1634" customFormat="1">
      <c r="G52843" s="3336"/>
      <c r="P52843" s="3337"/>
    </row>
    <row r="52844" spans="7:16" s="1634" customFormat="1">
      <c r="G52844" s="3336"/>
      <c r="P52844" s="3337"/>
    </row>
    <row r="52845" spans="7:16" s="1634" customFormat="1">
      <c r="G52845" s="3336"/>
      <c r="P52845" s="3337"/>
    </row>
    <row r="52846" spans="7:16" s="1634" customFormat="1">
      <c r="G52846" s="3336"/>
      <c r="P52846" s="3337"/>
    </row>
    <row r="52847" spans="7:16" s="1634" customFormat="1">
      <c r="G52847" s="3336"/>
      <c r="P52847" s="3337"/>
    </row>
    <row r="52848" spans="7:16" s="1634" customFormat="1">
      <c r="G52848" s="3336"/>
      <c r="P52848" s="3337"/>
    </row>
    <row r="52849" spans="7:16" s="1634" customFormat="1">
      <c r="G52849" s="3336"/>
      <c r="P52849" s="3337"/>
    </row>
    <row r="52850" spans="7:16" s="1634" customFormat="1">
      <c r="G52850" s="3336"/>
      <c r="P52850" s="3337"/>
    </row>
    <row r="52851" spans="7:16" s="1634" customFormat="1">
      <c r="G52851" s="3336"/>
      <c r="P52851" s="3337"/>
    </row>
    <row r="52852" spans="7:16" s="1634" customFormat="1">
      <c r="G52852" s="3336"/>
      <c r="P52852" s="3337"/>
    </row>
    <row r="52853" spans="7:16" s="1634" customFormat="1">
      <c r="G52853" s="3336"/>
      <c r="P52853" s="3337"/>
    </row>
    <row r="52854" spans="7:16" s="1634" customFormat="1">
      <c r="G52854" s="3336"/>
      <c r="P52854" s="3337"/>
    </row>
    <row r="52855" spans="7:16" s="1634" customFormat="1">
      <c r="G52855" s="3336"/>
      <c r="P52855" s="3337"/>
    </row>
    <row r="52856" spans="7:16" s="1634" customFormat="1">
      <c r="G52856" s="3336"/>
      <c r="P52856" s="3337"/>
    </row>
    <row r="52857" spans="7:16" s="1634" customFormat="1">
      <c r="G52857" s="3336"/>
      <c r="P52857" s="3337"/>
    </row>
    <row r="52858" spans="7:16" s="1634" customFormat="1">
      <c r="G52858" s="3336"/>
      <c r="P52858" s="3337"/>
    </row>
    <row r="52859" spans="7:16" s="1634" customFormat="1">
      <c r="G52859" s="3336"/>
      <c r="P52859" s="3337"/>
    </row>
    <row r="52860" spans="7:16" s="1634" customFormat="1">
      <c r="G52860" s="3336"/>
      <c r="P52860" s="3337"/>
    </row>
    <row r="52861" spans="7:16" s="1634" customFormat="1">
      <c r="G52861" s="3336"/>
      <c r="P52861" s="3337"/>
    </row>
    <row r="52862" spans="7:16" s="1634" customFormat="1">
      <c r="G52862" s="3336"/>
      <c r="P52862" s="3337"/>
    </row>
    <row r="52863" spans="7:16" s="1634" customFormat="1">
      <c r="G52863" s="3336"/>
      <c r="P52863" s="3337"/>
    </row>
    <row r="52864" spans="7:16" s="1634" customFormat="1">
      <c r="G52864" s="3336"/>
      <c r="P52864" s="3337"/>
    </row>
    <row r="52865" spans="7:16" s="1634" customFormat="1">
      <c r="G52865" s="3336"/>
      <c r="P52865" s="3337"/>
    </row>
    <row r="52866" spans="7:16" s="1634" customFormat="1">
      <c r="G52866" s="3336"/>
      <c r="P52866" s="3337"/>
    </row>
    <row r="52867" spans="7:16" s="1634" customFormat="1">
      <c r="G52867" s="3336"/>
      <c r="P52867" s="3337"/>
    </row>
    <row r="52868" spans="7:16" s="1634" customFormat="1">
      <c r="G52868" s="3336"/>
      <c r="P52868" s="3337"/>
    </row>
    <row r="52869" spans="7:16" s="1634" customFormat="1">
      <c r="G52869" s="3336"/>
      <c r="P52869" s="3337"/>
    </row>
    <row r="52870" spans="7:16" s="1634" customFormat="1">
      <c r="G52870" s="3336"/>
      <c r="P52870" s="3337"/>
    </row>
    <row r="52871" spans="7:16" s="1634" customFormat="1">
      <c r="G52871" s="3336"/>
      <c r="P52871" s="3337"/>
    </row>
    <row r="52872" spans="7:16" s="1634" customFormat="1">
      <c r="G52872" s="3336"/>
      <c r="P52872" s="3337"/>
    </row>
    <row r="52873" spans="7:16" s="1634" customFormat="1">
      <c r="G52873" s="3336"/>
      <c r="P52873" s="3337"/>
    </row>
    <row r="52874" spans="7:16" s="1634" customFormat="1">
      <c r="G52874" s="3336"/>
      <c r="P52874" s="3337"/>
    </row>
    <row r="52875" spans="7:16" s="1634" customFormat="1">
      <c r="G52875" s="3336"/>
      <c r="P52875" s="3337"/>
    </row>
    <row r="52876" spans="7:16" s="1634" customFormat="1">
      <c r="G52876" s="3336"/>
      <c r="P52876" s="3337"/>
    </row>
    <row r="52877" spans="7:16" s="1634" customFormat="1">
      <c r="G52877" s="3336"/>
      <c r="P52877" s="3337"/>
    </row>
    <row r="52878" spans="7:16" s="1634" customFormat="1">
      <c r="G52878" s="3336"/>
      <c r="P52878" s="3337"/>
    </row>
    <row r="52879" spans="7:16" s="1634" customFormat="1">
      <c r="G52879" s="3336"/>
      <c r="P52879" s="3337"/>
    </row>
    <row r="52880" spans="7:16" s="1634" customFormat="1">
      <c r="G52880" s="3336"/>
      <c r="P52880" s="3337"/>
    </row>
    <row r="52881" spans="7:16" s="1634" customFormat="1">
      <c r="G52881" s="3336"/>
      <c r="P52881" s="3337"/>
    </row>
    <row r="52882" spans="7:16" s="1634" customFormat="1">
      <c r="G52882" s="3336"/>
      <c r="P52882" s="3337"/>
    </row>
    <row r="52883" spans="7:16" s="1634" customFormat="1">
      <c r="G52883" s="3336"/>
      <c r="P52883" s="3337"/>
    </row>
    <row r="52884" spans="7:16" s="1634" customFormat="1">
      <c r="G52884" s="3336"/>
      <c r="P52884" s="3337"/>
    </row>
    <row r="52885" spans="7:16" s="1634" customFormat="1">
      <c r="G52885" s="3336"/>
      <c r="P52885" s="3337"/>
    </row>
    <row r="52886" spans="7:16" s="1634" customFormat="1">
      <c r="G52886" s="3336"/>
      <c r="P52886" s="3337"/>
    </row>
    <row r="52887" spans="7:16" s="1634" customFormat="1">
      <c r="G52887" s="3336"/>
      <c r="P52887" s="3337"/>
    </row>
    <row r="52888" spans="7:16" s="1634" customFormat="1">
      <c r="G52888" s="3336"/>
      <c r="P52888" s="3337"/>
    </row>
    <row r="52889" spans="7:16" s="1634" customFormat="1">
      <c r="G52889" s="3336"/>
      <c r="P52889" s="3337"/>
    </row>
    <row r="52890" spans="7:16" s="1634" customFormat="1">
      <c r="G52890" s="3336"/>
      <c r="P52890" s="3337"/>
    </row>
    <row r="52891" spans="7:16" s="1634" customFormat="1">
      <c r="G52891" s="3336"/>
      <c r="P52891" s="3337"/>
    </row>
    <row r="52892" spans="7:16" s="1634" customFormat="1">
      <c r="G52892" s="3336"/>
      <c r="P52892" s="3337"/>
    </row>
    <row r="52893" spans="7:16" s="1634" customFormat="1">
      <c r="G52893" s="3336"/>
      <c r="P52893" s="3337"/>
    </row>
    <row r="52894" spans="7:16" s="1634" customFormat="1">
      <c r="G52894" s="3336"/>
      <c r="P52894" s="3337"/>
    </row>
    <row r="52895" spans="7:16" s="1634" customFormat="1">
      <c r="G52895" s="3336"/>
      <c r="P52895" s="3337"/>
    </row>
    <row r="52896" spans="7:16" s="1634" customFormat="1">
      <c r="G52896" s="3336"/>
      <c r="P52896" s="3337"/>
    </row>
    <row r="52897" spans="7:16" s="1634" customFormat="1">
      <c r="G52897" s="3336"/>
      <c r="P52897" s="3337"/>
    </row>
    <row r="52898" spans="7:16" s="1634" customFormat="1">
      <c r="G52898" s="3336"/>
      <c r="P52898" s="3337"/>
    </row>
    <row r="52899" spans="7:16" s="1634" customFormat="1">
      <c r="G52899" s="3336"/>
      <c r="P52899" s="3337"/>
    </row>
    <row r="52900" spans="7:16" s="1634" customFormat="1">
      <c r="G52900" s="3336"/>
      <c r="P52900" s="3337"/>
    </row>
    <row r="52901" spans="7:16" s="1634" customFormat="1">
      <c r="G52901" s="3336"/>
      <c r="P52901" s="3337"/>
    </row>
    <row r="52902" spans="7:16" s="1634" customFormat="1">
      <c r="G52902" s="3336"/>
      <c r="P52902" s="3337"/>
    </row>
    <row r="52903" spans="7:16" s="1634" customFormat="1">
      <c r="G52903" s="3336"/>
      <c r="P52903" s="3337"/>
    </row>
    <row r="52904" spans="7:16" s="1634" customFormat="1">
      <c r="G52904" s="3336"/>
      <c r="P52904" s="3337"/>
    </row>
    <row r="52905" spans="7:16" s="1634" customFormat="1">
      <c r="G52905" s="3336"/>
      <c r="P52905" s="3337"/>
    </row>
    <row r="52906" spans="7:16" s="1634" customFormat="1">
      <c r="G52906" s="3336"/>
      <c r="P52906" s="3337"/>
    </row>
    <row r="52907" spans="7:16" s="1634" customFormat="1">
      <c r="G52907" s="3336"/>
      <c r="P52907" s="3337"/>
    </row>
    <row r="52908" spans="7:16" s="1634" customFormat="1">
      <c r="G52908" s="3336"/>
      <c r="P52908" s="3337"/>
    </row>
    <row r="52909" spans="7:16" s="1634" customFormat="1">
      <c r="G52909" s="3336"/>
      <c r="P52909" s="3337"/>
    </row>
    <row r="52910" spans="7:16" s="1634" customFormat="1">
      <c r="G52910" s="3336"/>
      <c r="P52910" s="3337"/>
    </row>
    <row r="52911" spans="7:16" s="1634" customFormat="1">
      <c r="G52911" s="3336"/>
      <c r="P52911" s="3337"/>
    </row>
    <row r="52912" spans="7:16" s="1634" customFormat="1">
      <c r="G52912" s="3336"/>
      <c r="P52912" s="3337"/>
    </row>
    <row r="52913" spans="7:16" s="1634" customFormat="1">
      <c r="G52913" s="3336"/>
      <c r="P52913" s="3337"/>
    </row>
    <row r="52914" spans="7:16" s="1634" customFormat="1">
      <c r="G52914" s="3336"/>
      <c r="P52914" s="3337"/>
    </row>
    <row r="52915" spans="7:16" s="1634" customFormat="1">
      <c r="G52915" s="3336"/>
      <c r="P52915" s="3337"/>
    </row>
    <row r="52916" spans="7:16" s="1634" customFormat="1">
      <c r="G52916" s="3336"/>
      <c r="P52916" s="3337"/>
    </row>
    <row r="52917" spans="7:16" s="1634" customFormat="1">
      <c r="G52917" s="3336"/>
      <c r="P52917" s="3337"/>
    </row>
    <row r="52918" spans="7:16" s="1634" customFormat="1">
      <c r="G52918" s="3336"/>
      <c r="P52918" s="3337"/>
    </row>
    <row r="52919" spans="7:16" s="1634" customFormat="1">
      <c r="G52919" s="3336"/>
      <c r="P52919" s="3337"/>
    </row>
    <row r="52920" spans="7:16" s="1634" customFormat="1">
      <c r="G52920" s="3336"/>
      <c r="P52920" s="3337"/>
    </row>
    <row r="52921" spans="7:16" s="1634" customFormat="1">
      <c r="G52921" s="3336"/>
      <c r="P52921" s="3337"/>
    </row>
    <row r="52922" spans="7:16" s="1634" customFormat="1">
      <c r="G52922" s="3336"/>
      <c r="P52922" s="3337"/>
    </row>
    <row r="52923" spans="7:16" s="1634" customFormat="1">
      <c r="G52923" s="3336"/>
      <c r="P52923" s="3337"/>
    </row>
    <row r="52924" spans="7:16" s="1634" customFormat="1">
      <c r="G52924" s="3336"/>
      <c r="P52924" s="3337"/>
    </row>
    <row r="52925" spans="7:16" s="1634" customFormat="1">
      <c r="G52925" s="3336"/>
      <c r="P52925" s="3337"/>
    </row>
    <row r="52926" spans="7:16" s="1634" customFormat="1">
      <c r="G52926" s="3336"/>
      <c r="P52926" s="3337"/>
    </row>
    <row r="52927" spans="7:16" s="1634" customFormat="1">
      <c r="G52927" s="3336"/>
      <c r="P52927" s="3337"/>
    </row>
    <row r="52928" spans="7:16" s="1634" customFormat="1">
      <c r="G52928" s="3336"/>
      <c r="P52928" s="3337"/>
    </row>
    <row r="52929" spans="7:16" s="1634" customFormat="1">
      <c r="G52929" s="3336"/>
      <c r="P52929" s="3337"/>
    </row>
    <row r="52930" spans="7:16" s="1634" customFormat="1">
      <c r="G52930" s="3336"/>
      <c r="P52930" s="3337"/>
    </row>
    <row r="52931" spans="7:16" s="1634" customFormat="1">
      <c r="G52931" s="3336"/>
      <c r="P52931" s="3337"/>
    </row>
    <row r="52932" spans="7:16" s="1634" customFormat="1">
      <c r="G52932" s="3336"/>
      <c r="P52932" s="3337"/>
    </row>
    <row r="52933" spans="7:16" s="1634" customFormat="1">
      <c r="G52933" s="3336"/>
      <c r="P52933" s="3337"/>
    </row>
    <row r="52934" spans="7:16" s="1634" customFormat="1">
      <c r="G52934" s="3336"/>
      <c r="P52934" s="3337"/>
    </row>
    <row r="52935" spans="7:16" s="1634" customFormat="1">
      <c r="G52935" s="3336"/>
      <c r="P52935" s="3337"/>
    </row>
    <row r="52936" spans="7:16" s="1634" customFormat="1">
      <c r="G52936" s="3336"/>
      <c r="P52936" s="3337"/>
    </row>
    <row r="52937" spans="7:16" s="1634" customFormat="1">
      <c r="G52937" s="3336"/>
      <c r="P52937" s="3337"/>
    </row>
    <row r="52938" spans="7:16" s="1634" customFormat="1">
      <c r="G52938" s="3336"/>
      <c r="P52938" s="3337"/>
    </row>
    <row r="52939" spans="7:16" s="1634" customFormat="1">
      <c r="G52939" s="3336"/>
      <c r="P52939" s="3337"/>
    </row>
    <row r="52940" spans="7:16" s="1634" customFormat="1">
      <c r="G52940" s="3336"/>
      <c r="P52940" s="3337"/>
    </row>
    <row r="52941" spans="7:16" s="1634" customFormat="1">
      <c r="G52941" s="3336"/>
      <c r="P52941" s="3337"/>
    </row>
    <row r="52942" spans="7:16" s="1634" customFormat="1">
      <c r="G52942" s="3336"/>
      <c r="P52942" s="3337"/>
    </row>
    <row r="52943" spans="7:16" s="1634" customFormat="1">
      <c r="G52943" s="3336"/>
      <c r="P52943" s="3337"/>
    </row>
    <row r="52944" spans="7:16" s="1634" customFormat="1">
      <c r="G52944" s="3336"/>
      <c r="P52944" s="3337"/>
    </row>
    <row r="52945" spans="7:16" s="1634" customFormat="1">
      <c r="G52945" s="3336"/>
      <c r="P52945" s="3337"/>
    </row>
    <row r="52946" spans="7:16" s="1634" customFormat="1">
      <c r="G52946" s="3336"/>
      <c r="P52946" s="3337"/>
    </row>
    <row r="52947" spans="7:16" s="1634" customFormat="1">
      <c r="G52947" s="3336"/>
      <c r="P52947" s="3337"/>
    </row>
    <row r="52948" spans="7:16" s="1634" customFormat="1">
      <c r="G52948" s="3336"/>
      <c r="P52948" s="3337"/>
    </row>
    <row r="52949" spans="7:16" s="1634" customFormat="1">
      <c r="G52949" s="3336"/>
      <c r="P52949" s="3337"/>
    </row>
    <row r="52950" spans="7:16" s="1634" customFormat="1">
      <c r="G52950" s="3336"/>
      <c r="P52950" s="3337"/>
    </row>
    <row r="52951" spans="7:16" s="1634" customFormat="1">
      <c r="G52951" s="3336"/>
      <c r="P52951" s="3337"/>
    </row>
    <row r="52952" spans="7:16" s="1634" customFormat="1">
      <c r="G52952" s="3336"/>
      <c r="P52952" s="3337"/>
    </row>
    <row r="52953" spans="7:16" s="1634" customFormat="1">
      <c r="G52953" s="3336"/>
      <c r="P52953" s="3337"/>
    </row>
    <row r="52954" spans="7:16" s="1634" customFormat="1">
      <c r="G52954" s="3336"/>
      <c r="P52954" s="3337"/>
    </row>
    <row r="52955" spans="7:16" s="1634" customFormat="1">
      <c r="G52955" s="3336"/>
      <c r="P52955" s="3337"/>
    </row>
    <row r="52956" spans="7:16" s="1634" customFormat="1">
      <c r="G52956" s="3336"/>
      <c r="P52956" s="3337"/>
    </row>
    <row r="52957" spans="7:16" s="1634" customFormat="1">
      <c r="G52957" s="3336"/>
      <c r="P52957" s="3337"/>
    </row>
    <row r="52958" spans="7:16" s="1634" customFormat="1">
      <c r="G52958" s="3336"/>
      <c r="P52958" s="3337"/>
    </row>
    <row r="52959" spans="7:16" s="1634" customFormat="1">
      <c r="G52959" s="3336"/>
      <c r="P52959" s="3337"/>
    </row>
    <row r="52960" spans="7:16" s="1634" customFormat="1">
      <c r="G52960" s="3336"/>
      <c r="P52960" s="3337"/>
    </row>
    <row r="52961" spans="7:16" s="1634" customFormat="1">
      <c r="G52961" s="3336"/>
      <c r="P52961" s="3337"/>
    </row>
    <row r="52962" spans="7:16" s="1634" customFormat="1">
      <c r="G52962" s="3336"/>
      <c r="P52962" s="3337"/>
    </row>
    <row r="52963" spans="7:16" s="1634" customFormat="1">
      <c r="G52963" s="3336"/>
      <c r="P52963" s="3337"/>
    </row>
    <row r="52964" spans="7:16" s="1634" customFormat="1">
      <c r="G52964" s="3336"/>
      <c r="P52964" s="3337"/>
    </row>
    <row r="52965" spans="7:16" s="1634" customFormat="1">
      <c r="G52965" s="3336"/>
      <c r="P52965" s="3337"/>
    </row>
    <row r="52966" spans="7:16" s="1634" customFormat="1">
      <c r="G52966" s="3336"/>
      <c r="P52966" s="3337"/>
    </row>
    <row r="52967" spans="7:16" s="1634" customFormat="1">
      <c r="G52967" s="3336"/>
      <c r="P52967" s="3337"/>
    </row>
    <row r="52968" spans="7:16" s="1634" customFormat="1">
      <c r="G52968" s="3336"/>
      <c r="P52968" s="3337"/>
    </row>
    <row r="52969" spans="7:16" s="1634" customFormat="1">
      <c r="G52969" s="3336"/>
      <c r="P52969" s="3337"/>
    </row>
    <row r="52970" spans="7:16" s="1634" customFormat="1">
      <c r="G52970" s="3336"/>
      <c r="P52970" s="3337"/>
    </row>
    <row r="52971" spans="7:16" s="1634" customFormat="1">
      <c r="G52971" s="3336"/>
      <c r="P52971" s="3337"/>
    </row>
    <row r="52972" spans="7:16" s="1634" customFormat="1">
      <c r="G52972" s="3336"/>
      <c r="P52972" s="3337"/>
    </row>
    <row r="52973" spans="7:16" s="1634" customFormat="1">
      <c r="G52973" s="3336"/>
      <c r="P52973" s="3337"/>
    </row>
    <row r="52974" spans="7:16" s="1634" customFormat="1">
      <c r="G52974" s="3336"/>
      <c r="P52974" s="3337"/>
    </row>
    <row r="52975" spans="7:16" s="1634" customFormat="1">
      <c r="G52975" s="3336"/>
      <c r="P52975" s="3337"/>
    </row>
    <row r="52976" spans="7:16" s="1634" customFormat="1">
      <c r="G52976" s="3336"/>
      <c r="P52976" s="3337"/>
    </row>
    <row r="52977" spans="7:16" s="1634" customFormat="1">
      <c r="G52977" s="3336"/>
      <c r="P52977" s="3337"/>
    </row>
    <row r="52978" spans="7:16" s="1634" customFormat="1">
      <c r="G52978" s="3336"/>
      <c r="P52978" s="3337"/>
    </row>
    <row r="52979" spans="7:16" s="1634" customFormat="1">
      <c r="G52979" s="3336"/>
      <c r="P52979" s="3337"/>
    </row>
    <row r="52980" spans="7:16" s="1634" customFormat="1">
      <c r="G52980" s="3336"/>
      <c r="P52980" s="3337"/>
    </row>
    <row r="52981" spans="7:16" s="1634" customFormat="1">
      <c r="G52981" s="3336"/>
      <c r="P52981" s="3337"/>
    </row>
    <row r="52982" spans="7:16" s="1634" customFormat="1">
      <c r="G52982" s="3336"/>
      <c r="P52982" s="3337"/>
    </row>
    <row r="52983" spans="7:16" s="1634" customFormat="1">
      <c r="G52983" s="3336"/>
      <c r="P52983" s="3337"/>
    </row>
    <row r="52984" spans="7:16" s="1634" customFormat="1">
      <c r="G52984" s="3336"/>
      <c r="P52984" s="3337"/>
    </row>
    <row r="52985" spans="7:16" s="1634" customFormat="1">
      <c r="G52985" s="3336"/>
      <c r="P52985" s="3337"/>
    </row>
    <row r="52986" spans="7:16" s="1634" customFormat="1">
      <c r="G52986" s="3336"/>
      <c r="P52986" s="3337"/>
    </row>
    <row r="52987" spans="7:16" s="1634" customFormat="1">
      <c r="G52987" s="3336"/>
      <c r="P52987" s="3337"/>
    </row>
    <row r="52988" spans="7:16" s="1634" customFormat="1">
      <c r="G52988" s="3336"/>
      <c r="P52988" s="3337"/>
    </row>
    <row r="52989" spans="7:16" s="1634" customFormat="1">
      <c r="G52989" s="3336"/>
      <c r="P52989" s="3337"/>
    </row>
    <row r="52990" spans="7:16" s="1634" customFormat="1">
      <c r="G52990" s="3336"/>
      <c r="P52990" s="3337"/>
    </row>
    <row r="52991" spans="7:16" s="1634" customFormat="1">
      <c r="G52991" s="3336"/>
      <c r="P52991" s="3337"/>
    </row>
    <row r="52992" spans="7:16" s="1634" customFormat="1">
      <c r="G52992" s="3336"/>
      <c r="P52992" s="3337"/>
    </row>
    <row r="52993" spans="7:16" s="1634" customFormat="1">
      <c r="G52993" s="3336"/>
      <c r="P52993" s="3337"/>
    </row>
    <row r="52994" spans="7:16" s="1634" customFormat="1">
      <c r="G52994" s="3336"/>
      <c r="P52994" s="3337"/>
    </row>
    <row r="52995" spans="7:16" s="1634" customFormat="1">
      <c r="G52995" s="3336"/>
      <c r="P52995" s="3337"/>
    </row>
    <row r="52996" spans="7:16" s="1634" customFormat="1">
      <c r="G52996" s="3336"/>
      <c r="P52996" s="3337"/>
    </row>
    <row r="52997" spans="7:16" s="1634" customFormat="1">
      <c r="G52997" s="3336"/>
      <c r="P52997" s="3337"/>
    </row>
    <row r="52998" spans="7:16" s="1634" customFormat="1">
      <c r="G52998" s="3336"/>
      <c r="P52998" s="3337"/>
    </row>
    <row r="52999" spans="7:16" s="1634" customFormat="1">
      <c r="G52999" s="3336"/>
      <c r="P52999" s="3337"/>
    </row>
    <row r="53000" spans="7:16" s="1634" customFormat="1">
      <c r="G53000" s="3336"/>
      <c r="P53000" s="3337"/>
    </row>
    <row r="53001" spans="7:16" s="1634" customFormat="1">
      <c r="G53001" s="3336"/>
      <c r="P53001" s="3337"/>
    </row>
    <row r="53002" spans="7:16" s="1634" customFormat="1">
      <c r="G53002" s="3336"/>
      <c r="P53002" s="3337"/>
    </row>
    <row r="53003" spans="7:16" s="1634" customFormat="1">
      <c r="G53003" s="3336"/>
      <c r="P53003" s="3337"/>
    </row>
    <row r="53004" spans="7:16" s="1634" customFormat="1">
      <c r="G53004" s="3336"/>
      <c r="P53004" s="3337"/>
    </row>
    <row r="53005" spans="7:16" s="1634" customFormat="1">
      <c r="G53005" s="3336"/>
      <c r="P53005" s="3337"/>
    </row>
    <row r="53006" spans="7:16" s="1634" customFormat="1">
      <c r="G53006" s="3336"/>
      <c r="P53006" s="3337"/>
    </row>
    <row r="53007" spans="7:16" s="1634" customFormat="1">
      <c r="G53007" s="3336"/>
      <c r="P53007" s="3337"/>
    </row>
    <row r="53008" spans="7:16" s="1634" customFormat="1">
      <c r="G53008" s="3336"/>
      <c r="P53008" s="3337"/>
    </row>
    <row r="53009" spans="7:16" s="1634" customFormat="1">
      <c r="G53009" s="3336"/>
      <c r="P53009" s="3337"/>
    </row>
    <row r="53010" spans="7:16" s="1634" customFormat="1">
      <c r="G53010" s="3336"/>
      <c r="P53010" s="3337"/>
    </row>
    <row r="53011" spans="7:16" s="1634" customFormat="1">
      <c r="G53011" s="3336"/>
      <c r="P53011" s="3337"/>
    </row>
    <row r="53012" spans="7:16" s="1634" customFormat="1">
      <c r="G53012" s="3336"/>
      <c r="P53012" s="3337"/>
    </row>
    <row r="53013" spans="7:16" s="1634" customFormat="1">
      <c r="G53013" s="3336"/>
      <c r="P53013" s="3337"/>
    </row>
    <row r="53014" spans="7:16" s="1634" customFormat="1">
      <c r="G53014" s="3336"/>
      <c r="P53014" s="3337"/>
    </row>
    <row r="53015" spans="7:16" s="1634" customFormat="1">
      <c r="G53015" s="3336"/>
      <c r="P53015" s="3337"/>
    </row>
    <row r="53016" spans="7:16" s="1634" customFormat="1">
      <c r="G53016" s="3336"/>
      <c r="P53016" s="3337"/>
    </row>
    <row r="53017" spans="7:16" s="1634" customFormat="1">
      <c r="G53017" s="3336"/>
      <c r="P53017" s="3337"/>
    </row>
    <row r="53018" spans="7:16" s="1634" customFormat="1">
      <c r="G53018" s="3336"/>
      <c r="P53018" s="3337"/>
    </row>
    <row r="53019" spans="7:16" s="1634" customFormat="1">
      <c r="G53019" s="3336"/>
      <c r="P53019" s="3337"/>
    </row>
    <row r="53020" spans="7:16" s="1634" customFormat="1">
      <c r="G53020" s="3336"/>
      <c r="P53020" s="3337"/>
    </row>
    <row r="53021" spans="7:16" s="1634" customFormat="1">
      <c r="G53021" s="3336"/>
      <c r="P53021" s="3337"/>
    </row>
    <row r="53022" spans="7:16" s="1634" customFormat="1">
      <c r="G53022" s="3336"/>
      <c r="P53022" s="3337"/>
    </row>
    <row r="53023" spans="7:16" s="1634" customFormat="1">
      <c r="G53023" s="3336"/>
      <c r="P53023" s="3337"/>
    </row>
    <row r="53024" spans="7:16" s="1634" customFormat="1">
      <c r="G53024" s="3336"/>
      <c r="P53024" s="3337"/>
    </row>
    <row r="53025" spans="7:16" s="1634" customFormat="1">
      <c r="G53025" s="3336"/>
      <c r="P53025" s="3337"/>
    </row>
    <row r="53026" spans="7:16" s="1634" customFormat="1">
      <c r="G53026" s="3336"/>
      <c r="P53026" s="3337"/>
    </row>
    <row r="53027" spans="7:16" s="1634" customFormat="1">
      <c r="G53027" s="3336"/>
      <c r="P53027" s="3337"/>
    </row>
    <row r="53028" spans="7:16" s="1634" customFormat="1">
      <c r="G53028" s="3336"/>
      <c r="P53028" s="3337"/>
    </row>
    <row r="53029" spans="7:16" s="1634" customFormat="1">
      <c r="G53029" s="3336"/>
      <c r="P53029" s="3337"/>
    </row>
    <row r="53030" spans="7:16" s="1634" customFormat="1">
      <c r="G53030" s="3336"/>
      <c r="P53030" s="3337"/>
    </row>
    <row r="53031" spans="7:16" s="1634" customFormat="1">
      <c r="G53031" s="3336"/>
      <c r="P53031" s="3337"/>
    </row>
    <row r="53032" spans="7:16" s="1634" customFormat="1">
      <c r="G53032" s="3336"/>
      <c r="P53032" s="3337"/>
    </row>
    <row r="53033" spans="7:16" s="1634" customFormat="1">
      <c r="G53033" s="3336"/>
      <c r="P53033" s="3337"/>
    </row>
    <row r="53034" spans="7:16" s="1634" customFormat="1">
      <c r="G53034" s="3336"/>
      <c r="P53034" s="3337"/>
    </row>
    <row r="53035" spans="7:16" s="1634" customFormat="1">
      <c r="G53035" s="3336"/>
      <c r="P53035" s="3337"/>
    </row>
    <row r="53036" spans="7:16" s="1634" customFormat="1">
      <c r="G53036" s="3336"/>
      <c r="P53036" s="3337"/>
    </row>
    <row r="53037" spans="7:16" s="1634" customFormat="1">
      <c r="G53037" s="3336"/>
      <c r="P53037" s="3337"/>
    </row>
    <row r="53038" spans="7:16" s="1634" customFormat="1">
      <c r="G53038" s="3336"/>
      <c r="P53038" s="3337"/>
    </row>
    <row r="53039" spans="7:16" s="1634" customFormat="1">
      <c r="G53039" s="3336"/>
      <c r="P53039" s="3337"/>
    </row>
    <row r="53040" spans="7:16" s="1634" customFormat="1">
      <c r="G53040" s="3336"/>
      <c r="P53040" s="3337"/>
    </row>
    <row r="53041" spans="7:16" s="1634" customFormat="1">
      <c r="G53041" s="3336"/>
      <c r="P53041" s="3337"/>
    </row>
    <row r="53042" spans="7:16" s="1634" customFormat="1">
      <c r="G53042" s="3336"/>
      <c r="P53042" s="3337"/>
    </row>
    <row r="53043" spans="7:16" s="1634" customFormat="1">
      <c r="G53043" s="3336"/>
      <c r="P53043" s="3337"/>
    </row>
    <row r="53044" spans="7:16" s="1634" customFormat="1">
      <c r="G53044" s="3336"/>
      <c r="P53044" s="3337"/>
    </row>
    <row r="53045" spans="7:16" s="1634" customFormat="1">
      <c r="G53045" s="3336"/>
      <c r="P53045" s="3337"/>
    </row>
    <row r="53046" spans="7:16" s="1634" customFormat="1">
      <c r="G53046" s="3336"/>
      <c r="P53046" s="3337"/>
    </row>
    <row r="53047" spans="7:16" s="1634" customFormat="1">
      <c r="G53047" s="3336"/>
      <c r="P53047" s="3337"/>
    </row>
    <row r="53048" spans="7:16" s="1634" customFormat="1">
      <c r="G53048" s="3336"/>
      <c r="P53048" s="3337"/>
    </row>
    <row r="53049" spans="7:16" s="1634" customFormat="1">
      <c r="G53049" s="3336"/>
      <c r="P53049" s="3337"/>
    </row>
    <row r="53050" spans="7:16" s="1634" customFormat="1">
      <c r="G53050" s="3336"/>
      <c r="P53050" s="3337"/>
    </row>
    <row r="53051" spans="7:16" s="1634" customFormat="1">
      <c r="G53051" s="3336"/>
      <c r="P53051" s="3337"/>
    </row>
    <row r="53052" spans="7:16" s="1634" customFormat="1">
      <c r="G53052" s="3336"/>
      <c r="P53052" s="3337"/>
    </row>
    <row r="53053" spans="7:16" s="1634" customFormat="1">
      <c r="G53053" s="3336"/>
      <c r="P53053" s="3337"/>
    </row>
    <row r="53054" spans="7:16" s="1634" customFormat="1">
      <c r="G53054" s="3336"/>
      <c r="P53054" s="3337"/>
    </row>
    <row r="53055" spans="7:16" s="1634" customFormat="1">
      <c r="G53055" s="3336"/>
      <c r="P53055" s="3337"/>
    </row>
    <row r="53056" spans="7:16" s="1634" customFormat="1">
      <c r="G53056" s="3336"/>
      <c r="P53056" s="3337"/>
    </row>
    <row r="53057" spans="7:16" s="1634" customFormat="1">
      <c r="G53057" s="3336"/>
      <c r="P53057" s="3337"/>
    </row>
    <row r="53058" spans="7:16" s="1634" customFormat="1">
      <c r="G53058" s="3336"/>
      <c r="P53058" s="3337"/>
    </row>
    <row r="53059" spans="7:16" s="1634" customFormat="1">
      <c r="G53059" s="3336"/>
      <c r="P53059" s="3337"/>
    </row>
    <row r="53060" spans="7:16" s="1634" customFormat="1">
      <c r="G53060" s="3336"/>
      <c r="P53060" s="3337"/>
    </row>
    <row r="53061" spans="7:16" s="1634" customFormat="1">
      <c r="G53061" s="3336"/>
      <c r="P53061" s="3337"/>
    </row>
    <row r="53062" spans="7:16" s="1634" customFormat="1">
      <c r="G53062" s="3336"/>
      <c r="P53062" s="3337"/>
    </row>
    <row r="53063" spans="7:16" s="1634" customFormat="1">
      <c r="G53063" s="3336"/>
      <c r="P53063" s="3337"/>
    </row>
    <row r="53064" spans="7:16" s="1634" customFormat="1">
      <c r="G53064" s="3336"/>
      <c r="P53064" s="3337"/>
    </row>
    <row r="53065" spans="7:16" s="1634" customFormat="1">
      <c r="G53065" s="3336"/>
      <c r="P53065" s="3337"/>
    </row>
    <row r="53066" spans="7:16" s="1634" customFormat="1">
      <c r="G53066" s="3336"/>
      <c r="P53066" s="3337"/>
    </row>
    <row r="53067" spans="7:16" s="1634" customFormat="1">
      <c r="G53067" s="3336"/>
      <c r="P53067" s="3337"/>
    </row>
    <row r="53068" spans="7:16" s="1634" customFormat="1">
      <c r="G53068" s="3336"/>
      <c r="P53068" s="3337"/>
    </row>
    <row r="53069" spans="7:16" s="1634" customFormat="1">
      <c r="G53069" s="3336"/>
      <c r="P53069" s="3337"/>
    </row>
    <row r="53070" spans="7:16" s="1634" customFormat="1">
      <c r="G53070" s="3336"/>
      <c r="P53070" s="3337"/>
    </row>
    <row r="53071" spans="7:16" s="1634" customFormat="1">
      <c r="G53071" s="3336"/>
      <c r="P53071" s="3337"/>
    </row>
    <row r="53072" spans="7:16" s="1634" customFormat="1">
      <c r="G53072" s="3336"/>
      <c r="P53072" s="3337"/>
    </row>
    <row r="53073" spans="7:16" s="1634" customFormat="1">
      <c r="G53073" s="3336"/>
      <c r="P53073" s="3337"/>
    </row>
    <row r="53074" spans="7:16" s="1634" customFormat="1">
      <c r="G53074" s="3336"/>
      <c r="P53074" s="3337"/>
    </row>
    <row r="53075" spans="7:16" s="1634" customFormat="1">
      <c r="G53075" s="3336"/>
      <c r="P53075" s="3337"/>
    </row>
    <row r="53076" spans="7:16" s="1634" customFormat="1">
      <c r="G53076" s="3336"/>
      <c r="P53076" s="3337"/>
    </row>
    <row r="53077" spans="7:16" s="1634" customFormat="1">
      <c r="G53077" s="3336"/>
      <c r="P53077" s="3337"/>
    </row>
    <row r="53078" spans="7:16" s="1634" customFormat="1">
      <c r="G53078" s="3336"/>
      <c r="P53078" s="3337"/>
    </row>
    <row r="53079" spans="7:16" s="1634" customFormat="1">
      <c r="G53079" s="3336"/>
      <c r="P53079" s="3337"/>
    </row>
    <row r="53080" spans="7:16" s="1634" customFormat="1">
      <c r="G53080" s="3336"/>
      <c r="P53080" s="3337"/>
    </row>
    <row r="53081" spans="7:16" s="1634" customFormat="1">
      <c r="G53081" s="3336"/>
      <c r="P53081" s="3337"/>
    </row>
    <row r="53082" spans="7:16" s="1634" customFormat="1">
      <c r="G53082" s="3336"/>
      <c r="P53082" s="3337"/>
    </row>
    <row r="53083" spans="7:16" s="1634" customFormat="1">
      <c r="G53083" s="3336"/>
      <c r="P53083" s="3337"/>
    </row>
    <row r="53084" spans="7:16" s="1634" customFormat="1">
      <c r="G53084" s="3336"/>
      <c r="P53084" s="3337"/>
    </row>
    <row r="53085" spans="7:16" s="1634" customFormat="1">
      <c r="G53085" s="3336"/>
      <c r="P53085" s="3337"/>
    </row>
    <row r="53086" spans="7:16" s="1634" customFormat="1">
      <c r="G53086" s="3336"/>
      <c r="P53086" s="3337"/>
    </row>
    <row r="53087" spans="7:16" s="1634" customFormat="1">
      <c r="G53087" s="3336"/>
      <c r="P53087" s="3337"/>
    </row>
    <row r="53088" spans="7:16" s="1634" customFormat="1">
      <c r="G53088" s="3336"/>
      <c r="P53088" s="3337"/>
    </row>
    <row r="53089" spans="7:16" s="1634" customFormat="1">
      <c r="G53089" s="3336"/>
      <c r="P53089" s="3337"/>
    </row>
    <row r="53090" spans="7:16" s="1634" customFormat="1">
      <c r="G53090" s="3336"/>
      <c r="P53090" s="3337"/>
    </row>
    <row r="53091" spans="7:16" s="1634" customFormat="1">
      <c r="G53091" s="3336"/>
      <c r="P53091" s="3337"/>
    </row>
    <row r="53092" spans="7:16" s="1634" customFormat="1">
      <c r="G53092" s="3336"/>
      <c r="P53092" s="3337"/>
    </row>
    <row r="53093" spans="7:16" s="1634" customFormat="1">
      <c r="G53093" s="3336"/>
      <c r="P53093" s="3337"/>
    </row>
    <row r="53094" spans="7:16" s="1634" customFormat="1">
      <c r="G53094" s="3336"/>
      <c r="P53094" s="3337"/>
    </row>
    <row r="53095" spans="7:16" s="1634" customFormat="1">
      <c r="G53095" s="3336"/>
      <c r="P53095" s="3337"/>
    </row>
    <row r="53096" spans="7:16" s="1634" customFormat="1">
      <c r="G53096" s="3336"/>
      <c r="P53096" s="3337"/>
    </row>
    <row r="53097" spans="7:16" s="1634" customFormat="1">
      <c r="G53097" s="3336"/>
      <c r="P53097" s="3337"/>
    </row>
    <row r="53098" spans="7:16" s="1634" customFormat="1">
      <c r="G53098" s="3336"/>
      <c r="P53098" s="3337"/>
    </row>
    <row r="53099" spans="7:16" s="1634" customFormat="1">
      <c r="G53099" s="3336"/>
      <c r="P53099" s="3337"/>
    </row>
    <row r="53100" spans="7:16" s="1634" customFormat="1">
      <c r="G53100" s="3336"/>
      <c r="P53100" s="3337"/>
    </row>
    <row r="53101" spans="7:16" s="1634" customFormat="1">
      <c r="G53101" s="3336"/>
      <c r="P53101" s="3337"/>
    </row>
    <row r="53102" spans="7:16" s="1634" customFormat="1">
      <c r="G53102" s="3336"/>
      <c r="P53102" s="3337"/>
    </row>
    <row r="53103" spans="7:16" s="1634" customFormat="1">
      <c r="G53103" s="3336"/>
      <c r="P53103" s="3337"/>
    </row>
    <row r="53104" spans="7:16" s="1634" customFormat="1">
      <c r="G53104" s="3336"/>
      <c r="P53104" s="3337"/>
    </row>
    <row r="53105" spans="7:16" s="1634" customFormat="1">
      <c r="G53105" s="3336"/>
      <c r="P53105" s="3337"/>
    </row>
    <row r="53106" spans="7:16" s="1634" customFormat="1">
      <c r="G53106" s="3336"/>
      <c r="P53106" s="3337"/>
    </row>
    <row r="53107" spans="7:16" s="1634" customFormat="1">
      <c r="G53107" s="3336"/>
      <c r="P53107" s="3337"/>
    </row>
    <row r="53108" spans="7:16" s="1634" customFormat="1">
      <c r="G53108" s="3336"/>
      <c r="P53108" s="3337"/>
    </row>
    <row r="53109" spans="7:16" s="1634" customFormat="1">
      <c r="G53109" s="3336"/>
      <c r="P53109" s="3337"/>
    </row>
    <row r="53110" spans="7:16" s="1634" customFormat="1">
      <c r="G53110" s="3336"/>
      <c r="P53110" s="3337"/>
    </row>
    <row r="53111" spans="7:16" s="1634" customFormat="1">
      <c r="G53111" s="3336"/>
      <c r="P53111" s="3337"/>
    </row>
    <row r="53112" spans="7:16" s="1634" customFormat="1">
      <c r="G53112" s="3336"/>
      <c r="P53112" s="3337"/>
    </row>
    <row r="53113" spans="7:16" s="1634" customFormat="1">
      <c r="G53113" s="3336"/>
      <c r="P53113" s="3337"/>
    </row>
    <row r="53114" spans="7:16" s="1634" customFormat="1">
      <c r="G53114" s="3336"/>
      <c r="P53114" s="3337"/>
    </row>
    <row r="53115" spans="7:16" s="1634" customFormat="1">
      <c r="G53115" s="3336"/>
      <c r="P53115" s="3337"/>
    </row>
    <row r="53116" spans="7:16" s="1634" customFormat="1">
      <c r="G53116" s="3336"/>
      <c r="P53116" s="3337"/>
    </row>
    <row r="53117" spans="7:16" s="1634" customFormat="1">
      <c r="G53117" s="3336"/>
      <c r="P53117" s="3337"/>
    </row>
    <row r="53118" spans="7:16" s="1634" customFormat="1">
      <c r="G53118" s="3336"/>
      <c r="P53118" s="3337"/>
    </row>
    <row r="53119" spans="7:16" s="1634" customFormat="1">
      <c r="G53119" s="3336"/>
      <c r="P53119" s="3337"/>
    </row>
    <row r="53120" spans="7:16" s="1634" customFormat="1">
      <c r="G53120" s="3336"/>
      <c r="P53120" s="3337"/>
    </row>
    <row r="53121" spans="7:16" s="1634" customFormat="1">
      <c r="G53121" s="3336"/>
      <c r="P53121" s="3337"/>
    </row>
    <row r="53122" spans="7:16" s="1634" customFormat="1">
      <c r="G53122" s="3336"/>
      <c r="P53122" s="3337"/>
    </row>
    <row r="53123" spans="7:16" s="1634" customFormat="1">
      <c r="G53123" s="3336"/>
      <c r="P53123" s="3337"/>
    </row>
    <row r="53124" spans="7:16" s="1634" customFormat="1">
      <c r="G53124" s="3336"/>
      <c r="P53124" s="3337"/>
    </row>
    <row r="53125" spans="7:16" s="1634" customFormat="1">
      <c r="G53125" s="3336"/>
      <c r="P53125" s="3337"/>
    </row>
    <row r="53126" spans="7:16" s="1634" customFormat="1">
      <c r="G53126" s="3336"/>
      <c r="P53126" s="3337"/>
    </row>
    <row r="53127" spans="7:16" s="1634" customFormat="1">
      <c r="G53127" s="3336"/>
      <c r="P53127" s="3337"/>
    </row>
    <row r="53128" spans="7:16" s="1634" customFormat="1">
      <c r="G53128" s="3336"/>
      <c r="P53128" s="3337"/>
    </row>
    <row r="53129" spans="7:16" s="1634" customFormat="1">
      <c r="G53129" s="3336"/>
      <c r="P53129" s="3337"/>
    </row>
    <row r="53130" spans="7:16" s="1634" customFormat="1">
      <c r="G53130" s="3336"/>
      <c r="P53130" s="3337"/>
    </row>
    <row r="53131" spans="7:16" s="1634" customFormat="1">
      <c r="G53131" s="3336"/>
      <c r="P53131" s="3337"/>
    </row>
    <row r="53132" spans="7:16" s="1634" customFormat="1">
      <c r="G53132" s="3336"/>
      <c r="P53132" s="3337"/>
    </row>
    <row r="53133" spans="7:16" s="1634" customFormat="1">
      <c r="G53133" s="3336"/>
      <c r="P53133" s="3337"/>
    </row>
    <row r="53134" spans="7:16" s="1634" customFormat="1">
      <c r="G53134" s="3336"/>
      <c r="P53134" s="3337"/>
    </row>
    <row r="53135" spans="7:16" s="1634" customFormat="1">
      <c r="G53135" s="3336"/>
      <c r="P53135" s="3337"/>
    </row>
    <row r="53136" spans="7:16" s="1634" customFormat="1">
      <c r="G53136" s="3336"/>
      <c r="P53136" s="3337"/>
    </row>
    <row r="53137" spans="7:16" s="1634" customFormat="1">
      <c r="G53137" s="3336"/>
      <c r="P53137" s="3337"/>
    </row>
    <row r="53138" spans="7:16" s="1634" customFormat="1">
      <c r="G53138" s="3336"/>
      <c r="P53138" s="3337"/>
    </row>
    <row r="53139" spans="7:16" s="1634" customFormat="1">
      <c r="G53139" s="3336"/>
      <c r="P53139" s="3337"/>
    </row>
    <row r="53140" spans="7:16" s="1634" customFormat="1">
      <c r="G53140" s="3336"/>
      <c r="P53140" s="3337"/>
    </row>
    <row r="53141" spans="7:16" s="1634" customFormat="1">
      <c r="G53141" s="3336"/>
      <c r="P53141" s="3337"/>
    </row>
    <row r="53142" spans="7:16" s="1634" customFormat="1">
      <c r="G53142" s="3336"/>
      <c r="P53142" s="3337"/>
    </row>
    <row r="53143" spans="7:16" s="1634" customFormat="1">
      <c r="G53143" s="3336"/>
      <c r="P53143" s="3337"/>
    </row>
    <row r="53144" spans="7:16" s="1634" customFormat="1">
      <c r="G53144" s="3336"/>
      <c r="P53144" s="3337"/>
    </row>
    <row r="53145" spans="7:16" s="1634" customFormat="1">
      <c r="G53145" s="3336"/>
      <c r="P53145" s="3337"/>
    </row>
    <row r="53146" spans="7:16" s="1634" customFormat="1">
      <c r="G53146" s="3336"/>
      <c r="P53146" s="3337"/>
    </row>
    <row r="53147" spans="7:16" s="1634" customFormat="1">
      <c r="G53147" s="3336"/>
      <c r="P53147" s="3337"/>
    </row>
    <row r="53148" spans="7:16" s="1634" customFormat="1">
      <c r="G53148" s="3336"/>
      <c r="P53148" s="3337"/>
    </row>
    <row r="53149" spans="7:16" s="1634" customFormat="1">
      <c r="G53149" s="3336"/>
      <c r="P53149" s="3337"/>
    </row>
    <row r="53150" spans="7:16" s="1634" customFormat="1">
      <c r="G53150" s="3336"/>
      <c r="P53150" s="3337"/>
    </row>
    <row r="53151" spans="7:16" s="1634" customFormat="1">
      <c r="G53151" s="3336"/>
      <c r="P53151" s="3337"/>
    </row>
    <row r="53152" spans="7:16" s="1634" customFormat="1">
      <c r="G53152" s="3336"/>
      <c r="P53152" s="3337"/>
    </row>
    <row r="53153" spans="7:16" s="1634" customFormat="1">
      <c r="G53153" s="3336"/>
      <c r="P53153" s="3337"/>
    </row>
    <row r="53154" spans="7:16" s="1634" customFormat="1">
      <c r="G53154" s="3336"/>
      <c r="P53154" s="3337"/>
    </row>
    <row r="53155" spans="7:16" s="1634" customFormat="1">
      <c r="G53155" s="3336"/>
      <c r="P53155" s="3337"/>
    </row>
    <row r="53156" spans="7:16" s="1634" customFormat="1">
      <c r="G53156" s="3336"/>
      <c r="P53156" s="3337"/>
    </row>
    <row r="53157" spans="7:16" s="1634" customFormat="1">
      <c r="G53157" s="3336"/>
      <c r="P53157" s="3337"/>
    </row>
    <row r="53158" spans="7:16" s="1634" customFormat="1">
      <c r="G53158" s="3336"/>
      <c r="P53158" s="3337"/>
    </row>
    <row r="53159" spans="7:16" s="1634" customFormat="1">
      <c r="G53159" s="3336"/>
      <c r="P53159" s="3337"/>
    </row>
    <row r="53160" spans="7:16" s="1634" customFormat="1">
      <c r="G53160" s="3336"/>
      <c r="P53160" s="3337"/>
    </row>
    <row r="53161" spans="7:16" s="1634" customFormat="1">
      <c r="G53161" s="3336"/>
      <c r="P53161" s="3337"/>
    </row>
    <row r="53162" spans="7:16" s="1634" customFormat="1">
      <c r="G53162" s="3336"/>
      <c r="P53162" s="3337"/>
    </row>
    <row r="53163" spans="7:16" s="1634" customFormat="1">
      <c r="G53163" s="3336"/>
      <c r="P53163" s="3337"/>
    </row>
    <row r="53164" spans="7:16" s="1634" customFormat="1">
      <c r="G53164" s="3336"/>
      <c r="P53164" s="3337"/>
    </row>
    <row r="53165" spans="7:16" s="1634" customFormat="1">
      <c r="G53165" s="3336"/>
      <c r="P53165" s="3337"/>
    </row>
    <row r="53166" spans="7:16" s="1634" customFormat="1">
      <c r="G53166" s="3336"/>
      <c r="P53166" s="3337"/>
    </row>
    <row r="53167" spans="7:16" s="1634" customFormat="1">
      <c r="G53167" s="3336"/>
      <c r="P53167" s="3337"/>
    </row>
    <row r="53168" spans="7:16" s="1634" customFormat="1">
      <c r="G53168" s="3336"/>
      <c r="P53168" s="3337"/>
    </row>
    <row r="53169" spans="7:16" s="1634" customFormat="1">
      <c r="G53169" s="3336"/>
      <c r="P53169" s="3337"/>
    </row>
    <row r="53170" spans="7:16" s="1634" customFormat="1">
      <c r="G53170" s="3336"/>
      <c r="P53170" s="3337"/>
    </row>
    <row r="53171" spans="7:16" s="1634" customFormat="1">
      <c r="G53171" s="3336"/>
      <c r="P53171" s="3337"/>
    </row>
    <row r="53172" spans="7:16" s="1634" customFormat="1">
      <c r="G53172" s="3336"/>
      <c r="P53172" s="3337"/>
    </row>
    <row r="53173" spans="7:16" s="1634" customFormat="1">
      <c r="G53173" s="3336"/>
      <c r="P53173" s="3337"/>
    </row>
    <row r="53174" spans="7:16" s="1634" customFormat="1">
      <c r="G53174" s="3336"/>
      <c r="P53174" s="3337"/>
    </row>
    <row r="53175" spans="7:16" s="1634" customFormat="1">
      <c r="G53175" s="3336"/>
      <c r="P53175" s="3337"/>
    </row>
    <row r="53176" spans="7:16" s="1634" customFormat="1">
      <c r="G53176" s="3336"/>
      <c r="P53176" s="3337"/>
    </row>
    <row r="53177" spans="7:16" s="1634" customFormat="1">
      <c r="G53177" s="3336"/>
      <c r="P53177" s="3337"/>
    </row>
    <row r="53178" spans="7:16" s="1634" customFormat="1">
      <c r="G53178" s="3336"/>
      <c r="P53178" s="3337"/>
    </row>
    <row r="53179" spans="7:16" s="1634" customFormat="1">
      <c r="G53179" s="3336"/>
      <c r="P53179" s="3337"/>
    </row>
    <row r="53180" spans="7:16" s="1634" customFormat="1">
      <c r="G53180" s="3336"/>
      <c r="P53180" s="3337"/>
    </row>
    <row r="53181" spans="7:16" s="1634" customFormat="1">
      <c r="G53181" s="3336"/>
      <c r="P53181" s="3337"/>
    </row>
    <row r="53182" spans="7:16" s="1634" customFormat="1">
      <c r="G53182" s="3336"/>
      <c r="P53182" s="3337"/>
    </row>
    <row r="53183" spans="7:16" s="1634" customFormat="1">
      <c r="G53183" s="3336"/>
      <c r="P53183" s="3337"/>
    </row>
    <row r="53184" spans="7:16" s="1634" customFormat="1">
      <c r="G53184" s="3336"/>
      <c r="P53184" s="3337"/>
    </row>
    <row r="53185" spans="7:16" s="1634" customFormat="1">
      <c r="G53185" s="3336"/>
      <c r="P53185" s="3337"/>
    </row>
    <row r="53186" spans="7:16" s="1634" customFormat="1">
      <c r="G53186" s="3336"/>
      <c r="P53186" s="3337"/>
    </row>
    <row r="53187" spans="7:16" s="1634" customFormat="1">
      <c r="G53187" s="3336"/>
      <c r="P53187" s="3337"/>
    </row>
    <row r="53188" spans="7:16" s="1634" customFormat="1">
      <c r="G53188" s="3336"/>
      <c r="P53188" s="3337"/>
    </row>
    <row r="53189" spans="7:16" s="1634" customFormat="1">
      <c r="G53189" s="3336"/>
      <c r="P53189" s="3337"/>
    </row>
    <row r="53190" spans="7:16" s="1634" customFormat="1">
      <c r="G53190" s="3336"/>
      <c r="P53190" s="3337"/>
    </row>
    <row r="53191" spans="7:16" s="1634" customFormat="1">
      <c r="G53191" s="3336"/>
      <c r="P53191" s="3337"/>
    </row>
    <row r="53192" spans="7:16" s="1634" customFormat="1">
      <c r="G53192" s="3336"/>
      <c r="P53192" s="3337"/>
    </row>
    <row r="53193" spans="7:16" s="1634" customFormat="1">
      <c r="G53193" s="3336"/>
      <c r="P53193" s="3337"/>
    </row>
    <row r="53194" spans="7:16" s="1634" customFormat="1">
      <c r="G53194" s="3336"/>
      <c r="P53194" s="3337"/>
    </row>
    <row r="53195" spans="7:16" s="1634" customFormat="1">
      <c r="G53195" s="3336"/>
      <c r="P53195" s="3337"/>
    </row>
    <row r="53196" spans="7:16" s="1634" customFormat="1">
      <c r="G53196" s="3336"/>
      <c r="P53196" s="3337"/>
    </row>
    <row r="53197" spans="7:16" s="1634" customFormat="1">
      <c r="G53197" s="3336"/>
      <c r="P53197" s="3337"/>
    </row>
    <row r="53198" spans="7:16" s="1634" customFormat="1">
      <c r="G53198" s="3336"/>
      <c r="P53198" s="3337"/>
    </row>
    <row r="53199" spans="7:16" s="1634" customFormat="1">
      <c r="G53199" s="3336"/>
      <c r="P53199" s="3337"/>
    </row>
    <row r="53200" spans="7:16" s="1634" customFormat="1">
      <c r="G53200" s="3336"/>
      <c r="P53200" s="3337"/>
    </row>
    <row r="53201" spans="7:16" s="1634" customFormat="1">
      <c r="G53201" s="3336"/>
      <c r="P53201" s="3337"/>
    </row>
    <row r="53202" spans="7:16" s="1634" customFormat="1">
      <c r="G53202" s="3336"/>
      <c r="P53202" s="3337"/>
    </row>
    <row r="53203" spans="7:16" s="1634" customFormat="1">
      <c r="G53203" s="3336"/>
      <c r="P53203" s="3337"/>
    </row>
    <row r="53204" spans="7:16" s="1634" customFormat="1">
      <c r="G53204" s="3336"/>
      <c r="P53204" s="3337"/>
    </row>
    <row r="53205" spans="7:16" s="1634" customFormat="1">
      <c r="G53205" s="3336"/>
      <c r="P53205" s="3337"/>
    </row>
    <row r="53206" spans="7:16" s="1634" customFormat="1">
      <c r="G53206" s="3336"/>
      <c r="P53206" s="3337"/>
    </row>
    <row r="53207" spans="7:16" s="1634" customFormat="1">
      <c r="G53207" s="3336"/>
      <c r="P53207" s="3337"/>
    </row>
    <row r="53208" spans="7:16" s="1634" customFormat="1">
      <c r="G53208" s="3336"/>
      <c r="P53208" s="3337"/>
    </row>
    <row r="53209" spans="7:16" s="1634" customFormat="1">
      <c r="G53209" s="3336"/>
      <c r="P53209" s="3337"/>
    </row>
    <row r="53210" spans="7:16" s="1634" customFormat="1">
      <c r="G53210" s="3336"/>
      <c r="P53210" s="3337"/>
    </row>
    <row r="53211" spans="7:16" s="1634" customFormat="1">
      <c r="G53211" s="3336"/>
      <c r="P53211" s="3337"/>
    </row>
    <row r="53212" spans="7:16" s="1634" customFormat="1">
      <c r="G53212" s="3336"/>
      <c r="P53212" s="3337"/>
    </row>
    <row r="53213" spans="7:16" s="1634" customFormat="1">
      <c r="G53213" s="3336"/>
      <c r="P53213" s="3337"/>
    </row>
    <row r="53214" spans="7:16" s="1634" customFormat="1">
      <c r="G53214" s="3336"/>
      <c r="P53214" s="3337"/>
    </row>
    <row r="53215" spans="7:16" s="1634" customFormat="1">
      <c r="G53215" s="3336"/>
      <c r="P53215" s="3337"/>
    </row>
    <row r="53216" spans="7:16" s="1634" customFormat="1">
      <c r="G53216" s="3336"/>
      <c r="P53216" s="3337"/>
    </row>
    <row r="53217" spans="7:16" s="1634" customFormat="1">
      <c r="G53217" s="3336"/>
      <c r="P53217" s="3337"/>
    </row>
    <row r="53218" spans="7:16" s="1634" customFormat="1">
      <c r="G53218" s="3336"/>
      <c r="P53218" s="3337"/>
    </row>
    <row r="53219" spans="7:16" s="1634" customFormat="1">
      <c r="G53219" s="3336"/>
      <c r="P53219" s="3337"/>
    </row>
    <row r="53220" spans="7:16" s="1634" customFormat="1">
      <c r="G53220" s="3336"/>
      <c r="P53220" s="3337"/>
    </row>
    <row r="53221" spans="7:16" s="1634" customFormat="1">
      <c r="G53221" s="3336"/>
      <c r="P53221" s="3337"/>
    </row>
    <row r="53222" spans="7:16" s="1634" customFormat="1">
      <c r="G53222" s="3336"/>
      <c r="P53222" s="3337"/>
    </row>
    <row r="53223" spans="7:16" s="1634" customFormat="1">
      <c r="G53223" s="3336"/>
      <c r="P53223" s="3337"/>
    </row>
    <row r="53224" spans="7:16" s="1634" customFormat="1">
      <c r="G53224" s="3336"/>
      <c r="P53224" s="3337"/>
    </row>
    <row r="53225" spans="7:16" s="1634" customFormat="1">
      <c r="G53225" s="3336"/>
      <c r="P53225" s="3337"/>
    </row>
    <row r="53226" spans="7:16" s="1634" customFormat="1">
      <c r="G53226" s="3336"/>
      <c r="P53226" s="3337"/>
    </row>
    <row r="53227" spans="7:16" s="1634" customFormat="1">
      <c r="G53227" s="3336"/>
      <c r="P53227" s="3337"/>
    </row>
    <row r="53228" spans="7:16" s="1634" customFormat="1">
      <c r="G53228" s="3336"/>
      <c r="P53228" s="3337"/>
    </row>
    <row r="53229" spans="7:16" s="1634" customFormat="1">
      <c r="G53229" s="3336"/>
      <c r="P53229" s="3337"/>
    </row>
    <row r="53230" spans="7:16" s="1634" customFormat="1">
      <c r="G53230" s="3336"/>
      <c r="P53230" s="3337"/>
    </row>
    <row r="53231" spans="7:16" s="1634" customFormat="1">
      <c r="G53231" s="3336"/>
      <c r="P53231" s="3337"/>
    </row>
    <row r="53232" spans="7:16" s="1634" customFormat="1">
      <c r="G53232" s="3336"/>
      <c r="P53232" s="3337"/>
    </row>
    <row r="53233" spans="7:16" s="1634" customFormat="1">
      <c r="G53233" s="3336"/>
      <c r="P53233" s="3337"/>
    </row>
    <row r="53234" spans="7:16" s="1634" customFormat="1">
      <c r="G53234" s="3336"/>
      <c r="P53234" s="3337"/>
    </row>
    <row r="53235" spans="7:16" s="1634" customFormat="1">
      <c r="G53235" s="3336"/>
      <c r="P53235" s="3337"/>
    </row>
    <row r="53236" spans="7:16" s="1634" customFormat="1">
      <c r="G53236" s="3336"/>
      <c r="P53236" s="3337"/>
    </row>
    <row r="53237" spans="7:16" s="1634" customFormat="1">
      <c r="G53237" s="3336"/>
      <c r="P53237" s="3337"/>
    </row>
    <row r="53238" spans="7:16" s="1634" customFormat="1">
      <c r="G53238" s="3336"/>
      <c r="P53238" s="3337"/>
    </row>
    <row r="53239" spans="7:16" s="1634" customFormat="1">
      <c r="G53239" s="3336"/>
      <c r="P53239" s="3337"/>
    </row>
    <row r="53240" spans="7:16" s="1634" customFormat="1">
      <c r="G53240" s="3336"/>
      <c r="P53240" s="3337"/>
    </row>
    <row r="53241" spans="7:16" s="1634" customFormat="1">
      <c r="G53241" s="3336"/>
      <c r="P53241" s="3337"/>
    </row>
    <row r="53242" spans="7:16" s="1634" customFormat="1">
      <c r="G53242" s="3336"/>
      <c r="P53242" s="3337"/>
    </row>
    <row r="53243" spans="7:16" s="1634" customFormat="1">
      <c r="G53243" s="3336"/>
      <c r="P53243" s="3337"/>
    </row>
    <row r="53244" spans="7:16" s="1634" customFormat="1">
      <c r="G53244" s="3336"/>
      <c r="P53244" s="3337"/>
    </row>
    <row r="53245" spans="7:16" s="1634" customFormat="1">
      <c r="G53245" s="3336"/>
      <c r="P53245" s="3337"/>
    </row>
    <row r="53246" spans="7:16" s="1634" customFormat="1">
      <c r="G53246" s="3336"/>
      <c r="P53246" s="3337"/>
    </row>
    <row r="53247" spans="7:16" s="1634" customFormat="1">
      <c r="G53247" s="3336"/>
      <c r="P53247" s="3337"/>
    </row>
    <row r="53248" spans="7:16" s="1634" customFormat="1">
      <c r="G53248" s="3336"/>
      <c r="P53248" s="3337"/>
    </row>
    <row r="53249" spans="7:16" s="1634" customFormat="1">
      <c r="G53249" s="3336"/>
      <c r="P53249" s="3337"/>
    </row>
    <row r="53250" spans="7:16" s="1634" customFormat="1">
      <c r="G53250" s="3336"/>
      <c r="P53250" s="3337"/>
    </row>
    <row r="53251" spans="7:16" s="1634" customFormat="1">
      <c r="G53251" s="3336"/>
      <c r="P53251" s="3337"/>
    </row>
    <row r="53252" spans="7:16" s="1634" customFormat="1">
      <c r="G53252" s="3336"/>
      <c r="P53252" s="3337"/>
    </row>
    <row r="53253" spans="7:16" s="1634" customFormat="1">
      <c r="G53253" s="3336"/>
      <c r="P53253" s="3337"/>
    </row>
    <row r="53254" spans="7:16" s="1634" customFormat="1">
      <c r="G53254" s="3336"/>
      <c r="P53254" s="3337"/>
    </row>
    <row r="53255" spans="7:16" s="1634" customFormat="1">
      <c r="G53255" s="3336"/>
      <c r="P53255" s="3337"/>
    </row>
    <row r="53256" spans="7:16" s="1634" customFormat="1">
      <c r="G53256" s="3336"/>
      <c r="P53256" s="3337"/>
    </row>
    <row r="53257" spans="7:16" s="1634" customFormat="1">
      <c r="G53257" s="3336"/>
      <c r="P53257" s="3337"/>
    </row>
    <row r="53258" spans="7:16" s="1634" customFormat="1">
      <c r="G53258" s="3336"/>
      <c r="P53258" s="3337"/>
    </row>
    <row r="53259" spans="7:16" s="1634" customFormat="1">
      <c r="G53259" s="3336"/>
      <c r="P53259" s="3337"/>
    </row>
    <row r="53260" spans="7:16" s="1634" customFormat="1">
      <c r="G53260" s="3336"/>
      <c r="P53260" s="3337"/>
    </row>
    <row r="53261" spans="7:16" s="1634" customFormat="1">
      <c r="G53261" s="3336"/>
      <c r="P53261" s="3337"/>
    </row>
    <row r="53262" spans="7:16" s="1634" customFormat="1">
      <c r="G53262" s="3336"/>
      <c r="P53262" s="3337"/>
    </row>
    <row r="53263" spans="7:16" s="1634" customFormat="1">
      <c r="G53263" s="3336"/>
      <c r="P53263" s="3337"/>
    </row>
    <row r="53264" spans="7:16" s="1634" customFormat="1">
      <c r="G53264" s="3336"/>
      <c r="P53264" s="3337"/>
    </row>
    <row r="53265" spans="7:16" s="1634" customFormat="1">
      <c r="G53265" s="3336"/>
      <c r="P53265" s="3337"/>
    </row>
    <row r="53266" spans="7:16" s="1634" customFormat="1">
      <c r="G53266" s="3336"/>
      <c r="P53266" s="3337"/>
    </row>
    <row r="53267" spans="7:16" s="1634" customFormat="1">
      <c r="G53267" s="3336"/>
      <c r="P53267" s="3337"/>
    </row>
    <row r="53268" spans="7:16" s="1634" customFormat="1">
      <c r="G53268" s="3336"/>
      <c r="P53268" s="3337"/>
    </row>
    <row r="53269" spans="7:16" s="1634" customFormat="1">
      <c r="G53269" s="3336"/>
      <c r="P53269" s="3337"/>
    </row>
    <row r="53270" spans="7:16" s="1634" customFormat="1">
      <c r="G53270" s="3336"/>
      <c r="P53270" s="3337"/>
    </row>
    <row r="53271" spans="7:16" s="1634" customFormat="1">
      <c r="G53271" s="3336"/>
      <c r="P53271" s="3337"/>
    </row>
    <row r="53272" spans="7:16" s="1634" customFormat="1">
      <c r="G53272" s="3336"/>
      <c r="P53272" s="3337"/>
    </row>
    <row r="53273" spans="7:16" s="1634" customFormat="1">
      <c r="G53273" s="3336"/>
      <c r="P53273" s="3337"/>
    </row>
    <row r="53274" spans="7:16" s="1634" customFormat="1">
      <c r="G53274" s="3336"/>
      <c r="P53274" s="3337"/>
    </row>
    <row r="53275" spans="7:16" s="1634" customFormat="1">
      <c r="G53275" s="3336"/>
      <c r="P53275" s="3337"/>
    </row>
    <row r="53276" spans="7:16" s="1634" customFormat="1">
      <c r="G53276" s="3336"/>
      <c r="P53276" s="3337"/>
    </row>
    <row r="53277" spans="7:16" s="1634" customFormat="1">
      <c r="G53277" s="3336"/>
      <c r="P53277" s="3337"/>
    </row>
    <row r="53278" spans="7:16" s="1634" customFormat="1">
      <c r="G53278" s="3336"/>
      <c r="P53278" s="3337"/>
    </row>
    <row r="53279" spans="7:16" s="1634" customFormat="1">
      <c r="G53279" s="3336"/>
      <c r="P53279" s="3337"/>
    </row>
    <row r="53280" spans="7:16" s="1634" customFormat="1">
      <c r="G53280" s="3336"/>
      <c r="P53280" s="3337"/>
    </row>
    <row r="53281" spans="7:16" s="1634" customFormat="1">
      <c r="G53281" s="3336"/>
      <c r="P53281" s="3337"/>
    </row>
    <row r="53282" spans="7:16" s="1634" customFormat="1">
      <c r="G53282" s="3336"/>
      <c r="P53282" s="3337"/>
    </row>
    <row r="53283" spans="7:16" s="1634" customFormat="1">
      <c r="G53283" s="3336"/>
      <c r="P53283" s="3337"/>
    </row>
    <row r="53284" spans="7:16" s="1634" customFormat="1">
      <c r="G53284" s="3336"/>
      <c r="P53284" s="3337"/>
    </row>
    <row r="53285" spans="7:16" s="1634" customFormat="1">
      <c r="G53285" s="3336"/>
      <c r="P53285" s="3337"/>
    </row>
    <row r="53286" spans="7:16" s="1634" customFormat="1">
      <c r="G53286" s="3336"/>
      <c r="P53286" s="3337"/>
    </row>
    <row r="53287" spans="7:16" s="1634" customFormat="1">
      <c r="G53287" s="3336"/>
      <c r="P53287" s="3337"/>
    </row>
    <row r="53288" spans="7:16" s="1634" customFormat="1">
      <c r="G53288" s="3336"/>
      <c r="P53288" s="3337"/>
    </row>
    <row r="53289" spans="7:16" s="1634" customFormat="1">
      <c r="G53289" s="3336"/>
      <c r="P53289" s="3337"/>
    </row>
    <row r="53290" spans="7:16" s="1634" customFormat="1">
      <c r="G53290" s="3336"/>
      <c r="P53290" s="3337"/>
    </row>
    <row r="53291" spans="7:16" s="1634" customFormat="1">
      <c r="G53291" s="3336"/>
      <c r="P53291" s="3337"/>
    </row>
    <row r="53292" spans="7:16" s="1634" customFormat="1">
      <c r="G53292" s="3336"/>
      <c r="P53292" s="3337"/>
    </row>
    <row r="53293" spans="7:16" s="1634" customFormat="1">
      <c r="G53293" s="3336"/>
      <c r="P53293" s="3337"/>
    </row>
    <row r="53294" spans="7:16" s="1634" customFormat="1">
      <c r="G53294" s="3336"/>
      <c r="P53294" s="3337"/>
    </row>
    <row r="53295" spans="7:16" s="1634" customFormat="1">
      <c r="G53295" s="3336"/>
      <c r="P53295" s="3337"/>
    </row>
    <row r="53296" spans="7:16" s="1634" customFormat="1">
      <c r="G53296" s="3336"/>
      <c r="P53296" s="3337"/>
    </row>
    <row r="53297" spans="7:16" s="1634" customFormat="1">
      <c r="G53297" s="3336"/>
      <c r="P53297" s="3337"/>
    </row>
    <row r="53298" spans="7:16" s="1634" customFormat="1">
      <c r="G53298" s="3336"/>
      <c r="P53298" s="3337"/>
    </row>
    <row r="53299" spans="7:16" s="1634" customFormat="1">
      <c r="G53299" s="3336"/>
      <c r="P53299" s="3337"/>
    </row>
    <row r="53300" spans="7:16" s="1634" customFormat="1">
      <c r="G53300" s="3336"/>
      <c r="P53300" s="3337"/>
    </row>
    <row r="53301" spans="7:16" s="1634" customFormat="1">
      <c r="G53301" s="3336"/>
      <c r="P53301" s="3337"/>
    </row>
    <row r="53302" spans="7:16" s="1634" customFormat="1">
      <c r="G53302" s="3336"/>
      <c r="P53302" s="3337"/>
    </row>
    <row r="53303" spans="7:16" s="1634" customFormat="1">
      <c r="G53303" s="3336"/>
      <c r="P53303" s="3337"/>
    </row>
    <row r="53304" spans="7:16" s="1634" customFormat="1">
      <c r="G53304" s="3336"/>
      <c r="P53304" s="3337"/>
    </row>
    <row r="53305" spans="7:16" s="1634" customFormat="1">
      <c r="G53305" s="3336"/>
      <c r="P53305" s="3337"/>
    </row>
    <row r="53306" spans="7:16" s="1634" customFormat="1">
      <c r="G53306" s="3336"/>
      <c r="P53306" s="3337"/>
    </row>
    <row r="53307" spans="7:16" s="1634" customFormat="1">
      <c r="G53307" s="3336"/>
      <c r="P53307" s="3337"/>
    </row>
    <row r="53308" spans="7:16" s="1634" customFormat="1">
      <c r="G53308" s="3336"/>
      <c r="P53308" s="3337"/>
    </row>
    <row r="53309" spans="7:16" s="1634" customFormat="1">
      <c r="G53309" s="3336"/>
      <c r="P53309" s="3337"/>
    </row>
    <row r="53310" spans="7:16" s="1634" customFormat="1">
      <c r="G53310" s="3336"/>
      <c r="P53310" s="3337"/>
    </row>
    <row r="53311" spans="7:16" s="1634" customFormat="1">
      <c r="G53311" s="3336"/>
      <c r="P53311" s="3337"/>
    </row>
    <row r="53312" spans="7:16" s="1634" customFormat="1">
      <c r="G53312" s="3336"/>
      <c r="P53312" s="3337"/>
    </row>
    <row r="53313" spans="7:16" s="1634" customFormat="1">
      <c r="G53313" s="3336"/>
      <c r="P53313" s="3337"/>
    </row>
    <row r="53314" spans="7:16" s="1634" customFormat="1">
      <c r="G53314" s="3336"/>
      <c r="P53314" s="3337"/>
    </row>
    <row r="53315" spans="7:16" s="1634" customFormat="1">
      <c r="G53315" s="3336"/>
      <c r="P53315" s="3337"/>
    </row>
    <row r="53316" spans="7:16" s="1634" customFormat="1">
      <c r="G53316" s="3336"/>
      <c r="P53316" s="3337"/>
    </row>
    <row r="53317" spans="7:16" s="1634" customFormat="1">
      <c r="G53317" s="3336"/>
      <c r="P53317" s="3337"/>
    </row>
    <row r="53318" spans="7:16" s="1634" customFormat="1">
      <c r="G53318" s="3336"/>
      <c r="P53318" s="3337"/>
    </row>
    <row r="53319" spans="7:16" s="1634" customFormat="1">
      <c r="G53319" s="3336"/>
      <c r="P53319" s="3337"/>
    </row>
    <row r="53320" spans="7:16" s="1634" customFormat="1">
      <c r="G53320" s="3336"/>
      <c r="P53320" s="3337"/>
    </row>
    <row r="53321" spans="7:16" s="1634" customFormat="1">
      <c r="G53321" s="3336"/>
      <c r="P53321" s="3337"/>
    </row>
    <row r="53322" spans="7:16" s="1634" customFormat="1">
      <c r="G53322" s="3336"/>
      <c r="P53322" s="3337"/>
    </row>
    <row r="53323" spans="7:16" s="1634" customFormat="1">
      <c r="G53323" s="3336"/>
      <c r="P53323" s="3337"/>
    </row>
    <row r="53324" spans="7:16" s="1634" customFormat="1">
      <c r="G53324" s="3336"/>
      <c r="P53324" s="3337"/>
    </row>
    <row r="53325" spans="7:16" s="1634" customFormat="1">
      <c r="G53325" s="3336"/>
      <c r="P53325" s="3337"/>
    </row>
    <row r="53326" spans="7:16" s="1634" customFormat="1">
      <c r="G53326" s="3336"/>
      <c r="P53326" s="3337"/>
    </row>
    <row r="53327" spans="7:16" s="1634" customFormat="1">
      <c r="G53327" s="3336"/>
      <c r="P53327" s="3337"/>
    </row>
    <row r="53328" spans="7:16" s="1634" customFormat="1">
      <c r="G53328" s="3336"/>
      <c r="P53328" s="3337"/>
    </row>
    <row r="53329" spans="7:16" s="1634" customFormat="1">
      <c r="G53329" s="3336"/>
      <c r="P53329" s="3337"/>
    </row>
    <row r="53330" spans="7:16" s="1634" customFormat="1">
      <c r="G53330" s="3336"/>
      <c r="P53330" s="3337"/>
    </row>
    <row r="53331" spans="7:16" s="1634" customFormat="1">
      <c r="G53331" s="3336"/>
      <c r="P53331" s="3337"/>
    </row>
    <row r="53332" spans="7:16" s="1634" customFormat="1">
      <c r="G53332" s="3336"/>
      <c r="P53332" s="3337"/>
    </row>
    <row r="53333" spans="7:16" s="1634" customFormat="1">
      <c r="G53333" s="3336"/>
      <c r="P53333" s="3337"/>
    </row>
    <row r="53334" spans="7:16" s="1634" customFormat="1">
      <c r="G53334" s="3336"/>
      <c r="P53334" s="3337"/>
    </row>
    <row r="53335" spans="7:16" s="1634" customFormat="1">
      <c r="G53335" s="3336"/>
      <c r="P53335" s="3337"/>
    </row>
    <row r="53336" spans="7:16" s="1634" customFormat="1">
      <c r="G53336" s="3336"/>
      <c r="P53336" s="3337"/>
    </row>
    <row r="53337" spans="7:16" s="1634" customFormat="1">
      <c r="G53337" s="3336"/>
      <c r="P53337" s="3337"/>
    </row>
    <row r="53338" spans="7:16" s="1634" customFormat="1">
      <c r="G53338" s="3336"/>
      <c r="P53338" s="3337"/>
    </row>
    <row r="53339" spans="7:16" s="1634" customFormat="1">
      <c r="G53339" s="3336"/>
      <c r="P53339" s="3337"/>
    </row>
    <row r="53340" spans="7:16" s="1634" customFormat="1">
      <c r="G53340" s="3336"/>
      <c r="P53340" s="3337"/>
    </row>
    <row r="53341" spans="7:16" s="1634" customFormat="1">
      <c r="G53341" s="3336"/>
      <c r="P53341" s="3337"/>
    </row>
    <row r="53342" spans="7:16" s="1634" customFormat="1">
      <c r="G53342" s="3336"/>
      <c r="P53342" s="3337"/>
    </row>
    <row r="53343" spans="7:16" s="1634" customFormat="1">
      <c r="G53343" s="3336"/>
      <c r="P53343" s="3337"/>
    </row>
    <row r="53344" spans="7:16" s="1634" customFormat="1">
      <c r="G53344" s="3336"/>
      <c r="P53344" s="3337"/>
    </row>
    <row r="53345" spans="7:16" s="1634" customFormat="1">
      <c r="G53345" s="3336"/>
      <c r="P53345" s="3337"/>
    </row>
    <row r="53346" spans="7:16" s="1634" customFormat="1">
      <c r="G53346" s="3336"/>
      <c r="P53346" s="3337"/>
    </row>
    <row r="53347" spans="7:16" s="1634" customFormat="1">
      <c r="G53347" s="3336"/>
      <c r="P53347" s="3337"/>
    </row>
    <row r="53348" spans="7:16" s="1634" customFormat="1">
      <c r="G53348" s="3336"/>
      <c r="P53348" s="3337"/>
    </row>
    <row r="53349" spans="7:16" s="1634" customFormat="1">
      <c r="G53349" s="3336"/>
      <c r="P53349" s="3337"/>
    </row>
    <row r="53350" spans="7:16" s="1634" customFormat="1">
      <c r="G53350" s="3336"/>
      <c r="P53350" s="3337"/>
    </row>
    <row r="53351" spans="7:16" s="1634" customFormat="1">
      <c r="G53351" s="3336"/>
      <c r="P53351" s="3337"/>
    </row>
    <row r="53352" spans="7:16" s="1634" customFormat="1">
      <c r="G53352" s="3336"/>
      <c r="P53352" s="3337"/>
    </row>
    <row r="53353" spans="7:16" s="1634" customFormat="1">
      <c r="G53353" s="3336"/>
      <c r="P53353" s="3337"/>
    </row>
    <row r="53354" spans="7:16" s="1634" customFormat="1">
      <c r="G53354" s="3336"/>
      <c r="P53354" s="3337"/>
    </row>
    <row r="53355" spans="7:16" s="1634" customFormat="1">
      <c r="G53355" s="3336"/>
      <c r="P53355" s="3337"/>
    </row>
    <row r="53356" spans="7:16" s="1634" customFormat="1">
      <c r="G53356" s="3336"/>
      <c r="P53356" s="3337"/>
    </row>
    <row r="53357" spans="7:16" s="1634" customFormat="1">
      <c r="G53357" s="3336"/>
      <c r="P53357" s="3337"/>
    </row>
    <row r="53358" spans="7:16" s="1634" customFormat="1">
      <c r="G53358" s="3336"/>
      <c r="P53358" s="3337"/>
    </row>
    <row r="53359" spans="7:16" s="1634" customFormat="1">
      <c r="G53359" s="3336"/>
      <c r="P53359" s="3337"/>
    </row>
    <row r="53360" spans="7:16" s="1634" customFormat="1">
      <c r="G53360" s="3336"/>
      <c r="P53360" s="3337"/>
    </row>
    <row r="53361" spans="7:16" s="1634" customFormat="1">
      <c r="G53361" s="3336"/>
      <c r="P53361" s="3337"/>
    </row>
    <row r="53362" spans="7:16" s="1634" customFormat="1">
      <c r="G53362" s="3336"/>
      <c r="P53362" s="3337"/>
    </row>
    <row r="53363" spans="7:16" s="1634" customFormat="1">
      <c r="G53363" s="3336"/>
      <c r="P53363" s="3337"/>
    </row>
    <row r="53364" spans="7:16" s="1634" customFormat="1">
      <c r="G53364" s="3336"/>
      <c r="P53364" s="3337"/>
    </row>
    <row r="53365" spans="7:16" s="1634" customFormat="1">
      <c r="G53365" s="3336"/>
      <c r="P53365" s="3337"/>
    </row>
    <row r="53366" spans="7:16" s="1634" customFormat="1">
      <c r="G53366" s="3336"/>
      <c r="P53366" s="3337"/>
    </row>
    <row r="53367" spans="7:16" s="1634" customFormat="1">
      <c r="G53367" s="3336"/>
      <c r="P53367" s="3337"/>
    </row>
    <row r="53368" spans="7:16" s="1634" customFormat="1">
      <c r="G53368" s="3336"/>
      <c r="P53368" s="3337"/>
    </row>
    <row r="53369" spans="7:16" s="1634" customFormat="1">
      <c r="G53369" s="3336"/>
      <c r="P53369" s="3337"/>
    </row>
    <row r="53370" spans="7:16" s="1634" customFormat="1">
      <c r="G53370" s="3336"/>
      <c r="P53370" s="3337"/>
    </row>
    <row r="53371" spans="7:16" s="1634" customFormat="1">
      <c r="G53371" s="3336"/>
      <c r="P53371" s="3337"/>
    </row>
    <row r="53372" spans="7:16" s="1634" customFormat="1">
      <c r="G53372" s="3336"/>
      <c r="P53372" s="3337"/>
    </row>
    <row r="53373" spans="7:16" s="1634" customFormat="1">
      <c r="G53373" s="3336"/>
      <c r="P53373" s="3337"/>
    </row>
    <row r="53374" spans="7:16" s="1634" customFormat="1">
      <c r="G53374" s="3336"/>
      <c r="P53374" s="3337"/>
    </row>
    <row r="53375" spans="7:16" s="1634" customFormat="1">
      <c r="G53375" s="3336"/>
      <c r="P53375" s="3337"/>
    </row>
    <row r="53376" spans="7:16" s="1634" customFormat="1">
      <c r="G53376" s="3336"/>
      <c r="P53376" s="3337"/>
    </row>
    <row r="53377" spans="7:16" s="1634" customFormat="1">
      <c r="G53377" s="3336"/>
      <c r="P53377" s="3337"/>
    </row>
    <row r="53378" spans="7:16" s="1634" customFormat="1">
      <c r="G53378" s="3336"/>
      <c r="P53378" s="3337"/>
    </row>
    <row r="53379" spans="7:16" s="1634" customFormat="1">
      <c r="G53379" s="3336"/>
      <c r="P53379" s="3337"/>
    </row>
    <row r="53380" spans="7:16" s="1634" customFormat="1">
      <c r="G53380" s="3336"/>
      <c r="P53380" s="3337"/>
    </row>
    <row r="53381" spans="7:16" s="1634" customFormat="1">
      <c r="G53381" s="3336"/>
      <c r="P53381" s="3337"/>
    </row>
    <row r="53382" spans="7:16" s="1634" customFormat="1">
      <c r="G53382" s="3336"/>
      <c r="P53382" s="3337"/>
    </row>
    <row r="53383" spans="7:16" s="1634" customFormat="1">
      <c r="G53383" s="3336"/>
      <c r="P53383" s="3337"/>
    </row>
    <row r="53384" spans="7:16" s="1634" customFormat="1">
      <c r="G53384" s="3336"/>
      <c r="P53384" s="3337"/>
    </row>
    <row r="53385" spans="7:16" s="1634" customFormat="1">
      <c r="G53385" s="3336"/>
      <c r="P53385" s="3337"/>
    </row>
    <row r="53386" spans="7:16" s="1634" customFormat="1">
      <c r="G53386" s="3336"/>
      <c r="P53386" s="3337"/>
    </row>
    <row r="53387" spans="7:16" s="1634" customFormat="1">
      <c r="G53387" s="3336"/>
      <c r="P53387" s="3337"/>
    </row>
    <row r="53388" spans="7:16" s="1634" customFormat="1">
      <c r="G53388" s="3336"/>
      <c r="P53388" s="3337"/>
    </row>
    <row r="53389" spans="7:16" s="1634" customFormat="1">
      <c r="G53389" s="3336"/>
      <c r="P53389" s="3337"/>
    </row>
    <row r="53390" spans="7:16" s="1634" customFormat="1">
      <c r="G53390" s="3336"/>
      <c r="P53390" s="3337"/>
    </row>
    <row r="53391" spans="7:16" s="1634" customFormat="1">
      <c r="G53391" s="3336"/>
      <c r="P53391" s="3337"/>
    </row>
    <row r="53392" spans="7:16" s="1634" customFormat="1">
      <c r="G53392" s="3336"/>
      <c r="P53392" s="3337"/>
    </row>
    <row r="53393" spans="7:16" s="1634" customFormat="1">
      <c r="G53393" s="3336"/>
      <c r="P53393" s="3337"/>
    </row>
    <row r="53394" spans="7:16" s="1634" customFormat="1">
      <c r="G53394" s="3336"/>
      <c r="P53394" s="3337"/>
    </row>
    <row r="53395" spans="7:16" s="1634" customFormat="1">
      <c r="G53395" s="3336"/>
      <c r="P53395" s="3337"/>
    </row>
    <row r="53396" spans="7:16" s="1634" customFormat="1">
      <c r="G53396" s="3336"/>
      <c r="P53396" s="3337"/>
    </row>
    <row r="53397" spans="7:16" s="1634" customFormat="1">
      <c r="G53397" s="3336"/>
      <c r="P53397" s="3337"/>
    </row>
    <row r="53398" spans="7:16" s="1634" customFormat="1">
      <c r="G53398" s="3336"/>
      <c r="P53398" s="3337"/>
    </row>
    <row r="53399" spans="7:16" s="1634" customFormat="1">
      <c r="G53399" s="3336"/>
      <c r="P53399" s="3337"/>
    </row>
    <row r="53400" spans="7:16" s="1634" customFormat="1">
      <c r="G53400" s="3336"/>
      <c r="P53400" s="3337"/>
    </row>
    <row r="53401" spans="7:16" s="1634" customFormat="1">
      <c r="G53401" s="3336"/>
      <c r="P53401" s="3337"/>
    </row>
    <row r="53402" spans="7:16" s="1634" customFormat="1">
      <c r="G53402" s="3336"/>
      <c r="P53402" s="3337"/>
    </row>
    <row r="53403" spans="7:16" s="1634" customFormat="1">
      <c r="G53403" s="3336"/>
      <c r="P53403" s="3337"/>
    </row>
    <row r="53404" spans="7:16" s="1634" customFormat="1">
      <c r="G53404" s="3336"/>
      <c r="P53404" s="3337"/>
    </row>
    <row r="53405" spans="7:16" s="1634" customFormat="1">
      <c r="G53405" s="3336"/>
      <c r="P53405" s="3337"/>
    </row>
    <row r="53406" spans="7:16" s="1634" customFormat="1">
      <c r="G53406" s="3336"/>
      <c r="P53406" s="3337"/>
    </row>
    <row r="53407" spans="7:16" s="1634" customFormat="1">
      <c r="G53407" s="3336"/>
      <c r="P53407" s="3337"/>
    </row>
    <row r="53408" spans="7:16" s="1634" customFormat="1">
      <c r="G53408" s="3336"/>
      <c r="P53408" s="3337"/>
    </row>
    <row r="53409" spans="7:16" s="1634" customFormat="1">
      <c r="G53409" s="3336"/>
      <c r="P53409" s="3337"/>
    </row>
    <row r="53410" spans="7:16" s="1634" customFormat="1">
      <c r="G53410" s="3336"/>
      <c r="P53410" s="3337"/>
    </row>
    <row r="53411" spans="7:16" s="1634" customFormat="1">
      <c r="G53411" s="3336"/>
      <c r="P53411" s="3337"/>
    </row>
    <row r="53412" spans="7:16" s="1634" customFormat="1">
      <c r="G53412" s="3336"/>
      <c r="P53412" s="3337"/>
    </row>
    <row r="53413" spans="7:16" s="1634" customFormat="1">
      <c r="G53413" s="3336"/>
      <c r="P53413" s="3337"/>
    </row>
    <row r="53414" spans="7:16" s="1634" customFormat="1">
      <c r="G53414" s="3336"/>
      <c r="P53414" s="3337"/>
    </row>
    <row r="53415" spans="7:16" s="1634" customFormat="1">
      <c r="G53415" s="3336"/>
      <c r="P53415" s="3337"/>
    </row>
    <row r="53416" spans="7:16" s="1634" customFormat="1">
      <c r="G53416" s="3336"/>
      <c r="P53416" s="3337"/>
    </row>
    <row r="53417" spans="7:16" s="1634" customFormat="1">
      <c r="G53417" s="3336"/>
      <c r="P53417" s="3337"/>
    </row>
    <row r="53418" spans="7:16" s="1634" customFormat="1">
      <c r="G53418" s="3336"/>
      <c r="P53418" s="3337"/>
    </row>
    <row r="53419" spans="7:16" s="1634" customFormat="1">
      <c r="G53419" s="3336"/>
      <c r="P53419" s="3337"/>
    </row>
    <row r="53420" spans="7:16" s="1634" customFormat="1">
      <c r="G53420" s="3336"/>
      <c r="P53420" s="3337"/>
    </row>
    <row r="53421" spans="7:16" s="1634" customFormat="1">
      <c r="G53421" s="3336"/>
      <c r="P53421" s="3337"/>
    </row>
    <row r="53422" spans="7:16" s="1634" customFormat="1">
      <c r="G53422" s="3336"/>
      <c r="P53422" s="3337"/>
    </row>
    <row r="53423" spans="7:16" s="1634" customFormat="1">
      <c r="G53423" s="3336"/>
      <c r="P53423" s="3337"/>
    </row>
    <row r="53424" spans="7:16" s="1634" customFormat="1">
      <c r="G53424" s="3336"/>
      <c r="P53424" s="3337"/>
    </row>
    <row r="53425" spans="7:16" s="1634" customFormat="1">
      <c r="G53425" s="3336"/>
      <c r="P53425" s="3337"/>
    </row>
    <row r="53426" spans="7:16" s="1634" customFormat="1">
      <c r="G53426" s="3336"/>
      <c r="P53426" s="3337"/>
    </row>
    <row r="53427" spans="7:16" s="1634" customFormat="1">
      <c r="G53427" s="3336"/>
      <c r="P53427" s="3337"/>
    </row>
    <row r="53428" spans="7:16" s="1634" customFormat="1">
      <c r="G53428" s="3336"/>
      <c r="P53428" s="3337"/>
    </row>
    <row r="53429" spans="7:16" s="1634" customFormat="1">
      <c r="G53429" s="3336"/>
      <c r="P53429" s="3337"/>
    </row>
    <row r="53430" spans="7:16" s="1634" customFormat="1">
      <c r="G53430" s="3336"/>
      <c r="P53430" s="3337"/>
    </row>
    <row r="53431" spans="7:16" s="1634" customFormat="1">
      <c r="G53431" s="3336"/>
      <c r="P53431" s="3337"/>
    </row>
    <row r="53432" spans="7:16" s="1634" customFormat="1">
      <c r="G53432" s="3336"/>
      <c r="P53432" s="3337"/>
    </row>
    <row r="53433" spans="7:16" s="1634" customFormat="1">
      <c r="G53433" s="3336"/>
      <c r="P53433" s="3337"/>
    </row>
    <row r="53434" spans="7:16" s="1634" customFormat="1">
      <c r="G53434" s="3336"/>
      <c r="P53434" s="3337"/>
    </row>
    <row r="53435" spans="7:16" s="1634" customFormat="1">
      <c r="G53435" s="3336"/>
      <c r="P53435" s="3337"/>
    </row>
    <row r="53436" spans="7:16" s="1634" customFormat="1">
      <c r="G53436" s="3336"/>
      <c r="P53436" s="3337"/>
    </row>
    <row r="53437" spans="7:16" s="1634" customFormat="1">
      <c r="G53437" s="3336"/>
      <c r="P53437" s="3337"/>
    </row>
    <row r="53438" spans="7:16" s="1634" customFormat="1">
      <c r="G53438" s="3336"/>
      <c r="P53438" s="3337"/>
    </row>
    <row r="53439" spans="7:16" s="1634" customFormat="1">
      <c r="G53439" s="3336"/>
      <c r="P53439" s="3337"/>
    </row>
    <row r="53440" spans="7:16" s="1634" customFormat="1">
      <c r="G53440" s="3336"/>
      <c r="P53440" s="3337"/>
    </row>
    <row r="53441" spans="7:16" s="1634" customFormat="1">
      <c r="G53441" s="3336"/>
      <c r="P53441" s="3337"/>
    </row>
    <row r="53442" spans="7:16" s="1634" customFormat="1">
      <c r="G53442" s="3336"/>
      <c r="P53442" s="3337"/>
    </row>
    <row r="53443" spans="7:16" s="1634" customFormat="1">
      <c r="G53443" s="3336"/>
      <c r="P53443" s="3337"/>
    </row>
    <row r="53444" spans="7:16" s="1634" customFormat="1">
      <c r="G53444" s="3336"/>
      <c r="P53444" s="3337"/>
    </row>
    <row r="53445" spans="7:16" s="1634" customFormat="1">
      <c r="G53445" s="3336"/>
      <c r="P53445" s="3337"/>
    </row>
    <row r="53446" spans="7:16" s="1634" customFormat="1">
      <c r="G53446" s="3336"/>
      <c r="P53446" s="3337"/>
    </row>
    <row r="53447" spans="7:16" s="1634" customFormat="1">
      <c r="G53447" s="3336"/>
      <c r="P53447" s="3337"/>
    </row>
    <row r="53448" spans="7:16" s="1634" customFormat="1">
      <c r="G53448" s="3336"/>
      <c r="P53448" s="3337"/>
    </row>
    <row r="53449" spans="7:16" s="1634" customFormat="1">
      <c r="G53449" s="3336"/>
      <c r="P53449" s="3337"/>
    </row>
    <row r="53450" spans="7:16" s="1634" customFormat="1">
      <c r="G53450" s="3336"/>
      <c r="P53450" s="3337"/>
    </row>
    <row r="53451" spans="7:16" s="1634" customFormat="1">
      <c r="G53451" s="3336"/>
      <c r="P53451" s="3337"/>
    </row>
    <row r="53452" spans="7:16" s="1634" customFormat="1">
      <c r="G53452" s="3336"/>
      <c r="P53452" s="3337"/>
    </row>
    <row r="53453" spans="7:16" s="1634" customFormat="1">
      <c r="G53453" s="3336"/>
      <c r="P53453" s="3337"/>
    </row>
    <row r="53454" spans="7:16" s="1634" customFormat="1">
      <c r="G53454" s="3336"/>
      <c r="P53454" s="3337"/>
    </row>
    <row r="53455" spans="7:16" s="1634" customFormat="1">
      <c r="G53455" s="3336"/>
      <c r="P53455" s="3337"/>
    </row>
    <row r="53456" spans="7:16" s="1634" customFormat="1">
      <c r="G53456" s="3336"/>
      <c r="P53456" s="3337"/>
    </row>
    <row r="53457" spans="7:16" s="1634" customFormat="1">
      <c r="G53457" s="3336"/>
      <c r="P53457" s="3337"/>
    </row>
    <row r="53458" spans="7:16" s="1634" customFormat="1">
      <c r="G53458" s="3336"/>
      <c r="P53458" s="3337"/>
    </row>
    <row r="53459" spans="7:16" s="1634" customFormat="1">
      <c r="G53459" s="3336"/>
      <c r="P53459" s="3337"/>
    </row>
    <row r="53460" spans="7:16" s="1634" customFormat="1">
      <c r="G53460" s="3336"/>
      <c r="P53460" s="3337"/>
    </row>
    <row r="53461" spans="7:16" s="1634" customFormat="1">
      <c r="G53461" s="3336"/>
      <c r="P53461" s="3337"/>
    </row>
    <row r="53462" spans="7:16" s="1634" customFormat="1">
      <c r="G53462" s="3336"/>
      <c r="P53462" s="3337"/>
    </row>
    <row r="53463" spans="7:16" s="1634" customFormat="1">
      <c r="G53463" s="3336"/>
      <c r="P53463" s="3337"/>
    </row>
    <row r="53464" spans="7:16" s="1634" customFormat="1">
      <c r="G53464" s="3336"/>
      <c r="P53464" s="3337"/>
    </row>
    <row r="53465" spans="7:16" s="1634" customFormat="1">
      <c r="G53465" s="3336"/>
      <c r="P53465" s="3337"/>
    </row>
    <row r="53466" spans="7:16" s="1634" customFormat="1">
      <c r="G53466" s="3336"/>
      <c r="P53466" s="3337"/>
    </row>
    <row r="53467" spans="7:16" s="1634" customFormat="1">
      <c r="G53467" s="3336"/>
      <c r="P53467" s="3337"/>
    </row>
    <row r="53468" spans="7:16" s="1634" customFormat="1">
      <c r="G53468" s="3336"/>
      <c r="P53468" s="3337"/>
    </row>
    <row r="53469" spans="7:16" s="1634" customFormat="1">
      <c r="G53469" s="3336"/>
      <c r="P53469" s="3337"/>
    </row>
    <row r="53470" spans="7:16" s="1634" customFormat="1">
      <c r="G53470" s="3336"/>
      <c r="P53470" s="3337"/>
    </row>
    <row r="53471" spans="7:16" s="1634" customFormat="1">
      <c r="G53471" s="3336"/>
      <c r="P53471" s="3337"/>
    </row>
    <row r="53472" spans="7:16" s="1634" customFormat="1">
      <c r="G53472" s="3336"/>
      <c r="P53472" s="3337"/>
    </row>
    <row r="53473" spans="7:16" s="1634" customFormat="1">
      <c r="G53473" s="3336"/>
      <c r="P53473" s="3337"/>
    </row>
    <row r="53474" spans="7:16" s="1634" customFormat="1">
      <c r="G53474" s="3336"/>
      <c r="P53474" s="3337"/>
    </row>
    <row r="53475" spans="7:16" s="1634" customFormat="1">
      <c r="G53475" s="3336"/>
      <c r="P53475" s="3337"/>
    </row>
    <row r="53476" spans="7:16" s="1634" customFormat="1">
      <c r="G53476" s="3336"/>
      <c r="P53476" s="3337"/>
    </row>
    <row r="53477" spans="7:16" s="1634" customFormat="1">
      <c r="G53477" s="3336"/>
      <c r="P53477" s="3337"/>
    </row>
    <row r="53478" spans="7:16" s="1634" customFormat="1">
      <c r="G53478" s="3336"/>
      <c r="P53478" s="3337"/>
    </row>
    <row r="53479" spans="7:16" s="1634" customFormat="1">
      <c r="G53479" s="3336"/>
      <c r="P53479" s="3337"/>
    </row>
    <row r="53480" spans="7:16" s="1634" customFormat="1">
      <c r="G53480" s="3336"/>
      <c r="P53480" s="3337"/>
    </row>
    <row r="53481" spans="7:16" s="1634" customFormat="1">
      <c r="G53481" s="3336"/>
      <c r="P53481" s="3337"/>
    </row>
    <row r="53482" spans="7:16" s="1634" customFormat="1">
      <c r="G53482" s="3336"/>
      <c r="P53482" s="3337"/>
    </row>
    <row r="53483" spans="7:16" s="1634" customFormat="1">
      <c r="G53483" s="3336"/>
      <c r="P53483" s="3337"/>
    </row>
    <row r="53484" spans="7:16" s="1634" customFormat="1">
      <c r="G53484" s="3336"/>
      <c r="P53484" s="3337"/>
    </row>
    <row r="53485" spans="7:16" s="1634" customFormat="1">
      <c r="G53485" s="3336"/>
      <c r="P53485" s="3337"/>
    </row>
    <row r="53486" spans="7:16" s="1634" customFormat="1">
      <c r="G53486" s="3336"/>
      <c r="P53486" s="3337"/>
    </row>
    <row r="53487" spans="7:16" s="1634" customFormat="1">
      <c r="G53487" s="3336"/>
      <c r="P53487" s="3337"/>
    </row>
    <row r="53488" spans="7:16" s="1634" customFormat="1">
      <c r="G53488" s="3336"/>
      <c r="P53488" s="3337"/>
    </row>
    <row r="53489" spans="7:16" s="1634" customFormat="1">
      <c r="G53489" s="3336"/>
      <c r="P53489" s="3337"/>
    </row>
    <row r="53490" spans="7:16" s="1634" customFormat="1">
      <c r="G53490" s="3336"/>
      <c r="P53490" s="3337"/>
    </row>
    <row r="53491" spans="7:16" s="1634" customFormat="1">
      <c r="G53491" s="3336"/>
      <c r="P53491" s="3337"/>
    </row>
    <row r="53492" spans="7:16" s="1634" customFormat="1">
      <c r="G53492" s="3336"/>
      <c r="P53492" s="3337"/>
    </row>
    <row r="53493" spans="7:16" s="1634" customFormat="1">
      <c r="G53493" s="3336"/>
      <c r="P53493" s="3337"/>
    </row>
    <row r="53494" spans="7:16" s="1634" customFormat="1">
      <c r="G53494" s="3336"/>
      <c r="P53494" s="3337"/>
    </row>
    <row r="53495" spans="7:16" s="1634" customFormat="1">
      <c r="G53495" s="3336"/>
      <c r="P53495" s="3337"/>
    </row>
    <row r="53496" spans="7:16" s="1634" customFormat="1">
      <c r="G53496" s="3336"/>
      <c r="P53496" s="3337"/>
    </row>
    <row r="53497" spans="7:16" s="1634" customFormat="1">
      <c r="G53497" s="3336"/>
      <c r="P53497" s="3337"/>
    </row>
    <row r="53498" spans="7:16" s="1634" customFormat="1">
      <c r="G53498" s="3336"/>
      <c r="P53498" s="3337"/>
    </row>
    <row r="53499" spans="7:16" s="1634" customFormat="1">
      <c r="G53499" s="3336"/>
      <c r="P53499" s="3337"/>
    </row>
    <row r="53500" spans="7:16" s="1634" customFormat="1">
      <c r="G53500" s="3336"/>
      <c r="P53500" s="3337"/>
    </row>
    <row r="53501" spans="7:16" s="1634" customFormat="1">
      <c r="G53501" s="3336"/>
      <c r="P53501" s="3337"/>
    </row>
    <row r="53502" spans="7:16" s="1634" customFormat="1">
      <c r="G53502" s="3336"/>
      <c r="P53502" s="3337"/>
    </row>
    <row r="53503" spans="7:16" s="1634" customFormat="1">
      <c r="G53503" s="3336"/>
      <c r="P53503" s="3337"/>
    </row>
    <row r="53504" spans="7:16" s="1634" customFormat="1">
      <c r="G53504" s="3336"/>
      <c r="P53504" s="3337"/>
    </row>
    <row r="53505" spans="7:16" s="1634" customFormat="1">
      <c r="G53505" s="3336"/>
      <c r="P53505" s="3337"/>
    </row>
    <row r="53506" spans="7:16" s="1634" customFormat="1">
      <c r="G53506" s="3336"/>
      <c r="P53506" s="3337"/>
    </row>
    <row r="53507" spans="7:16" s="1634" customFormat="1">
      <c r="G53507" s="3336"/>
      <c r="P53507" s="3337"/>
    </row>
    <row r="53508" spans="7:16" s="1634" customFormat="1">
      <c r="G53508" s="3336"/>
      <c r="P53508" s="3337"/>
    </row>
    <row r="53509" spans="7:16" s="1634" customFormat="1">
      <c r="G53509" s="3336"/>
      <c r="P53509" s="3337"/>
    </row>
    <row r="53510" spans="7:16" s="1634" customFormat="1">
      <c r="G53510" s="3336"/>
      <c r="P53510" s="3337"/>
    </row>
    <row r="53511" spans="7:16" s="1634" customFormat="1">
      <c r="G53511" s="3336"/>
      <c r="P53511" s="3337"/>
    </row>
    <row r="53512" spans="7:16" s="1634" customFormat="1">
      <c r="G53512" s="3336"/>
      <c r="P53512" s="3337"/>
    </row>
    <row r="53513" spans="7:16" s="1634" customFormat="1">
      <c r="G53513" s="3336"/>
      <c r="P53513" s="3337"/>
    </row>
    <row r="53514" spans="7:16" s="1634" customFormat="1">
      <c r="G53514" s="3336"/>
      <c r="P53514" s="3337"/>
    </row>
    <row r="53515" spans="7:16" s="1634" customFormat="1">
      <c r="G53515" s="3336"/>
      <c r="P53515" s="3337"/>
    </row>
    <row r="53516" spans="7:16" s="1634" customFormat="1">
      <c r="G53516" s="3336"/>
      <c r="P53516" s="3337"/>
    </row>
    <row r="53517" spans="7:16" s="1634" customFormat="1">
      <c r="G53517" s="3336"/>
      <c r="P53517" s="3337"/>
    </row>
    <row r="53518" spans="7:16" s="1634" customFormat="1">
      <c r="G53518" s="3336"/>
      <c r="P53518" s="3337"/>
    </row>
    <row r="53519" spans="7:16" s="1634" customFormat="1">
      <c r="G53519" s="3336"/>
      <c r="P53519" s="3337"/>
    </row>
    <row r="53520" spans="7:16" s="1634" customFormat="1">
      <c r="G53520" s="3336"/>
      <c r="P53520" s="3337"/>
    </row>
    <row r="53521" spans="7:16" s="1634" customFormat="1">
      <c r="G53521" s="3336"/>
      <c r="P53521" s="3337"/>
    </row>
    <row r="53522" spans="7:16" s="1634" customFormat="1">
      <c r="G53522" s="3336"/>
      <c r="P53522" s="3337"/>
    </row>
    <row r="53523" spans="7:16" s="1634" customFormat="1">
      <c r="G53523" s="3336"/>
      <c r="P53523" s="3337"/>
    </row>
    <row r="53524" spans="7:16" s="1634" customFormat="1">
      <c r="G53524" s="3336"/>
      <c r="P53524" s="3337"/>
    </row>
    <row r="53525" spans="7:16" s="1634" customFormat="1">
      <c r="G53525" s="3336"/>
      <c r="P53525" s="3337"/>
    </row>
    <row r="53526" spans="7:16" s="1634" customFormat="1">
      <c r="G53526" s="3336"/>
      <c r="P53526" s="3337"/>
    </row>
    <row r="53527" spans="7:16" s="1634" customFormat="1">
      <c r="G53527" s="3336"/>
      <c r="P53527" s="3337"/>
    </row>
    <row r="53528" spans="7:16" s="1634" customFormat="1">
      <c r="G53528" s="3336"/>
      <c r="P53528" s="3337"/>
    </row>
    <row r="53529" spans="7:16" s="1634" customFormat="1">
      <c r="G53529" s="3336"/>
      <c r="P53529" s="3337"/>
    </row>
    <row r="53530" spans="7:16" s="1634" customFormat="1">
      <c r="G53530" s="3336"/>
      <c r="P53530" s="3337"/>
    </row>
    <row r="53531" spans="7:16" s="1634" customFormat="1">
      <c r="G53531" s="3336"/>
      <c r="P53531" s="3337"/>
    </row>
    <row r="53532" spans="7:16" s="1634" customFormat="1">
      <c r="G53532" s="3336"/>
      <c r="P53532" s="3337"/>
    </row>
    <row r="53533" spans="7:16" s="1634" customFormat="1">
      <c r="G53533" s="3336"/>
      <c r="P53533" s="3337"/>
    </row>
    <row r="53534" spans="7:16" s="1634" customFormat="1">
      <c r="G53534" s="3336"/>
      <c r="P53534" s="3337"/>
    </row>
    <row r="53535" spans="7:16" s="1634" customFormat="1">
      <c r="G53535" s="3336"/>
      <c r="P53535" s="3337"/>
    </row>
    <row r="53536" spans="7:16" s="1634" customFormat="1">
      <c r="G53536" s="3336"/>
      <c r="P53536" s="3337"/>
    </row>
    <row r="53537" spans="7:16" s="1634" customFormat="1">
      <c r="G53537" s="3336"/>
      <c r="P53537" s="3337"/>
    </row>
    <row r="53538" spans="7:16" s="1634" customFormat="1">
      <c r="G53538" s="3336"/>
      <c r="P53538" s="3337"/>
    </row>
    <row r="53539" spans="7:16" s="1634" customFormat="1">
      <c r="G53539" s="3336"/>
      <c r="P53539" s="3337"/>
    </row>
    <row r="53540" spans="7:16" s="1634" customFormat="1">
      <c r="G53540" s="3336"/>
      <c r="P53540" s="3337"/>
    </row>
    <row r="53541" spans="7:16" s="1634" customFormat="1">
      <c r="G53541" s="3336"/>
      <c r="P53541" s="3337"/>
    </row>
    <row r="53542" spans="7:16" s="1634" customFormat="1">
      <c r="G53542" s="3336"/>
      <c r="P53542" s="3337"/>
    </row>
    <row r="53543" spans="7:16" s="1634" customFormat="1">
      <c r="G53543" s="3336"/>
      <c r="P53543" s="3337"/>
    </row>
    <row r="53544" spans="7:16" s="1634" customFormat="1">
      <c r="G53544" s="3336"/>
      <c r="P53544" s="3337"/>
    </row>
    <row r="53545" spans="7:16" s="1634" customFormat="1">
      <c r="G53545" s="3336"/>
      <c r="P53545" s="3337"/>
    </row>
    <row r="53546" spans="7:16" s="1634" customFormat="1">
      <c r="G53546" s="3336"/>
      <c r="P53546" s="3337"/>
    </row>
    <row r="53547" spans="7:16" s="1634" customFormat="1">
      <c r="G53547" s="3336"/>
      <c r="P53547" s="3337"/>
    </row>
    <row r="53548" spans="7:16" s="1634" customFormat="1">
      <c r="G53548" s="3336"/>
      <c r="P53548" s="3337"/>
    </row>
    <row r="53549" spans="7:16" s="1634" customFormat="1">
      <c r="G53549" s="3336"/>
      <c r="P53549" s="3337"/>
    </row>
    <row r="53550" spans="7:16" s="1634" customFormat="1">
      <c r="G53550" s="3336"/>
      <c r="P53550" s="3337"/>
    </row>
    <row r="53551" spans="7:16" s="1634" customFormat="1">
      <c r="G53551" s="3336"/>
      <c r="P53551" s="3337"/>
    </row>
    <row r="53552" spans="7:16" s="1634" customFormat="1">
      <c r="G53552" s="3336"/>
      <c r="P53552" s="3337"/>
    </row>
    <row r="53553" spans="7:16" s="1634" customFormat="1">
      <c r="G53553" s="3336"/>
      <c r="P53553" s="3337"/>
    </row>
    <row r="53554" spans="7:16" s="1634" customFormat="1">
      <c r="G53554" s="3336"/>
      <c r="P53554" s="3337"/>
    </row>
    <row r="53555" spans="7:16" s="1634" customFormat="1">
      <c r="G53555" s="3336"/>
      <c r="P53555" s="3337"/>
    </row>
    <row r="53556" spans="7:16" s="1634" customFormat="1">
      <c r="G53556" s="3336"/>
      <c r="P53556" s="3337"/>
    </row>
    <row r="53557" spans="7:16" s="1634" customFormat="1">
      <c r="G53557" s="3336"/>
      <c r="P53557" s="3337"/>
    </row>
    <row r="53558" spans="7:16" s="1634" customFormat="1">
      <c r="G53558" s="3336"/>
      <c r="P53558" s="3337"/>
    </row>
    <row r="53559" spans="7:16" s="1634" customFormat="1">
      <c r="G53559" s="3336"/>
      <c r="P53559" s="3337"/>
    </row>
    <row r="53560" spans="7:16" s="1634" customFormat="1">
      <c r="G53560" s="3336"/>
      <c r="P53560" s="3337"/>
    </row>
    <row r="53561" spans="7:16" s="1634" customFormat="1">
      <c r="G53561" s="3336"/>
      <c r="P53561" s="3337"/>
    </row>
    <row r="53562" spans="7:16" s="1634" customFormat="1">
      <c r="G53562" s="3336"/>
      <c r="P53562" s="3337"/>
    </row>
    <row r="53563" spans="7:16" s="1634" customFormat="1">
      <c r="G53563" s="3336"/>
      <c r="P53563" s="3337"/>
    </row>
    <row r="53564" spans="7:16" s="1634" customFormat="1">
      <c r="G53564" s="3336"/>
      <c r="P53564" s="3337"/>
    </row>
    <row r="53565" spans="7:16" s="1634" customFormat="1">
      <c r="G53565" s="3336"/>
      <c r="P53565" s="3337"/>
    </row>
    <row r="53566" spans="7:16" s="1634" customFormat="1">
      <c r="G53566" s="3336"/>
      <c r="P53566" s="3337"/>
    </row>
    <row r="53567" spans="7:16" s="1634" customFormat="1">
      <c r="G53567" s="3336"/>
      <c r="P53567" s="3337"/>
    </row>
    <row r="53568" spans="7:16" s="1634" customFormat="1">
      <c r="G53568" s="3336"/>
      <c r="P53568" s="3337"/>
    </row>
    <row r="53569" spans="7:16" s="1634" customFormat="1">
      <c r="G53569" s="3336"/>
      <c r="P53569" s="3337"/>
    </row>
    <row r="53570" spans="7:16" s="1634" customFormat="1">
      <c r="G53570" s="3336"/>
      <c r="P53570" s="3337"/>
    </row>
    <row r="53571" spans="7:16" s="1634" customFormat="1">
      <c r="G53571" s="3336"/>
      <c r="P53571" s="3337"/>
    </row>
    <row r="53572" spans="7:16" s="1634" customFormat="1">
      <c r="G53572" s="3336"/>
      <c r="P53572" s="3337"/>
    </row>
    <row r="53573" spans="7:16" s="1634" customFormat="1">
      <c r="G53573" s="3336"/>
      <c r="P53573" s="3337"/>
    </row>
    <row r="53574" spans="7:16" s="1634" customFormat="1">
      <c r="G53574" s="3336"/>
      <c r="P53574" s="3337"/>
    </row>
    <row r="53575" spans="7:16" s="1634" customFormat="1">
      <c r="G53575" s="3336"/>
      <c r="P53575" s="3337"/>
    </row>
    <row r="53576" spans="7:16" s="1634" customFormat="1">
      <c r="G53576" s="3336"/>
      <c r="P53576" s="3337"/>
    </row>
    <row r="53577" spans="7:16" s="1634" customFormat="1">
      <c r="G53577" s="3336"/>
      <c r="P53577" s="3337"/>
    </row>
    <row r="53578" spans="7:16" s="1634" customFormat="1">
      <c r="G53578" s="3336"/>
      <c r="P53578" s="3337"/>
    </row>
    <row r="53579" spans="7:16" s="1634" customFormat="1">
      <c r="G53579" s="3336"/>
      <c r="P53579" s="3337"/>
    </row>
    <row r="53580" spans="7:16" s="1634" customFormat="1">
      <c r="G53580" s="3336"/>
      <c r="P53580" s="3337"/>
    </row>
    <row r="53581" spans="7:16" s="1634" customFormat="1">
      <c r="G53581" s="3336"/>
      <c r="P53581" s="3337"/>
    </row>
    <row r="53582" spans="7:16" s="1634" customFormat="1">
      <c r="G53582" s="3336"/>
      <c r="P53582" s="3337"/>
    </row>
    <row r="53583" spans="7:16" s="1634" customFormat="1">
      <c r="G53583" s="3336"/>
      <c r="P53583" s="3337"/>
    </row>
    <row r="53584" spans="7:16" s="1634" customFormat="1">
      <c r="G53584" s="3336"/>
      <c r="P53584" s="3337"/>
    </row>
    <row r="53585" spans="7:16" s="1634" customFormat="1">
      <c r="G53585" s="3336"/>
      <c r="P53585" s="3337"/>
    </row>
    <row r="53586" spans="7:16" s="1634" customFormat="1">
      <c r="G53586" s="3336"/>
      <c r="P53586" s="3337"/>
    </row>
    <row r="53587" spans="7:16" s="1634" customFormat="1">
      <c r="G53587" s="3336"/>
      <c r="P53587" s="3337"/>
    </row>
    <row r="53588" spans="7:16" s="1634" customFormat="1">
      <c r="G53588" s="3336"/>
      <c r="P53588" s="3337"/>
    </row>
    <row r="53589" spans="7:16" s="1634" customFormat="1">
      <c r="G53589" s="3336"/>
      <c r="P53589" s="3337"/>
    </row>
    <row r="53590" spans="7:16" s="1634" customFormat="1">
      <c r="G53590" s="3336"/>
      <c r="P53590" s="3337"/>
    </row>
    <row r="53591" spans="7:16" s="1634" customFormat="1">
      <c r="G53591" s="3336"/>
      <c r="P53591" s="3337"/>
    </row>
    <row r="53592" spans="7:16" s="1634" customFormat="1">
      <c r="G53592" s="3336"/>
      <c r="P53592" s="3337"/>
    </row>
    <row r="53593" spans="7:16" s="1634" customFormat="1">
      <c r="G53593" s="3336"/>
      <c r="P53593" s="3337"/>
    </row>
    <row r="53594" spans="7:16" s="1634" customFormat="1">
      <c r="G53594" s="3336"/>
      <c r="P53594" s="3337"/>
    </row>
    <row r="53595" spans="7:16" s="1634" customFormat="1">
      <c r="G53595" s="3336"/>
      <c r="P53595" s="3337"/>
    </row>
    <row r="53596" spans="7:16" s="1634" customFormat="1">
      <c r="G53596" s="3336"/>
      <c r="P53596" s="3337"/>
    </row>
    <row r="53597" spans="7:16" s="1634" customFormat="1">
      <c r="G53597" s="3336"/>
      <c r="P53597" s="3337"/>
    </row>
    <row r="53598" spans="7:16" s="1634" customFormat="1">
      <c r="G53598" s="3336"/>
      <c r="P53598" s="3337"/>
    </row>
    <row r="53599" spans="7:16" s="1634" customFormat="1">
      <c r="G53599" s="3336"/>
      <c r="P53599" s="3337"/>
    </row>
    <row r="53600" spans="7:16" s="1634" customFormat="1">
      <c r="G53600" s="3336"/>
      <c r="P53600" s="3337"/>
    </row>
    <row r="53601" spans="7:16" s="1634" customFormat="1">
      <c r="G53601" s="3336"/>
      <c r="P53601" s="3337"/>
    </row>
    <row r="53602" spans="7:16" s="1634" customFormat="1">
      <c r="G53602" s="3336"/>
      <c r="P53602" s="3337"/>
    </row>
    <row r="53603" spans="7:16" s="1634" customFormat="1">
      <c r="G53603" s="3336"/>
      <c r="P53603" s="3337"/>
    </row>
    <row r="53604" spans="7:16" s="1634" customFormat="1">
      <c r="G53604" s="3336"/>
      <c r="P53604" s="3337"/>
    </row>
    <row r="53605" spans="7:16" s="1634" customFormat="1">
      <c r="G53605" s="3336"/>
      <c r="P53605" s="3337"/>
    </row>
    <row r="53606" spans="7:16" s="1634" customFormat="1">
      <c r="G53606" s="3336"/>
      <c r="P53606" s="3337"/>
    </row>
    <row r="53607" spans="7:16" s="1634" customFormat="1">
      <c r="G53607" s="3336"/>
      <c r="P53607" s="3337"/>
    </row>
    <row r="53608" spans="7:16" s="1634" customFormat="1">
      <c r="G53608" s="3336"/>
      <c r="P53608" s="3337"/>
    </row>
    <row r="53609" spans="7:16" s="1634" customFormat="1">
      <c r="G53609" s="3336"/>
      <c r="P53609" s="3337"/>
    </row>
    <row r="53610" spans="7:16" s="1634" customFormat="1">
      <c r="G53610" s="3336"/>
      <c r="P53610" s="3337"/>
    </row>
    <row r="53611" spans="7:16" s="1634" customFormat="1">
      <c r="G53611" s="3336"/>
      <c r="P53611" s="3337"/>
    </row>
    <row r="53612" spans="7:16" s="1634" customFormat="1">
      <c r="G53612" s="3336"/>
      <c r="P53612" s="3337"/>
    </row>
    <row r="53613" spans="7:16" s="1634" customFormat="1">
      <c r="G53613" s="3336"/>
      <c r="P53613" s="3337"/>
    </row>
    <row r="53614" spans="7:16" s="1634" customFormat="1">
      <c r="G53614" s="3336"/>
      <c r="P53614" s="3337"/>
    </row>
    <row r="53615" spans="7:16" s="1634" customFormat="1">
      <c r="G53615" s="3336"/>
      <c r="P53615" s="3337"/>
    </row>
    <row r="53616" spans="7:16" s="1634" customFormat="1">
      <c r="G53616" s="3336"/>
      <c r="P53616" s="3337"/>
    </row>
    <row r="53617" spans="7:16" s="1634" customFormat="1">
      <c r="G53617" s="3336"/>
      <c r="P53617" s="3337"/>
    </row>
    <row r="53618" spans="7:16" s="1634" customFormat="1">
      <c r="G53618" s="3336"/>
      <c r="P53618" s="3337"/>
    </row>
    <row r="53619" spans="7:16" s="1634" customFormat="1">
      <c r="G53619" s="3336"/>
      <c r="P53619" s="3337"/>
    </row>
    <row r="53620" spans="7:16" s="1634" customFormat="1">
      <c r="G53620" s="3336"/>
      <c r="P53620" s="3337"/>
    </row>
    <row r="53621" spans="7:16" s="1634" customFormat="1">
      <c r="G53621" s="3336"/>
      <c r="P53621" s="3337"/>
    </row>
    <row r="53622" spans="7:16" s="1634" customFormat="1">
      <c r="G53622" s="3336"/>
      <c r="P53622" s="3337"/>
    </row>
    <row r="53623" spans="7:16" s="1634" customFormat="1">
      <c r="G53623" s="3336"/>
      <c r="P53623" s="3337"/>
    </row>
    <row r="53624" spans="7:16" s="1634" customFormat="1">
      <c r="G53624" s="3336"/>
      <c r="P53624" s="3337"/>
    </row>
    <row r="53625" spans="7:16" s="1634" customFormat="1">
      <c r="G53625" s="3336"/>
      <c r="P53625" s="3337"/>
    </row>
    <row r="53626" spans="7:16" s="1634" customFormat="1">
      <c r="G53626" s="3336"/>
      <c r="P53626" s="3337"/>
    </row>
    <row r="53627" spans="7:16" s="1634" customFormat="1">
      <c r="G53627" s="3336"/>
      <c r="P53627" s="3337"/>
    </row>
    <row r="53628" spans="7:16" s="1634" customFormat="1">
      <c r="G53628" s="3336"/>
      <c r="P53628" s="3337"/>
    </row>
    <row r="53629" spans="7:16" s="1634" customFormat="1">
      <c r="G53629" s="3336"/>
      <c r="P53629" s="3337"/>
    </row>
    <row r="53630" spans="7:16" s="1634" customFormat="1">
      <c r="G53630" s="3336"/>
      <c r="P53630" s="3337"/>
    </row>
    <row r="53631" spans="7:16" s="1634" customFormat="1">
      <c r="G53631" s="3336"/>
      <c r="P53631" s="3337"/>
    </row>
    <row r="53632" spans="7:16" s="1634" customFormat="1">
      <c r="G53632" s="3336"/>
      <c r="P53632" s="3337"/>
    </row>
    <row r="53633" spans="7:16" s="1634" customFormat="1">
      <c r="G53633" s="3336"/>
      <c r="P53633" s="3337"/>
    </row>
    <row r="53634" spans="7:16" s="1634" customFormat="1">
      <c r="G53634" s="3336"/>
      <c r="P53634" s="3337"/>
    </row>
    <row r="53635" spans="7:16" s="1634" customFormat="1">
      <c r="G53635" s="3336"/>
      <c r="P53635" s="3337"/>
    </row>
    <row r="53636" spans="7:16" s="1634" customFormat="1">
      <c r="G53636" s="3336"/>
      <c r="P53636" s="3337"/>
    </row>
    <row r="53637" spans="7:16" s="1634" customFormat="1">
      <c r="G53637" s="3336"/>
      <c r="P53637" s="3337"/>
    </row>
    <row r="53638" spans="7:16" s="1634" customFormat="1">
      <c r="G53638" s="3336"/>
      <c r="P53638" s="3337"/>
    </row>
    <row r="53639" spans="7:16" s="1634" customFormat="1">
      <c r="G53639" s="3336"/>
      <c r="P53639" s="3337"/>
    </row>
    <row r="53640" spans="7:16" s="1634" customFormat="1">
      <c r="G53640" s="3336"/>
      <c r="P53640" s="3337"/>
    </row>
    <row r="53641" spans="7:16" s="1634" customFormat="1">
      <c r="G53641" s="3336"/>
      <c r="P53641" s="3337"/>
    </row>
    <row r="53642" spans="7:16" s="1634" customFormat="1">
      <c r="G53642" s="3336"/>
      <c r="P53642" s="3337"/>
    </row>
    <row r="53643" spans="7:16" s="1634" customFormat="1">
      <c r="G53643" s="3336"/>
      <c r="P53643" s="3337"/>
    </row>
    <row r="53644" spans="7:16" s="1634" customFormat="1">
      <c r="G53644" s="3336"/>
      <c r="P53644" s="3337"/>
    </row>
    <row r="53645" spans="7:16" s="1634" customFormat="1">
      <c r="G53645" s="3336"/>
      <c r="P53645" s="3337"/>
    </row>
    <row r="53646" spans="7:16" s="1634" customFormat="1">
      <c r="G53646" s="3336"/>
      <c r="P53646" s="3337"/>
    </row>
    <row r="53647" spans="7:16" s="1634" customFormat="1">
      <c r="G53647" s="3336"/>
      <c r="P53647" s="3337"/>
    </row>
    <row r="53648" spans="7:16" s="1634" customFormat="1">
      <c r="G53648" s="3336"/>
      <c r="P53648" s="3337"/>
    </row>
    <row r="53649" spans="7:16" s="1634" customFormat="1">
      <c r="G53649" s="3336"/>
      <c r="P53649" s="3337"/>
    </row>
    <row r="53650" spans="7:16" s="1634" customFormat="1">
      <c r="G53650" s="3336"/>
      <c r="P53650" s="3337"/>
    </row>
    <row r="53651" spans="7:16" s="1634" customFormat="1">
      <c r="G53651" s="3336"/>
      <c r="P53651" s="3337"/>
    </row>
    <row r="53652" spans="7:16" s="1634" customFormat="1">
      <c r="G53652" s="3336"/>
      <c r="P53652" s="3337"/>
    </row>
    <row r="53653" spans="7:16" s="1634" customFormat="1">
      <c r="G53653" s="3336"/>
      <c r="P53653" s="3337"/>
    </row>
    <row r="53654" spans="7:16" s="1634" customFormat="1">
      <c r="G53654" s="3336"/>
      <c r="P53654" s="3337"/>
    </row>
    <row r="53655" spans="7:16" s="1634" customFormat="1">
      <c r="G53655" s="3336"/>
      <c r="P53655" s="3337"/>
    </row>
    <row r="53656" spans="7:16" s="1634" customFormat="1">
      <c r="G53656" s="3336"/>
      <c r="P53656" s="3337"/>
    </row>
    <row r="53657" spans="7:16" s="1634" customFormat="1">
      <c r="G53657" s="3336"/>
      <c r="P53657" s="3337"/>
    </row>
    <row r="53658" spans="7:16" s="1634" customFormat="1">
      <c r="G53658" s="3336"/>
      <c r="P53658" s="3337"/>
    </row>
    <row r="53659" spans="7:16" s="1634" customFormat="1">
      <c r="G53659" s="3336"/>
      <c r="P53659" s="3337"/>
    </row>
    <row r="53660" spans="7:16" s="1634" customFormat="1">
      <c r="G53660" s="3336"/>
      <c r="P53660" s="3337"/>
    </row>
    <row r="53661" spans="7:16" s="1634" customFormat="1">
      <c r="G53661" s="3336"/>
      <c r="P53661" s="3337"/>
    </row>
    <row r="53662" spans="7:16" s="1634" customFormat="1">
      <c r="G53662" s="3336"/>
      <c r="P53662" s="3337"/>
    </row>
    <row r="53663" spans="7:16" s="1634" customFormat="1">
      <c r="G53663" s="3336"/>
      <c r="P53663" s="3337"/>
    </row>
    <row r="53664" spans="7:16" s="1634" customFormat="1">
      <c r="G53664" s="3336"/>
      <c r="P53664" s="3337"/>
    </row>
    <row r="53665" spans="7:16" s="1634" customFormat="1">
      <c r="G53665" s="3336"/>
      <c r="P53665" s="3337"/>
    </row>
    <row r="53666" spans="7:16" s="1634" customFormat="1">
      <c r="G53666" s="3336"/>
      <c r="P53666" s="3337"/>
    </row>
    <row r="53667" spans="7:16" s="1634" customFormat="1">
      <c r="G53667" s="3336"/>
      <c r="P53667" s="3337"/>
    </row>
    <row r="53668" spans="7:16" s="1634" customFormat="1">
      <c r="G53668" s="3336"/>
      <c r="P53668" s="3337"/>
    </row>
    <row r="53669" spans="7:16" s="1634" customFormat="1">
      <c r="G53669" s="3336"/>
      <c r="P53669" s="3337"/>
    </row>
    <row r="53670" spans="7:16" s="1634" customFormat="1">
      <c r="G53670" s="3336"/>
      <c r="P53670" s="3337"/>
    </row>
    <row r="53671" spans="7:16" s="1634" customFormat="1">
      <c r="G53671" s="3336"/>
      <c r="P53671" s="3337"/>
    </row>
    <row r="53672" spans="7:16" s="1634" customFormat="1">
      <c r="G53672" s="3336"/>
      <c r="P53672" s="3337"/>
    </row>
    <row r="53673" spans="7:16" s="1634" customFormat="1">
      <c r="G53673" s="3336"/>
      <c r="P53673" s="3337"/>
    </row>
    <row r="53674" spans="7:16" s="1634" customFormat="1">
      <c r="G53674" s="3336"/>
      <c r="P53674" s="3337"/>
    </row>
    <row r="53675" spans="7:16" s="1634" customFormat="1">
      <c r="G53675" s="3336"/>
      <c r="P53675" s="3337"/>
    </row>
    <row r="53676" spans="7:16" s="1634" customFormat="1">
      <c r="G53676" s="3336"/>
      <c r="P53676" s="3337"/>
    </row>
    <row r="53677" spans="7:16" s="1634" customFormat="1">
      <c r="G53677" s="3336"/>
      <c r="P53677" s="3337"/>
    </row>
    <row r="53678" spans="7:16" s="1634" customFormat="1">
      <c r="G53678" s="3336"/>
      <c r="P53678" s="3337"/>
    </row>
    <row r="53679" spans="7:16" s="1634" customFormat="1">
      <c r="G53679" s="3336"/>
      <c r="P53679" s="3337"/>
    </row>
    <row r="53680" spans="7:16" s="1634" customFormat="1">
      <c r="G53680" s="3336"/>
      <c r="P53680" s="3337"/>
    </row>
    <row r="53681" spans="7:16" s="1634" customFormat="1">
      <c r="G53681" s="3336"/>
      <c r="P53681" s="3337"/>
    </row>
    <row r="53682" spans="7:16" s="1634" customFormat="1">
      <c r="G53682" s="3336"/>
      <c r="P53682" s="3337"/>
    </row>
    <row r="53683" spans="7:16" s="1634" customFormat="1">
      <c r="G53683" s="3336"/>
      <c r="P53683" s="3337"/>
    </row>
    <row r="53684" spans="7:16" s="1634" customFormat="1">
      <c r="G53684" s="3336"/>
      <c r="P53684" s="3337"/>
    </row>
    <row r="53685" spans="7:16" s="1634" customFormat="1">
      <c r="G53685" s="3336"/>
      <c r="P53685" s="3337"/>
    </row>
    <row r="53686" spans="7:16" s="1634" customFormat="1">
      <c r="G53686" s="3336"/>
      <c r="P53686" s="3337"/>
    </row>
    <row r="53687" spans="7:16" s="1634" customFormat="1">
      <c r="G53687" s="3336"/>
      <c r="P53687" s="3337"/>
    </row>
    <row r="53688" spans="7:16" s="1634" customFormat="1">
      <c r="G53688" s="3336"/>
      <c r="P53688" s="3337"/>
    </row>
    <row r="53689" spans="7:16" s="1634" customFormat="1">
      <c r="G53689" s="3336"/>
      <c r="P53689" s="3337"/>
    </row>
    <row r="53690" spans="7:16" s="1634" customFormat="1">
      <c r="G53690" s="3336"/>
      <c r="P53690" s="3337"/>
    </row>
    <row r="53691" spans="7:16" s="1634" customFormat="1">
      <c r="G53691" s="3336"/>
      <c r="P53691" s="3337"/>
    </row>
    <row r="53692" spans="7:16" s="1634" customFormat="1">
      <c r="G53692" s="3336"/>
      <c r="P53692" s="3337"/>
    </row>
    <row r="53693" spans="7:16" s="1634" customFormat="1">
      <c r="G53693" s="3336"/>
      <c r="P53693" s="3337"/>
    </row>
    <row r="53694" spans="7:16" s="1634" customFormat="1">
      <c r="G53694" s="3336"/>
      <c r="P53694" s="3337"/>
    </row>
    <row r="53695" spans="7:16" s="1634" customFormat="1">
      <c r="G53695" s="3336"/>
      <c r="P53695" s="3337"/>
    </row>
    <row r="53696" spans="7:16" s="1634" customFormat="1">
      <c r="G53696" s="3336"/>
      <c r="P53696" s="3337"/>
    </row>
    <row r="53697" spans="7:16" s="1634" customFormat="1">
      <c r="G53697" s="3336"/>
      <c r="P53697" s="3337"/>
    </row>
    <row r="53698" spans="7:16" s="1634" customFormat="1">
      <c r="G53698" s="3336"/>
      <c r="P53698" s="3337"/>
    </row>
    <row r="53699" spans="7:16" s="1634" customFormat="1">
      <c r="G53699" s="3336"/>
      <c r="P53699" s="3337"/>
    </row>
    <row r="53700" spans="7:16" s="1634" customFormat="1">
      <c r="G53700" s="3336"/>
      <c r="P53700" s="3337"/>
    </row>
    <row r="53701" spans="7:16" s="1634" customFormat="1">
      <c r="G53701" s="3336"/>
      <c r="P53701" s="3337"/>
    </row>
    <row r="53702" spans="7:16" s="1634" customFormat="1">
      <c r="G53702" s="3336"/>
      <c r="P53702" s="3337"/>
    </row>
    <row r="53703" spans="7:16" s="1634" customFormat="1">
      <c r="G53703" s="3336"/>
      <c r="P53703" s="3337"/>
    </row>
    <row r="53704" spans="7:16" s="1634" customFormat="1">
      <c r="G53704" s="3336"/>
      <c r="P53704" s="3337"/>
    </row>
    <row r="53705" spans="7:16" s="1634" customFormat="1">
      <c r="G53705" s="3336"/>
      <c r="P53705" s="3337"/>
    </row>
    <row r="53706" spans="7:16" s="1634" customFormat="1">
      <c r="G53706" s="3336"/>
      <c r="P53706" s="3337"/>
    </row>
    <row r="53707" spans="7:16" s="1634" customFormat="1">
      <c r="G53707" s="3336"/>
      <c r="P53707" s="3337"/>
    </row>
    <row r="53708" spans="7:16" s="1634" customFormat="1">
      <c r="G53708" s="3336"/>
      <c r="P53708" s="3337"/>
    </row>
    <row r="53709" spans="7:16" s="1634" customFormat="1">
      <c r="G53709" s="3336"/>
      <c r="P53709" s="3337"/>
    </row>
    <row r="53710" spans="7:16" s="1634" customFormat="1">
      <c r="G53710" s="3336"/>
      <c r="P53710" s="3337"/>
    </row>
    <row r="53711" spans="7:16" s="1634" customFormat="1">
      <c r="G53711" s="3336"/>
      <c r="P53711" s="3337"/>
    </row>
    <row r="53712" spans="7:16" s="1634" customFormat="1">
      <c r="G53712" s="3336"/>
      <c r="P53712" s="3337"/>
    </row>
    <row r="53713" spans="7:16" s="1634" customFormat="1">
      <c r="G53713" s="3336"/>
      <c r="P53713" s="3337"/>
    </row>
    <row r="53714" spans="7:16" s="1634" customFormat="1">
      <c r="G53714" s="3336"/>
      <c r="P53714" s="3337"/>
    </row>
    <row r="53715" spans="7:16" s="1634" customFormat="1">
      <c r="G53715" s="3336"/>
      <c r="P53715" s="3337"/>
    </row>
    <row r="53716" spans="7:16" s="1634" customFormat="1">
      <c r="G53716" s="3336"/>
      <c r="P53716" s="3337"/>
    </row>
    <row r="53717" spans="7:16" s="1634" customFormat="1">
      <c r="G53717" s="3336"/>
      <c r="P53717" s="3337"/>
    </row>
    <row r="53718" spans="7:16" s="1634" customFormat="1">
      <c r="G53718" s="3336"/>
      <c r="P53718" s="3337"/>
    </row>
    <row r="53719" spans="7:16" s="1634" customFormat="1">
      <c r="G53719" s="3336"/>
      <c r="P53719" s="3337"/>
    </row>
    <row r="53720" spans="7:16" s="1634" customFormat="1">
      <c r="G53720" s="3336"/>
      <c r="P53720" s="3337"/>
    </row>
    <row r="53721" spans="7:16" s="1634" customFormat="1">
      <c r="G53721" s="3336"/>
      <c r="P53721" s="3337"/>
    </row>
    <row r="53722" spans="7:16" s="1634" customFormat="1">
      <c r="G53722" s="3336"/>
      <c r="P53722" s="3337"/>
    </row>
    <row r="53723" spans="7:16" s="1634" customFormat="1">
      <c r="G53723" s="3336"/>
      <c r="P53723" s="3337"/>
    </row>
    <row r="53724" spans="7:16" s="1634" customFormat="1">
      <c r="G53724" s="3336"/>
      <c r="P53724" s="3337"/>
    </row>
    <row r="53725" spans="7:16" s="1634" customFormat="1">
      <c r="G53725" s="3336"/>
      <c r="P53725" s="3337"/>
    </row>
    <row r="53726" spans="7:16" s="1634" customFormat="1">
      <c r="G53726" s="3336"/>
      <c r="P53726" s="3337"/>
    </row>
    <row r="53727" spans="7:16" s="1634" customFormat="1">
      <c r="G53727" s="3336"/>
      <c r="P53727" s="3337"/>
    </row>
    <row r="53728" spans="7:16" s="1634" customFormat="1">
      <c r="G53728" s="3336"/>
      <c r="P53728" s="3337"/>
    </row>
    <row r="53729" spans="7:16" s="1634" customFormat="1">
      <c r="G53729" s="3336"/>
      <c r="P53729" s="3337"/>
    </row>
    <row r="53730" spans="7:16" s="1634" customFormat="1">
      <c r="G53730" s="3336"/>
      <c r="P53730" s="3337"/>
    </row>
    <row r="53731" spans="7:16" s="1634" customFormat="1">
      <c r="G53731" s="3336"/>
      <c r="P53731" s="3337"/>
    </row>
    <row r="53732" spans="7:16" s="1634" customFormat="1">
      <c r="G53732" s="3336"/>
      <c r="P53732" s="3337"/>
    </row>
    <row r="53733" spans="7:16" s="1634" customFormat="1">
      <c r="G53733" s="3336"/>
      <c r="P53733" s="3337"/>
    </row>
    <row r="53734" spans="7:16" s="1634" customFormat="1">
      <c r="G53734" s="3336"/>
      <c r="P53734" s="3337"/>
    </row>
    <row r="53735" spans="7:16" s="1634" customFormat="1">
      <c r="G53735" s="3336"/>
      <c r="P53735" s="3337"/>
    </row>
    <row r="53736" spans="7:16" s="1634" customFormat="1">
      <c r="G53736" s="3336"/>
      <c r="P53736" s="3337"/>
    </row>
    <row r="53737" spans="7:16" s="1634" customFormat="1">
      <c r="G53737" s="3336"/>
      <c r="P53737" s="3337"/>
    </row>
    <row r="53738" spans="7:16" s="1634" customFormat="1">
      <c r="G53738" s="3336"/>
      <c r="P53738" s="3337"/>
    </row>
    <row r="53739" spans="7:16" s="1634" customFormat="1">
      <c r="G53739" s="3336"/>
      <c r="P53739" s="3337"/>
    </row>
    <row r="53740" spans="7:16" s="1634" customFormat="1">
      <c r="G53740" s="3336"/>
      <c r="P53740" s="3337"/>
    </row>
    <row r="53741" spans="7:16" s="1634" customFormat="1">
      <c r="G53741" s="3336"/>
      <c r="P53741" s="3337"/>
    </row>
    <row r="53742" spans="7:16" s="1634" customFormat="1">
      <c r="G53742" s="3336"/>
      <c r="P53742" s="3337"/>
    </row>
    <row r="53743" spans="7:16" s="1634" customFormat="1">
      <c r="G53743" s="3336"/>
      <c r="P53743" s="3337"/>
    </row>
    <row r="53744" spans="7:16" s="1634" customFormat="1">
      <c r="G53744" s="3336"/>
      <c r="P53744" s="3337"/>
    </row>
    <row r="53745" spans="7:16" s="1634" customFormat="1">
      <c r="G53745" s="3336"/>
      <c r="P53745" s="3337"/>
    </row>
    <row r="53746" spans="7:16" s="1634" customFormat="1">
      <c r="G53746" s="3336"/>
      <c r="P53746" s="3337"/>
    </row>
    <row r="53747" spans="7:16" s="1634" customFormat="1">
      <c r="G53747" s="3336"/>
      <c r="P53747" s="3337"/>
    </row>
    <row r="53748" spans="7:16" s="1634" customFormat="1">
      <c r="G53748" s="3336"/>
      <c r="P53748" s="3337"/>
    </row>
    <row r="53749" spans="7:16" s="1634" customFormat="1">
      <c r="G53749" s="3336"/>
      <c r="P53749" s="3337"/>
    </row>
    <row r="53750" spans="7:16" s="1634" customFormat="1">
      <c r="G53750" s="3336"/>
      <c r="P53750" s="3337"/>
    </row>
    <row r="53751" spans="7:16" s="1634" customFormat="1">
      <c r="G53751" s="3336"/>
      <c r="P53751" s="3337"/>
    </row>
    <row r="53752" spans="7:16" s="1634" customFormat="1">
      <c r="G53752" s="3336"/>
      <c r="P53752" s="3337"/>
    </row>
    <row r="53753" spans="7:16" s="1634" customFormat="1">
      <c r="G53753" s="3336"/>
      <c r="P53753" s="3337"/>
    </row>
    <row r="53754" spans="7:16" s="1634" customFormat="1">
      <c r="G53754" s="3336"/>
      <c r="P53754" s="3337"/>
    </row>
    <row r="53755" spans="7:16" s="1634" customFormat="1">
      <c r="G53755" s="3336"/>
      <c r="P53755" s="3337"/>
    </row>
    <row r="53756" spans="7:16" s="1634" customFormat="1">
      <c r="G53756" s="3336"/>
      <c r="P53756" s="3337"/>
    </row>
    <row r="53757" spans="7:16" s="1634" customFormat="1">
      <c r="G53757" s="3336"/>
      <c r="P53757" s="3337"/>
    </row>
    <row r="53758" spans="7:16" s="1634" customFormat="1">
      <c r="G53758" s="3336"/>
      <c r="P53758" s="3337"/>
    </row>
    <row r="53759" spans="7:16" s="1634" customFormat="1">
      <c r="G53759" s="3336"/>
      <c r="P53759" s="3337"/>
    </row>
    <row r="53760" spans="7:16" s="1634" customFormat="1">
      <c r="G53760" s="3336"/>
      <c r="P53760" s="3337"/>
    </row>
    <row r="53761" spans="7:16" s="1634" customFormat="1">
      <c r="G53761" s="3336"/>
      <c r="P53761" s="3337"/>
    </row>
    <row r="53762" spans="7:16" s="1634" customFormat="1">
      <c r="G53762" s="3336"/>
      <c r="P53762" s="3337"/>
    </row>
    <row r="53763" spans="7:16" s="1634" customFormat="1">
      <c r="G53763" s="3336"/>
      <c r="P53763" s="3337"/>
    </row>
    <row r="53764" spans="7:16" s="1634" customFormat="1">
      <c r="G53764" s="3336"/>
      <c r="P53764" s="3337"/>
    </row>
    <row r="53765" spans="7:16" s="1634" customFormat="1">
      <c r="G53765" s="3336"/>
      <c r="P53765" s="3337"/>
    </row>
    <row r="53766" spans="7:16" s="1634" customFormat="1">
      <c r="G53766" s="3336"/>
      <c r="P53766" s="3337"/>
    </row>
    <row r="53767" spans="7:16" s="1634" customFormat="1">
      <c r="G53767" s="3336"/>
      <c r="P53767" s="3337"/>
    </row>
    <row r="53768" spans="7:16" s="1634" customFormat="1">
      <c r="G53768" s="3336"/>
      <c r="P53768" s="3337"/>
    </row>
    <row r="53769" spans="7:16" s="1634" customFormat="1">
      <c r="G53769" s="3336"/>
      <c r="P53769" s="3337"/>
    </row>
    <row r="53770" spans="7:16" s="1634" customFormat="1">
      <c r="G53770" s="3336"/>
      <c r="P53770" s="3337"/>
    </row>
    <row r="53771" spans="7:16" s="1634" customFormat="1">
      <c r="G53771" s="3336"/>
      <c r="P53771" s="3337"/>
    </row>
    <row r="53772" spans="7:16" s="1634" customFormat="1">
      <c r="G53772" s="3336"/>
      <c r="P53772" s="3337"/>
    </row>
    <row r="53773" spans="7:16" s="1634" customFormat="1">
      <c r="G53773" s="3336"/>
      <c r="P53773" s="3337"/>
    </row>
    <row r="53774" spans="7:16" s="1634" customFormat="1">
      <c r="G53774" s="3336"/>
      <c r="P53774" s="3337"/>
    </row>
    <row r="53775" spans="7:16" s="1634" customFormat="1">
      <c r="G53775" s="3336"/>
      <c r="P53775" s="3337"/>
    </row>
    <row r="53776" spans="7:16" s="1634" customFormat="1">
      <c r="G53776" s="3336"/>
      <c r="P53776" s="3337"/>
    </row>
    <row r="53777" spans="7:16" s="1634" customFormat="1">
      <c r="G53777" s="3336"/>
      <c r="P53777" s="3337"/>
    </row>
    <row r="53778" spans="7:16" s="1634" customFormat="1">
      <c r="G53778" s="3336"/>
      <c r="P53778" s="3337"/>
    </row>
    <row r="53779" spans="7:16" s="1634" customFormat="1">
      <c r="G53779" s="3336"/>
      <c r="P53779" s="3337"/>
    </row>
    <row r="53780" spans="7:16" s="1634" customFormat="1">
      <c r="G53780" s="3336"/>
      <c r="P53780" s="3337"/>
    </row>
    <row r="53781" spans="7:16" s="1634" customFormat="1">
      <c r="G53781" s="3336"/>
      <c r="P53781" s="3337"/>
    </row>
    <row r="53782" spans="7:16" s="1634" customFormat="1">
      <c r="G53782" s="3336"/>
      <c r="P53782" s="3337"/>
    </row>
    <row r="53783" spans="7:16" s="1634" customFormat="1">
      <c r="G53783" s="3336"/>
      <c r="P53783" s="3337"/>
    </row>
    <row r="53784" spans="7:16" s="1634" customFormat="1">
      <c r="G53784" s="3336"/>
      <c r="P53784" s="3337"/>
    </row>
    <row r="53785" spans="7:16" s="1634" customFormat="1">
      <c r="G53785" s="3336"/>
      <c r="P53785" s="3337"/>
    </row>
    <row r="53786" spans="7:16" s="1634" customFormat="1">
      <c r="G53786" s="3336"/>
      <c r="P53786" s="3337"/>
    </row>
    <row r="53787" spans="7:16" s="1634" customFormat="1">
      <c r="G53787" s="3336"/>
      <c r="P53787" s="3337"/>
    </row>
    <row r="53788" spans="7:16" s="1634" customFormat="1">
      <c r="G53788" s="3336"/>
      <c r="P53788" s="3337"/>
    </row>
    <row r="53789" spans="7:16" s="1634" customFormat="1">
      <c r="G53789" s="3336"/>
      <c r="P53789" s="3337"/>
    </row>
    <row r="53790" spans="7:16" s="1634" customFormat="1">
      <c r="G53790" s="3336"/>
      <c r="P53790" s="3337"/>
    </row>
    <row r="53791" spans="7:16" s="1634" customFormat="1">
      <c r="G53791" s="3336"/>
      <c r="P53791" s="3337"/>
    </row>
    <row r="53792" spans="7:16" s="1634" customFormat="1">
      <c r="G53792" s="3336"/>
      <c r="P53792" s="3337"/>
    </row>
    <row r="53793" spans="7:16" s="1634" customFormat="1">
      <c r="G53793" s="3336"/>
      <c r="P53793" s="3337"/>
    </row>
    <row r="53794" spans="7:16" s="1634" customFormat="1">
      <c r="G53794" s="3336"/>
      <c r="P53794" s="3337"/>
    </row>
    <row r="53795" spans="7:16" s="1634" customFormat="1">
      <c r="G53795" s="3336"/>
      <c r="P53795" s="3337"/>
    </row>
    <row r="53796" spans="7:16" s="1634" customFormat="1">
      <c r="G53796" s="3336"/>
      <c r="P53796" s="3337"/>
    </row>
    <row r="53797" spans="7:16" s="1634" customFormat="1">
      <c r="G53797" s="3336"/>
      <c r="P53797" s="3337"/>
    </row>
    <row r="53798" spans="7:16" s="1634" customFormat="1">
      <c r="G53798" s="3336"/>
      <c r="P53798" s="3337"/>
    </row>
    <row r="53799" spans="7:16" s="1634" customFormat="1">
      <c r="G53799" s="3336"/>
      <c r="P53799" s="3337"/>
    </row>
    <row r="53800" spans="7:16" s="1634" customFormat="1">
      <c r="G53800" s="3336"/>
      <c r="P53800" s="3337"/>
    </row>
    <row r="53801" spans="7:16" s="1634" customFormat="1">
      <c r="G53801" s="3336"/>
      <c r="P53801" s="3337"/>
    </row>
    <row r="53802" spans="7:16" s="1634" customFormat="1">
      <c r="G53802" s="3336"/>
      <c r="P53802" s="3337"/>
    </row>
    <row r="53803" spans="7:16" s="1634" customFormat="1">
      <c r="G53803" s="3336"/>
      <c r="P53803" s="3337"/>
    </row>
    <row r="53804" spans="7:16" s="1634" customFormat="1">
      <c r="G53804" s="3336"/>
      <c r="P53804" s="3337"/>
    </row>
    <row r="53805" spans="7:16" s="1634" customFormat="1">
      <c r="G53805" s="3336"/>
      <c r="P53805" s="3337"/>
    </row>
    <row r="53806" spans="7:16" s="1634" customFormat="1">
      <c r="G53806" s="3336"/>
      <c r="P53806" s="3337"/>
    </row>
    <row r="53807" spans="7:16" s="1634" customFormat="1">
      <c r="G53807" s="3336"/>
      <c r="P53807" s="3337"/>
    </row>
    <row r="53808" spans="7:16" s="1634" customFormat="1">
      <c r="G53808" s="3336"/>
      <c r="P53808" s="3337"/>
    </row>
    <row r="53809" spans="7:16" s="1634" customFormat="1">
      <c r="G53809" s="3336"/>
      <c r="P53809" s="3337"/>
    </row>
    <row r="53810" spans="7:16" s="1634" customFormat="1">
      <c r="G53810" s="3336"/>
      <c r="P53810" s="3337"/>
    </row>
    <row r="53811" spans="7:16" s="1634" customFormat="1">
      <c r="G53811" s="3336"/>
      <c r="P53811" s="3337"/>
    </row>
    <row r="53812" spans="7:16" s="1634" customFormat="1">
      <c r="G53812" s="3336"/>
      <c r="P53812" s="3337"/>
    </row>
    <row r="53813" spans="7:16" s="1634" customFormat="1">
      <c r="G53813" s="3336"/>
      <c r="P53813" s="3337"/>
    </row>
    <row r="53814" spans="7:16" s="1634" customFormat="1">
      <c r="G53814" s="3336"/>
      <c r="P53814" s="3337"/>
    </row>
    <row r="53815" spans="7:16" s="1634" customFormat="1">
      <c r="G53815" s="3336"/>
      <c r="P53815" s="3337"/>
    </row>
    <row r="53816" spans="7:16" s="1634" customFormat="1">
      <c r="G53816" s="3336"/>
      <c r="P53816" s="3337"/>
    </row>
    <row r="53817" spans="7:16" s="1634" customFormat="1">
      <c r="G53817" s="3336"/>
      <c r="P53817" s="3337"/>
    </row>
    <row r="53818" spans="7:16" s="1634" customFormat="1">
      <c r="G53818" s="3336"/>
      <c r="P53818" s="3337"/>
    </row>
    <row r="53819" spans="7:16" s="1634" customFormat="1">
      <c r="G53819" s="3336"/>
      <c r="P53819" s="3337"/>
    </row>
    <row r="53820" spans="7:16" s="1634" customFormat="1">
      <c r="G53820" s="3336"/>
      <c r="P53820" s="3337"/>
    </row>
    <row r="53821" spans="7:16" s="1634" customFormat="1">
      <c r="G53821" s="3336"/>
      <c r="P53821" s="3337"/>
    </row>
    <row r="53822" spans="7:16" s="1634" customFormat="1">
      <c r="G53822" s="3336"/>
      <c r="P53822" s="3337"/>
    </row>
    <row r="53823" spans="7:16" s="1634" customFormat="1">
      <c r="G53823" s="3336"/>
      <c r="P53823" s="3337"/>
    </row>
    <row r="53824" spans="7:16" s="1634" customFormat="1">
      <c r="G53824" s="3336"/>
      <c r="P53824" s="3337"/>
    </row>
    <row r="53825" spans="7:16" s="1634" customFormat="1">
      <c r="G53825" s="3336"/>
      <c r="P53825" s="3337"/>
    </row>
    <row r="53826" spans="7:16" s="1634" customFormat="1">
      <c r="G53826" s="3336"/>
      <c r="P53826" s="3337"/>
    </row>
    <row r="53827" spans="7:16" s="1634" customFormat="1">
      <c r="G53827" s="3336"/>
      <c r="P53827" s="3337"/>
    </row>
    <row r="53828" spans="7:16" s="1634" customFormat="1">
      <c r="G53828" s="3336"/>
      <c r="P53828" s="3337"/>
    </row>
    <row r="53829" spans="7:16" s="1634" customFormat="1">
      <c r="G53829" s="3336"/>
      <c r="P53829" s="3337"/>
    </row>
    <row r="53830" spans="7:16" s="1634" customFormat="1">
      <c r="G53830" s="3336"/>
      <c r="P53830" s="3337"/>
    </row>
    <row r="53831" spans="7:16" s="1634" customFormat="1">
      <c r="G53831" s="3336"/>
      <c r="P53831" s="3337"/>
    </row>
    <row r="53832" spans="7:16" s="1634" customFormat="1">
      <c r="G53832" s="3336"/>
      <c r="P53832" s="3337"/>
    </row>
    <row r="53833" spans="7:16" s="1634" customFormat="1">
      <c r="G53833" s="3336"/>
      <c r="P53833" s="3337"/>
    </row>
    <row r="53834" spans="7:16" s="1634" customFormat="1">
      <c r="G53834" s="3336"/>
      <c r="P53834" s="3337"/>
    </row>
    <row r="53835" spans="7:16" s="1634" customFormat="1">
      <c r="G53835" s="3336"/>
      <c r="P53835" s="3337"/>
    </row>
    <row r="53836" spans="7:16" s="1634" customFormat="1">
      <c r="G53836" s="3336"/>
      <c r="P53836" s="3337"/>
    </row>
    <row r="53837" spans="7:16" s="1634" customFormat="1">
      <c r="G53837" s="3336"/>
      <c r="P53837" s="3337"/>
    </row>
    <row r="53838" spans="7:16" s="1634" customFormat="1">
      <c r="G53838" s="3336"/>
      <c r="P53838" s="3337"/>
    </row>
    <row r="53839" spans="7:16" s="1634" customFormat="1">
      <c r="G53839" s="3336"/>
      <c r="P53839" s="3337"/>
    </row>
    <row r="53840" spans="7:16" s="1634" customFormat="1">
      <c r="G53840" s="3336"/>
      <c r="P53840" s="3337"/>
    </row>
    <row r="53841" spans="7:16" s="1634" customFormat="1">
      <c r="G53841" s="3336"/>
      <c r="P53841" s="3337"/>
    </row>
    <row r="53842" spans="7:16" s="1634" customFormat="1">
      <c r="G53842" s="3336"/>
      <c r="P53842" s="3337"/>
    </row>
    <row r="53843" spans="7:16" s="1634" customFormat="1">
      <c r="G53843" s="3336"/>
      <c r="P53843" s="3337"/>
    </row>
    <row r="53844" spans="7:16" s="1634" customFormat="1">
      <c r="G53844" s="3336"/>
      <c r="P53844" s="3337"/>
    </row>
    <row r="53845" spans="7:16" s="1634" customFormat="1">
      <c r="G53845" s="3336"/>
      <c r="P53845" s="3337"/>
    </row>
    <row r="53846" spans="7:16" s="1634" customFormat="1">
      <c r="G53846" s="3336"/>
      <c r="P53846" s="3337"/>
    </row>
    <row r="53847" spans="7:16" s="1634" customFormat="1">
      <c r="G53847" s="3336"/>
      <c r="P53847" s="3337"/>
    </row>
    <row r="53848" spans="7:16" s="1634" customFormat="1">
      <c r="G53848" s="3336"/>
      <c r="P53848" s="3337"/>
    </row>
    <row r="53849" spans="7:16" s="1634" customFormat="1">
      <c r="G53849" s="3336"/>
      <c r="P53849" s="3337"/>
    </row>
    <row r="53850" spans="7:16" s="1634" customFormat="1">
      <c r="G53850" s="3336"/>
      <c r="P53850" s="3337"/>
    </row>
    <row r="53851" spans="7:16" s="1634" customFormat="1">
      <c r="G53851" s="3336"/>
      <c r="P53851" s="3337"/>
    </row>
    <row r="53852" spans="7:16" s="1634" customFormat="1">
      <c r="G53852" s="3336"/>
      <c r="P53852" s="3337"/>
    </row>
    <row r="53853" spans="7:16" s="1634" customFormat="1">
      <c r="G53853" s="3336"/>
      <c r="P53853" s="3337"/>
    </row>
    <row r="53854" spans="7:16" s="1634" customFormat="1">
      <c r="G53854" s="3336"/>
      <c r="P53854" s="3337"/>
    </row>
    <row r="53855" spans="7:16" s="1634" customFormat="1">
      <c r="G53855" s="3336"/>
      <c r="P53855" s="3337"/>
    </row>
    <row r="53856" spans="7:16" s="1634" customFormat="1">
      <c r="G53856" s="3336"/>
      <c r="P53856" s="3337"/>
    </row>
    <row r="53857" spans="7:16" s="1634" customFormat="1">
      <c r="G53857" s="3336"/>
      <c r="P53857" s="3337"/>
    </row>
    <row r="53858" spans="7:16" s="1634" customFormat="1">
      <c r="G53858" s="3336"/>
      <c r="P53858" s="3337"/>
    </row>
    <row r="53859" spans="7:16" s="1634" customFormat="1">
      <c r="G53859" s="3336"/>
      <c r="P53859" s="3337"/>
    </row>
    <row r="53860" spans="7:16" s="1634" customFormat="1">
      <c r="G53860" s="3336"/>
      <c r="P53860" s="3337"/>
    </row>
    <row r="53861" spans="7:16" s="1634" customFormat="1">
      <c r="G53861" s="3336"/>
      <c r="P53861" s="3337"/>
    </row>
    <row r="53862" spans="7:16" s="1634" customFormat="1">
      <c r="G53862" s="3336"/>
      <c r="P53862" s="3337"/>
    </row>
    <row r="53863" spans="7:16" s="1634" customFormat="1">
      <c r="G53863" s="3336"/>
      <c r="P53863" s="3337"/>
    </row>
    <row r="53864" spans="7:16" s="1634" customFormat="1">
      <c r="G53864" s="3336"/>
      <c r="P53864" s="3337"/>
    </row>
    <row r="53865" spans="7:16" s="1634" customFormat="1">
      <c r="G53865" s="3336"/>
      <c r="P53865" s="3337"/>
    </row>
    <row r="53866" spans="7:16" s="1634" customFormat="1">
      <c r="G53866" s="3336"/>
      <c r="P53866" s="3337"/>
    </row>
    <row r="53867" spans="7:16" s="1634" customFormat="1">
      <c r="G53867" s="3336"/>
      <c r="P53867" s="3337"/>
    </row>
    <row r="53868" spans="7:16" s="1634" customFormat="1">
      <c r="G53868" s="3336"/>
      <c r="P53868" s="3337"/>
    </row>
    <row r="53869" spans="7:16" s="1634" customFormat="1">
      <c r="G53869" s="3336"/>
      <c r="P53869" s="3337"/>
    </row>
    <row r="53870" spans="7:16" s="1634" customFormat="1">
      <c r="G53870" s="3336"/>
      <c r="P53870" s="3337"/>
    </row>
    <row r="53871" spans="7:16" s="1634" customFormat="1">
      <c r="G53871" s="3336"/>
      <c r="P53871" s="3337"/>
    </row>
    <row r="53872" spans="7:16" s="1634" customFormat="1">
      <c r="G53872" s="3336"/>
      <c r="P53872" s="3337"/>
    </row>
    <row r="53873" spans="7:16" s="1634" customFormat="1">
      <c r="G53873" s="3336"/>
      <c r="P53873" s="3337"/>
    </row>
    <row r="53874" spans="7:16" s="1634" customFormat="1">
      <c r="G53874" s="3336"/>
      <c r="P53874" s="3337"/>
    </row>
    <row r="53875" spans="7:16" s="1634" customFormat="1">
      <c r="G53875" s="3336"/>
      <c r="P53875" s="3337"/>
    </row>
    <row r="53876" spans="7:16" s="1634" customFormat="1">
      <c r="G53876" s="3336"/>
      <c r="P53876" s="3337"/>
    </row>
    <row r="53877" spans="7:16" s="1634" customFormat="1">
      <c r="G53877" s="3336"/>
      <c r="P53877" s="3337"/>
    </row>
    <row r="53878" spans="7:16" s="1634" customFormat="1">
      <c r="G53878" s="3336"/>
      <c r="P53878" s="3337"/>
    </row>
    <row r="53879" spans="7:16" s="1634" customFormat="1">
      <c r="G53879" s="3336"/>
      <c r="P53879" s="3337"/>
    </row>
    <row r="53880" spans="7:16" s="1634" customFormat="1">
      <c r="G53880" s="3336"/>
      <c r="P53880" s="3337"/>
    </row>
    <row r="53881" spans="7:16" s="1634" customFormat="1">
      <c r="G53881" s="3336"/>
      <c r="P53881" s="3337"/>
    </row>
    <row r="53882" spans="7:16" s="1634" customFormat="1">
      <c r="G53882" s="3336"/>
      <c r="P53882" s="3337"/>
    </row>
    <row r="53883" spans="7:16" s="1634" customFormat="1">
      <c r="G53883" s="3336"/>
      <c r="P53883" s="3337"/>
    </row>
    <row r="53884" spans="7:16" s="1634" customFormat="1">
      <c r="G53884" s="3336"/>
      <c r="P53884" s="3337"/>
    </row>
    <row r="53885" spans="7:16" s="1634" customFormat="1">
      <c r="G53885" s="3336"/>
      <c r="P53885" s="3337"/>
    </row>
    <row r="53886" spans="7:16" s="1634" customFormat="1">
      <c r="G53886" s="3336"/>
      <c r="P53886" s="3337"/>
    </row>
    <row r="53887" spans="7:16" s="1634" customFormat="1">
      <c r="G53887" s="3336"/>
      <c r="P53887" s="3337"/>
    </row>
    <row r="53888" spans="7:16" s="1634" customFormat="1">
      <c r="G53888" s="3336"/>
      <c r="P53888" s="3337"/>
    </row>
    <row r="53889" spans="7:16" s="1634" customFormat="1">
      <c r="G53889" s="3336"/>
      <c r="P53889" s="3337"/>
    </row>
    <row r="53890" spans="7:16" s="1634" customFormat="1">
      <c r="G53890" s="3336"/>
      <c r="P53890" s="3337"/>
    </row>
    <row r="53891" spans="7:16" s="1634" customFormat="1">
      <c r="G53891" s="3336"/>
      <c r="P53891" s="3337"/>
    </row>
    <row r="53892" spans="7:16" s="1634" customFormat="1">
      <c r="G53892" s="3336"/>
      <c r="P53892" s="3337"/>
    </row>
    <row r="53893" spans="7:16" s="1634" customFormat="1">
      <c r="G53893" s="3336"/>
      <c r="P53893" s="3337"/>
    </row>
    <row r="53894" spans="7:16" s="1634" customFormat="1">
      <c r="G53894" s="3336"/>
      <c r="P53894" s="3337"/>
    </row>
    <row r="53895" spans="7:16" s="1634" customFormat="1">
      <c r="G53895" s="3336"/>
      <c r="P53895" s="3337"/>
    </row>
    <row r="53896" spans="7:16" s="1634" customFormat="1">
      <c r="G53896" s="3336"/>
      <c r="P53896" s="3337"/>
    </row>
    <row r="53897" spans="7:16" s="1634" customFormat="1">
      <c r="G53897" s="3336"/>
      <c r="P53897" s="3337"/>
    </row>
    <row r="53898" spans="7:16" s="1634" customFormat="1">
      <c r="G53898" s="3336"/>
      <c r="P53898" s="3337"/>
    </row>
    <row r="53899" spans="7:16" s="1634" customFormat="1">
      <c r="G53899" s="3336"/>
      <c r="P53899" s="3337"/>
    </row>
    <row r="53900" spans="7:16" s="1634" customFormat="1">
      <c r="G53900" s="3336"/>
      <c r="P53900" s="3337"/>
    </row>
    <row r="53901" spans="7:16" s="1634" customFormat="1">
      <c r="G53901" s="3336"/>
      <c r="P53901" s="3337"/>
    </row>
    <row r="53902" spans="7:16" s="1634" customFormat="1">
      <c r="G53902" s="3336"/>
      <c r="P53902" s="3337"/>
    </row>
    <row r="53903" spans="7:16" s="1634" customFormat="1">
      <c r="G53903" s="3336"/>
      <c r="P53903" s="3337"/>
    </row>
    <row r="53904" spans="7:16" s="1634" customFormat="1">
      <c r="G53904" s="3336"/>
      <c r="P53904" s="3337"/>
    </row>
    <row r="53905" spans="7:16" s="1634" customFormat="1">
      <c r="G53905" s="3336"/>
      <c r="P53905" s="3337"/>
    </row>
    <row r="53906" spans="7:16" s="1634" customFormat="1">
      <c r="G53906" s="3336"/>
      <c r="P53906" s="3337"/>
    </row>
    <row r="53907" spans="7:16" s="1634" customFormat="1">
      <c r="G53907" s="3336"/>
      <c r="P53907" s="3337"/>
    </row>
    <row r="53908" spans="7:16" s="1634" customFormat="1">
      <c r="G53908" s="3336"/>
      <c r="P53908" s="3337"/>
    </row>
    <row r="53909" spans="7:16" s="1634" customFormat="1">
      <c r="G53909" s="3336"/>
      <c r="P53909" s="3337"/>
    </row>
    <row r="53910" spans="7:16" s="1634" customFormat="1">
      <c r="G53910" s="3336"/>
      <c r="P53910" s="3337"/>
    </row>
    <row r="53911" spans="7:16" s="1634" customFormat="1">
      <c r="G53911" s="3336"/>
      <c r="P53911" s="3337"/>
    </row>
    <row r="53912" spans="7:16" s="1634" customFormat="1">
      <c r="G53912" s="3336"/>
      <c r="P53912" s="3337"/>
    </row>
    <row r="53913" spans="7:16" s="1634" customFormat="1">
      <c r="G53913" s="3336"/>
      <c r="P53913" s="3337"/>
    </row>
    <row r="53914" spans="7:16" s="1634" customFormat="1">
      <c r="G53914" s="3336"/>
      <c r="P53914" s="3337"/>
    </row>
    <row r="53915" spans="7:16" s="1634" customFormat="1">
      <c r="G53915" s="3336"/>
      <c r="P53915" s="3337"/>
    </row>
    <row r="53916" spans="7:16" s="1634" customFormat="1">
      <c r="G53916" s="3336"/>
      <c r="P53916" s="3337"/>
    </row>
    <row r="53917" spans="7:16" s="1634" customFormat="1">
      <c r="G53917" s="3336"/>
      <c r="P53917" s="3337"/>
    </row>
    <row r="53918" spans="7:16" s="1634" customFormat="1">
      <c r="G53918" s="3336"/>
      <c r="P53918" s="3337"/>
    </row>
    <row r="53919" spans="7:16" s="1634" customFormat="1">
      <c r="G53919" s="3336"/>
      <c r="P53919" s="3337"/>
    </row>
    <row r="53920" spans="7:16" s="1634" customFormat="1">
      <c r="G53920" s="3336"/>
      <c r="P53920" s="3337"/>
    </row>
    <row r="53921" spans="7:16" s="1634" customFormat="1">
      <c r="G53921" s="3336"/>
      <c r="P53921" s="3337"/>
    </row>
    <row r="53922" spans="7:16" s="1634" customFormat="1">
      <c r="G53922" s="3336"/>
      <c r="P53922" s="3337"/>
    </row>
    <row r="53923" spans="7:16" s="1634" customFormat="1">
      <c r="G53923" s="3336"/>
      <c r="P53923" s="3337"/>
    </row>
    <row r="53924" spans="7:16" s="1634" customFormat="1">
      <c r="G53924" s="3336"/>
      <c r="P53924" s="3337"/>
    </row>
    <row r="53925" spans="7:16" s="1634" customFormat="1">
      <c r="G53925" s="3336"/>
      <c r="P53925" s="3337"/>
    </row>
    <row r="53926" spans="7:16" s="1634" customFormat="1">
      <c r="G53926" s="3336"/>
      <c r="P53926" s="3337"/>
    </row>
    <row r="53927" spans="7:16" s="1634" customFormat="1">
      <c r="G53927" s="3336"/>
      <c r="P53927" s="3337"/>
    </row>
    <row r="53928" spans="7:16" s="1634" customFormat="1">
      <c r="G53928" s="3336"/>
      <c r="P53928" s="3337"/>
    </row>
    <row r="53929" spans="7:16" s="1634" customFormat="1">
      <c r="G53929" s="3336"/>
      <c r="P53929" s="3337"/>
    </row>
    <row r="53930" spans="7:16" s="1634" customFormat="1">
      <c r="G53930" s="3336"/>
      <c r="P53930" s="3337"/>
    </row>
    <row r="53931" spans="7:16" s="1634" customFormat="1">
      <c r="G53931" s="3336"/>
      <c r="P53931" s="3337"/>
    </row>
    <row r="53932" spans="7:16" s="1634" customFormat="1">
      <c r="G53932" s="3336"/>
      <c r="P53932" s="3337"/>
    </row>
    <row r="53933" spans="7:16" s="1634" customFormat="1">
      <c r="G53933" s="3336"/>
      <c r="P53933" s="3337"/>
    </row>
    <row r="53934" spans="7:16" s="1634" customFormat="1">
      <c r="G53934" s="3336"/>
      <c r="P53934" s="3337"/>
    </row>
    <row r="53935" spans="7:16" s="1634" customFormat="1">
      <c r="G53935" s="3336"/>
      <c r="P53935" s="3337"/>
    </row>
    <row r="53936" spans="7:16" s="1634" customFormat="1">
      <c r="G53936" s="3336"/>
      <c r="P53936" s="3337"/>
    </row>
    <row r="53937" spans="7:16" s="1634" customFormat="1">
      <c r="G53937" s="3336"/>
      <c r="P53937" s="3337"/>
    </row>
    <row r="53938" spans="7:16" s="1634" customFormat="1">
      <c r="G53938" s="3336"/>
      <c r="P53938" s="3337"/>
    </row>
    <row r="53939" spans="7:16" s="1634" customFormat="1">
      <c r="G53939" s="3336"/>
      <c r="P53939" s="3337"/>
    </row>
    <row r="53940" spans="7:16" s="1634" customFormat="1">
      <c r="G53940" s="3336"/>
      <c r="P53940" s="3337"/>
    </row>
    <row r="53941" spans="7:16" s="1634" customFormat="1">
      <c r="G53941" s="3336"/>
      <c r="P53941" s="3337"/>
    </row>
    <row r="53942" spans="7:16" s="1634" customFormat="1">
      <c r="G53942" s="3336"/>
      <c r="P53942" s="3337"/>
    </row>
    <row r="53943" spans="7:16" s="1634" customFormat="1">
      <c r="G53943" s="3336"/>
      <c r="P53943" s="3337"/>
    </row>
    <row r="53944" spans="7:16" s="1634" customFormat="1">
      <c r="G53944" s="3336"/>
      <c r="P53944" s="3337"/>
    </row>
    <row r="53945" spans="7:16" s="1634" customFormat="1">
      <c r="G53945" s="3336"/>
      <c r="P53945" s="3337"/>
    </row>
    <row r="53946" spans="7:16" s="1634" customFormat="1">
      <c r="G53946" s="3336"/>
      <c r="P53946" s="3337"/>
    </row>
    <row r="53947" spans="7:16" s="1634" customFormat="1">
      <c r="G53947" s="3336"/>
      <c r="P53947" s="3337"/>
    </row>
    <row r="53948" spans="7:16" s="1634" customFormat="1">
      <c r="G53948" s="3336"/>
      <c r="P53948" s="3337"/>
    </row>
    <row r="53949" spans="7:16" s="1634" customFormat="1">
      <c r="G53949" s="3336"/>
      <c r="P53949" s="3337"/>
    </row>
    <row r="53950" spans="7:16" s="1634" customFormat="1">
      <c r="G53950" s="3336"/>
      <c r="P53950" s="3337"/>
    </row>
    <row r="53951" spans="7:16" s="1634" customFormat="1">
      <c r="G53951" s="3336"/>
      <c r="P53951" s="3337"/>
    </row>
    <row r="53952" spans="7:16" s="1634" customFormat="1">
      <c r="G53952" s="3336"/>
      <c r="P53952" s="3337"/>
    </row>
    <row r="53953" spans="7:16" s="1634" customFormat="1">
      <c r="G53953" s="3336"/>
      <c r="P53953" s="3337"/>
    </row>
    <row r="53954" spans="7:16" s="1634" customFormat="1">
      <c r="G53954" s="3336"/>
      <c r="P53954" s="3337"/>
    </row>
    <row r="53955" spans="7:16" s="1634" customFormat="1">
      <c r="G53955" s="3336"/>
      <c r="P53955" s="3337"/>
    </row>
    <row r="53956" spans="7:16" s="1634" customFormat="1">
      <c r="G53956" s="3336"/>
      <c r="P53956" s="3337"/>
    </row>
    <row r="53957" spans="7:16" s="1634" customFormat="1">
      <c r="G53957" s="3336"/>
      <c r="P53957" s="3337"/>
    </row>
    <row r="53958" spans="7:16" s="1634" customFormat="1">
      <c r="G53958" s="3336"/>
      <c r="P53958" s="3337"/>
    </row>
    <row r="53959" spans="7:16" s="1634" customFormat="1">
      <c r="G53959" s="3336"/>
      <c r="P53959" s="3337"/>
    </row>
    <row r="53960" spans="7:16" s="1634" customFormat="1">
      <c r="G53960" s="3336"/>
      <c r="P53960" s="3337"/>
    </row>
    <row r="53961" spans="7:16" s="1634" customFormat="1">
      <c r="G53961" s="3336"/>
      <c r="P53961" s="3337"/>
    </row>
    <row r="53962" spans="7:16" s="1634" customFormat="1">
      <c r="G53962" s="3336"/>
      <c r="P53962" s="3337"/>
    </row>
    <row r="53963" spans="7:16" s="1634" customFormat="1">
      <c r="G53963" s="3336"/>
      <c r="P53963" s="3337"/>
    </row>
    <row r="53964" spans="7:16" s="1634" customFormat="1">
      <c r="G53964" s="3336"/>
      <c r="P53964" s="3337"/>
    </row>
    <row r="53965" spans="7:16" s="1634" customFormat="1">
      <c r="G53965" s="3336"/>
      <c r="P53965" s="3337"/>
    </row>
    <row r="53966" spans="7:16" s="1634" customFormat="1">
      <c r="G53966" s="3336"/>
      <c r="P53966" s="3337"/>
    </row>
    <row r="53967" spans="7:16" s="1634" customFormat="1">
      <c r="G53967" s="3336"/>
      <c r="P53967" s="3337"/>
    </row>
    <row r="53968" spans="7:16" s="1634" customFormat="1">
      <c r="G53968" s="3336"/>
      <c r="P53968" s="3337"/>
    </row>
    <row r="53969" spans="7:16" s="1634" customFormat="1">
      <c r="G53969" s="3336"/>
      <c r="P53969" s="3337"/>
    </row>
    <row r="53970" spans="7:16" s="1634" customFormat="1">
      <c r="G53970" s="3336"/>
      <c r="P53970" s="3337"/>
    </row>
    <row r="53971" spans="7:16" s="1634" customFormat="1">
      <c r="G53971" s="3336"/>
      <c r="P53971" s="3337"/>
    </row>
    <row r="53972" spans="7:16" s="1634" customFormat="1">
      <c r="G53972" s="3336"/>
      <c r="P53972" s="3337"/>
    </row>
    <row r="53973" spans="7:16" s="1634" customFormat="1">
      <c r="G53973" s="3336"/>
      <c r="P53973" s="3337"/>
    </row>
    <row r="53974" spans="7:16" s="1634" customFormat="1">
      <c r="G53974" s="3336"/>
      <c r="P53974" s="3337"/>
    </row>
    <row r="53975" spans="7:16" s="1634" customFormat="1">
      <c r="G53975" s="3336"/>
      <c r="P53975" s="3337"/>
    </row>
    <row r="53976" spans="7:16" s="1634" customFormat="1">
      <c r="G53976" s="3336"/>
      <c r="P53976" s="3337"/>
    </row>
    <row r="53977" spans="7:16" s="1634" customFormat="1">
      <c r="G53977" s="3336"/>
      <c r="P53977" s="3337"/>
    </row>
    <row r="53978" spans="7:16" s="1634" customFormat="1">
      <c r="G53978" s="3336"/>
      <c r="P53978" s="3337"/>
    </row>
    <row r="53979" spans="7:16" s="1634" customFormat="1">
      <c r="G53979" s="3336"/>
      <c r="P53979" s="3337"/>
    </row>
    <row r="53980" spans="7:16" s="1634" customFormat="1">
      <c r="G53980" s="3336"/>
      <c r="P53980" s="3337"/>
    </row>
    <row r="53981" spans="7:16" s="1634" customFormat="1">
      <c r="G53981" s="3336"/>
      <c r="P53981" s="3337"/>
    </row>
    <row r="53982" spans="7:16" s="1634" customFormat="1">
      <c r="G53982" s="3336"/>
      <c r="P53982" s="3337"/>
    </row>
    <row r="53983" spans="7:16" s="1634" customFormat="1">
      <c r="G53983" s="3336"/>
      <c r="P53983" s="3337"/>
    </row>
    <row r="53984" spans="7:16" s="1634" customFormat="1">
      <c r="G53984" s="3336"/>
      <c r="P53984" s="3337"/>
    </row>
    <row r="53985" spans="7:16" s="1634" customFormat="1">
      <c r="G53985" s="3336"/>
      <c r="P53985" s="3337"/>
    </row>
    <row r="53986" spans="7:16" s="1634" customFormat="1">
      <c r="G53986" s="3336"/>
      <c r="P53986" s="3337"/>
    </row>
    <row r="53987" spans="7:16" s="1634" customFormat="1">
      <c r="G53987" s="3336"/>
      <c r="P53987" s="3337"/>
    </row>
    <row r="53988" spans="7:16" s="1634" customFormat="1">
      <c r="G53988" s="3336"/>
      <c r="P53988" s="3337"/>
    </row>
    <row r="53989" spans="7:16" s="1634" customFormat="1">
      <c r="G53989" s="3336"/>
      <c r="P53989" s="3337"/>
    </row>
    <row r="53990" spans="7:16" s="1634" customFormat="1">
      <c r="G53990" s="3336"/>
      <c r="P53990" s="3337"/>
    </row>
    <row r="53991" spans="7:16" s="1634" customFormat="1">
      <c r="G53991" s="3336"/>
      <c r="P53991" s="3337"/>
    </row>
    <row r="53992" spans="7:16" s="1634" customFormat="1">
      <c r="G53992" s="3336"/>
      <c r="P53992" s="3337"/>
    </row>
    <row r="53993" spans="7:16" s="1634" customFormat="1">
      <c r="G53993" s="3336"/>
      <c r="P53993" s="3337"/>
    </row>
    <row r="53994" spans="7:16" s="1634" customFormat="1">
      <c r="G53994" s="3336"/>
      <c r="P53994" s="3337"/>
    </row>
    <row r="53995" spans="7:16" s="1634" customFormat="1">
      <c r="G53995" s="3336"/>
      <c r="P53995" s="3337"/>
    </row>
    <row r="53996" spans="7:16" s="1634" customFormat="1">
      <c r="G53996" s="3336"/>
      <c r="P53996" s="3337"/>
    </row>
    <row r="53997" spans="7:16" s="1634" customFormat="1">
      <c r="G53997" s="3336"/>
      <c r="P53997" s="3337"/>
    </row>
    <row r="53998" spans="7:16" s="1634" customFormat="1">
      <c r="G53998" s="3336"/>
      <c r="P53998" s="3337"/>
    </row>
    <row r="53999" spans="7:16" s="1634" customFormat="1">
      <c r="G53999" s="3336"/>
      <c r="P53999" s="3337"/>
    </row>
    <row r="54000" spans="7:16" s="1634" customFormat="1">
      <c r="G54000" s="3336"/>
      <c r="P54000" s="3337"/>
    </row>
    <row r="54001" spans="7:16" s="1634" customFormat="1">
      <c r="G54001" s="3336"/>
      <c r="P54001" s="3337"/>
    </row>
    <row r="54002" spans="7:16" s="1634" customFormat="1">
      <c r="G54002" s="3336"/>
      <c r="P54002" s="3337"/>
    </row>
    <row r="54003" spans="7:16" s="1634" customFormat="1">
      <c r="G54003" s="3336"/>
      <c r="P54003" s="3337"/>
    </row>
    <row r="54004" spans="7:16" s="1634" customFormat="1">
      <c r="G54004" s="3336"/>
      <c r="P54004" s="3337"/>
    </row>
    <row r="54005" spans="7:16" s="1634" customFormat="1">
      <c r="G54005" s="3336"/>
      <c r="P54005" s="3337"/>
    </row>
    <row r="54006" spans="7:16" s="1634" customFormat="1">
      <c r="G54006" s="3336"/>
      <c r="P54006" s="3337"/>
    </row>
    <row r="54007" spans="7:16" s="1634" customFormat="1">
      <c r="G54007" s="3336"/>
      <c r="P54007" s="3337"/>
    </row>
    <row r="54008" spans="7:16" s="1634" customFormat="1">
      <c r="G54008" s="3336"/>
      <c r="P54008" s="3337"/>
    </row>
    <row r="54009" spans="7:16" s="1634" customFormat="1">
      <c r="G54009" s="3336"/>
      <c r="P54009" s="3337"/>
    </row>
    <row r="54010" spans="7:16" s="1634" customFormat="1">
      <c r="G54010" s="3336"/>
      <c r="P54010" s="3337"/>
    </row>
    <row r="54011" spans="7:16" s="1634" customFormat="1">
      <c r="G54011" s="3336"/>
      <c r="P54011" s="3337"/>
    </row>
    <row r="54012" spans="7:16" s="1634" customFormat="1">
      <c r="G54012" s="3336"/>
      <c r="P54012" s="3337"/>
    </row>
    <row r="54013" spans="7:16" s="1634" customFormat="1">
      <c r="G54013" s="3336"/>
      <c r="P54013" s="3337"/>
    </row>
    <row r="54014" spans="7:16" s="1634" customFormat="1">
      <c r="G54014" s="3336"/>
      <c r="P54014" s="3337"/>
    </row>
    <row r="54015" spans="7:16" s="1634" customFormat="1">
      <c r="G54015" s="3336"/>
      <c r="P54015" s="3337"/>
    </row>
    <row r="54016" spans="7:16" s="1634" customFormat="1">
      <c r="G54016" s="3336"/>
      <c r="P54016" s="3337"/>
    </row>
    <row r="54017" spans="7:16" s="1634" customFormat="1">
      <c r="G54017" s="3336"/>
      <c r="P54017" s="3337"/>
    </row>
    <row r="54018" spans="7:16" s="1634" customFormat="1">
      <c r="G54018" s="3336"/>
      <c r="P54018" s="3337"/>
    </row>
    <row r="54019" spans="7:16" s="1634" customFormat="1">
      <c r="G54019" s="3336"/>
      <c r="P54019" s="3337"/>
    </row>
    <row r="54020" spans="7:16" s="1634" customFormat="1">
      <c r="G54020" s="3336"/>
      <c r="P54020" s="3337"/>
    </row>
    <row r="54021" spans="7:16" s="1634" customFormat="1">
      <c r="G54021" s="3336"/>
      <c r="P54021" s="3337"/>
    </row>
    <row r="54022" spans="7:16" s="1634" customFormat="1">
      <c r="G54022" s="3336"/>
      <c r="P54022" s="3337"/>
    </row>
    <row r="54023" spans="7:16" s="1634" customFormat="1">
      <c r="G54023" s="3336"/>
      <c r="P54023" s="3337"/>
    </row>
    <row r="54024" spans="7:16" s="1634" customFormat="1">
      <c r="G54024" s="3336"/>
      <c r="P54024" s="3337"/>
    </row>
    <row r="54025" spans="7:16" s="1634" customFormat="1">
      <c r="G54025" s="3336"/>
      <c r="P54025" s="3337"/>
    </row>
    <row r="54026" spans="7:16" s="1634" customFormat="1">
      <c r="G54026" s="3336"/>
      <c r="P54026" s="3337"/>
    </row>
    <row r="54027" spans="7:16" s="1634" customFormat="1">
      <c r="G54027" s="3336"/>
      <c r="P54027" s="3337"/>
    </row>
    <row r="54028" spans="7:16" s="1634" customFormat="1">
      <c r="G54028" s="3336"/>
      <c r="P54028" s="3337"/>
    </row>
    <row r="54029" spans="7:16" s="1634" customFormat="1">
      <c r="G54029" s="3336"/>
      <c r="P54029" s="3337"/>
    </row>
    <row r="54030" spans="7:16" s="1634" customFormat="1">
      <c r="G54030" s="3336"/>
      <c r="P54030" s="3337"/>
    </row>
    <row r="54031" spans="7:16" s="1634" customFormat="1">
      <c r="G54031" s="3336"/>
      <c r="P54031" s="3337"/>
    </row>
    <row r="54032" spans="7:16" s="1634" customFormat="1">
      <c r="G54032" s="3336"/>
      <c r="P54032" s="3337"/>
    </row>
    <row r="54033" spans="7:16" s="1634" customFormat="1">
      <c r="G54033" s="3336"/>
      <c r="P54033" s="3337"/>
    </row>
    <row r="54034" spans="7:16" s="1634" customFormat="1">
      <c r="G54034" s="3336"/>
      <c r="P54034" s="3337"/>
    </row>
    <row r="54035" spans="7:16" s="1634" customFormat="1">
      <c r="G54035" s="3336"/>
      <c r="P54035" s="3337"/>
    </row>
    <row r="54036" spans="7:16" s="1634" customFormat="1">
      <c r="G54036" s="3336"/>
      <c r="P54036" s="3337"/>
    </row>
    <row r="54037" spans="7:16" s="1634" customFormat="1">
      <c r="G54037" s="3336"/>
      <c r="P54037" s="3337"/>
    </row>
    <row r="54038" spans="7:16" s="1634" customFormat="1">
      <c r="G54038" s="3336"/>
      <c r="P54038" s="3337"/>
    </row>
    <row r="54039" spans="7:16" s="1634" customFormat="1">
      <c r="G54039" s="3336"/>
      <c r="P54039" s="3337"/>
    </row>
    <row r="54040" spans="7:16" s="1634" customFormat="1">
      <c r="G54040" s="3336"/>
      <c r="P54040" s="3337"/>
    </row>
    <row r="54041" spans="7:16" s="1634" customFormat="1">
      <c r="G54041" s="3336"/>
      <c r="P54041" s="3337"/>
    </row>
    <row r="54042" spans="7:16" s="1634" customFormat="1">
      <c r="G54042" s="3336"/>
      <c r="P54042" s="3337"/>
    </row>
    <row r="54043" spans="7:16" s="1634" customFormat="1">
      <c r="G54043" s="3336"/>
      <c r="P54043" s="3337"/>
    </row>
    <row r="54044" spans="7:16" s="1634" customFormat="1">
      <c r="G54044" s="3336"/>
      <c r="P54044" s="3337"/>
    </row>
    <row r="54045" spans="7:16" s="1634" customFormat="1">
      <c r="G54045" s="3336"/>
      <c r="P54045" s="3337"/>
    </row>
    <row r="54046" spans="7:16" s="1634" customFormat="1">
      <c r="G54046" s="3336"/>
      <c r="P54046" s="3337"/>
    </row>
    <row r="54047" spans="7:16" s="1634" customFormat="1">
      <c r="G54047" s="3336"/>
      <c r="P54047" s="3337"/>
    </row>
    <row r="54048" spans="7:16" s="1634" customFormat="1">
      <c r="G54048" s="3336"/>
      <c r="P54048" s="3337"/>
    </row>
    <row r="54049" spans="7:16" s="1634" customFormat="1">
      <c r="G54049" s="3336"/>
      <c r="P54049" s="3337"/>
    </row>
    <row r="54050" spans="7:16" s="1634" customFormat="1">
      <c r="G54050" s="3336"/>
      <c r="P54050" s="3337"/>
    </row>
    <row r="54051" spans="7:16" s="1634" customFormat="1">
      <c r="G54051" s="3336"/>
      <c r="P54051" s="3337"/>
    </row>
    <row r="54052" spans="7:16" s="1634" customFormat="1">
      <c r="G54052" s="3336"/>
      <c r="P54052" s="3337"/>
    </row>
    <row r="54053" spans="7:16" s="1634" customFormat="1">
      <c r="G54053" s="3336"/>
      <c r="P54053" s="3337"/>
    </row>
    <row r="54054" spans="7:16" s="1634" customFormat="1">
      <c r="G54054" s="3336"/>
      <c r="P54054" s="3337"/>
    </row>
    <row r="54055" spans="7:16" s="1634" customFormat="1">
      <c r="G54055" s="3336"/>
      <c r="P54055" s="3337"/>
    </row>
    <row r="54056" spans="7:16" s="1634" customFormat="1">
      <c r="G54056" s="3336"/>
      <c r="P54056" s="3337"/>
    </row>
    <row r="54057" spans="7:16" s="1634" customFormat="1">
      <c r="G54057" s="3336"/>
      <c r="P54057" s="3337"/>
    </row>
    <row r="54058" spans="7:16" s="1634" customFormat="1">
      <c r="G54058" s="3336"/>
      <c r="P54058" s="3337"/>
    </row>
    <row r="54059" spans="7:16" s="1634" customFormat="1">
      <c r="G54059" s="3336"/>
      <c r="P54059" s="3337"/>
    </row>
    <row r="54060" spans="7:16" s="1634" customFormat="1">
      <c r="G54060" s="3336"/>
      <c r="P54060" s="3337"/>
    </row>
    <row r="54061" spans="7:16" s="1634" customFormat="1">
      <c r="G54061" s="3336"/>
      <c r="P54061" s="3337"/>
    </row>
    <row r="54062" spans="7:16" s="1634" customFormat="1">
      <c r="G54062" s="3336"/>
      <c r="P54062" s="3337"/>
    </row>
    <row r="54063" spans="7:16" s="1634" customFormat="1">
      <c r="G54063" s="3336"/>
      <c r="P54063" s="3337"/>
    </row>
    <row r="54064" spans="7:16" s="1634" customFormat="1">
      <c r="G54064" s="3336"/>
      <c r="P54064" s="3337"/>
    </row>
    <row r="54065" spans="7:16" s="1634" customFormat="1">
      <c r="G54065" s="3336"/>
      <c r="P54065" s="3337"/>
    </row>
    <row r="54066" spans="7:16" s="1634" customFormat="1">
      <c r="G54066" s="3336"/>
      <c r="P54066" s="3337"/>
    </row>
    <row r="54067" spans="7:16" s="1634" customFormat="1">
      <c r="G54067" s="3336"/>
      <c r="P54067" s="3337"/>
    </row>
    <row r="54068" spans="7:16" s="1634" customFormat="1">
      <c r="G54068" s="3336"/>
      <c r="P54068" s="3337"/>
    </row>
    <row r="54069" spans="7:16" s="1634" customFormat="1">
      <c r="G54069" s="3336"/>
      <c r="P54069" s="3337"/>
    </row>
    <row r="54070" spans="7:16" s="1634" customFormat="1">
      <c r="G54070" s="3336"/>
      <c r="P54070" s="3337"/>
    </row>
    <row r="54071" spans="7:16" s="1634" customFormat="1">
      <c r="G54071" s="3336"/>
      <c r="P54071" s="3337"/>
    </row>
    <row r="54072" spans="7:16" s="1634" customFormat="1">
      <c r="G54072" s="3336"/>
      <c r="P54072" s="3337"/>
    </row>
    <row r="54073" spans="7:16" s="1634" customFormat="1">
      <c r="G54073" s="3336"/>
      <c r="P54073" s="3337"/>
    </row>
    <row r="54074" spans="7:16" s="1634" customFormat="1">
      <c r="G54074" s="3336"/>
      <c r="P54074" s="3337"/>
    </row>
    <row r="54075" spans="7:16" s="1634" customFormat="1">
      <c r="G54075" s="3336"/>
      <c r="P54075" s="3337"/>
    </row>
    <row r="54076" spans="7:16" s="1634" customFormat="1">
      <c r="G54076" s="3336"/>
      <c r="P54076" s="3337"/>
    </row>
    <row r="54077" spans="7:16" s="1634" customFormat="1">
      <c r="G54077" s="3336"/>
      <c r="P54077" s="3337"/>
    </row>
    <row r="54078" spans="7:16" s="1634" customFormat="1">
      <c r="G54078" s="3336"/>
      <c r="P54078" s="3337"/>
    </row>
    <row r="54079" spans="7:16" s="1634" customFormat="1">
      <c r="G54079" s="3336"/>
      <c r="P54079" s="3337"/>
    </row>
    <row r="54080" spans="7:16" s="1634" customFormat="1">
      <c r="G54080" s="3336"/>
      <c r="P54080" s="3337"/>
    </row>
    <row r="54081" spans="7:16" s="1634" customFormat="1">
      <c r="G54081" s="3336"/>
      <c r="P54081" s="3337"/>
    </row>
    <row r="54082" spans="7:16" s="1634" customFormat="1">
      <c r="G54082" s="3336"/>
      <c r="P54082" s="3337"/>
    </row>
    <row r="54083" spans="7:16" s="1634" customFormat="1">
      <c r="G54083" s="3336"/>
      <c r="P54083" s="3337"/>
    </row>
    <row r="54084" spans="7:16" s="1634" customFormat="1">
      <c r="G54084" s="3336"/>
      <c r="P54084" s="3337"/>
    </row>
    <row r="54085" spans="7:16" s="1634" customFormat="1">
      <c r="G54085" s="3336"/>
      <c r="P54085" s="3337"/>
    </row>
    <row r="54086" spans="7:16" s="1634" customFormat="1">
      <c r="G54086" s="3336"/>
      <c r="P54086" s="3337"/>
    </row>
    <row r="54087" spans="7:16" s="1634" customFormat="1">
      <c r="G54087" s="3336"/>
      <c r="P54087" s="3337"/>
    </row>
    <row r="54088" spans="7:16" s="1634" customFormat="1">
      <c r="G54088" s="3336"/>
      <c r="P54088" s="3337"/>
    </row>
    <row r="54089" spans="7:16" s="1634" customFormat="1">
      <c r="G54089" s="3336"/>
      <c r="P54089" s="3337"/>
    </row>
    <row r="54090" spans="7:16" s="1634" customFormat="1">
      <c r="G54090" s="3336"/>
      <c r="P54090" s="3337"/>
    </row>
    <row r="54091" spans="7:16" s="1634" customFormat="1">
      <c r="G54091" s="3336"/>
      <c r="P54091" s="3337"/>
    </row>
    <row r="54092" spans="7:16" s="1634" customFormat="1">
      <c r="G54092" s="3336"/>
      <c r="P54092" s="3337"/>
    </row>
    <row r="54093" spans="7:16" s="1634" customFormat="1">
      <c r="G54093" s="3336"/>
      <c r="P54093" s="3337"/>
    </row>
    <row r="54094" spans="7:16" s="1634" customFormat="1">
      <c r="G54094" s="3336"/>
      <c r="P54094" s="3337"/>
    </row>
    <row r="54095" spans="7:16" s="1634" customFormat="1">
      <c r="G54095" s="3336"/>
      <c r="P54095" s="3337"/>
    </row>
    <row r="54096" spans="7:16" s="1634" customFormat="1">
      <c r="G54096" s="3336"/>
      <c r="P54096" s="3337"/>
    </row>
    <row r="54097" spans="7:16" s="1634" customFormat="1">
      <c r="G54097" s="3336"/>
      <c r="P54097" s="3337"/>
    </row>
    <row r="54098" spans="7:16" s="1634" customFormat="1">
      <c r="G54098" s="3336"/>
      <c r="P54098" s="3337"/>
    </row>
    <row r="54099" spans="7:16" s="1634" customFormat="1">
      <c r="G54099" s="3336"/>
      <c r="P54099" s="3337"/>
    </row>
    <row r="54100" spans="7:16" s="1634" customFormat="1">
      <c r="G54100" s="3336"/>
      <c r="P54100" s="3337"/>
    </row>
    <row r="54101" spans="7:16" s="1634" customFormat="1">
      <c r="G54101" s="3336"/>
      <c r="P54101" s="3337"/>
    </row>
    <row r="54102" spans="7:16" s="1634" customFormat="1">
      <c r="G54102" s="3336"/>
      <c r="P54102" s="3337"/>
    </row>
    <row r="54103" spans="7:16" s="1634" customFormat="1">
      <c r="G54103" s="3336"/>
      <c r="P54103" s="3337"/>
    </row>
    <row r="54104" spans="7:16" s="1634" customFormat="1">
      <c r="G54104" s="3336"/>
      <c r="P54104" s="3337"/>
    </row>
    <row r="54105" spans="7:16" s="1634" customFormat="1">
      <c r="G54105" s="3336"/>
      <c r="P54105" s="3337"/>
    </row>
    <row r="54106" spans="7:16" s="1634" customFormat="1">
      <c r="G54106" s="3336"/>
      <c r="P54106" s="3337"/>
    </row>
    <row r="54107" spans="7:16" s="1634" customFormat="1">
      <c r="G54107" s="3336"/>
      <c r="P54107" s="3337"/>
    </row>
    <row r="54108" spans="7:16" s="1634" customFormat="1">
      <c r="G54108" s="3336"/>
      <c r="P54108" s="3337"/>
    </row>
    <row r="54109" spans="7:16" s="1634" customFormat="1">
      <c r="G54109" s="3336"/>
      <c r="P54109" s="3337"/>
    </row>
    <row r="54110" spans="7:16" s="1634" customFormat="1">
      <c r="G54110" s="3336"/>
      <c r="P54110" s="3337"/>
    </row>
    <row r="54111" spans="7:16" s="1634" customFormat="1">
      <c r="G54111" s="3336"/>
      <c r="P54111" s="3337"/>
    </row>
    <row r="54112" spans="7:16" s="1634" customFormat="1">
      <c r="G54112" s="3336"/>
      <c r="P54112" s="3337"/>
    </row>
    <row r="54113" spans="7:16" s="1634" customFormat="1">
      <c r="G54113" s="3336"/>
      <c r="P54113" s="3337"/>
    </row>
    <row r="54114" spans="7:16" s="1634" customFormat="1">
      <c r="G54114" s="3336"/>
      <c r="P54114" s="3337"/>
    </row>
    <row r="54115" spans="7:16" s="1634" customFormat="1">
      <c r="G54115" s="3336"/>
      <c r="P54115" s="3337"/>
    </row>
    <row r="54116" spans="7:16" s="1634" customFormat="1">
      <c r="G54116" s="3336"/>
      <c r="P54116" s="3337"/>
    </row>
    <row r="54117" spans="7:16" s="1634" customFormat="1">
      <c r="G54117" s="3336"/>
      <c r="P54117" s="3337"/>
    </row>
    <row r="54118" spans="7:16" s="1634" customFormat="1">
      <c r="G54118" s="3336"/>
      <c r="P54118" s="3337"/>
    </row>
    <row r="54119" spans="7:16" s="1634" customFormat="1">
      <c r="G54119" s="3336"/>
      <c r="P54119" s="3337"/>
    </row>
    <row r="54120" spans="7:16" s="1634" customFormat="1">
      <c r="G54120" s="3336"/>
      <c r="P54120" s="3337"/>
    </row>
    <row r="54121" spans="7:16" s="1634" customFormat="1">
      <c r="G54121" s="3336"/>
      <c r="P54121" s="3337"/>
    </row>
    <row r="54122" spans="7:16" s="1634" customFormat="1">
      <c r="G54122" s="3336"/>
      <c r="P54122" s="3337"/>
    </row>
    <row r="54123" spans="7:16" s="1634" customFormat="1">
      <c r="G54123" s="3336"/>
      <c r="P54123" s="3337"/>
    </row>
    <row r="54124" spans="7:16" s="1634" customFormat="1">
      <c r="G54124" s="3336"/>
      <c r="P54124" s="3337"/>
    </row>
    <row r="54125" spans="7:16" s="1634" customFormat="1">
      <c r="G54125" s="3336"/>
      <c r="P54125" s="3337"/>
    </row>
    <row r="54126" spans="7:16" s="1634" customFormat="1">
      <c r="G54126" s="3336"/>
      <c r="P54126" s="3337"/>
    </row>
    <row r="54127" spans="7:16" s="1634" customFormat="1">
      <c r="G54127" s="3336"/>
      <c r="P54127" s="3337"/>
    </row>
    <row r="54128" spans="7:16" s="1634" customFormat="1">
      <c r="G54128" s="3336"/>
      <c r="P54128" s="3337"/>
    </row>
    <row r="54129" spans="7:16" s="1634" customFormat="1">
      <c r="G54129" s="3336"/>
      <c r="P54129" s="3337"/>
    </row>
    <row r="54130" spans="7:16" s="1634" customFormat="1">
      <c r="G54130" s="3336"/>
      <c r="P54130" s="3337"/>
    </row>
    <row r="54131" spans="7:16" s="1634" customFormat="1">
      <c r="G54131" s="3336"/>
      <c r="P54131" s="3337"/>
    </row>
    <row r="54132" spans="7:16" s="1634" customFormat="1">
      <c r="G54132" s="3336"/>
      <c r="P54132" s="3337"/>
    </row>
    <row r="54133" spans="7:16" s="1634" customFormat="1">
      <c r="G54133" s="3336"/>
      <c r="P54133" s="3337"/>
    </row>
    <row r="54134" spans="7:16" s="1634" customFormat="1">
      <c r="G54134" s="3336"/>
      <c r="P54134" s="3337"/>
    </row>
    <row r="54135" spans="7:16" s="1634" customFormat="1">
      <c r="G54135" s="3336"/>
      <c r="P54135" s="3337"/>
    </row>
    <row r="54136" spans="7:16" s="1634" customFormat="1">
      <c r="G54136" s="3336"/>
      <c r="P54136" s="3337"/>
    </row>
    <row r="54137" spans="7:16" s="1634" customFormat="1">
      <c r="G54137" s="3336"/>
      <c r="P54137" s="3337"/>
    </row>
    <row r="54138" spans="7:16" s="1634" customFormat="1">
      <c r="G54138" s="3336"/>
      <c r="P54138" s="3337"/>
    </row>
    <row r="54139" spans="7:16" s="1634" customFormat="1">
      <c r="G54139" s="3336"/>
      <c r="P54139" s="3337"/>
    </row>
    <row r="54140" spans="7:16" s="1634" customFormat="1">
      <c r="G54140" s="3336"/>
      <c r="P54140" s="3337"/>
    </row>
    <row r="54141" spans="7:16" s="1634" customFormat="1">
      <c r="G54141" s="3336"/>
      <c r="P54141" s="3337"/>
    </row>
    <row r="54142" spans="7:16" s="1634" customFormat="1">
      <c r="G54142" s="3336"/>
      <c r="P54142" s="3337"/>
    </row>
    <row r="54143" spans="7:16" s="1634" customFormat="1">
      <c r="G54143" s="3336"/>
      <c r="P54143" s="3337"/>
    </row>
    <row r="54144" spans="7:16" s="1634" customFormat="1">
      <c r="G54144" s="3336"/>
      <c r="P54144" s="3337"/>
    </row>
    <row r="54145" spans="7:16" s="1634" customFormat="1">
      <c r="G54145" s="3336"/>
      <c r="P54145" s="3337"/>
    </row>
    <row r="54146" spans="7:16" s="1634" customFormat="1">
      <c r="G54146" s="3336"/>
      <c r="P54146" s="3337"/>
    </row>
    <row r="54147" spans="7:16" s="1634" customFormat="1">
      <c r="G54147" s="3336"/>
      <c r="P54147" s="3337"/>
    </row>
    <row r="54148" spans="7:16" s="1634" customFormat="1">
      <c r="G54148" s="3336"/>
      <c r="P54148" s="3337"/>
    </row>
    <row r="54149" spans="7:16" s="1634" customFormat="1">
      <c r="G54149" s="3336"/>
      <c r="P54149" s="3337"/>
    </row>
    <row r="54150" spans="7:16" s="1634" customFormat="1">
      <c r="G54150" s="3336"/>
      <c r="P54150" s="3337"/>
    </row>
    <row r="54151" spans="7:16" s="1634" customFormat="1">
      <c r="G54151" s="3336"/>
      <c r="P54151" s="3337"/>
    </row>
    <row r="54152" spans="7:16" s="1634" customFormat="1">
      <c r="G54152" s="3336"/>
      <c r="P54152" s="3337"/>
    </row>
    <row r="54153" spans="7:16" s="1634" customFormat="1">
      <c r="G54153" s="3336"/>
      <c r="P54153" s="3337"/>
    </row>
    <row r="54154" spans="7:16" s="1634" customFormat="1">
      <c r="G54154" s="3336"/>
      <c r="P54154" s="3337"/>
    </row>
    <row r="54155" spans="7:16" s="1634" customFormat="1">
      <c r="G54155" s="3336"/>
      <c r="P54155" s="3337"/>
    </row>
    <row r="54156" spans="7:16" s="1634" customFormat="1">
      <c r="G54156" s="3336"/>
      <c r="P54156" s="3337"/>
    </row>
    <row r="54157" spans="7:16" s="1634" customFormat="1">
      <c r="G54157" s="3336"/>
      <c r="P54157" s="3337"/>
    </row>
    <row r="54158" spans="7:16" s="1634" customFormat="1">
      <c r="G54158" s="3336"/>
      <c r="P54158" s="3337"/>
    </row>
    <row r="54159" spans="7:16" s="1634" customFormat="1">
      <c r="G54159" s="3336"/>
      <c r="P54159" s="3337"/>
    </row>
    <row r="54160" spans="7:16" s="1634" customFormat="1">
      <c r="G54160" s="3336"/>
      <c r="P54160" s="3337"/>
    </row>
    <row r="54161" spans="7:16" s="1634" customFormat="1">
      <c r="G54161" s="3336"/>
      <c r="P54161" s="3337"/>
    </row>
    <row r="54162" spans="7:16" s="1634" customFormat="1">
      <c r="G54162" s="3336"/>
      <c r="P54162" s="3337"/>
    </row>
    <row r="54163" spans="7:16" s="1634" customFormat="1">
      <c r="G54163" s="3336"/>
      <c r="P54163" s="3337"/>
    </row>
    <row r="54164" spans="7:16" s="1634" customFormat="1">
      <c r="G54164" s="3336"/>
      <c r="P54164" s="3337"/>
    </row>
    <row r="54165" spans="7:16" s="1634" customFormat="1">
      <c r="G54165" s="3336"/>
      <c r="P54165" s="3337"/>
    </row>
    <row r="54166" spans="7:16" s="1634" customFormat="1">
      <c r="G54166" s="3336"/>
      <c r="P54166" s="3337"/>
    </row>
    <row r="54167" spans="7:16" s="1634" customFormat="1">
      <c r="G54167" s="3336"/>
      <c r="P54167" s="3337"/>
    </row>
    <row r="54168" spans="7:16" s="1634" customFormat="1">
      <c r="G54168" s="3336"/>
      <c r="P54168" s="3337"/>
    </row>
    <row r="54169" spans="7:16" s="1634" customFormat="1">
      <c r="G54169" s="3336"/>
      <c r="P54169" s="3337"/>
    </row>
    <row r="54170" spans="7:16" s="1634" customFormat="1">
      <c r="G54170" s="3336"/>
      <c r="P54170" s="3337"/>
    </row>
    <row r="54171" spans="7:16" s="1634" customFormat="1">
      <c r="G54171" s="3336"/>
      <c r="P54171" s="3337"/>
    </row>
    <row r="54172" spans="7:16" s="1634" customFormat="1">
      <c r="G54172" s="3336"/>
      <c r="P54172" s="3337"/>
    </row>
    <row r="54173" spans="7:16" s="1634" customFormat="1">
      <c r="G54173" s="3336"/>
      <c r="P54173" s="3337"/>
    </row>
    <row r="54174" spans="7:16" s="1634" customFormat="1">
      <c r="G54174" s="3336"/>
      <c r="P54174" s="3337"/>
    </row>
    <row r="54175" spans="7:16" s="1634" customFormat="1">
      <c r="G54175" s="3336"/>
      <c r="P54175" s="3337"/>
    </row>
    <row r="54176" spans="7:16" s="1634" customFormat="1">
      <c r="G54176" s="3336"/>
      <c r="P54176" s="3337"/>
    </row>
    <row r="54177" spans="7:16" s="1634" customFormat="1">
      <c r="G54177" s="3336"/>
      <c r="P54177" s="3337"/>
    </row>
    <row r="54178" spans="7:16" s="1634" customFormat="1">
      <c r="G54178" s="3336"/>
      <c r="P54178" s="3337"/>
    </row>
    <row r="54179" spans="7:16" s="1634" customFormat="1">
      <c r="G54179" s="3336"/>
      <c r="P54179" s="3337"/>
    </row>
    <row r="54180" spans="7:16" s="1634" customFormat="1">
      <c r="G54180" s="3336"/>
      <c r="P54180" s="3337"/>
    </row>
    <row r="54181" spans="7:16" s="1634" customFormat="1">
      <c r="G54181" s="3336"/>
      <c r="P54181" s="3337"/>
    </row>
    <row r="54182" spans="7:16" s="1634" customFormat="1">
      <c r="G54182" s="3336"/>
      <c r="P54182" s="3337"/>
    </row>
    <row r="54183" spans="7:16" s="1634" customFormat="1">
      <c r="G54183" s="3336"/>
      <c r="P54183" s="3337"/>
    </row>
    <row r="54184" spans="7:16" s="1634" customFormat="1">
      <c r="G54184" s="3336"/>
      <c r="P54184" s="3337"/>
    </row>
    <row r="54185" spans="7:16" s="1634" customFormat="1">
      <c r="G54185" s="3336"/>
      <c r="P54185" s="3337"/>
    </row>
    <row r="54186" spans="7:16" s="1634" customFormat="1">
      <c r="G54186" s="3336"/>
      <c r="P54186" s="3337"/>
    </row>
    <row r="54187" spans="7:16" s="1634" customFormat="1">
      <c r="G54187" s="3336"/>
      <c r="P54187" s="3337"/>
    </row>
    <row r="54188" spans="7:16" s="1634" customFormat="1">
      <c r="G54188" s="3336"/>
      <c r="P54188" s="3337"/>
    </row>
    <row r="54189" spans="7:16" s="1634" customFormat="1">
      <c r="G54189" s="3336"/>
      <c r="P54189" s="3337"/>
    </row>
    <row r="54190" spans="7:16" s="1634" customFormat="1">
      <c r="G54190" s="3336"/>
      <c r="P54190" s="3337"/>
    </row>
    <row r="54191" spans="7:16" s="1634" customFormat="1">
      <c r="G54191" s="3336"/>
      <c r="P54191" s="3337"/>
    </row>
    <row r="54192" spans="7:16" s="1634" customFormat="1">
      <c r="G54192" s="3336"/>
      <c r="P54192" s="3337"/>
    </row>
    <row r="54193" spans="7:16" s="1634" customFormat="1">
      <c r="G54193" s="3336"/>
      <c r="P54193" s="3337"/>
    </row>
    <row r="54194" spans="7:16" s="1634" customFormat="1">
      <c r="G54194" s="3336"/>
      <c r="P54194" s="3337"/>
    </row>
    <row r="54195" spans="7:16" s="1634" customFormat="1">
      <c r="G54195" s="3336"/>
      <c r="P54195" s="3337"/>
    </row>
    <row r="54196" spans="7:16" s="1634" customFormat="1">
      <c r="G54196" s="3336"/>
      <c r="P54196" s="3337"/>
    </row>
    <row r="54197" spans="7:16" s="1634" customFormat="1">
      <c r="G54197" s="3336"/>
      <c r="P54197" s="3337"/>
    </row>
    <row r="54198" spans="7:16" s="1634" customFormat="1">
      <c r="G54198" s="3336"/>
      <c r="P54198" s="3337"/>
    </row>
    <row r="54199" spans="7:16" s="1634" customFormat="1">
      <c r="G54199" s="3336"/>
      <c r="P54199" s="3337"/>
    </row>
    <row r="54200" spans="7:16" s="1634" customFormat="1">
      <c r="G54200" s="3336"/>
      <c r="P54200" s="3337"/>
    </row>
    <row r="54201" spans="7:16" s="1634" customFormat="1">
      <c r="G54201" s="3336"/>
      <c r="P54201" s="3337"/>
    </row>
    <row r="54202" spans="7:16" s="1634" customFormat="1">
      <c r="G54202" s="3336"/>
      <c r="P54202" s="3337"/>
    </row>
    <row r="54203" spans="7:16" s="1634" customFormat="1">
      <c r="G54203" s="3336"/>
      <c r="P54203" s="3337"/>
    </row>
    <row r="54204" spans="7:16" s="1634" customFormat="1">
      <c r="G54204" s="3336"/>
      <c r="P54204" s="3337"/>
    </row>
    <row r="54205" spans="7:16" s="1634" customFormat="1">
      <c r="G54205" s="3336"/>
      <c r="P54205" s="3337"/>
    </row>
    <row r="54206" spans="7:16" s="1634" customFormat="1">
      <c r="G54206" s="3336"/>
      <c r="P54206" s="3337"/>
    </row>
    <row r="54207" spans="7:16" s="1634" customFormat="1">
      <c r="G54207" s="3336"/>
      <c r="P54207" s="3337"/>
    </row>
    <row r="54208" spans="7:16" s="1634" customFormat="1">
      <c r="G54208" s="3336"/>
      <c r="P54208" s="3337"/>
    </row>
    <row r="54209" spans="7:16" s="1634" customFormat="1">
      <c r="G54209" s="3336"/>
      <c r="P54209" s="3337"/>
    </row>
    <row r="54210" spans="7:16" s="1634" customFormat="1">
      <c r="G54210" s="3336"/>
      <c r="P54210" s="3337"/>
    </row>
    <row r="54211" spans="7:16" s="1634" customFormat="1">
      <c r="G54211" s="3336"/>
      <c r="P54211" s="3337"/>
    </row>
    <row r="54212" spans="7:16" s="1634" customFormat="1">
      <c r="G54212" s="3336"/>
      <c r="P54212" s="3337"/>
    </row>
    <row r="54213" spans="7:16" s="1634" customFormat="1">
      <c r="G54213" s="3336"/>
      <c r="P54213" s="3337"/>
    </row>
    <row r="54214" spans="7:16" s="1634" customFormat="1">
      <c r="G54214" s="3336"/>
      <c r="P54214" s="3337"/>
    </row>
    <row r="54215" spans="7:16" s="1634" customFormat="1">
      <c r="G54215" s="3336"/>
      <c r="P54215" s="3337"/>
    </row>
    <row r="54216" spans="7:16" s="1634" customFormat="1">
      <c r="G54216" s="3336"/>
      <c r="P54216" s="3337"/>
    </row>
    <row r="54217" spans="7:16" s="1634" customFormat="1">
      <c r="G54217" s="3336"/>
      <c r="P54217" s="3337"/>
    </row>
    <row r="54218" spans="7:16" s="1634" customFormat="1">
      <c r="G54218" s="3336"/>
      <c r="P54218" s="3337"/>
    </row>
    <row r="54219" spans="7:16" s="1634" customFormat="1">
      <c r="G54219" s="3336"/>
      <c r="P54219" s="3337"/>
    </row>
    <row r="54220" spans="7:16" s="1634" customFormat="1">
      <c r="G54220" s="3336"/>
      <c r="P54220" s="3337"/>
    </row>
    <row r="54221" spans="7:16" s="1634" customFormat="1">
      <c r="G54221" s="3336"/>
      <c r="P54221" s="3337"/>
    </row>
    <row r="54222" spans="7:16" s="1634" customFormat="1">
      <c r="G54222" s="3336"/>
      <c r="P54222" s="3337"/>
    </row>
    <row r="54223" spans="7:16" s="1634" customFormat="1">
      <c r="G54223" s="3336"/>
      <c r="P54223" s="3337"/>
    </row>
    <row r="54224" spans="7:16" s="1634" customFormat="1">
      <c r="G54224" s="3336"/>
      <c r="P54224" s="3337"/>
    </row>
    <row r="54225" spans="7:16" s="1634" customFormat="1">
      <c r="G54225" s="3336"/>
      <c r="P54225" s="3337"/>
    </row>
    <row r="54226" spans="7:16" s="1634" customFormat="1">
      <c r="G54226" s="3336"/>
      <c r="P54226" s="3337"/>
    </row>
    <row r="54227" spans="7:16" s="1634" customFormat="1">
      <c r="G54227" s="3336"/>
      <c r="P54227" s="3337"/>
    </row>
    <row r="54228" spans="7:16" s="1634" customFormat="1">
      <c r="G54228" s="3336"/>
      <c r="P54228" s="3337"/>
    </row>
    <row r="54229" spans="7:16" s="1634" customFormat="1">
      <c r="G54229" s="3336"/>
      <c r="P54229" s="3337"/>
    </row>
    <row r="54230" spans="7:16" s="1634" customFormat="1">
      <c r="G54230" s="3336"/>
      <c r="P54230" s="3337"/>
    </row>
    <row r="54231" spans="7:16" s="1634" customFormat="1">
      <c r="G54231" s="3336"/>
      <c r="P54231" s="3337"/>
    </row>
    <row r="54232" spans="7:16" s="1634" customFormat="1">
      <c r="G54232" s="3336"/>
      <c r="P54232" s="3337"/>
    </row>
    <row r="54233" spans="7:16" s="1634" customFormat="1">
      <c r="G54233" s="3336"/>
      <c r="P54233" s="3337"/>
    </row>
    <row r="54234" spans="7:16" s="1634" customFormat="1">
      <c r="G54234" s="3336"/>
      <c r="P54234" s="3337"/>
    </row>
    <row r="54235" spans="7:16" s="1634" customFormat="1">
      <c r="G54235" s="3336"/>
      <c r="P54235" s="3337"/>
    </row>
    <row r="54236" spans="7:16" s="1634" customFormat="1">
      <c r="G54236" s="3336"/>
      <c r="P54236" s="3337"/>
    </row>
    <row r="54237" spans="7:16" s="1634" customFormat="1">
      <c r="G54237" s="3336"/>
      <c r="P54237" s="3337"/>
    </row>
    <row r="54238" spans="7:16" s="1634" customFormat="1">
      <c r="G54238" s="3336"/>
      <c r="P54238" s="3337"/>
    </row>
    <row r="54239" spans="7:16" s="1634" customFormat="1">
      <c r="G54239" s="3336"/>
      <c r="P54239" s="3337"/>
    </row>
    <row r="54240" spans="7:16" s="1634" customFormat="1">
      <c r="G54240" s="3336"/>
      <c r="P54240" s="3337"/>
    </row>
    <row r="54241" spans="7:16" s="1634" customFormat="1">
      <c r="G54241" s="3336"/>
      <c r="P54241" s="3337"/>
    </row>
    <row r="54242" spans="7:16" s="1634" customFormat="1">
      <c r="G54242" s="3336"/>
      <c r="P54242" s="3337"/>
    </row>
    <row r="54243" spans="7:16" s="1634" customFormat="1">
      <c r="G54243" s="3336"/>
      <c r="P54243" s="3337"/>
    </row>
    <row r="54244" spans="7:16" s="1634" customFormat="1">
      <c r="G54244" s="3336"/>
      <c r="P54244" s="3337"/>
    </row>
    <row r="54245" spans="7:16" s="1634" customFormat="1">
      <c r="G54245" s="3336"/>
      <c r="P54245" s="3337"/>
    </row>
    <row r="54246" spans="7:16" s="1634" customFormat="1">
      <c r="G54246" s="3336"/>
      <c r="P54246" s="3337"/>
    </row>
    <row r="54247" spans="7:16" s="1634" customFormat="1">
      <c r="G54247" s="3336"/>
      <c r="P54247" s="3337"/>
    </row>
    <row r="54248" spans="7:16" s="1634" customFormat="1">
      <c r="G54248" s="3336"/>
      <c r="P54248" s="3337"/>
    </row>
    <row r="54249" spans="7:16" s="1634" customFormat="1">
      <c r="G54249" s="3336"/>
      <c r="P54249" s="3337"/>
    </row>
    <row r="54250" spans="7:16" s="1634" customFormat="1">
      <c r="G54250" s="3336"/>
      <c r="P54250" s="3337"/>
    </row>
    <row r="54251" spans="7:16" s="1634" customFormat="1">
      <c r="G54251" s="3336"/>
      <c r="P54251" s="3337"/>
    </row>
    <row r="54252" spans="7:16" s="1634" customFormat="1">
      <c r="G54252" s="3336"/>
      <c r="P54252" s="3337"/>
    </row>
    <row r="54253" spans="7:16" s="1634" customFormat="1">
      <c r="G54253" s="3336"/>
      <c r="P54253" s="3337"/>
    </row>
    <row r="54254" spans="7:16" s="1634" customFormat="1">
      <c r="G54254" s="3336"/>
      <c r="P54254" s="3337"/>
    </row>
    <row r="54255" spans="7:16" s="1634" customFormat="1">
      <c r="G54255" s="3336"/>
      <c r="P54255" s="3337"/>
    </row>
    <row r="54256" spans="7:16" s="1634" customFormat="1">
      <c r="G54256" s="3336"/>
      <c r="P54256" s="3337"/>
    </row>
    <row r="54257" spans="7:16" s="1634" customFormat="1">
      <c r="G54257" s="3336"/>
      <c r="P54257" s="3337"/>
    </row>
    <row r="54258" spans="7:16" s="1634" customFormat="1">
      <c r="G54258" s="3336"/>
      <c r="P54258" s="3337"/>
    </row>
    <row r="54259" spans="7:16" s="1634" customFormat="1">
      <c r="G54259" s="3336"/>
      <c r="P54259" s="3337"/>
    </row>
    <row r="54260" spans="7:16" s="1634" customFormat="1">
      <c r="G54260" s="3336"/>
      <c r="P54260" s="3337"/>
    </row>
    <row r="54261" spans="7:16" s="1634" customFormat="1">
      <c r="G54261" s="3336"/>
      <c r="P54261" s="3337"/>
    </row>
    <row r="54262" spans="7:16" s="1634" customFormat="1">
      <c r="G54262" s="3336"/>
      <c r="P54262" s="3337"/>
    </row>
    <row r="54263" spans="7:16" s="1634" customFormat="1">
      <c r="G54263" s="3336"/>
      <c r="P54263" s="3337"/>
    </row>
    <row r="54264" spans="7:16" s="1634" customFormat="1">
      <c r="G54264" s="3336"/>
      <c r="P54264" s="3337"/>
    </row>
    <row r="54265" spans="7:16" s="1634" customFormat="1">
      <c r="G54265" s="3336"/>
      <c r="P54265" s="3337"/>
    </row>
    <row r="54266" spans="7:16" s="1634" customFormat="1">
      <c r="G54266" s="3336"/>
      <c r="P54266" s="3337"/>
    </row>
    <row r="54267" spans="7:16" s="1634" customFormat="1">
      <c r="G54267" s="3336"/>
      <c r="P54267" s="3337"/>
    </row>
    <row r="54268" spans="7:16" s="1634" customFormat="1">
      <c r="G54268" s="3336"/>
      <c r="P54268" s="3337"/>
    </row>
    <row r="54269" spans="7:16" s="1634" customFormat="1">
      <c r="G54269" s="3336"/>
      <c r="P54269" s="3337"/>
    </row>
    <row r="54270" spans="7:16" s="1634" customFormat="1">
      <c r="G54270" s="3336"/>
      <c r="P54270" s="3337"/>
    </row>
    <row r="54271" spans="7:16" s="1634" customFormat="1">
      <c r="G54271" s="3336"/>
      <c r="P54271" s="3337"/>
    </row>
    <row r="54272" spans="7:16" s="1634" customFormat="1">
      <c r="G54272" s="3336"/>
      <c r="P54272" s="3337"/>
    </row>
    <row r="54273" spans="7:16" s="1634" customFormat="1">
      <c r="G54273" s="3336"/>
      <c r="P54273" s="3337"/>
    </row>
    <row r="54274" spans="7:16" s="1634" customFormat="1">
      <c r="G54274" s="3336"/>
      <c r="P54274" s="3337"/>
    </row>
    <row r="54275" spans="7:16" s="1634" customFormat="1">
      <c r="G54275" s="3336"/>
      <c r="P54275" s="3337"/>
    </row>
    <row r="54276" spans="7:16" s="1634" customFormat="1">
      <c r="G54276" s="3336"/>
      <c r="P54276" s="3337"/>
    </row>
    <row r="54277" spans="7:16" s="1634" customFormat="1">
      <c r="G54277" s="3336"/>
      <c r="P54277" s="3337"/>
    </row>
    <row r="54278" spans="7:16" s="1634" customFormat="1">
      <c r="G54278" s="3336"/>
      <c r="P54278" s="3337"/>
    </row>
    <row r="54279" spans="7:16" s="1634" customFormat="1">
      <c r="G54279" s="3336"/>
      <c r="P54279" s="3337"/>
    </row>
    <row r="54280" spans="7:16" s="1634" customFormat="1">
      <c r="G54280" s="3336"/>
      <c r="P54280" s="3337"/>
    </row>
    <row r="54281" spans="7:16" s="1634" customFormat="1">
      <c r="G54281" s="3336"/>
      <c r="P54281" s="3337"/>
    </row>
    <row r="54282" spans="7:16" s="1634" customFormat="1">
      <c r="G54282" s="3336"/>
      <c r="P54282" s="3337"/>
    </row>
    <row r="54283" spans="7:16" s="1634" customFormat="1">
      <c r="G54283" s="3336"/>
      <c r="P54283" s="3337"/>
    </row>
    <row r="54284" spans="7:16" s="1634" customFormat="1">
      <c r="G54284" s="3336"/>
      <c r="P54284" s="3337"/>
    </row>
    <row r="54285" spans="7:16" s="1634" customFormat="1">
      <c r="G54285" s="3336"/>
      <c r="P54285" s="3337"/>
    </row>
    <row r="54286" spans="7:16" s="1634" customFormat="1">
      <c r="G54286" s="3336"/>
      <c r="P54286" s="3337"/>
    </row>
    <row r="54287" spans="7:16" s="1634" customFormat="1">
      <c r="G54287" s="3336"/>
      <c r="P54287" s="3337"/>
    </row>
    <row r="54288" spans="7:16" s="1634" customFormat="1">
      <c r="G54288" s="3336"/>
      <c r="P54288" s="3337"/>
    </row>
    <row r="54289" spans="7:16" s="1634" customFormat="1">
      <c r="G54289" s="3336"/>
      <c r="P54289" s="3337"/>
    </row>
    <row r="54290" spans="7:16" s="1634" customFormat="1">
      <c r="G54290" s="3336"/>
      <c r="P54290" s="3337"/>
    </row>
    <row r="54291" spans="7:16" s="1634" customFormat="1">
      <c r="G54291" s="3336"/>
      <c r="P54291" s="3337"/>
    </row>
    <row r="54292" spans="7:16" s="1634" customFormat="1">
      <c r="G54292" s="3336"/>
      <c r="P54292" s="3337"/>
    </row>
    <row r="54293" spans="7:16" s="1634" customFormat="1">
      <c r="G54293" s="3336"/>
      <c r="P54293" s="3337"/>
    </row>
    <row r="54294" spans="7:16" s="1634" customFormat="1">
      <c r="G54294" s="3336"/>
      <c r="P54294" s="3337"/>
    </row>
    <row r="54295" spans="7:16" s="1634" customFormat="1">
      <c r="G54295" s="3336"/>
      <c r="P54295" s="3337"/>
    </row>
    <row r="54296" spans="7:16" s="1634" customFormat="1">
      <c r="G54296" s="3336"/>
      <c r="P54296" s="3337"/>
    </row>
    <row r="54297" spans="7:16" s="1634" customFormat="1">
      <c r="G54297" s="3336"/>
      <c r="P54297" s="3337"/>
    </row>
    <row r="54298" spans="7:16" s="1634" customFormat="1">
      <c r="G54298" s="3336"/>
      <c r="P54298" s="3337"/>
    </row>
    <row r="54299" spans="7:16" s="1634" customFormat="1">
      <c r="G54299" s="3336"/>
      <c r="P54299" s="3337"/>
    </row>
    <row r="54300" spans="7:16" s="1634" customFormat="1">
      <c r="G54300" s="3336"/>
      <c r="P54300" s="3337"/>
    </row>
    <row r="54301" spans="7:16" s="1634" customFormat="1">
      <c r="G54301" s="3336"/>
      <c r="P54301" s="3337"/>
    </row>
    <row r="54302" spans="7:16" s="1634" customFormat="1">
      <c r="G54302" s="3336"/>
      <c r="P54302" s="3337"/>
    </row>
    <row r="54303" spans="7:16" s="1634" customFormat="1">
      <c r="G54303" s="3336"/>
      <c r="P54303" s="3337"/>
    </row>
    <row r="54304" spans="7:16" s="1634" customFormat="1">
      <c r="G54304" s="3336"/>
      <c r="P54304" s="3337"/>
    </row>
    <row r="54305" spans="7:16" s="1634" customFormat="1">
      <c r="G54305" s="3336"/>
      <c r="P54305" s="3337"/>
    </row>
    <row r="54306" spans="7:16" s="1634" customFormat="1">
      <c r="G54306" s="3336"/>
      <c r="P54306" s="3337"/>
    </row>
    <row r="54307" spans="7:16" s="1634" customFormat="1">
      <c r="G54307" s="3336"/>
      <c r="P54307" s="3337"/>
    </row>
    <row r="54308" spans="7:16" s="1634" customFormat="1">
      <c r="G54308" s="3336"/>
      <c r="P54308" s="3337"/>
    </row>
    <row r="54309" spans="7:16" s="1634" customFormat="1">
      <c r="G54309" s="3336"/>
      <c r="P54309" s="3337"/>
    </row>
    <row r="54310" spans="7:16" s="1634" customFormat="1">
      <c r="G54310" s="3336"/>
      <c r="P54310" s="3337"/>
    </row>
    <row r="54311" spans="7:16" s="1634" customFormat="1">
      <c r="G54311" s="3336"/>
      <c r="P54311" s="3337"/>
    </row>
    <row r="54312" spans="7:16" s="1634" customFormat="1">
      <c r="G54312" s="3336"/>
      <c r="P54312" s="3337"/>
    </row>
    <row r="54313" spans="7:16" s="1634" customFormat="1">
      <c r="G54313" s="3336"/>
      <c r="P54313" s="3337"/>
    </row>
    <row r="54314" spans="7:16" s="1634" customFormat="1">
      <c r="G54314" s="3336"/>
      <c r="P54314" s="3337"/>
    </row>
    <row r="54315" spans="7:16" s="1634" customFormat="1">
      <c r="G54315" s="3336"/>
      <c r="P54315" s="3337"/>
    </row>
    <row r="54316" spans="7:16" s="1634" customFormat="1">
      <c r="G54316" s="3336"/>
      <c r="P54316" s="3337"/>
    </row>
    <row r="54317" spans="7:16" s="1634" customFormat="1">
      <c r="G54317" s="3336"/>
      <c r="P54317" s="3337"/>
    </row>
    <row r="54318" spans="7:16" s="1634" customFormat="1">
      <c r="G54318" s="3336"/>
      <c r="P54318" s="3337"/>
    </row>
    <row r="54319" spans="7:16" s="1634" customFormat="1">
      <c r="G54319" s="3336"/>
      <c r="P54319" s="3337"/>
    </row>
    <row r="54320" spans="7:16" s="1634" customFormat="1">
      <c r="G54320" s="3336"/>
      <c r="P54320" s="3337"/>
    </row>
    <row r="54321" spans="7:16" s="1634" customFormat="1">
      <c r="G54321" s="3336"/>
      <c r="P54321" s="3337"/>
    </row>
    <row r="54322" spans="7:16" s="1634" customFormat="1">
      <c r="G54322" s="3336"/>
      <c r="P54322" s="3337"/>
    </row>
    <row r="54323" spans="7:16" s="1634" customFormat="1">
      <c r="G54323" s="3336"/>
      <c r="P54323" s="3337"/>
    </row>
    <row r="54324" spans="7:16" s="1634" customFormat="1">
      <c r="G54324" s="3336"/>
      <c r="P54324" s="3337"/>
    </row>
    <row r="54325" spans="7:16" s="1634" customFormat="1">
      <c r="G54325" s="3336"/>
      <c r="P54325" s="3337"/>
    </row>
    <row r="54326" spans="7:16" s="1634" customFormat="1">
      <c r="G54326" s="3336"/>
      <c r="P54326" s="3337"/>
    </row>
    <row r="54327" spans="7:16" s="1634" customFormat="1">
      <c r="G54327" s="3336"/>
      <c r="P54327" s="3337"/>
    </row>
    <row r="54328" spans="7:16" s="1634" customFormat="1">
      <c r="G54328" s="3336"/>
      <c r="P54328" s="3337"/>
    </row>
    <row r="54329" spans="7:16" s="1634" customFormat="1">
      <c r="G54329" s="3336"/>
      <c r="P54329" s="3337"/>
    </row>
    <row r="54330" spans="7:16" s="1634" customFormat="1">
      <c r="G54330" s="3336"/>
      <c r="P54330" s="3337"/>
    </row>
    <row r="54331" spans="7:16" s="1634" customFormat="1">
      <c r="G54331" s="3336"/>
      <c r="P54331" s="3337"/>
    </row>
    <row r="54332" spans="7:16" s="1634" customFormat="1">
      <c r="G54332" s="3336"/>
      <c r="P54332" s="3337"/>
    </row>
    <row r="54333" spans="7:16" s="1634" customFormat="1">
      <c r="G54333" s="3336"/>
      <c r="P54333" s="3337"/>
    </row>
    <row r="54334" spans="7:16" s="1634" customFormat="1">
      <c r="G54334" s="3336"/>
      <c r="P54334" s="3337"/>
    </row>
    <row r="54335" spans="7:16" s="1634" customFormat="1">
      <c r="G54335" s="3336"/>
      <c r="P54335" s="3337"/>
    </row>
    <row r="54336" spans="7:16" s="1634" customFormat="1">
      <c r="G54336" s="3336"/>
      <c r="P54336" s="3337"/>
    </row>
    <row r="54337" spans="7:16" s="1634" customFormat="1">
      <c r="G54337" s="3336"/>
      <c r="P54337" s="3337"/>
    </row>
    <row r="54338" spans="7:16" s="1634" customFormat="1">
      <c r="G54338" s="3336"/>
      <c r="P54338" s="3337"/>
    </row>
    <row r="54339" spans="7:16" s="1634" customFormat="1">
      <c r="G54339" s="3336"/>
      <c r="P54339" s="3337"/>
    </row>
    <row r="54340" spans="7:16" s="1634" customFormat="1">
      <c r="G54340" s="3336"/>
      <c r="P54340" s="3337"/>
    </row>
    <row r="54341" spans="7:16" s="1634" customFormat="1">
      <c r="G54341" s="3336"/>
      <c r="P54341" s="3337"/>
    </row>
    <row r="54342" spans="7:16" s="1634" customFormat="1">
      <c r="G54342" s="3336"/>
      <c r="P54342" s="3337"/>
    </row>
    <row r="54343" spans="7:16" s="1634" customFormat="1">
      <c r="G54343" s="3336"/>
      <c r="P54343" s="3337"/>
    </row>
    <row r="54344" spans="7:16" s="1634" customFormat="1">
      <c r="G54344" s="3336"/>
      <c r="P54344" s="3337"/>
    </row>
    <row r="54345" spans="7:16" s="1634" customFormat="1">
      <c r="G54345" s="3336"/>
      <c r="P54345" s="3337"/>
    </row>
    <row r="54346" spans="7:16" s="1634" customFormat="1">
      <c r="G54346" s="3336"/>
      <c r="P54346" s="3337"/>
    </row>
    <row r="54347" spans="7:16" s="1634" customFormat="1">
      <c r="G54347" s="3336"/>
      <c r="P54347" s="3337"/>
    </row>
    <row r="54348" spans="7:16" s="1634" customFormat="1">
      <c r="G54348" s="3336"/>
      <c r="P54348" s="3337"/>
    </row>
    <row r="54349" spans="7:16" s="1634" customFormat="1">
      <c r="G54349" s="3336"/>
      <c r="P54349" s="3337"/>
    </row>
    <row r="54350" spans="7:16" s="1634" customFormat="1">
      <c r="G54350" s="3336"/>
      <c r="P54350" s="3337"/>
    </row>
    <row r="54351" spans="7:16" s="1634" customFormat="1">
      <c r="G54351" s="3336"/>
      <c r="P54351" s="3337"/>
    </row>
    <row r="54352" spans="7:16" s="1634" customFormat="1">
      <c r="G54352" s="3336"/>
      <c r="P54352" s="3337"/>
    </row>
    <row r="54353" spans="7:16" s="1634" customFormat="1">
      <c r="G54353" s="3336"/>
      <c r="P54353" s="3337"/>
    </row>
    <row r="54354" spans="7:16" s="1634" customFormat="1">
      <c r="G54354" s="3336"/>
      <c r="P54354" s="3337"/>
    </row>
    <row r="54355" spans="7:16" s="1634" customFormat="1">
      <c r="G54355" s="3336"/>
      <c r="P54355" s="3337"/>
    </row>
    <row r="54356" spans="7:16" s="1634" customFormat="1">
      <c r="G54356" s="3336"/>
      <c r="P54356" s="3337"/>
    </row>
    <row r="54357" spans="7:16" s="1634" customFormat="1">
      <c r="G54357" s="3336"/>
      <c r="P54357" s="3337"/>
    </row>
    <row r="54358" spans="7:16" s="1634" customFormat="1">
      <c r="G54358" s="3336"/>
      <c r="P54358" s="3337"/>
    </row>
    <row r="54359" spans="7:16" s="1634" customFormat="1">
      <c r="G54359" s="3336"/>
      <c r="P54359" s="3337"/>
    </row>
    <row r="54360" spans="7:16" s="1634" customFormat="1">
      <c r="G54360" s="3336"/>
      <c r="P54360" s="3337"/>
    </row>
    <row r="54361" spans="7:16" s="1634" customFormat="1">
      <c r="G54361" s="3336"/>
      <c r="P54361" s="3337"/>
    </row>
    <row r="54362" spans="7:16" s="1634" customFormat="1">
      <c r="G54362" s="3336"/>
      <c r="P54362" s="3337"/>
    </row>
    <row r="54363" spans="7:16" s="1634" customFormat="1">
      <c r="G54363" s="3336"/>
      <c r="P54363" s="3337"/>
    </row>
    <row r="54364" spans="7:16" s="1634" customFormat="1">
      <c r="G54364" s="3336"/>
      <c r="P54364" s="3337"/>
    </row>
    <row r="54365" spans="7:16" s="1634" customFormat="1">
      <c r="G54365" s="3336"/>
      <c r="P54365" s="3337"/>
    </row>
    <row r="54366" spans="7:16" s="1634" customFormat="1">
      <c r="G54366" s="3336"/>
      <c r="P54366" s="3337"/>
    </row>
    <row r="54367" spans="7:16" s="1634" customFormat="1">
      <c r="G54367" s="3336"/>
      <c r="P54367" s="3337"/>
    </row>
    <row r="54368" spans="7:16" s="1634" customFormat="1">
      <c r="G54368" s="3336"/>
      <c r="P54368" s="3337"/>
    </row>
    <row r="54369" spans="7:16" s="1634" customFormat="1">
      <c r="G54369" s="3336"/>
      <c r="P54369" s="3337"/>
    </row>
    <row r="54370" spans="7:16" s="1634" customFormat="1">
      <c r="G54370" s="3336"/>
      <c r="P54370" s="3337"/>
    </row>
    <row r="54371" spans="7:16" s="1634" customFormat="1">
      <c r="G54371" s="3336"/>
      <c r="P54371" s="3337"/>
    </row>
    <row r="54372" spans="7:16" s="1634" customFormat="1">
      <c r="G54372" s="3336"/>
      <c r="P54372" s="3337"/>
    </row>
    <row r="54373" spans="7:16" s="1634" customFormat="1">
      <c r="G54373" s="3336"/>
      <c r="P54373" s="3337"/>
    </row>
    <row r="54374" spans="7:16" s="1634" customFormat="1">
      <c r="G54374" s="3336"/>
      <c r="P54374" s="3337"/>
    </row>
    <row r="54375" spans="7:16" s="1634" customFormat="1">
      <c r="G54375" s="3336"/>
      <c r="P54375" s="3337"/>
    </row>
    <row r="54376" spans="7:16" s="1634" customFormat="1">
      <c r="G54376" s="3336"/>
      <c r="P54376" s="3337"/>
    </row>
    <row r="54377" spans="7:16" s="1634" customFormat="1">
      <c r="G54377" s="3336"/>
      <c r="P54377" s="3337"/>
    </row>
    <row r="54378" spans="7:16" s="1634" customFormat="1">
      <c r="G54378" s="3336"/>
      <c r="P54378" s="3337"/>
    </row>
    <row r="54379" spans="7:16" s="1634" customFormat="1">
      <c r="G54379" s="3336"/>
      <c r="P54379" s="3337"/>
    </row>
    <row r="54380" spans="7:16" s="1634" customFormat="1">
      <c r="G54380" s="3336"/>
      <c r="P54380" s="3337"/>
    </row>
    <row r="54381" spans="7:16" s="1634" customFormat="1">
      <c r="G54381" s="3336"/>
      <c r="P54381" s="3337"/>
    </row>
    <row r="54382" spans="7:16" s="1634" customFormat="1">
      <c r="G54382" s="3336"/>
      <c r="P54382" s="3337"/>
    </row>
    <row r="54383" spans="7:16" s="1634" customFormat="1">
      <c r="G54383" s="3336"/>
      <c r="P54383" s="3337"/>
    </row>
    <row r="54384" spans="7:16" s="1634" customFormat="1">
      <c r="G54384" s="3336"/>
      <c r="P54384" s="3337"/>
    </row>
    <row r="54385" spans="7:16" s="1634" customFormat="1">
      <c r="G54385" s="3336"/>
      <c r="P54385" s="3337"/>
    </row>
    <row r="54386" spans="7:16" s="1634" customFormat="1">
      <c r="G54386" s="3336"/>
      <c r="P54386" s="3337"/>
    </row>
    <row r="54387" spans="7:16" s="1634" customFormat="1">
      <c r="G54387" s="3336"/>
      <c r="P54387" s="3337"/>
    </row>
    <row r="54388" spans="7:16" s="1634" customFormat="1">
      <c r="G54388" s="3336"/>
      <c r="P54388" s="3337"/>
    </row>
    <row r="54389" spans="7:16" s="1634" customFormat="1">
      <c r="G54389" s="3336"/>
      <c r="P54389" s="3337"/>
    </row>
    <row r="54390" spans="7:16" s="1634" customFormat="1">
      <c r="G54390" s="3336"/>
      <c r="P54390" s="3337"/>
    </row>
    <row r="54391" spans="7:16" s="1634" customFormat="1">
      <c r="G54391" s="3336"/>
      <c r="P54391" s="3337"/>
    </row>
    <row r="54392" spans="7:16" s="1634" customFormat="1">
      <c r="G54392" s="3336"/>
      <c r="P54392" s="3337"/>
    </row>
    <row r="54393" spans="7:16" s="1634" customFormat="1">
      <c r="G54393" s="3336"/>
      <c r="P54393" s="3337"/>
    </row>
    <row r="54394" spans="7:16" s="1634" customFormat="1">
      <c r="G54394" s="3336"/>
      <c r="P54394" s="3337"/>
    </row>
    <row r="54395" spans="7:16" s="1634" customFormat="1">
      <c r="G54395" s="3336"/>
      <c r="P54395" s="3337"/>
    </row>
    <row r="54396" spans="7:16" s="1634" customFormat="1">
      <c r="G54396" s="3336"/>
      <c r="P54396" s="3337"/>
    </row>
    <row r="54397" spans="7:16" s="1634" customFormat="1">
      <c r="G54397" s="3336"/>
      <c r="P54397" s="3337"/>
    </row>
    <row r="54398" spans="7:16" s="1634" customFormat="1">
      <c r="G54398" s="3336"/>
      <c r="P54398" s="3337"/>
    </row>
    <row r="54399" spans="7:16" s="1634" customFormat="1">
      <c r="G54399" s="3336"/>
      <c r="P54399" s="3337"/>
    </row>
    <row r="54400" spans="7:16" s="1634" customFormat="1">
      <c r="G54400" s="3336"/>
      <c r="P54400" s="3337"/>
    </row>
    <row r="54401" spans="7:16" s="1634" customFormat="1">
      <c r="G54401" s="3336"/>
      <c r="P54401" s="3337"/>
    </row>
    <row r="54402" spans="7:16" s="1634" customFormat="1">
      <c r="G54402" s="3336"/>
      <c r="P54402" s="3337"/>
    </row>
    <row r="54403" spans="7:16" s="1634" customFormat="1">
      <c r="G54403" s="3336"/>
      <c r="P54403" s="3337"/>
    </row>
    <row r="54404" spans="7:16" s="1634" customFormat="1">
      <c r="G54404" s="3336"/>
      <c r="P54404" s="3337"/>
    </row>
    <row r="54405" spans="7:16" s="1634" customFormat="1">
      <c r="G54405" s="3336"/>
      <c r="P54405" s="3337"/>
    </row>
    <row r="54406" spans="7:16" s="1634" customFormat="1">
      <c r="G54406" s="3336"/>
      <c r="P54406" s="3337"/>
    </row>
    <row r="54407" spans="7:16" s="1634" customFormat="1">
      <c r="G54407" s="3336"/>
      <c r="P54407" s="3337"/>
    </row>
    <row r="54408" spans="7:16" s="1634" customFormat="1">
      <c r="G54408" s="3336"/>
      <c r="P54408" s="3337"/>
    </row>
    <row r="54409" spans="7:16" s="1634" customFormat="1">
      <c r="G54409" s="3336"/>
      <c r="P54409" s="3337"/>
    </row>
    <row r="54410" spans="7:16" s="1634" customFormat="1">
      <c r="G54410" s="3336"/>
      <c r="P54410" s="3337"/>
    </row>
    <row r="54411" spans="7:16" s="1634" customFormat="1">
      <c r="G54411" s="3336"/>
      <c r="P54411" s="3337"/>
    </row>
    <row r="54412" spans="7:16" s="1634" customFormat="1">
      <c r="G54412" s="3336"/>
      <c r="P54412" s="3337"/>
    </row>
    <row r="54413" spans="7:16" s="1634" customFormat="1">
      <c r="G54413" s="3336"/>
      <c r="P54413" s="3337"/>
    </row>
    <row r="54414" spans="7:16" s="1634" customFormat="1">
      <c r="G54414" s="3336"/>
      <c r="P54414" s="3337"/>
    </row>
    <row r="54415" spans="7:16" s="1634" customFormat="1">
      <c r="G54415" s="3336"/>
      <c r="P54415" s="3337"/>
    </row>
    <row r="54416" spans="7:16" s="1634" customFormat="1">
      <c r="G54416" s="3336"/>
      <c r="P54416" s="3337"/>
    </row>
    <row r="54417" spans="7:16" s="1634" customFormat="1">
      <c r="G54417" s="3336"/>
      <c r="P54417" s="3337"/>
    </row>
    <row r="54418" spans="7:16" s="1634" customFormat="1">
      <c r="G54418" s="3336"/>
      <c r="P54418" s="3337"/>
    </row>
    <row r="54419" spans="7:16" s="1634" customFormat="1">
      <c r="G54419" s="3336"/>
      <c r="P54419" s="3337"/>
    </row>
    <row r="54420" spans="7:16" s="1634" customFormat="1">
      <c r="G54420" s="3336"/>
      <c r="P54420" s="3337"/>
    </row>
    <row r="54421" spans="7:16" s="1634" customFormat="1">
      <c r="G54421" s="3336"/>
      <c r="P54421" s="3337"/>
    </row>
    <row r="54422" spans="7:16" s="1634" customFormat="1">
      <c r="G54422" s="3336"/>
      <c r="P54422" s="3337"/>
    </row>
    <row r="54423" spans="7:16" s="1634" customFormat="1">
      <c r="G54423" s="3336"/>
      <c r="P54423" s="3337"/>
    </row>
    <row r="54424" spans="7:16" s="1634" customFormat="1">
      <c r="G54424" s="3336"/>
      <c r="P54424" s="3337"/>
    </row>
    <row r="54425" spans="7:16" s="1634" customFormat="1">
      <c r="G54425" s="3336"/>
      <c r="P54425" s="3337"/>
    </row>
    <row r="54426" spans="7:16" s="1634" customFormat="1">
      <c r="G54426" s="3336"/>
      <c r="P54426" s="3337"/>
    </row>
    <row r="54427" spans="7:16" s="1634" customFormat="1">
      <c r="G54427" s="3336"/>
      <c r="P54427" s="3337"/>
    </row>
    <row r="54428" spans="7:16" s="1634" customFormat="1">
      <c r="G54428" s="3336"/>
      <c r="P54428" s="3337"/>
    </row>
    <row r="54429" spans="7:16" s="1634" customFormat="1">
      <c r="G54429" s="3336"/>
      <c r="P54429" s="3337"/>
    </row>
    <row r="54430" spans="7:16" s="1634" customFormat="1">
      <c r="G54430" s="3336"/>
      <c r="P54430" s="3337"/>
    </row>
    <row r="54431" spans="7:16" s="1634" customFormat="1">
      <c r="G54431" s="3336"/>
      <c r="P54431" s="3337"/>
    </row>
    <row r="54432" spans="7:16" s="1634" customFormat="1">
      <c r="G54432" s="3336"/>
      <c r="P54432" s="3337"/>
    </row>
    <row r="54433" spans="7:16" s="1634" customFormat="1">
      <c r="G54433" s="3336"/>
      <c r="P54433" s="3337"/>
    </row>
    <row r="54434" spans="7:16" s="1634" customFormat="1">
      <c r="G54434" s="3336"/>
      <c r="P54434" s="3337"/>
    </row>
    <row r="54435" spans="7:16" s="1634" customFormat="1">
      <c r="G54435" s="3336"/>
      <c r="P54435" s="3337"/>
    </row>
    <row r="54436" spans="7:16" s="1634" customFormat="1">
      <c r="G54436" s="3336"/>
      <c r="P54436" s="3337"/>
    </row>
    <row r="54437" spans="7:16" s="1634" customFormat="1">
      <c r="G54437" s="3336"/>
      <c r="P54437" s="3337"/>
    </row>
    <row r="54438" spans="7:16" s="1634" customFormat="1">
      <c r="G54438" s="3336"/>
      <c r="P54438" s="3337"/>
    </row>
    <row r="54439" spans="7:16" s="1634" customFormat="1">
      <c r="G54439" s="3336"/>
      <c r="P54439" s="3337"/>
    </row>
    <row r="54440" spans="7:16" s="1634" customFormat="1">
      <c r="G54440" s="3336"/>
      <c r="P54440" s="3337"/>
    </row>
    <row r="54441" spans="7:16" s="1634" customFormat="1">
      <c r="G54441" s="3336"/>
      <c r="P54441" s="3337"/>
    </row>
    <row r="54442" spans="7:16" s="1634" customFormat="1">
      <c r="G54442" s="3336"/>
      <c r="P54442" s="3337"/>
    </row>
    <row r="54443" spans="7:16" s="1634" customFormat="1">
      <c r="G54443" s="3336"/>
      <c r="P54443" s="3337"/>
    </row>
    <row r="54444" spans="7:16" s="1634" customFormat="1">
      <c r="G54444" s="3336"/>
      <c r="P54444" s="3337"/>
    </row>
    <row r="54445" spans="7:16" s="1634" customFormat="1">
      <c r="G54445" s="3336"/>
      <c r="P54445" s="3337"/>
    </row>
    <row r="54446" spans="7:16" s="1634" customFormat="1">
      <c r="G54446" s="3336"/>
      <c r="P54446" s="3337"/>
    </row>
    <row r="54447" spans="7:16" s="1634" customFormat="1">
      <c r="G54447" s="3336"/>
      <c r="P54447" s="3337"/>
    </row>
    <row r="54448" spans="7:16" s="1634" customFormat="1">
      <c r="G54448" s="3336"/>
      <c r="P54448" s="3337"/>
    </row>
    <row r="54449" spans="7:16" s="1634" customFormat="1">
      <c r="G54449" s="3336"/>
      <c r="P54449" s="3337"/>
    </row>
    <row r="54450" spans="7:16" s="1634" customFormat="1">
      <c r="G54450" s="3336"/>
      <c r="P54450" s="3337"/>
    </row>
    <row r="54451" spans="7:16" s="1634" customFormat="1">
      <c r="G54451" s="3336"/>
      <c r="P54451" s="3337"/>
    </row>
    <row r="54452" spans="7:16" s="1634" customFormat="1">
      <c r="G54452" s="3336"/>
      <c r="P54452" s="3337"/>
    </row>
    <row r="54453" spans="7:16" s="1634" customFormat="1">
      <c r="G54453" s="3336"/>
      <c r="P54453" s="3337"/>
    </row>
    <row r="54454" spans="7:16" s="1634" customFormat="1">
      <c r="G54454" s="3336"/>
      <c r="P54454" s="3337"/>
    </row>
    <row r="54455" spans="7:16" s="1634" customFormat="1">
      <c r="G54455" s="3336"/>
      <c r="P54455" s="3337"/>
    </row>
    <row r="54456" spans="7:16" s="1634" customFormat="1">
      <c r="G54456" s="3336"/>
      <c r="P54456" s="3337"/>
    </row>
    <row r="54457" spans="7:16" s="1634" customFormat="1">
      <c r="G54457" s="3336"/>
      <c r="P54457" s="3337"/>
    </row>
    <row r="54458" spans="7:16" s="1634" customFormat="1">
      <c r="G54458" s="3336"/>
      <c r="P54458" s="3337"/>
    </row>
    <row r="54459" spans="7:16" s="1634" customFormat="1">
      <c r="G54459" s="3336"/>
      <c r="P54459" s="3337"/>
    </row>
    <row r="54460" spans="7:16" s="1634" customFormat="1">
      <c r="G54460" s="3336"/>
      <c r="P54460" s="3337"/>
    </row>
    <row r="54461" spans="7:16" s="1634" customFormat="1">
      <c r="G54461" s="3336"/>
      <c r="P54461" s="3337"/>
    </row>
    <row r="54462" spans="7:16" s="1634" customFormat="1">
      <c r="G54462" s="3336"/>
      <c r="P54462" s="3337"/>
    </row>
    <row r="54463" spans="7:16" s="1634" customFormat="1">
      <c r="G54463" s="3336"/>
      <c r="P54463" s="3337"/>
    </row>
    <row r="54464" spans="7:16" s="1634" customFormat="1">
      <c r="G54464" s="3336"/>
      <c r="P54464" s="3337"/>
    </row>
    <row r="54465" spans="7:16" s="1634" customFormat="1">
      <c r="G54465" s="3336"/>
      <c r="P54465" s="3337"/>
    </row>
    <row r="54466" spans="7:16" s="1634" customFormat="1">
      <c r="G54466" s="3336"/>
      <c r="P54466" s="3337"/>
    </row>
    <row r="54467" spans="7:16" s="1634" customFormat="1">
      <c r="G54467" s="3336"/>
      <c r="P54467" s="3337"/>
    </row>
    <row r="54468" spans="7:16" s="1634" customFormat="1">
      <c r="G54468" s="3336"/>
      <c r="P54468" s="3337"/>
    </row>
    <row r="54469" spans="7:16" s="1634" customFormat="1">
      <c r="G54469" s="3336"/>
      <c r="P54469" s="3337"/>
    </row>
    <row r="54470" spans="7:16" s="1634" customFormat="1">
      <c r="G54470" s="3336"/>
      <c r="P54470" s="3337"/>
    </row>
    <row r="54471" spans="7:16" s="1634" customFormat="1">
      <c r="G54471" s="3336"/>
      <c r="P54471" s="3337"/>
    </row>
    <row r="54472" spans="7:16" s="1634" customFormat="1">
      <c r="G54472" s="3336"/>
      <c r="P54472" s="3337"/>
    </row>
    <row r="54473" spans="7:16" s="1634" customFormat="1">
      <c r="G54473" s="3336"/>
      <c r="P54473" s="3337"/>
    </row>
    <row r="54474" spans="7:16" s="1634" customFormat="1">
      <c r="G54474" s="3336"/>
      <c r="P54474" s="3337"/>
    </row>
    <row r="54475" spans="7:16" s="1634" customFormat="1">
      <c r="G54475" s="3336"/>
      <c r="P54475" s="3337"/>
    </row>
    <row r="54476" spans="7:16" s="1634" customFormat="1">
      <c r="G54476" s="3336"/>
      <c r="P54476" s="3337"/>
    </row>
    <row r="54477" spans="7:16" s="1634" customFormat="1">
      <c r="G54477" s="3336"/>
      <c r="P54477" s="3337"/>
    </row>
    <row r="54478" spans="7:16" s="1634" customFormat="1">
      <c r="G54478" s="3336"/>
      <c r="P54478" s="3337"/>
    </row>
    <row r="54479" spans="7:16" s="1634" customFormat="1">
      <c r="G54479" s="3336"/>
      <c r="P54479" s="3337"/>
    </row>
    <row r="54480" spans="7:16" s="1634" customFormat="1">
      <c r="G54480" s="3336"/>
      <c r="P54480" s="3337"/>
    </row>
    <row r="54481" spans="7:16" s="1634" customFormat="1">
      <c r="G54481" s="3336"/>
      <c r="P54481" s="3337"/>
    </row>
    <row r="54482" spans="7:16" s="1634" customFormat="1">
      <c r="G54482" s="3336"/>
      <c r="P54482" s="3337"/>
    </row>
    <row r="54483" spans="7:16" s="1634" customFormat="1">
      <c r="G54483" s="3336"/>
      <c r="P54483" s="3337"/>
    </row>
    <row r="54484" spans="7:16" s="1634" customFormat="1">
      <c r="G54484" s="3336"/>
      <c r="P54484" s="3337"/>
    </row>
    <row r="54485" spans="7:16" s="1634" customFormat="1">
      <c r="G54485" s="3336"/>
      <c r="P54485" s="3337"/>
    </row>
    <row r="54486" spans="7:16" s="1634" customFormat="1">
      <c r="G54486" s="3336"/>
      <c r="P54486" s="3337"/>
    </row>
    <row r="54487" spans="7:16" s="1634" customFormat="1">
      <c r="G54487" s="3336"/>
      <c r="P54487" s="3337"/>
    </row>
    <row r="54488" spans="7:16" s="1634" customFormat="1">
      <c r="G54488" s="3336"/>
      <c r="P54488" s="3337"/>
    </row>
    <row r="54489" spans="7:16" s="1634" customFormat="1">
      <c r="G54489" s="3336"/>
      <c r="P54489" s="3337"/>
    </row>
    <row r="54490" spans="7:16" s="1634" customFormat="1">
      <c r="G54490" s="3336"/>
      <c r="P54490" s="3337"/>
    </row>
    <row r="54491" spans="7:16" s="1634" customFormat="1">
      <c r="G54491" s="3336"/>
      <c r="P54491" s="3337"/>
    </row>
    <row r="54492" spans="7:16" s="1634" customFormat="1">
      <c r="G54492" s="3336"/>
      <c r="P54492" s="3337"/>
    </row>
    <row r="54493" spans="7:16" s="1634" customFormat="1">
      <c r="G54493" s="3336"/>
      <c r="P54493" s="3337"/>
    </row>
    <row r="54494" spans="7:16" s="1634" customFormat="1">
      <c r="G54494" s="3336"/>
      <c r="P54494" s="3337"/>
    </row>
    <row r="54495" spans="7:16" s="1634" customFormat="1">
      <c r="G54495" s="3336"/>
      <c r="P54495" s="3337"/>
    </row>
    <row r="54496" spans="7:16" s="1634" customFormat="1">
      <c r="G54496" s="3336"/>
      <c r="P54496" s="3337"/>
    </row>
    <row r="54497" spans="7:16" s="1634" customFormat="1">
      <c r="G54497" s="3336"/>
      <c r="P54497" s="3337"/>
    </row>
    <row r="54498" spans="7:16" s="1634" customFormat="1">
      <c r="G54498" s="3336"/>
      <c r="P54498" s="3337"/>
    </row>
    <row r="54499" spans="7:16" s="1634" customFormat="1">
      <c r="G54499" s="3336"/>
      <c r="P54499" s="3337"/>
    </row>
    <row r="54500" spans="7:16" s="1634" customFormat="1">
      <c r="G54500" s="3336"/>
      <c r="P54500" s="3337"/>
    </row>
    <row r="54501" spans="7:16" s="1634" customFormat="1">
      <c r="G54501" s="3336"/>
      <c r="P54501" s="3337"/>
    </row>
    <row r="54502" spans="7:16" s="1634" customFormat="1">
      <c r="G54502" s="3336"/>
      <c r="P54502" s="3337"/>
    </row>
    <row r="54503" spans="7:16" s="1634" customFormat="1">
      <c r="G54503" s="3336"/>
      <c r="P54503" s="3337"/>
    </row>
    <row r="54504" spans="7:16" s="1634" customFormat="1">
      <c r="G54504" s="3336"/>
      <c r="P54504" s="3337"/>
    </row>
    <row r="54505" spans="7:16" s="1634" customFormat="1">
      <c r="G54505" s="3336"/>
      <c r="P54505" s="3337"/>
    </row>
    <row r="54506" spans="7:16" s="1634" customFormat="1">
      <c r="G54506" s="3336"/>
      <c r="P54506" s="3337"/>
    </row>
    <row r="54507" spans="7:16" s="1634" customFormat="1">
      <c r="G54507" s="3336"/>
      <c r="P54507" s="3337"/>
    </row>
    <row r="54508" spans="7:16" s="1634" customFormat="1">
      <c r="G54508" s="3336"/>
      <c r="P54508" s="3337"/>
    </row>
    <row r="54509" spans="7:16" s="1634" customFormat="1">
      <c r="G54509" s="3336"/>
      <c r="P54509" s="3337"/>
    </row>
    <row r="54510" spans="7:16" s="1634" customFormat="1">
      <c r="G54510" s="3336"/>
      <c r="P54510" s="3337"/>
    </row>
    <row r="54511" spans="7:16" s="1634" customFormat="1">
      <c r="G54511" s="3336"/>
      <c r="P54511" s="3337"/>
    </row>
    <row r="54512" spans="7:16" s="1634" customFormat="1">
      <c r="G54512" s="3336"/>
      <c r="P54512" s="3337"/>
    </row>
    <row r="54513" spans="7:16" s="1634" customFormat="1">
      <c r="G54513" s="3336"/>
      <c r="P54513" s="3337"/>
    </row>
    <row r="54514" spans="7:16" s="1634" customFormat="1">
      <c r="G54514" s="3336"/>
      <c r="P54514" s="3337"/>
    </row>
    <row r="54515" spans="7:16" s="1634" customFormat="1">
      <c r="G54515" s="3336"/>
      <c r="P54515" s="3337"/>
    </row>
    <row r="54516" spans="7:16" s="1634" customFormat="1">
      <c r="G54516" s="3336"/>
      <c r="P54516" s="3337"/>
    </row>
    <row r="54517" spans="7:16" s="1634" customFormat="1">
      <c r="G54517" s="3336"/>
      <c r="P54517" s="3337"/>
    </row>
    <row r="54518" spans="7:16" s="1634" customFormat="1">
      <c r="G54518" s="3336"/>
      <c r="P54518" s="3337"/>
    </row>
    <row r="54519" spans="7:16" s="1634" customFormat="1">
      <c r="G54519" s="3336"/>
      <c r="P54519" s="3337"/>
    </row>
    <row r="54520" spans="7:16" s="1634" customFormat="1">
      <c r="G54520" s="3336"/>
      <c r="P54520" s="3337"/>
    </row>
    <row r="54521" spans="7:16" s="1634" customFormat="1">
      <c r="G54521" s="3336"/>
      <c r="P54521" s="3337"/>
    </row>
    <row r="54522" spans="7:16" s="1634" customFormat="1">
      <c r="G54522" s="3336"/>
      <c r="P54522" s="3337"/>
    </row>
    <row r="54523" spans="7:16" s="1634" customFormat="1">
      <c r="G54523" s="3336"/>
      <c r="P54523" s="3337"/>
    </row>
    <row r="54524" spans="7:16" s="1634" customFormat="1">
      <c r="G54524" s="3336"/>
      <c r="P54524" s="3337"/>
    </row>
    <row r="54525" spans="7:16" s="1634" customFormat="1">
      <c r="G54525" s="3336"/>
      <c r="P54525" s="3337"/>
    </row>
    <row r="54526" spans="7:16" s="1634" customFormat="1">
      <c r="G54526" s="3336"/>
      <c r="P54526" s="3337"/>
    </row>
    <row r="54527" spans="7:16" s="1634" customFormat="1">
      <c r="G54527" s="3336"/>
      <c r="P54527" s="3337"/>
    </row>
    <row r="54528" spans="7:16" s="1634" customFormat="1">
      <c r="G54528" s="3336"/>
      <c r="P54528" s="3337"/>
    </row>
    <row r="54529" spans="7:16" s="1634" customFormat="1">
      <c r="G54529" s="3336"/>
      <c r="P54529" s="3337"/>
    </row>
    <row r="54530" spans="7:16" s="1634" customFormat="1">
      <c r="G54530" s="3336"/>
      <c r="P54530" s="3337"/>
    </row>
    <row r="54531" spans="7:16" s="1634" customFormat="1">
      <c r="G54531" s="3336"/>
      <c r="P54531" s="3337"/>
    </row>
    <row r="54532" spans="7:16" s="1634" customFormat="1">
      <c r="G54532" s="3336"/>
      <c r="P54532" s="3337"/>
    </row>
    <row r="54533" spans="7:16" s="1634" customFormat="1">
      <c r="G54533" s="3336"/>
      <c r="P54533" s="3337"/>
    </row>
    <row r="54534" spans="7:16" s="1634" customFormat="1">
      <c r="G54534" s="3336"/>
      <c r="P54534" s="3337"/>
    </row>
    <row r="54535" spans="7:16" s="1634" customFormat="1">
      <c r="G54535" s="3336"/>
      <c r="P54535" s="3337"/>
    </row>
    <row r="54536" spans="7:16" s="1634" customFormat="1">
      <c r="G54536" s="3336"/>
      <c r="P54536" s="3337"/>
    </row>
    <row r="54537" spans="7:16" s="1634" customFormat="1">
      <c r="G54537" s="3336"/>
      <c r="P54537" s="3337"/>
    </row>
    <row r="54538" spans="7:16" s="1634" customFormat="1">
      <c r="G54538" s="3336"/>
      <c r="P54538" s="3337"/>
    </row>
    <row r="54539" spans="7:16" s="1634" customFormat="1">
      <c r="G54539" s="3336"/>
      <c r="P54539" s="3337"/>
    </row>
    <row r="54540" spans="7:16" s="1634" customFormat="1">
      <c r="G54540" s="3336"/>
      <c r="P54540" s="3337"/>
    </row>
    <row r="54541" spans="7:16" s="1634" customFormat="1">
      <c r="G54541" s="3336"/>
      <c r="P54541" s="3337"/>
    </row>
    <row r="54542" spans="7:16" s="1634" customFormat="1">
      <c r="G54542" s="3336"/>
      <c r="P54542" s="3337"/>
    </row>
    <row r="54543" spans="7:16" s="1634" customFormat="1">
      <c r="G54543" s="3336"/>
      <c r="P54543" s="3337"/>
    </row>
    <row r="54544" spans="7:16" s="1634" customFormat="1">
      <c r="G54544" s="3336"/>
      <c r="P54544" s="3337"/>
    </row>
    <row r="54545" spans="7:16" s="1634" customFormat="1">
      <c r="G54545" s="3336"/>
      <c r="P54545" s="3337"/>
    </row>
    <row r="54546" spans="7:16" s="1634" customFormat="1">
      <c r="G54546" s="3336"/>
      <c r="P54546" s="3337"/>
    </row>
    <row r="54547" spans="7:16" s="1634" customFormat="1">
      <c r="G54547" s="3336"/>
      <c r="P54547" s="3337"/>
    </row>
    <row r="54548" spans="7:16" s="1634" customFormat="1">
      <c r="G54548" s="3336"/>
      <c r="P54548" s="3337"/>
    </row>
    <row r="54549" spans="7:16" s="1634" customFormat="1">
      <c r="G54549" s="3336"/>
      <c r="P54549" s="3337"/>
    </row>
    <row r="54550" spans="7:16" s="1634" customFormat="1">
      <c r="G54550" s="3336"/>
      <c r="P54550" s="3337"/>
    </row>
    <row r="54551" spans="7:16" s="1634" customFormat="1">
      <c r="G54551" s="3336"/>
      <c r="P54551" s="3337"/>
    </row>
    <row r="54552" spans="7:16" s="1634" customFormat="1">
      <c r="G54552" s="3336"/>
      <c r="P54552" s="3337"/>
    </row>
    <row r="54553" spans="7:16" s="1634" customFormat="1">
      <c r="G54553" s="3336"/>
      <c r="P54553" s="3337"/>
    </row>
    <row r="54554" spans="7:16" s="1634" customFormat="1">
      <c r="G54554" s="3336"/>
      <c r="P54554" s="3337"/>
    </row>
    <row r="54555" spans="7:16" s="1634" customFormat="1">
      <c r="G54555" s="3336"/>
      <c r="P54555" s="3337"/>
    </row>
    <row r="54556" spans="7:16" s="1634" customFormat="1">
      <c r="G54556" s="3336"/>
      <c r="P54556" s="3337"/>
    </row>
    <row r="54557" spans="7:16" s="1634" customFormat="1">
      <c r="G54557" s="3336"/>
      <c r="P54557" s="3337"/>
    </row>
    <row r="54558" spans="7:16" s="1634" customFormat="1">
      <c r="G54558" s="3336"/>
      <c r="P54558" s="3337"/>
    </row>
    <row r="54559" spans="7:16" s="1634" customFormat="1">
      <c r="G54559" s="3336"/>
      <c r="P54559" s="3337"/>
    </row>
    <row r="54560" spans="7:16" s="1634" customFormat="1">
      <c r="G54560" s="3336"/>
      <c r="P54560" s="3337"/>
    </row>
    <row r="54561" spans="7:16" s="1634" customFormat="1">
      <c r="G54561" s="3336"/>
      <c r="P54561" s="3337"/>
    </row>
    <row r="54562" spans="7:16" s="1634" customFormat="1">
      <c r="G54562" s="3336"/>
      <c r="P54562" s="3337"/>
    </row>
    <row r="54563" spans="7:16" s="1634" customFormat="1">
      <c r="G54563" s="3336"/>
      <c r="P54563" s="3337"/>
    </row>
    <row r="54564" spans="7:16" s="1634" customFormat="1">
      <c r="G54564" s="3336"/>
      <c r="P54564" s="3337"/>
    </row>
    <row r="54565" spans="7:16" s="1634" customFormat="1">
      <c r="G54565" s="3336"/>
      <c r="P54565" s="3337"/>
    </row>
    <row r="54566" spans="7:16" s="1634" customFormat="1">
      <c r="G54566" s="3336"/>
      <c r="P54566" s="3337"/>
    </row>
    <row r="54567" spans="7:16" s="1634" customFormat="1">
      <c r="G54567" s="3336"/>
      <c r="P54567" s="3337"/>
    </row>
    <row r="54568" spans="7:16" s="1634" customFormat="1">
      <c r="G54568" s="3336"/>
      <c r="P54568" s="3337"/>
    </row>
    <row r="54569" spans="7:16" s="1634" customFormat="1">
      <c r="G54569" s="3336"/>
      <c r="P54569" s="3337"/>
    </row>
    <row r="54570" spans="7:16" s="1634" customFormat="1">
      <c r="G54570" s="3336"/>
      <c r="P54570" s="3337"/>
    </row>
    <row r="54571" spans="7:16" s="1634" customFormat="1">
      <c r="G54571" s="3336"/>
      <c r="P54571" s="3337"/>
    </row>
    <row r="54572" spans="7:16" s="1634" customFormat="1">
      <c r="G54572" s="3336"/>
      <c r="P54572" s="3337"/>
    </row>
    <row r="54573" spans="7:16" s="1634" customFormat="1">
      <c r="G54573" s="3336"/>
      <c r="P54573" s="3337"/>
    </row>
    <row r="54574" spans="7:16" s="1634" customFormat="1">
      <c r="G54574" s="3336"/>
      <c r="P54574" s="3337"/>
    </row>
    <row r="54575" spans="7:16" s="1634" customFormat="1">
      <c r="G54575" s="3336"/>
      <c r="P54575" s="3337"/>
    </row>
    <row r="54576" spans="7:16" s="1634" customFormat="1">
      <c r="G54576" s="3336"/>
      <c r="P54576" s="3337"/>
    </row>
    <row r="54577" spans="7:16" s="1634" customFormat="1">
      <c r="G54577" s="3336"/>
      <c r="P54577" s="3337"/>
    </row>
    <row r="54578" spans="7:16" s="1634" customFormat="1">
      <c r="G54578" s="3336"/>
      <c r="P54578" s="3337"/>
    </row>
    <row r="54579" spans="7:16" s="1634" customFormat="1">
      <c r="G54579" s="3336"/>
      <c r="P54579" s="3337"/>
    </row>
    <row r="54580" spans="7:16" s="1634" customFormat="1">
      <c r="G54580" s="3336"/>
      <c r="P54580" s="3337"/>
    </row>
    <row r="54581" spans="7:16" s="1634" customFormat="1">
      <c r="G54581" s="3336"/>
      <c r="P54581" s="3337"/>
    </row>
    <row r="54582" spans="7:16" s="1634" customFormat="1">
      <c r="G54582" s="3336"/>
      <c r="P54582" s="3337"/>
    </row>
    <row r="54583" spans="7:16" s="1634" customFormat="1">
      <c r="G54583" s="3336"/>
      <c r="P54583" s="3337"/>
    </row>
    <row r="54584" spans="7:16" s="1634" customFormat="1">
      <c r="G54584" s="3336"/>
      <c r="P54584" s="3337"/>
    </row>
    <row r="54585" spans="7:16" s="1634" customFormat="1">
      <c r="G54585" s="3336"/>
      <c r="P54585" s="3337"/>
    </row>
    <row r="54586" spans="7:16" s="1634" customFormat="1">
      <c r="G54586" s="3336"/>
      <c r="P54586" s="3337"/>
    </row>
    <row r="54587" spans="7:16" s="1634" customFormat="1">
      <c r="G54587" s="3336"/>
      <c r="P54587" s="3337"/>
    </row>
    <row r="54588" spans="7:16" s="1634" customFormat="1">
      <c r="G54588" s="3336"/>
      <c r="P54588" s="3337"/>
    </row>
    <row r="54589" spans="7:16" s="1634" customFormat="1">
      <c r="G54589" s="3336"/>
      <c r="P54589" s="3337"/>
    </row>
    <row r="54590" spans="7:16" s="1634" customFormat="1">
      <c r="G54590" s="3336"/>
      <c r="P54590" s="3337"/>
    </row>
    <row r="54591" spans="7:16" s="1634" customFormat="1">
      <c r="G54591" s="3336"/>
      <c r="P54591" s="3337"/>
    </row>
    <row r="54592" spans="7:16" s="1634" customFormat="1">
      <c r="G54592" s="3336"/>
      <c r="P54592" s="3337"/>
    </row>
    <row r="54593" spans="7:16" s="1634" customFormat="1">
      <c r="G54593" s="3336"/>
      <c r="P54593" s="3337"/>
    </row>
    <row r="54594" spans="7:16" s="1634" customFormat="1">
      <c r="G54594" s="3336"/>
      <c r="P54594" s="3337"/>
    </row>
    <row r="54595" spans="7:16" s="1634" customFormat="1">
      <c r="G54595" s="3336"/>
      <c r="P54595" s="3337"/>
    </row>
    <row r="54596" spans="7:16" s="1634" customFormat="1">
      <c r="G54596" s="3336"/>
      <c r="P54596" s="3337"/>
    </row>
    <row r="54597" spans="7:16" s="1634" customFormat="1">
      <c r="G54597" s="3336"/>
      <c r="P54597" s="3337"/>
    </row>
    <row r="54598" spans="7:16" s="1634" customFormat="1">
      <c r="G54598" s="3336"/>
      <c r="P54598" s="3337"/>
    </row>
    <row r="54599" spans="7:16" s="1634" customFormat="1">
      <c r="G54599" s="3336"/>
      <c r="P54599" s="3337"/>
    </row>
    <row r="54600" spans="7:16" s="1634" customFormat="1">
      <c r="G54600" s="3336"/>
      <c r="P54600" s="3337"/>
    </row>
    <row r="54601" spans="7:16" s="1634" customFormat="1">
      <c r="G54601" s="3336"/>
      <c r="P54601" s="3337"/>
    </row>
    <row r="54602" spans="7:16" s="1634" customFormat="1">
      <c r="G54602" s="3336"/>
      <c r="P54602" s="3337"/>
    </row>
    <row r="54603" spans="7:16" s="1634" customFormat="1">
      <c r="G54603" s="3336"/>
      <c r="P54603" s="3337"/>
    </row>
    <row r="54604" spans="7:16" s="1634" customFormat="1">
      <c r="G54604" s="3336"/>
      <c r="P54604" s="3337"/>
    </row>
    <row r="54605" spans="7:16" s="1634" customFormat="1">
      <c r="G54605" s="3336"/>
      <c r="P54605" s="3337"/>
    </row>
    <row r="54606" spans="7:16" s="1634" customFormat="1">
      <c r="G54606" s="3336"/>
      <c r="P54606" s="3337"/>
    </row>
    <row r="54607" spans="7:16" s="1634" customFormat="1">
      <c r="G54607" s="3336"/>
      <c r="P54607" s="3337"/>
    </row>
    <row r="54608" spans="7:16" s="1634" customFormat="1">
      <c r="G54608" s="3336"/>
      <c r="P54608" s="3337"/>
    </row>
    <row r="54609" spans="7:16" s="1634" customFormat="1">
      <c r="G54609" s="3336"/>
      <c r="P54609" s="3337"/>
    </row>
    <row r="54610" spans="7:16" s="1634" customFormat="1">
      <c r="G54610" s="3336"/>
      <c r="P54610" s="3337"/>
    </row>
    <row r="54611" spans="7:16" s="1634" customFormat="1">
      <c r="G54611" s="3336"/>
      <c r="P54611" s="3337"/>
    </row>
    <row r="54612" spans="7:16" s="1634" customFormat="1">
      <c r="G54612" s="3336"/>
      <c r="P54612" s="3337"/>
    </row>
    <row r="54613" spans="7:16" s="1634" customFormat="1">
      <c r="G54613" s="3336"/>
      <c r="P54613" s="3337"/>
    </row>
    <row r="54614" spans="7:16" s="1634" customFormat="1">
      <c r="G54614" s="3336"/>
      <c r="P54614" s="3337"/>
    </row>
    <row r="54615" spans="7:16" s="1634" customFormat="1">
      <c r="G54615" s="3336"/>
      <c r="P54615" s="3337"/>
    </row>
    <row r="54616" spans="7:16" s="1634" customFormat="1">
      <c r="G54616" s="3336"/>
      <c r="P54616" s="3337"/>
    </row>
    <row r="54617" spans="7:16" s="1634" customFormat="1">
      <c r="G54617" s="3336"/>
      <c r="P54617" s="3337"/>
    </row>
    <row r="54618" spans="7:16" s="1634" customFormat="1">
      <c r="G54618" s="3336"/>
      <c r="P54618" s="3337"/>
    </row>
    <row r="54619" spans="7:16" s="1634" customFormat="1">
      <c r="G54619" s="3336"/>
      <c r="P54619" s="3337"/>
    </row>
    <row r="54620" spans="7:16" s="1634" customFormat="1">
      <c r="G54620" s="3336"/>
      <c r="P54620" s="3337"/>
    </row>
    <row r="54621" spans="7:16" s="1634" customFormat="1">
      <c r="G54621" s="3336"/>
      <c r="P54621" s="3337"/>
    </row>
    <row r="54622" spans="7:16" s="1634" customFormat="1">
      <c r="G54622" s="3336"/>
      <c r="P54622" s="3337"/>
    </row>
    <row r="54623" spans="7:16" s="1634" customFormat="1">
      <c r="G54623" s="3336"/>
      <c r="P54623" s="3337"/>
    </row>
    <row r="54624" spans="7:16" s="1634" customFormat="1">
      <c r="G54624" s="3336"/>
      <c r="P54624" s="3337"/>
    </row>
    <row r="54625" spans="7:16" s="1634" customFormat="1">
      <c r="G54625" s="3336"/>
      <c r="P54625" s="3337"/>
    </row>
    <row r="54626" spans="7:16" s="1634" customFormat="1">
      <c r="G54626" s="3336"/>
      <c r="P54626" s="3337"/>
    </row>
    <row r="54627" spans="7:16" s="1634" customFormat="1">
      <c r="G54627" s="3336"/>
      <c r="P54627" s="3337"/>
    </row>
    <row r="54628" spans="7:16" s="1634" customFormat="1">
      <c r="G54628" s="3336"/>
      <c r="P54628" s="3337"/>
    </row>
    <row r="54629" spans="7:16" s="1634" customFormat="1">
      <c r="G54629" s="3336"/>
      <c r="P54629" s="3337"/>
    </row>
    <row r="54630" spans="7:16" s="1634" customFormat="1">
      <c r="G54630" s="3336"/>
      <c r="P54630" s="3337"/>
    </row>
    <row r="54631" spans="7:16" s="1634" customFormat="1">
      <c r="G54631" s="3336"/>
      <c r="P54631" s="3337"/>
    </row>
    <row r="54632" spans="7:16" s="1634" customFormat="1">
      <c r="G54632" s="3336"/>
      <c r="P54632" s="3337"/>
    </row>
    <row r="54633" spans="7:16" s="1634" customFormat="1">
      <c r="G54633" s="3336"/>
      <c r="P54633" s="3337"/>
    </row>
    <row r="54634" spans="7:16" s="1634" customFormat="1">
      <c r="G54634" s="3336"/>
      <c r="P54634" s="3337"/>
    </row>
    <row r="54635" spans="7:16" s="1634" customFormat="1">
      <c r="G54635" s="3336"/>
      <c r="P54635" s="3337"/>
    </row>
    <row r="54636" spans="7:16" s="1634" customFormat="1">
      <c r="G54636" s="3336"/>
      <c r="P54636" s="3337"/>
    </row>
    <row r="54637" spans="7:16" s="1634" customFormat="1">
      <c r="G54637" s="3336"/>
      <c r="P54637" s="3337"/>
    </row>
    <row r="54638" spans="7:16" s="1634" customFormat="1">
      <c r="G54638" s="3336"/>
      <c r="P54638" s="3337"/>
    </row>
    <row r="54639" spans="7:16" s="1634" customFormat="1">
      <c r="G54639" s="3336"/>
      <c r="P54639" s="3337"/>
    </row>
    <row r="54640" spans="7:16" s="1634" customFormat="1">
      <c r="G54640" s="3336"/>
      <c r="P54640" s="3337"/>
    </row>
    <row r="54641" spans="7:16" s="1634" customFormat="1">
      <c r="G54641" s="3336"/>
      <c r="P54641" s="3337"/>
    </row>
    <row r="54642" spans="7:16" s="1634" customFormat="1">
      <c r="G54642" s="3336"/>
      <c r="P54642" s="3337"/>
    </row>
    <row r="54643" spans="7:16" s="1634" customFormat="1">
      <c r="G54643" s="3336"/>
      <c r="P54643" s="3337"/>
    </row>
    <row r="54644" spans="7:16" s="1634" customFormat="1">
      <c r="G54644" s="3336"/>
      <c r="P54644" s="3337"/>
    </row>
    <row r="54645" spans="7:16" s="1634" customFormat="1">
      <c r="G54645" s="3336"/>
      <c r="P54645" s="3337"/>
    </row>
    <row r="54646" spans="7:16" s="1634" customFormat="1">
      <c r="G54646" s="3336"/>
      <c r="P54646" s="3337"/>
    </row>
    <row r="54647" spans="7:16" s="1634" customFormat="1">
      <c r="G54647" s="3336"/>
      <c r="P54647" s="3337"/>
    </row>
    <row r="54648" spans="7:16" s="1634" customFormat="1">
      <c r="G54648" s="3336"/>
      <c r="P54648" s="3337"/>
    </row>
    <row r="54649" spans="7:16" s="1634" customFormat="1">
      <c r="G54649" s="3336"/>
      <c r="P54649" s="3337"/>
    </row>
    <row r="54650" spans="7:16" s="1634" customFormat="1">
      <c r="G54650" s="3336"/>
      <c r="P54650" s="3337"/>
    </row>
    <row r="54651" spans="7:16" s="1634" customFormat="1">
      <c r="G54651" s="3336"/>
      <c r="P54651" s="3337"/>
    </row>
    <row r="54652" spans="7:16" s="1634" customFormat="1">
      <c r="G54652" s="3336"/>
      <c r="P54652" s="3337"/>
    </row>
    <row r="54653" spans="7:16" s="1634" customFormat="1">
      <c r="G54653" s="3336"/>
      <c r="P54653" s="3337"/>
    </row>
    <row r="54654" spans="7:16" s="1634" customFormat="1">
      <c r="G54654" s="3336"/>
      <c r="P54654" s="3337"/>
    </row>
    <row r="54655" spans="7:16" s="1634" customFormat="1">
      <c r="G54655" s="3336"/>
      <c r="P54655" s="3337"/>
    </row>
    <row r="54656" spans="7:16" s="1634" customFormat="1">
      <c r="G54656" s="3336"/>
      <c r="P54656" s="3337"/>
    </row>
    <row r="54657" spans="7:16" s="1634" customFormat="1">
      <c r="G54657" s="3336"/>
      <c r="P54657" s="3337"/>
    </row>
    <row r="54658" spans="7:16" s="1634" customFormat="1">
      <c r="G54658" s="3336"/>
      <c r="P54658" s="3337"/>
    </row>
    <row r="54659" spans="7:16" s="1634" customFormat="1">
      <c r="G54659" s="3336"/>
      <c r="P54659" s="3337"/>
    </row>
    <row r="54660" spans="7:16" s="1634" customFormat="1">
      <c r="G54660" s="3336"/>
      <c r="P54660" s="3337"/>
    </row>
    <row r="54661" spans="7:16" s="1634" customFormat="1">
      <c r="G54661" s="3336"/>
      <c r="P54661" s="3337"/>
    </row>
    <row r="54662" spans="7:16" s="1634" customFormat="1">
      <c r="G54662" s="3336"/>
      <c r="P54662" s="3337"/>
    </row>
    <row r="54663" spans="7:16" s="1634" customFormat="1">
      <c r="G54663" s="3336"/>
      <c r="P54663" s="3337"/>
    </row>
    <row r="54664" spans="7:16" s="1634" customFormat="1">
      <c r="G54664" s="3336"/>
      <c r="P54664" s="3337"/>
    </row>
    <row r="54665" spans="7:16" s="1634" customFormat="1">
      <c r="G54665" s="3336"/>
      <c r="P54665" s="3337"/>
    </row>
    <row r="54666" spans="7:16" s="1634" customFormat="1">
      <c r="G54666" s="3336"/>
      <c r="P54666" s="3337"/>
    </row>
    <row r="54667" spans="7:16" s="1634" customFormat="1">
      <c r="G54667" s="3336"/>
      <c r="P54667" s="3337"/>
    </row>
    <row r="54668" spans="7:16" s="1634" customFormat="1">
      <c r="G54668" s="3336"/>
      <c r="P54668" s="3337"/>
    </row>
    <row r="54669" spans="7:16" s="1634" customFormat="1">
      <c r="G54669" s="3336"/>
      <c r="P54669" s="3337"/>
    </row>
    <row r="54670" spans="7:16" s="1634" customFormat="1">
      <c r="G54670" s="3336"/>
      <c r="P54670" s="3337"/>
    </row>
    <row r="54671" spans="7:16" s="1634" customFormat="1">
      <c r="G54671" s="3336"/>
      <c r="P54671" s="3337"/>
    </row>
    <row r="54672" spans="7:16" s="1634" customFormat="1">
      <c r="G54672" s="3336"/>
      <c r="P54672" s="3337"/>
    </row>
    <row r="54673" spans="7:16" s="1634" customFormat="1">
      <c r="G54673" s="3336"/>
      <c r="P54673" s="3337"/>
    </row>
    <row r="54674" spans="7:16" s="1634" customFormat="1">
      <c r="G54674" s="3336"/>
      <c r="P54674" s="3337"/>
    </row>
    <row r="54675" spans="7:16" s="1634" customFormat="1">
      <c r="G54675" s="3336"/>
      <c r="P54675" s="3337"/>
    </row>
    <row r="54676" spans="7:16" s="1634" customFormat="1">
      <c r="G54676" s="3336"/>
      <c r="P54676" s="3337"/>
    </row>
    <row r="54677" spans="7:16" s="1634" customFormat="1">
      <c r="G54677" s="3336"/>
      <c r="P54677" s="3337"/>
    </row>
    <row r="54678" spans="7:16" s="1634" customFormat="1">
      <c r="G54678" s="3336"/>
      <c r="P54678" s="3337"/>
    </row>
    <row r="54679" spans="7:16" s="1634" customFormat="1">
      <c r="G54679" s="3336"/>
      <c r="P54679" s="3337"/>
    </row>
    <row r="54680" spans="7:16" s="1634" customFormat="1">
      <c r="G54680" s="3336"/>
      <c r="P54680" s="3337"/>
    </row>
    <row r="54681" spans="7:16" s="1634" customFormat="1">
      <c r="G54681" s="3336"/>
      <c r="P54681" s="3337"/>
    </row>
    <row r="54682" spans="7:16" s="1634" customFormat="1">
      <c r="G54682" s="3336"/>
      <c r="P54682" s="3337"/>
    </row>
    <row r="54683" spans="7:16" s="1634" customFormat="1">
      <c r="G54683" s="3336"/>
      <c r="P54683" s="3337"/>
    </row>
    <row r="54684" spans="7:16" s="1634" customFormat="1">
      <c r="G54684" s="3336"/>
      <c r="P54684" s="3337"/>
    </row>
    <row r="54685" spans="7:16" s="1634" customFormat="1">
      <c r="G54685" s="3336"/>
      <c r="P54685" s="3337"/>
    </row>
    <row r="54686" spans="7:16" s="1634" customFormat="1">
      <c r="G54686" s="3336"/>
      <c r="P54686" s="3337"/>
    </row>
    <row r="54687" spans="7:16" s="1634" customFormat="1">
      <c r="G54687" s="3336"/>
      <c r="P54687" s="3337"/>
    </row>
    <row r="54688" spans="7:16" s="1634" customFormat="1">
      <c r="G54688" s="3336"/>
      <c r="P54688" s="3337"/>
    </row>
    <row r="54689" spans="7:16" s="1634" customFormat="1">
      <c r="G54689" s="3336"/>
      <c r="P54689" s="3337"/>
    </row>
    <row r="54690" spans="7:16" s="1634" customFormat="1">
      <c r="G54690" s="3336"/>
      <c r="P54690" s="3337"/>
    </row>
    <row r="54691" spans="7:16" s="1634" customFormat="1">
      <c r="G54691" s="3336"/>
      <c r="P54691" s="3337"/>
    </row>
    <row r="54692" spans="7:16" s="1634" customFormat="1">
      <c r="G54692" s="3336"/>
      <c r="P54692" s="3337"/>
    </row>
    <row r="54693" spans="7:16" s="1634" customFormat="1">
      <c r="G54693" s="3336"/>
      <c r="P54693" s="3337"/>
    </row>
    <row r="54694" spans="7:16" s="1634" customFormat="1">
      <c r="G54694" s="3336"/>
      <c r="P54694" s="3337"/>
    </row>
    <row r="54695" spans="7:16" s="1634" customFormat="1">
      <c r="G54695" s="3336"/>
      <c r="P54695" s="3337"/>
    </row>
    <row r="54696" spans="7:16" s="1634" customFormat="1">
      <c r="G54696" s="3336"/>
      <c r="P54696" s="3337"/>
    </row>
    <row r="54697" spans="7:16" s="1634" customFormat="1">
      <c r="G54697" s="3336"/>
      <c r="P54697" s="3337"/>
    </row>
    <row r="54698" spans="7:16" s="1634" customFormat="1">
      <c r="G54698" s="3336"/>
      <c r="P54698" s="3337"/>
    </row>
    <row r="54699" spans="7:16" s="1634" customFormat="1">
      <c r="G54699" s="3336"/>
      <c r="P54699" s="3337"/>
    </row>
    <row r="54700" spans="7:16" s="1634" customFormat="1">
      <c r="G54700" s="3336"/>
      <c r="P54700" s="3337"/>
    </row>
    <row r="54701" spans="7:16" s="1634" customFormat="1">
      <c r="G54701" s="3336"/>
      <c r="P54701" s="3337"/>
    </row>
    <row r="54702" spans="7:16" s="1634" customFormat="1">
      <c r="G54702" s="3336"/>
      <c r="P54702" s="3337"/>
    </row>
    <row r="54703" spans="7:16" s="1634" customFormat="1">
      <c r="G54703" s="3336"/>
      <c r="P54703" s="3337"/>
    </row>
    <row r="54704" spans="7:16" s="1634" customFormat="1">
      <c r="G54704" s="3336"/>
      <c r="P54704" s="3337"/>
    </row>
    <row r="54705" spans="7:16" s="1634" customFormat="1">
      <c r="G54705" s="3336"/>
      <c r="P54705" s="3337"/>
    </row>
    <row r="54706" spans="7:16" s="1634" customFormat="1">
      <c r="G54706" s="3336"/>
      <c r="P54706" s="3337"/>
    </row>
    <row r="54707" spans="7:16" s="1634" customFormat="1">
      <c r="G54707" s="3336"/>
      <c r="P54707" s="3337"/>
    </row>
    <row r="54708" spans="7:16" s="1634" customFormat="1">
      <c r="G54708" s="3336"/>
      <c r="P54708" s="3337"/>
    </row>
    <row r="54709" spans="7:16" s="1634" customFormat="1">
      <c r="G54709" s="3336"/>
      <c r="P54709" s="3337"/>
    </row>
    <row r="54710" spans="7:16" s="1634" customFormat="1">
      <c r="G54710" s="3336"/>
      <c r="P54710" s="3337"/>
    </row>
    <row r="54711" spans="7:16" s="1634" customFormat="1">
      <c r="G54711" s="3336"/>
      <c r="P54711" s="3337"/>
    </row>
    <row r="54712" spans="7:16" s="1634" customFormat="1">
      <c r="G54712" s="3336"/>
      <c r="P54712" s="3337"/>
    </row>
    <row r="54713" spans="7:16" s="1634" customFormat="1">
      <c r="G54713" s="3336"/>
      <c r="P54713" s="3337"/>
    </row>
    <row r="54714" spans="7:16" s="1634" customFormat="1">
      <c r="G54714" s="3336"/>
      <c r="P54714" s="3337"/>
    </row>
    <row r="54715" spans="7:16" s="1634" customFormat="1">
      <c r="G54715" s="3336"/>
      <c r="P54715" s="3337"/>
    </row>
    <row r="54716" spans="7:16" s="1634" customFormat="1">
      <c r="G54716" s="3336"/>
      <c r="P54716" s="3337"/>
    </row>
    <row r="54717" spans="7:16" s="1634" customFormat="1">
      <c r="G54717" s="3336"/>
      <c r="P54717" s="3337"/>
    </row>
    <row r="54718" spans="7:16" s="1634" customFormat="1">
      <c r="G54718" s="3336"/>
      <c r="P54718" s="3337"/>
    </row>
    <row r="54719" spans="7:16" s="1634" customFormat="1">
      <c r="G54719" s="3336"/>
      <c r="P54719" s="3337"/>
    </row>
    <row r="54720" spans="7:16" s="1634" customFormat="1">
      <c r="G54720" s="3336"/>
      <c r="P54720" s="3337"/>
    </row>
    <row r="54721" spans="7:16" s="1634" customFormat="1">
      <c r="G54721" s="3336"/>
      <c r="P54721" s="3337"/>
    </row>
    <row r="54722" spans="7:16" s="1634" customFormat="1">
      <c r="G54722" s="3336"/>
      <c r="P54722" s="3337"/>
    </row>
    <row r="54723" spans="7:16" s="1634" customFormat="1">
      <c r="G54723" s="3336"/>
      <c r="P54723" s="3337"/>
    </row>
    <row r="54724" spans="7:16" s="1634" customFormat="1">
      <c r="G54724" s="3336"/>
      <c r="P54724" s="3337"/>
    </row>
    <row r="54725" spans="7:16" s="1634" customFormat="1">
      <c r="G54725" s="3336"/>
      <c r="P54725" s="3337"/>
    </row>
    <row r="54726" spans="7:16" s="1634" customFormat="1">
      <c r="G54726" s="3336"/>
      <c r="P54726" s="3337"/>
    </row>
    <row r="54727" spans="7:16" s="1634" customFormat="1">
      <c r="G54727" s="3336"/>
      <c r="P54727" s="3337"/>
    </row>
    <row r="54728" spans="7:16" s="1634" customFormat="1">
      <c r="G54728" s="3336"/>
      <c r="P54728" s="3337"/>
    </row>
    <row r="54729" spans="7:16" s="1634" customFormat="1">
      <c r="G54729" s="3336"/>
      <c r="P54729" s="3337"/>
    </row>
    <row r="54730" spans="7:16" s="1634" customFormat="1">
      <c r="G54730" s="3336"/>
      <c r="P54730" s="3337"/>
    </row>
    <row r="54731" spans="7:16" s="1634" customFormat="1">
      <c r="G54731" s="3336"/>
      <c r="P54731" s="3337"/>
    </row>
    <row r="54732" spans="7:16" s="1634" customFormat="1">
      <c r="G54732" s="3336"/>
      <c r="P54732" s="3337"/>
    </row>
    <row r="54733" spans="7:16" s="1634" customFormat="1">
      <c r="G54733" s="3336"/>
      <c r="P54733" s="3337"/>
    </row>
    <row r="54734" spans="7:16" s="1634" customFormat="1">
      <c r="G54734" s="3336"/>
      <c r="P54734" s="3337"/>
    </row>
    <row r="54735" spans="7:16" s="1634" customFormat="1">
      <c r="G54735" s="3336"/>
      <c r="P54735" s="3337"/>
    </row>
    <row r="54736" spans="7:16" s="1634" customFormat="1">
      <c r="G54736" s="3336"/>
      <c r="P54736" s="3337"/>
    </row>
    <row r="54737" spans="7:16" s="1634" customFormat="1">
      <c r="G54737" s="3336"/>
      <c r="P54737" s="3337"/>
    </row>
    <row r="54738" spans="7:16" s="1634" customFormat="1">
      <c r="G54738" s="3336"/>
      <c r="P54738" s="3337"/>
    </row>
    <row r="54739" spans="7:16" s="1634" customFormat="1">
      <c r="G54739" s="3336"/>
      <c r="P54739" s="3337"/>
    </row>
    <row r="54740" spans="7:16" s="1634" customFormat="1">
      <c r="G54740" s="3336"/>
      <c r="P54740" s="3337"/>
    </row>
    <row r="54741" spans="7:16" s="1634" customFormat="1">
      <c r="G54741" s="3336"/>
      <c r="P54741" s="3337"/>
    </row>
    <row r="54742" spans="7:16" s="1634" customFormat="1">
      <c r="G54742" s="3336"/>
      <c r="P54742" s="3337"/>
    </row>
    <row r="54743" spans="7:16" s="1634" customFormat="1">
      <c r="G54743" s="3336"/>
      <c r="P54743" s="3337"/>
    </row>
    <row r="54744" spans="7:16" s="1634" customFormat="1">
      <c r="G54744" s="3336"/>
      <c r="P54744" s="3337"/>
    </row>
    <row r="54745" spans="7:16" s="1634" customFormat="1">
      <c r="G54745" s="3336"/>
      <c r="P54745" s="3337"/>
    </row>
    <row r="54746" spans="7:16" s="1634" customFormat="1">
      <c r="G54746" s="3336"/>
      <c r="P54746" s="3337"/>
    </row>
    <row r="54747" spans="7:16" s="1634" customFormat="1">
      <c r="G54747" s="3336"/>
      <c r="P54747" s="3337"/>
    </row>
    <row r="54748" spans="7:16" s="1634" customFormat="1">
      <c r="G54748" s="3336"/>
      <c r="P54748" s="3337"/>
    </row>
    <row r="54749" spans="7:16" s="1634" customFormat="1">
      <c r="G54749" s="3336"/>
      <c r="P54749" s="3337"/>
    </row>
    <row r="54750" spans="7:16" s="1634" customFormat="1">
      <c r="G54750" s="3336"/>
      <c r="P54750" s="3337"/>
    </row>
    <row r="54751" spans="7:16" s="1634" customFormat="1">
      <c r="G54751" s="3336"/>
      <c r="P54751" s="3337"/>
    </row>
    <row r="54752" spans="7:16" s="1634" customFormat="1">
      <c r="G54752" s="3336"/>
      <c r="P54752" s="3337"/>
    </row>
    <row r="54753" spans="7:16" s="1634" customFormat="1">
      <c r="G54753" s="3336"/>
      <c r="P54753" s="3337"/>
    </row>
    <row r="54754" spans="7:16" s="1634" customFormat="1">
      <c r="G54754" s="3336"/>
      <c r="P54754" s="3337"/>
    </row>
    <row r="54755" spans="7:16" s="1634" customFormat="1">
      <c r="G54755" s="3336"/>
      <c r="P54755" s="3337"/>
    </row>
    <row r="54756" spans="7:16" s="1634" customFormat="1">
      <c r="G54756" s="3336"/>
      <c r="P54756" s="3337"/>
    </row>
    <row r="54757" spans="7:16" s="1634" customFormat="1">
      <c r="G54757" s="3336"/>
      <c r="P54757" s="3337"/>
    </row>
    <row r="54758" spans="7:16" s="1634" customFormat="1">
      <c r="G54758" s="3336"/>
      <c r="P54758" s="3337"/>
    </row>
    <row r="54759" spans="7:16" s="1634" customFormat="1">
      <c r="G54759" s="3336"/>
      <c r="P54759" s="3337"/>
    </row>
    <row r="54760" spans="7:16" s="1634" customFormat="1">
      <c r="G54760" s="3336"/>
      <c r="P54760" s="3337"/>
    </row>
    <row r="54761" spans="7:16" s="1634" customFormat="1">
      <c r="G54761" s="3336"/>
      <c r="P54761" s="3337"/>
    </row>
    <row r="54762" spans="7:16" s="1634" customFormat="1">
      <c r="G54762" s="3336"/>
      <c r="P54762" s="3337"/>
    </row>
    <row r="54763" spans="7:16" s="1634" customFormat="1">
      <c r="G54763" s="3336"/>
      <c r="P54763" s="3337"/>
    </row>
    <row r="54764" spans="7:16" s="1634" customFormat="1">
      <c r="G54764" s="3336"/>
      <c r="P54764" s="3337"/>
    </row>
    <row r="54765" spans="7:16" s="1634" customFormat="1">
      <c r="G54765" s="3336"/>
      <c r="P54765" s="3337"/>
    </row>
    <row r="54766" spans="7:16" s="1634" customFormat="1">
      <c r="G54766" s="3336"/>
      <c r="P54766" s="3337"/>
    </row>
    <row r="54767" spans="7:16" s="1634" customFormat="1">
      <c r="G54767" s="3336"/>
      <c r="P54767" s="3337"/>
    </row>
    <row r="54768" spans="7:16" s="1634" customFormat="1">
      <c r="G54768" s="3336"/>
      <c r="P54768" s="3337"/>
    </row>
    <row r="54769" spans="7:16" s="1634" customFormat="1">
      <c r="G54769" s="3336"/>
      <c r="P54769" s="3337"/>
    </row>
    <row r="54770" spans="7:16" s="1634" customFormat="1">
      <c r="G54770" s="3336"/>
      <c r="P54770" s="3337"/>
    </row>
    <row r="54771" spans="7:16" s="1634" customFormat="1">
      <c r="G54771" s="3336"/>
      <c r="P54771" s="3337"/>
    </row>
    <row r="54772" spans="7:16" s="1634" customFormat="1">
      <c r="G54772" s="3336"/>
      <c r="P54772" s="3337"/>
    </row>
    <row r="54773" spans="7:16" s="1634" customFormat="1">
      <c r="G54773" s="3336"/>
      <c r="P54773" s="3337"/>
    </row>
    <row r="54774" spans="7:16" s="1634" customFormat="1">
      <c r="G54774" s="3336"/>
      <c r="P54774" s="3337"/>
    </row>
    <row r="54775" spans="7:16" s="1634" customFormat="1">
      <c r="G54775" s="3336"/>
      <c r="P54775" s="3337"/>
    </row>
    <row r="54776" spans="7:16" s="1634" customFormat="1">
      <c r="G54776" s="3336"/>
      <c r="P54776" s="3337"/>
    </row>
    <row r="54777" spans="7:16" s="1634" customFormat="1">
      <c r="G54777" s="3336"/>
      <c r="P54777" s="3337"/>
    </row>
    <row r="54778" spans="7:16" s="1634" customFormat="1">
      <c r="G54778" s="3336"/>
      <c r="P54778" s="3337"/>
    </row>
    <row r="54779" spans="7:16" s="1634" customFormat="1">
      <c r="G54779" s="3336"/>
      <c r="P54779" s="3337"/>
    </row>
    <row r="54780" spans="7:16" s="1634" customFormat="1">
      <c r="G54780" s="3336"/>
      <c r="P54780" s="3337"/>
    </row>
    <row r="54781" spans="7:16" s="1634" customFormat="1">
      <c r="G54781" s="3336"/>
      <c r="P54781" s="3337"/>
    </row>
    <row r="54782" spans="7:16" s="1634" customFormat="1">
      <c r="G54782" s="3336"/>
      <c r="P54782" s="3337"/>
    </row>
    <row r="54783" spans="7:16" s="1634" customFormat="1">
      <c r="G54783" s="3336"/>
      <c r="P54783" s="3337"/>
    </row>
    <row r="54784" spans="7:16" s="1634" customFormat="1">
      <c r="G54784" s="3336"/>
      <c r="P54784" s="3337"/>
    </row>
    <row r="54785" spans="7:16" s="1634" customFormat="1">
      <c r="G54785" s="3336"/>
      <c r="P54785" s="3337"/>
    </row>
    <row r="54786" spans="7:16" s="1634" customFormat="1">
      <c r="G54786" s="3336"/>
      <c r="P54786" s="3337"/>
    </row>
    <row r="54787" spans="7:16" s="1634" customFormat="1">
      <c r="G54787" s="3336"/>
      <c r="P54787" s="3337"/>
    </row>
    <row r="54788" spans="7:16" s="1634" customFormat="1">
      <c r="G54788" s="3336"/>
      <c r="P54788" s="3337"/>
    </row>
    <row r="54789" spans="7:16" s="1634" customFormat="1">
      <c r="G54789" s="3336"/>
      <c r="P54789" s="3337"/>
    </row>
    <row r="54790" spans="7:16" s="1634" customFormat="1">
      <c r="G54790" s="3336"/>
      <c r="P54790" s="3337"/>
    </row>
    <row r="54791" spans="7:16" s="1634" customFormat="1">
      <c r="G54791" s="3336"/>
      <c r="P54791" s="3337"/>
    </row>
    <row r="54792" spans="7:16" s="1634" customFormat="1">
      <c r="G54792" s="3336"/>
      <c r="P54792" s="3337"/>
    </row>
    <row r="54793" spans="7:16" s="1634" customFormat="1">
      <c r="G54793" s="3336"/>
      <c r="P54793" s="3337"/>
    </row>
    <row r="54794" spans="7:16" s="1634" customFormat="1">
      <c r="G54794" s="3336"/>
      <c r="P54794" s="3337"/>
    </row>
    <row r="54795" spans="7:16" s="1634" customFormat="1">
      <c r="G54795" s="3336"/>
      <c r="P54795" s="3337"/>
    </row>
    <row r="54796" spans="7:16" s="1634" customFormat="1">
      <c r="G54796" s="3336"/>
      <c r="P54796" s="3337"/>
    </row>
    <row r="54797" spans="7:16" s="1634" customFormat="1">
      <c r="G54797" s="3336"/>
      <c r="P54797" s="3337"/>
    </row>
    <row r="54798" spans="7:16" s="1634" customFormat="1">
      <c r="G54798" s="3336"/>
      <c r="P54798" s="3337"/>
    </row>
    <row r="54799" spans="7:16" s="1634" customFormat="1">
      <c r="G54799" s="3336"/>
      <c r="P54799" s="3337"/>
    </row>
    <row r="54800" spans="7:16" s="1634" customFormat="1">
      <c r="G54800" s="3336"/>
      <c r="P54800" s="3337"/>
    </row>
    <row r="54801" spans="7:16" s="1634" customFormat="1">
      <c r="G54801" s="3336"/>
      <c r="P54801" s="3337"/>
    </row>
    <row r="54802" spans="7:16" s="1634" customFormat="1">
      <c r="G54802" s="3336"/>
      <c r="P54802" s="3337"/>
    </row>
    <row r="54803" spans="7:16" s="1634" customFormat="1">
      <c r="G54803" s="3336"/>
      <c r="P54803" s="3337"/>
    </row>
    <row r="54804" spans="7:16" s="1634" customFormat="1">
      <c r="G54804" s="3336"/>
      <c r="P54804" s="3337"/>
    </row>
    <row r="54805" spans="7:16" s="1634" customFormat="1">
      <c r="G54805" s="3336"/>
      <c r="P54805" s="3337"/>
    </row>
    <row r="54806" spans="7:16" s="1634" customFormat="1">
      <c r="G54806" s="3336"/>
      <c r="P54806" s="3337"/>
    </row>
    <row r="54807" spans="7:16" s="1634" customFormat="1">
      <c r="G54807" s="3336"/>
      <c r="P54807" s="3337"/>
    </row>
    <row r="54808" spans="7:16" s="1634" customFormat="1">
      <c r="G54808" s="3336"/>
      <c r="P54808" s="3337"/>
    </row>
    <row r="54809" spans="7:16" s="1634" customFormat="1">
      <c r="G54809" s="3336"/>
      <c r="P54809" s="3337"/>
    </row>
    <row r="54810" spans="7:16" s="1634" customFormat="1">
      <c r="G54810" s="3336"/>
      <c r="P54810" s="3337"/>
    </row>
    <row r="54811" spans="7:16" s="1634" customFormat="1">
      <c r="G54811" s="3336"/>
      <c r="P54811" s="3337"/>
    </row>
    <row r="54812" spans="7:16" s="1634" customFormat="1">
      <c r="G54812" s="3336"/>
      <c r="P54812" s="3337"/>
    </row>
    <row r="54813" spans="7:16" s="1634" customFormat="1">
      <c r="G54813" s="3336"/>
      <c r="P54813" s="3337"/>
    </row>
    <row r="54814" spans="7:16" s="1634" customFormat="1">
      <c r="G54814" s="3336"/>
      <c r="P54814" s="3337"/>
    </row>
    <row r="54815" spans="7:16" s="1634" customFormat="1">
      <c r="G54815" s="3336"/>
      <c r="P54815" s="3337"/>
    </row>
    <row r="54816" spans="7:16" s="1634" customFormat="1">
      <c r="G54816" s="3336"/>
      <c r="P54816" s="3337"/>
    </row>
    <row r="54817" spans="7:16" s="1634" customFormat="1">
      <c r="G54817" s="3336"/>
      <c r="P54817" s="3337"/>
    </row>
    <row r="54818" spans="7:16" s="1634" customFormat="1">
      <c r="G54818" s="3336"/>
      <c r="P54818" s="3337"/>
    </row>
    <row r="54819" spans="7:16" s="1634" customFormat="1">
      <c r="G54819" s="3336"/>
      <c r="P54819" s="3337"/>
    </row>
    <row r="54820" spans="7:16" s="1634" customFormat="1">
      <c r="G54820" s="3336"/>
      <c r="P54820" s="3337"/>
    </row>
    <row r="54821" spans="7:16" s="1634" customFormat="1">
      <c r="G54821" s="3336"/>
      <c r="P54821" s="3337"/>
    </row>
    <row r="54822" spans="7:16" s="1634" customFormat="1">
      <c r="G54822" s="3336"/>
      <c r="P54822" s="3337"/>
    </row>
    <row r="54823" spans="7:16" s="1634" customFormat="1">
      <c r="G54823" s="3336"/>
      <c r="P54823" s="3337"/>
    </row>
    <row r="54824" spans="7:16" s="1634" customFormat="1">
      <c r="G54824" s="3336"/>
      <c r="P54824" s="3337"/>
    </row>
    <row r="54825" spans="7:16" s="1634" customFormat="1">
      <c r="G54825" s="3336"/>
      <c r="P54825" s="3337"/>
    </row>
    <row r="54826" spans="7:16" s="1634" customFormat="1">
      <c r="G54826" s="3336"/>
      <c r="P54826" s="3337"/>
    </row>
    <row r="54827" spans="7:16" s="1634" customFormat="1">
      <c r="G54827" s="3336"/>
      <c r="P54827" s="3337"/>
    </row>
    <row r="54828" spans="7:16" s="1634" customFormat="1">
      <c r="G54828" s="3336"/>
      <c r="P54828" s="3337"/>
    </row>
    <row r="54829" spans="7:16" s="1634" customFormat="1">
      <c r="G54829" s="3336"/>
      <c r="P54829" s="3337"/>
    </row>
    <row r="54830" spans="7:16" s="1634" customFormat="1">
      <c r="G54830" s="3336"/>
      <c r="P54830" s="3337"/>
    </row>
    <row r="54831" spans="7:16" s="1634" customFormat="1">
      <c r="G54831" s="3336"/>
      <c r="P54831" s="3337"/>
    </row>
    <row r="54832" spans="7:16" s="1634" customFormat="1">
      <c r="G54832" s="3336"/>
      <c r="P54832" s="3337"/>
    </row>
    <row r="54833" spans="7:16" s="1634" customFormat="1">
      <c r="G54833" s="3336"/>
      <c r="P54833" s="3337"/>
    </row>
    <row r="54834" spans="7:16" s="1634" customFormat="1">
      <c r="G54834" s="3336"/>
      <c r="P54834" s="3337"/>
    </row>
    <row r="54835" spans="7:16" s="1634" customFormat="1">
      <c r="G54835" s="3336"/>
      <c r="P54835" s="3337"/>
    </row>
    <row r="54836" spans="7:16" s="1634" customFormat="1">
      <c r="G54836" s="3336"/>
      <c r="P54836" s="3337"/>
    </row>
    <row r="54837" spans="7:16" s="1634" customFormat="1">
      <c r="G54837" s="3336"/>
      <c r="P54837" s="3337"/>
    </row>
    <row r="54838" spans="7:16" s="1634" customFormat="1">
      <c r="G54838" s="3336"/>
      <c r="P54838" s="3337"/>
    </row>
    <row r="54839" spans="7:16" s="1634" customFormat="1">
      <c r="G54839" s="3336"/>
      <c r="P54839" s="3337"/>
    </row>
    <row r="54840" spans="7:16" s="1634" customFormat="1">
      <c r="G54840" s="3336"/>
      <c r="P54840" s="3337"/>
    </row>
    <row r="54841" spans="7:16" s="1634" customFormat="1">
      <c r="G54841" s="3336"/>
      <c r="P54841" s="3337"/>
    </row>
    <row r="54842" spans="7:16" s="1634" customFormat="1">
      <c r="G54842" s="3336"/>
      <c r="P54842" s="3337"/>
    </row>
    <row r="54843" spans="7:16" s="1634" customFormat="1">
      <c r="G54843" s="3336"/>
      <c r="P54843" s="3337"/>
    </row>
    <row r="54844" spans="7:16" s="1634" customFormat="1">
      <c r="G54844" s="3336"/>
      <c r="P54844" s="3337"/>
    </row>
    <row r="54845" spans="7:16" s="1634" customFormat="1">
      <c r="G54845" s="3336"/>
      <c r="P54845" s="3337"/>
    </row>
    <row r="54846" spans="7:16" s="1634" customFormat="1">
      <c r="G54846" s="3336"/>
      <c r="P54846" s="3337"/>
    </row>
    <row r="54847" spans="7:16" s="1634" customFormat="1">
      <c r="G54847" s="3336"/>
      <c r="P54847" s="3337"/>
    </row>
    <row r="54848" spans="7:16" s="1634" customFormat="1">
      <c r="G54848" s="3336"/>
      <c r="P54848" s="3337"/>
    </row>
    <row r="54849" spans="7:16" s="1634" customFormat="1">
      <c r="G54849" s="3336"/>
      <c r="P54849" s="3337"/>
    </row>
    <row r="54850" spans="7:16" s="1634" customFormat="1">
      <c r="G54850" s="3336"/>
      <c r="P54850" s="3337"/>
    </row>
    <row r="54851" spans="7:16" s="1634" customFormat="1">
      <c r="G54851" s="3336"/>
      <c r="P54851" s="3337"/>
    </row>
    <row r="54852" spans="7:16" s="1634" customFormat="1">
      <c r="G54852" s="3336"/>
      <c r="P54852" s="3337"/>
    </row>
    <row r="54853" spans="7:16" s="1634" customFormat="1">
      <c r="G54853" s="3336"/>
      <c r="P54853" s="3337"/>
    </row>
    <row r="54854" spans="7:16" s="1634" customFormat="1">
      <c r="G54854" s="3336"/>
      <c r="P54854" s="3337"/>
    </row>
    <row r="54855" spans="7:16" s="1634" customFormat="1">
      <c r="G54855" s="3336"/>
      <c r="P54855" s="3337"/>
    </row>
    <row r="54856" spans="7:16" s="1634" customFormat="1">
      <c r="G54856" s="3336"/>
      <c r="P54856" s="3337"/>
    </row>
    <row r="54857" spans="7:16" s="1634" customFormat="1">
      <c r="G54857" s="3336"/>
      <c r="P54857" s="3337"/>
    </row>
    <row r="54858" spans="7:16" s="1634" customFormat="1">
      <c r="G54858" s="3336"/>
      <c r="P54858" s="3337"/>
    </row>
    <row r="54859" spans="7:16" s="1634" customFormat="1">
      <c r="G54859" s="3336"/>
      <c r="P54859" s="3337"/>
    </row>
    <row r="54860" spans="7:16" s="1634" customFormat="1">
      <c r="G54860" s="3336"/>
      <c r="P54860" s="3337"/>
    </row>
    <row r="54861" spans="7:16" s="1634" customFormat="1">
      <c r="G54861" s="3336"/>
      <c r="P54861" s="3337"/>
    </row>
    <row r="54862" spans="7:16" s="1634" customFormat="1">
      <c r="G54862" s="3336"/>
      <c r="P54862" s="3337"/>
    </row>
    <row r="54863" spans="7:16" s="1634" customFormat="1">
      <c r="G54863" s="3336"/>
      <c r="P54863" s="3337"/>
    </row>
    <row r="54864" spans="7:16" s="1634" customFormat="1">
      <c r="G54864" s="3336"/>
      <c r="P54864" s="3337"/>
    </row>
    <row r="54865" spans="7:16" s="1634" customFormat="1">
      <c r="G54865" s="3336"/>
      <c r="P54865" s="3337"/>
    </row>
    <row r="54866" spans="7:16" s="1634" customFormat="1">
      <c r="G54866" s="3336"/>
      <c r="P54866" s="3337"/>
    </row>
    <row r="54867" spans="7:16" s="1634" customFormat="1">
      <c r="G54867" s="3336"/>
      <c r="P54867" s="3337"/>
    </row>
    <row r="54868" spans="7:16" s="1634" customFormat="1">
      <c r="G54868" s="3336"/>
      <c r="P54868" s="3337"/>
    </row>
    <row r="54869" spans="7:16" s="1634" customFormat="1">
      <c r="G54869" s="3336"/>
      <c r="P54869" s="3337"/>
    </row>
    <row r="54870" spans="7:16" s="1634" customFormat="1">
      <c r="G54870" s="3336"/>
      <c r="P54870" s="3337"/>
    </row>
    <row r="54871" spans="7:16" s="1634" customFormat="1">
      <c r="G54871" s="3336"/>
      <c r="P54871" s="3337"/>
    </row>
    <row r="54872" spans="7:16" s="1634" customFormat="1">
      <c r="G54872" s="3336"/>
      <c r="P54872" s="3337"/>
    </row>
    <row r="54873" spans="7:16" s="1634" customFormat="1">
      <c r="G54873" s="3336"/>
      <c r="P54873" s="3337"/>
    </row>
    <row r="54874" spans="7:16" s="1634" customFormat="1">
      <c r="G54874" s="3336"/>
      <c r="P54874" s="3337"/>
    </row>
    <row r="54875" spans="7:16" s="1634" customFormat="1">
      <c r="G54875" s="3336"/>
      <c r="P54875" s="3337"/>
    </row>
    <row r="54876" spans="7:16" s="1634" customFormat="1">
      <c r="G54876" s="3336"/>
      <c r="P54876" s="3337"/>
    </row>
    <row r="54877" spans="7:16" s="1634" customFormat="1">
      <c r="G54877" s="3336"/>
      <c r="P54877" s="3337"/>
    </row>
    <row r="54878" spans="7:16" s="1634" customFormat="1">
      <c r="G54878" s="3336"/>
      <c r="P54878" s="3337"/>
    </row>
    <row r="54879" spans="7:16" s="1634" customFormat="1">
      <c r="G54879" s="3336"/>
      <c r="P54879" s="3337"/>
    </row>
    <row r="54880" spans="7:16" s="1634" customFormat="1">
      <c r="G54880" s="3336"/>
      <c r="P54880" s="3337"/>
    </row>
    <row r="54881" spans="7:16" s="1634" customFormat="1">
      <c r="G54881" s="3336"/>
      <c r="P54881" s="3337"/>
    </row>
    <row r="54882" spans="7:16" s="1634" customFormat="1">
      <c r="G54882" s="3336"/>
      <c r="P54882" s="3337"/>
    </row>
    <row r="54883" spans="7:16" s="1634" customFormat="1">
      <c r="G54883" s="3336"/>
      <c r="P54883" s="3337"/>
    </row>
    <row r="54884" spans="7:16" s="1634" customFormat="1">
      <c r="G54884" s="3336"/>
      <c r="P54884" s="3337"/>
    </row>
    <row r="54885" spans="7:16" s="1634" customFormat="1">
      <c r="G54885" s="3336"/>
      <c r="P54885" s="3337"/>
    </row>
    <row r="54886" spans="7:16" s="1634" customFormat="1">
      <c r="G54886" s="3336"/>
      <c r="P54886" s="3337"/>
    </row>
    <row r="54887" spans="7:16" s="1634" customFormat="1">
      <c r="G54887" s="3336"/>
      <c r="P54887" s="3337"/>
    </row>
    <row r="54888" spans="7:16" s="1634" customFormat="1">
      <c r="G54888" s="3336"/>
      <c r="P54888" s="3337"/>
    </row>
    <row r="54889" spans="7:16" s="1634" customFormat="1">
      <c r="G54889" s="3336"/>
      <c r="P54889" s="3337"/>
    </row>
    <row r="54890" spans="7:16" s="1634" customFormat="1">
      <c r="G54890" s="3336"/>
      <c r="P54890" s="3337"/>
    </row>
    <row r="54891" spans="7:16" s="1634" customFormat="1">
      <c r="G54891" s="3336"/>
      <c r="P54891" s="3337"/>
    </row>
    <row r="54892" spans="7:16" s="1634" customFormat="1">
      <c r="G54892" s="3336"/>
      <c r="P54892" s="3337"/>
    </row>
    <row r="54893" spans="7:16" s="1634" customFormat="1">
      <c r="G54893" s="3336"/>
      <c r="P54893" s="3337"/>
    </row>
    <row r="54894" spans="7:16" s="1634" customFormat="1">
      <c r="G54894" s="3336"/>
      <c r="P54894" s="3337"/>
    </row>
    <row r="54895" spans="7:16" s="1634" customFormat="1">
      <c r="G54895" s="3336"/>
      <c r="P54895" s="3337"/>
    </row>
    <row r="54896" spans="7:16" s="1634" customFormat="1">
      <c r="G54896" s="3336"/>
      <c r="P54896" s="3337"/>
    </row>
    <row r="54897" spans="7:16" s="1634" customFormat="1">
      <c r="G54897" s="3336"/>
      <c r="P54897" s="3337"/>
    </row>
    <row r="54898" spans="7:16" s="1634" customFormat="1">
      <c r="G54898" s="3336"/>
      <c r="P54898" s="3337"/>
    </row>
    <row r="54899" spans="7:16" s="1634" customFormat="1">
      <c r="G54899" s="3336"/>
      <c r="P54899" s="3337"/>
    </row>
    <row r="54900" spans="7:16" s="1634" customFormat="1">
      <c r="G54900" s="3336"/>
      <c r="P54900" s="3337"/>
    </row>
    <row r="54901" spans="7:16" s="1634" customFormat="1">
      <c r="G54901" s="3336"/>
      <c r="P54901" s="3337"/>
    </row>
    <row r="54902" spans="7:16" s="1634" customFormat="1">
      <c r="G54902" s="3336"/>
      <c r="P54902" s="3337"/>
    </row>
    <row r="54903" spans="7:16" s="1634" customFormat="1">
      <c r="G54903" s="3336"/>
      <c r="P54903" s="3337"/>
    </row>
    <row r="54904" spans="7:16" s="1634" customFormat="1">
      <c r="G54904" s="3336"/>
      <c r="P54904" s="3337"/>
    </row>
    <row r="54905" spans="7:16" s="1634" customFormat="1">
      <c r="G54905" s="3336"/>
      <c r="P54905" s="3337"/>
    </row>
    <row r="54906" spans="7:16" s="1634" customFormat="1">
      <c r="G54906" s="3336"/>
      <c r="P54906" s="3337"/>
    </row>
    <row r="54907" spans="7:16" s="1634" customFormat="1">
      <c r="G54907" s="3336"/>
      <c r="P54907" s="3337"/>
    </row>
    <row r="54908" spans="7:16" s="1634" customFormat="1">
      <c r="G54908" s="3336"/>
      <c r="P54908" s="3337"/>
    </row>
    <row r="54909" spans="7:16" s="1634" customFormat="1">
      <c r="G54909" s="3336"/>
      <c r="P54909" s="3337"/>
    </row>
    <row r="54910" spans="7:16" s="1634" customFormat="1">
      <c r="G54910" s="3336"/>
      <c r="P54910" s="3337"/>
    </row>
    <row r="54911" spans="7:16" s="1634" customFormat="1">
      <c r="G54911" s="3336"/>
      <c r="P54911" s="3337"/>
    </row>
    <row r="54912" spans="7:16" s="1634" customFormat="1">
      <c r="G54912" s="3336"/>
      <c r="P54912" s="3337"/>
    </row>
    <row r="54913" spans="7:16" s="1634" customFormat="1">
      <c r="G54913" s="3336"/>
      <c r="P54913" s="3337"/>
    </row>
    <row r="54914" spans="7:16" s="1634" customFormat="1">
      <c r="G54914" s="3336"/>
      <c r="P54914" s="3337"/>
    </row>
    <row r="54915" spans="7:16" s="1634" customFormat="1">
      <c r="G54915" s="3336"/>
      <c r="P54915" s="3337"/>
    </row>
    <row r="54916" spans="7:16" s="1634" customFormat="1">
      <c r="G54916" s="3336"/>
      <c r="P54916" s="3337"/>
    </row>
    <row r="54917" spans="7:16" s="1634" customFormat="1">
      <c r="G54917" s="3336"/>
      <c r="P54917" s="3337"/>
    </row>
    <row r="54918" spans="7:16" s="1634" customFormat="1">
      <c r="G54918" s="3336"/>
      <c r="P54918" s="3337"/>
    </row>
    <row r="54919" spans="7:16" s="1634" customFormat="1">
      <c r="G54919" s="3336"/>
      <c r="P54919" s="3337"/>
    </row>
    <row r="54920" spans="7:16" s="1634" customFormat="1">
      <c r="G54920" s="3336"/>
      <c r="P54920" s="3337"/>
    </row>
    <row r="54921" spans="7:16" s="1634" customFormat="1">
      <c r="G54921" s="3336"/>
      <c r="P54921" s="3337"/>
    </row>
    <row r="54922" spans="7:16" s="1634" customFormat="1">
      <c r="G54922" s="3336"/>
      <c r="P54922" s="3337"/>
    </row>
    <row r="54923" spans="7:16" s="1634" customFormat="1">
      <c r="G54923" s="3336"/>
      <c r="P54923" s="3337"/>
    </row>
    <row r="54924" spans="7:16" s="1634" customFormat="1">
      <c r="G54924" s="3336"/>
      <c r="P54924" s="3337"/>
    </row>
    <row r="54925" spans="7:16" s="1634" customFormat="1">
      <c r="G54925" s="3336"/>
      <c r="P54925" s="3337"/>
    </row>
    <row r="54926" spans="7:16" s="1634" customFormat="1">
      <c r="G54926" s="3336"/>
      <c r="P54926" s="3337"/>
    </row>
    <row r="54927" spans="7:16" s="1634" customFormat="1">
      <c r="G54927" s="3336"/>
      <c r="P54927" s="3337"/>
    </row>
    <row r="54928" spans="7:16" s="1634" customFormat="1">
      <c r="G54928" s="3336"/>
      <c r="P54928" s="3337"/>
    </row>
    <row r="54929" spans="7:16" s="1634" customFormat="1">
      <c r="G54929" s="3336"/>
      <c r="P54929" s="3337"/>
    </row>
    <row r="54930" spans="7:16" s="1634" customFormat="1">
      <c r="G54930" s="3336"/>
      <c r="P54930" s="3337"/>
    </row>
    <row r="54931" spans="7:16" s="1634" customFormat="1">
      <c r="G54931" s="3336"/>
      <c r="P54931" s="3337"/>
    </row>
    <row r="54932" spans="7:16" s="1634" customFormat="1">
      <c r="G54932" s="3336"/>
      <c r="P54932" s="3337"/>
    </row>
    <row r="54933" spans="7:16" s="1634" customFormat="1">
      <c r="G54933" s="3336"/>
      <c r="P54933" s="3337"/>
    </row>
    <row r="54934" spans="7:16" s="1634" customFormat="1">
      <c r="G54934" s="3336"/>
      <c r="P54934" s="3337"/>
    </row>
    <row r="54935" spans="7:16" s="1634" customFormat="1">
      <c r="G54935" s="3336"/>
      <c r="P54935" s="3337"/>
    </row>
    <row r="54936" spans="7:16" s="1634" customFormat="1">
      <c r="G54936" s="3336"/>
      <c r="P54936" s="3337"/>
    </row>
    <row r="54937" spans="7:16" s="1634" customFormat="1">
      <c r="G54937" s="3336"/>
      <c r="P54937" s="3337"/>
    </row>
    <row r="54938" spans="7:16" s="1634" customFormat="1">
      <c r="G54938" s="3336"/>
      <c r="P54938" s="3337"/>
    </row>
    <row r="54939" spans="7:16" s="1634" customFormat="1">
      <c r="G54939" s="3336"/>
      <c r="P54939" s="3337"/>
    </row>
    <row r="54940" spans="7:16" s="1634" customFormat="1">
      <c r="G54940" s="3336"/>
      <c r="P54940" s="3337"/>
    </row>
    <row r="54941" spans="7:16" s="1634" customFormat="1">
      <c r="G54941" s="3336"/>
      <c r="P54941" s="3337"/>
    </row>
    <row r="54942" spans="7:16" s="1634" customFormat="1">
      <c r="G54942" s="3336"/>
      <c r="P54942" s="3337"/>
    </row>
    <row r="54943" spans="7:16" s="1634" customFormat="1">
      <c r="G54943" s="3336"/>
      <c r="P54943" s="3337"/>
    </row>
    <row r="54944" spans="7:16" s="1634" customFormat="1">
      <c r="G54944" s="3336"/>
      <c r="P54944" s="3337"/>
    </row>
    <row r="54945" spans="7:16" s="1634" customFormat="1">
      <c r="G54945" s="3336"/>
      <c r="P54945" s="3337"/>
    </row>
    <row r="54946" spans="7:16" s="1634" customFormat="1">
      <c r="G54946" s="3336"/>
      <c r="P54946" s="3337"/>
    </row>
    <row r="54947" spans="7:16" s="1634" customFormat="1">
      <c r="G54947" s="3336"/>
      <c r="P54947" s="3337"/>
    </row>
    <row r="54948" spans="7:16" s="1634" customFormat="1">
      <c r="G54948" s="3336"/>
      <c r="P54948" s="3337"/>
    </row>
    <row r="54949" spans="7:16" s="1634" customFormat="1">
      <c r="G54949" s="3336"/>
      <c r="P54949" s="3337"/>
    </row>
    <row r="54950" spans="7:16" s="1634" customFormat="1">
      <c r="G54950" s="3336"/>
      <c r="P54950" s="3337"/>
    </row>
    <row r="54951" spans="7:16" s="1634" customFormat="1">
      <c r="G54951" s="3336"/>
      <c r="P54951" s="3337"/>
    </row>
    <row r="54952" spans="7:16" s="1634" customFormat="1">
      <c r="G54952" s="3336"/>
      <c r="P54952" s="3337"/>
    </row>
    <row r="54953" spans="7:16" s="1634" customFormat="1">
      <c r="G54953" s="3336"/>
      <c r="P54953" s="3337"/>
    </row>
    <row r="54954" spans="7:16" s="1634" customFormat="1">
      <c r="G54954" s="3336"/>
      <c r="P54954" s="3337"/>
    </row>
    <row r="54955" spans="7:16" s="1634" customFormat="1">
      <c r="G54955" s="3336"/>
      <c r="P54955" s="3337"/>
    </row>
    <row r="54956" spans="7:16" s="1634" customFormat="1">
      <c r="G54956" s="3336"/>
      <c r="P54956" s="3337"/>
    </row>
    <row r="54957" spans="7:16" s="1634" customFormat="1">
      <c r="G54957" s="3336"/>
      <c r="P54957" s="3337"/>
    </row>
    <row r="54958" spans="7:16" s="1634" customFormat="1">
      <c r="G54958" s="3336"/>
      <c r="P54958" s="3337"/>
    </row>
    <row r="54959" spans="7:16" s="1634" customFormat="1">
      <c r="G54959" s="3336"/>
      <c r="P54959" s="3337"/>
    </row>
    <row r="54960" spans="7:16" s="1634" customFormat="1">
      <c r="G54960" s="3336"/>
      <c r="P54960" s="3337"/>
    </row>
    <row r="54961" spans="7:16" s="1634" customFormat="1">
      <c r="G54961" s="3336"/>
      <c r="P54961" s="3337"/>
    </row>
    <row r="54962" spans="7:16" s="1634" customFormat="1">
      <c r="G54962" s="3336"/>
      <c r="P54962" s="3337"/>
    </row>
    <row r="54963" spans="7:16" s="1634" customFormat="1">
      <c r="G54963" s="3336"/>
      <c r="P54963" s="3337"/>
    </row>
    <row r="54964" spans="7:16" s="1634" customFormat="1">
      <c r="G54964" s="3336"/>
      <c r="P54964" s="3337"/>
    </row>
    <row r="54965" spans="7:16" s="1634" customFormat="1">
      <c r="G54965" s="3336"/>
      <c r="P54965" s="3337"/>
    </row>
    <row r="54966" spans="7:16" s="1634" customFormat="1">
      <c r="G54966" s="3336"/>
      <c r="P54966" s="3337"/>
    </row>
    <row r="54967" spans="7:16" s="1634" customFormat="1">
      <c r="G54967" s="3336"/>
      <c r="P54967" s="3337"/>
    </row>
    <row r="54968" spans="7:16" s="1634" customFormat="1">
      <c r="G54968" s="3336"/>
      <c r="P54968" s="3337"/>
    </row>
    <row r="54969" spans="7:16" s="1634" customFormat="1">
      <c r="G54969" s="3336"/>
      <c r="P54969" s="3337"/>
    </row>
    <row r="54970" spans="7:16" s="1634" customFormat="1">
      <c r="G54970" s="3336"/>
      <c r="P54970" s="3337"/>
    </row>
    <row r="54971" spans="7:16" s="1634" customFormat="1">
      <c r="G54971" s="3336"/>
      <c r="P54971" s="3337"/>
    </row>
    <row r="54972" spans="7:16" s="1634" customFormat="1">
      <c r="G54972" s="3336"/>
      <c r="P54972" s="3337"/>
    </row>
    <row r="54973" spans="7:16" s="1634" customFormat="1">
      <c r="G54973" s="3336"/>
      <c r="P54973" s="3337"/>
    </row>
    <row r="54974" spans="7:16" s="1634" customFormat="1">
      <c r="G54974" s="3336"/>
      <c r="P54974" s="3337"/>
    </row>
    <row r="54975" spans="7:16" s="1634" customFormat="1">
      <c r="G54975" s="3336"/>
      <c r="P54975" s="3337"/>
    </row>
    <row r="54976" spans="7:16" s="1634" customFormat="1">
      <c r="G54976" s="3336"/>
      <c r="P54976" s="3337"/>
    </row>
    <row r="54977" spans="7:16" s="1634" customFormat="1">
      <c r="G54977" s="3336"/>
      <c r="P54977" s="3337"/>
    </row>
    <row r="54978" spans="7:16" s="1634" customFormat="1">
      <c r="G54978" s="3336"/>
      <c r="P54978" s="3337"/>
    </row>
    <row r="54979" spans="7:16" s="1634" customFormat="1">
      <c r="G54979" s="3336"/>
      <c r="P54979" s="3337"/>
    </row>
    <row r="54980" spans="7:16" s="1634" customFormat="1">
      <c r="G54980" s="3336"/>
      <c r="P54980" s="3337"/>
    </row>
    <row r="54981" spans="7:16" s="1634" customFormat="1">
      <c r="G54981" s="3336"/>
      <c r="P54981" s="3337"/>
    </row>
    <row r="54982" spans="7:16" s="1634" customFormat="1">
      <c r="G54982" s="3336"/>
      <c r="P54982" s="3337"/>
    </row>
    <row r="54983" spans="7:16" s="1634" customFormat="1">
      <c r="G54983" s="3336"/>
      <c r="P54983" s="3337"/>
    </row>
    <row r="54984" spans="7:16" s="1634" customFormat="1">
      <c r="G54984" s="3336"/>
      <c r="P54984" s="3337"/>
    </row>
    <row r="54985" spans="7:16" s="1634" customFormat="1">
      <c r="G54985" s="3336"/>
      <c r="P54985" s="3337"/>
    </row>
    <row r="54986" spans="7:16" s="1634" customFormat="1">
      <c r="G54986" s="3336"/>
      <c r="P54986" s="3337"/>
    </row>
    <row r="54987" spans="7:16" s="1634" customFormat="1">
      <c r="G54987" s="3336"/>
      <c r="P54987" s="3337"/>
    </row>
    <row r="54988" spans="7:16" s="1634" customFormat="1">
      <c r="G54988" s="3336"/>
      <c r="P54988" s="3337"/>
    </row>
    <row r="54989" spans="7:16" s="1634" customFormat="1">
      <c r="G54989" s="3336"/>
      <c r="P54989" s="3337"/>
    </row>
    <row r="54990" spans="7:16" s="1634" customFormat="1">
      <c r="G54990" s="3336"/>
      <c r="P54990" s="3337"/>
    </row>
    <row r="54991" spans="7:16" s="1634" customFormat="1">
      <c r="G54991" s="3336"/>
      <c r="P54991" s="3337"/>
    </row>
    <row r="54992" spans="7:16" s="1634" customFormat="1">
      <c r="G54992" s="3336"/>
      <c r="P54992" s="3337"/>
    </row>
    <row r="54993" spans="7:16" s="1634" customFormat="1">
      <c r="G54993" s="3336"/>
      <c r="P54993" s="3337"/>
    </row>
    <row r="54994" spans="7:16" s="1634" customFormat="1">
      <c r="G54994" s="3336"/>
      <c r="P54994" s="3337"/>
    </row>
    <row r="54995" spans="7:16" s="1634" customFormat="1">
      <c r="G54995" s="3336"/>
      <c r="P54995" s="3337"/>
    </row>
    <row r="54996" spans="7:16" s="1634" customFormat="1">
      <c r="G54996" s="3336"/>
      <c r="P54996" s="3337"/>
    </row>
    <row r="54997" spans="7:16" s="1634" customFormat="1">
      <c r="G54997" s="3336"/>
      <c r="P54997" s="3337"/>
    </row>
    <row r="54998" spans="7:16" s="1634" customFormat="1">
      <c r="G54998" s="3336"/>
      <c r="P54998" s="3337"/>
    </row>
    <row r="54999" spans="7:16" s="1634" customFormat="1">
      <c r="G54999" s="3336"/>
      <c r="P54999" s="3337"/>
    </row>
    <row r="55000" spans="7:16" s="1634" customFormat="1">
      <c r="G55000" s="3336"/>
      <c r="P55000" s="3337"/>
    </row>
    <row r="55001" spans="7:16" s="1634" customFormat="1">
      <c r="G55001" s="3336"/>
      <c r="P55001" s="3337"/>
    </row>
    <row r="55002" spans="7:16" s="1634" customFormat="1">
      <c r="G55002" s="3336"/>
      <c r="P55002" s="3337"/>
    </row>
    <row r="55003" spans="7:16" s="1634" customFormat="1">
      <c r="G55003" s="3336"/>
      <c r="P55003" s="3337"/>
    </row>
    <row r="55004" spans="7:16" s="1634" customFormat="1">
      <c r="G55004" s="3336"/>
      <c r="P55004" s="3337"/>
    </row>
    <row r="55005" spans="7:16" s="1634" customFormat="1">
      <c r="G55005" s="3336"/>
      <c r="P55005" s="3337"/>
    </row>
    <row r="55006" spans="7:16" s="1634" customFormat="1">
      <c r="G55006" s="3336"/>
      <c r="P55006" s="3337"/>
    </row>
    <row r="55007" spans="7:16" s="1634" customFormat="1">
      <c r="G55007" s="3336"/>
      <c r="P55007" s="3337"/>
    </row>
    <row r="55008" spans="7:16" s="1634" customFormat="1">
      <c r="G55008" s="3336"/>
      <c r="P55008" s="3337"/>
    </row>
    <row r="55009" spans="7:16" s="1634" customFormat="1">
      <c r="G55009" s="3336"/>
      <c r="P55009" s="3337"/>
    </row>
    <row r="55010" spans="7:16" s="1634" customFormat="1">
      <c r="G55010" s="3336"/>
      <c r="P55010" s="3337"/>
    </row>
    <row r="55011" spans="7:16" s="1634" customFormat="1">
      <c r="G55011" s="3336"/>
      <c r="P55011" s="3337"/>
    </row>
    <row r="55012" spans="7:16" s="1634" customFormat="1">
      <c r="G55012" s="3336"/>
      <c r="P55012" s="3337"/>
    </row>
    <row r="55013" spans="7:16" s="1634" customFormat="1">
      <c r="G55013" s="3336"/>
      <c r="P55013" s="3337"/>
    </row>
    <row r="55014" spans="7:16" s="1634" customFormat="1">
      <c r="G55014" s="3336"/>
      <c r="P55014" s="3337"/>
    </row>
    <row r="55015" spans="7:16" s="1634" customFormat="1">
      <c r="G55015" s="3336"/>
      <c r="P55015" s="3337"/>
    </row>
    <row r="55016" spans="7:16" s="1634" customFormat="1">
      <c r="G55016" s="3336"/>
      <c r="P55016" s="3337"/>
    </row>
    <row r="55017" spans="7:16" s="1634" customFormat="1">
      <c r="G55017" s="3336"/>
      <c r="P55017" s="3337"/>
    </row>
    <row r="55018" spans="7:16" s="1634" customFormat="1">
      <c r="G55018" s="3336"/>
      <c r="P55018" s="3337"/>
    </row>
    <row r="55019" spans="7:16" s="1634" customFormat="1">
      <c r="G55019" s="3336"/>
      <c r="P55019" s="3337"/>
    </row>
    <row r="55020" spans="7:16" s="1634" customFormat="1">
      <c r="G55020" s="3336"/>
      <c r="P55020" s="3337"/>
    </row>
    <row r="55021" spans="7:16" s="1634" customFormat="1">
      <c r="G55021" s="3336"/>
      <c r="P55021" s="3337"/>
    </row>
    <row r="55022" spans="7:16" s="1634" customFormat="1">
      <c r="G55022" s="3336"/>
      <c r="P55022" s="3337"/>
    </row>
    <row r="55023" spans="7:16" s="1634" customFormat="1">
      <c r="G55023" s="3336"/>
      <c r="P55023" s="3337"/>
    </row>
    <row r="55024" spans="7:16" s="1634" customFormat="1">
      <c r="G55024" s="3336"/>
      <c r="P55024" s="3337"/>
    </row>
    <row r="55025" spans="7:16" s="1634" customFormat="1">
      <c r="G55025" s="3336"/>
      <c r="P55025" s="3337"/>
    </row>
    <row r="55026" spans="7:16" s="1634" customFormat="1">
      <c r="G55026" s="3336"/>
      <c r="P55026" s="3337"/>
    </row>
    <row r="55027" spans="7:16" s="1634" customFormat="1">
      <c r="G55027" s="3336"/>
      <c r="P55027" s="3337"/>
    </row>
    <row r="55028" spans="7:16" s="1634" customFormat="1">
      <c r="G55028" s="3336"/>
      <c r="P55028" s="3337"/>
    </row>
    <row r="55029" spans="7:16" s="1634" customFormat="1">
      <c r="G55029" s="3336"/>
      <c r="P55029" s="3337"/>
    </row>
    <row r="55030" spans="7:16" s="1634" customFormat="1">
      <c r="G55030" s="3336"/>
      <c r="P55030" s="3337"/>
    </row>
    <row r="55031" spans="7:16" s="1634" customFormat="1">
      <c r="G55031" s="3336"/>
      <c r="P55031" s="3337"/>
    </row>
    <row r="55032" spans="7:16" s="1634" customFormat="1">
      <c r="G55032" s="3336"/>
      <c r="P55032" s="3337"/>
    </row>
    <row r="55033" spans="7:16" s="1634" customFormat="1">
      <c r="G55033" s="3336"/>
      <c r="P55033" s="3337"/>
    </row>
    <row r="55034" spans="7:16" s="1634" customFormat="1">
      <c r="G55034" s="3336"/>
      <c r="P55034" s="3337"/>
    </row>
    <row r="55035" spans="7:16" s="1634" customFormat="1">
      <c r="G55035" s="3336"/>
      <c r="P55035" s="3337"/>
    </row>
    <row r="55036" spans="7:16" s="1634" customFormat="1">
      <c r="G55036" s="3336"/>
      <c r="P55036" s="3337"/>
    </row>
    <row r="55037" spans="7:16" s="1634" customFormat="1">
      <c r="G55037" s="3336"/>
      <c r="P55037" s="3337"/>
    </row>
    <row r="55038" spans="7:16" s="1634" customFormat="1">
      <c r="G55038" s="3336"/>
      <c r="P55038" s="3337"/>
    </row>
    <row r="55039" spans="7:16" s="1634" customFormat="1">
      <c r="G55039" s="3336"/>
      <c r="P55039" s="3337"/>
    </row>
    <row r="55040" spans="7:16" s="1634" customFormat="1">
      <c r="G55040" s="3336"/>
      <c r="P55040" s="3337"/>
    </row>
    <row r="55041" spans="7:16" s="1634" customFormat="1">
      <c r="G55041" s="3336"/>
      <c r="P55041" s="3337"/>
    </row>
    <row r="55042" spans="7:16" s="1634" customFormat="1">
      <c r="G55042" s="3336"/>
      <c r="P55042" s="3337"/>
    </row>
    <row r="55043" spans="7:16" s="1634" customFormat="1">
      <c r="G55043" s="3336"/>
      <c r="P55043" s="3337"/>
    </row>
    <row r="55044" spans="7:16" s="1634" customFormat="1">
      <c r="G55044" s="3336"/>
      <c r="P55044" s="3337"/>
    </row>
    <row r="55045" spans="7:16" s="1634" customFormat="1">
      <c r="G55045" s="3336"/>
      <c r="P55045" s="3337"/>
    </row>
    <row r="55046" spans="7:16" s="1634" customFormat="1">
      <c r="G55046" s="3336"/>
      <c r="P55046" s="3337"/>
    </row>
    <row r="55047" spans="7:16" s="1634" customFormat="1">
      <c r="G55047" s="3336"/>
      <c r="P55047" s="3337"/>
    </row>
    <row r="55048" spans="7:16" s="1634" customFormat="1">
      <c r="G55048" s="3336"/>
      <c r="P55048" s="3337"/>
    </row>
    <row r="55049" spans="7:16" s="1634" customFormat="1">
      <c r="G55049" s="3336"/>
      <c r="P55049" s="3337"/>
    </row>
    <row r="55050" spans="7:16" s="1634" customFormat="1">
      <c r="G55050" s="3336"/>
      <c r="P55050" s="3337"/>
    </row>
    <row r="55051" spans="7:16" s="1634" customFormat="1">
      <c r="G55051" s="3336"/>
      <c r="P55051" s="3337"/>
    </row>
    <row r="55052" spans="7:16" s="1634" customFormat="1">
      <c r="G55052" s="3336"/>
      <c r="P55052" s="3337"/>
    </row>
    <row r="55053" spans="7:16" s="1634" customFormat="1">
      <c r="G55053" s="3336"/>
      <c r="P55053" s="3337"/>
    </row>
    <row r="55054" spans="7:16" s="1634" customFormat="1">
      <c r="G55054" s="3336"/>
      <c r="P55054" s="3337"/>
    </row>
    <row r="55055" spans="7:16" s="1634" customFormat="1">
      <c r="G55055" s="3336"/>
      <c r="P55055" s="3337"/>
    </row>
    <row r="55056" spans="7:16" s="1634" customFormat="1">
      <c r="G55056" s="3336"/>
      <c r="P55056" s="3337"/>
    </row>
    <row r="55057" spans="7:16" s="1634" customFormat="1">
      <c r="G55057" s="3336"/>
      <c r="P55057" s="3337"/>
    </row>
    <row r="55058" spans="7:16" s="1634" customFormat="1">
      <c r="G55058" s="3336"/>
      <c r="P55058" s="3337"/>
    </row>
    <row r="55059" spans="7:16" s="1634" customFormat="1">
      <c r="G55059" s="3336"/>
      <c r="P55059" s="3337"/>
    </row>
    <row r="55060" spans="7:16" s="1634" customFormat="1">
      <c r="G55060" s="3336"/>
      <c r="P55060" s="3337"/>
    </row>
    <row r="55061" spans="7:16" s="1634" customFormat="1">
      <c r="G55061" s="3336"/>
      <c r="P55061" s="3337"/>
    </row>
    <row r="55062" spans="7:16" s="1634" customFormat="1">
      <c r="G55062" s="3336"/>
      <c r="P55062" s="3337"/>
    </row>
    <row r="55063" spans="7:16" s="1634" customFormat="1">
      <c r="G55063" s="3336"/>
      <c r="P55063" s="3337"/>
    </row>
    <row r="55064" spans="7:16" s="1634" customFormat="1">
      <c r="G55064" s="3336"/>
      <c r="P55064" s="3337"/>
    </row>
    <row r="55065" spans="7:16" s="1634" customFormat="1">
      <c r="G55065" s="3336"/>
      <c r="P55065" s="3337"/>
    </row>
    <row r="55066" spans="7:16" s="1634" customFormat="1">
      <c r="G55066" s="3336"/>
      <c r="P55066" s="3337"/>
    </row>
    <row r="55067" spans="7:16" s="1634" customFormat="1">
      <c r="G55067" s="3336"/>
      <c r="P55067" s="3337"/>
    </row>
    <row r="55068" spans="7:16" s="1634" customFormat="1">
      <c r="G55068" s="3336"/>
      <c r="P55068" s="3337"/>
    </row>
    <row r="55069" spans="7:16" s="1634" customFormat="1">
      <c r="G55069" s="3336"/>
      <c r="P55069" s="3337"/>
    </row>
    <row r="55070" spans="7:16" s="1634" customFormat="1">
      <c r="G55070" s="3336"/>
      <c r="P55070" s="3337"/>
    </row>
    <row r="55071" spans="7:16" s="1634" customFormat="1">
      <c r="G55071" s="3336"/>
      <c r="P55071" s="3337"/>
    </row>
    <row r="55072" spans="7:16" s="1634" customFormat="1">
      <c r="G55072" s="3336"/>
      <c r="P55072" s="3337"/>
    </row>
    <row r="55073" spans="7:16" s="1634" customFormat="1">
      <c r="G55073" s="3336"/>
      <c r="P55073" s="3337"/>
    </row>
    <row r="55074" spans="7:16" s="1634" customFormat="1">
      <c r="G55074" s="3336"/>
      <c r="P55074" s="3337"/>
    </row>
    <row r="55075" spans="7:16" s="1634" customFormat="1">
      <c r="G55075" s="3336"/>
      <c r="P55075" s="3337"/>
    </row>
    <row r="55076" spans="7:16" s="1634" customFormat="1">
      <c r="G55076" s="3336"/>
      <c r="P55076" s="3337"/>
    </row>
    <row r="55077" spans="7:16" s="1634" customFormat="1">
      <c r="G55077" s="3336"/>
      <c r="P55077" s="3337"/>
    </row>
    <row r="55078" spans="7:16" s="1634" customFormat="1">
      <c r="G55078" s="3336"/>
      <c r="P55078" s="3337"/>
    </row>
    <row r="55079" spans="7:16" s="1634" customFormat="1">
      <c r="G55079" s="3336"/>
      <c r="P55079" s="3337"/>
    </row>
    <row r="55080" spans="7:16" s="1634" customFormat="1">
      <c r="G55080" s="3336"/>
      <c r="P55080" s="3337"/>
    </row>
    <row r="55081" spans="7:16" s="1634" customFormat="1">
      <c r="G55081" s="3336"/>
      <c r="P55081" s="3337"/>
    </row>
    <row r="55082" spans="7:16" s="1634" customFormat="1">
      <c r="G55082" s="3336"/>
      <c r="P55082" s="3337"/>
    </row>
    <row r="55083" spans="7:16" s="1634" customFormat="1">
      <c r="G55083" s="3336"/>
      <c r="P55083" s="3337"/>
    </row>
    <row r="55084" spans="7:16" s="1634" customFormat="1">
      <c r="G55084" s="3336"/>
      <c r="P55084" s="3337"/>
    </row>
    <row r="55085" spans="7:16" s="1634" customFormat="1">
      <c r="G55085" s="3336"/>
      <c r="P55085" s="3337"/>
    </row>
    <row r="55086" spans="7:16" s="1634" customFormat="1">
      <c r="G55086" s="3336"/>
      <c r="P55086" s="3337"/>
    </row>
    <row r="55087" spans="7:16" s="1634" customFormat="1">
      <c r="G55087" s="3336"/>
      <c r="P55087" s="3337"/>
    </row>
    <row r="55088" spans="7:16" s="1634" customFormat="1">
      <c r="G55088" s="3336"/>
      <c r="P55088" s="3337"/>
    </row>
    <row r="55089" spans="7:16" s="1634" customFormat="1">
      <c r="G55089" s="3336"/>
      <c r="P55089" s="3337"/>
    </row>
    <row r="55090" spans="7:16" s="1634" customFormat="1">
      <c r="G55090" s="3336"/>
      <c r="P55090" s="3337"/>
    </row>
    <row r="55091" spans="7:16" s="1634" customFormat="1">
      <c r="G55091" s="3336"/>
      <c r="P55091" s="3337"/>
    </row>
    <row r="55092" spans="7:16" s="1634" customFormat="1">
      <c r="G55092" s="3336"/>
      <c r="P55092" s="3337"/>
    </row>
    <row r="55093" spans="7:16" s="1634" customFormat="1">
      <c r="G55093" s="3336"/>
      <c r="P55093" s="3337"/>
    </row>
    <row r="55094" spans="7:16" s="1634" customFormat="1">
      <c r="G55094" s="3336"/>
      <c r="P55094" s="3337"/>
    </row>
    <row r="55095" spans="7:16" s="1634" customFormat="1">
      <c r="G55095" s="3336"/>
      <c r="P55095" s="3337"/>
    </row>
    <row r="55096" spans="7:16" s="1634" customFormat="1">
      <c r="G55096" s="3336"/>
      <c r="P55096" s="3337"/>
    </row>
    <row r="55097" spans="7:16" s="1634" customFormat="1">
      <c r="G55097" s="3336"/>
      <c r="P55097" s="3337"/>
    </row>
    <row r="55098" spans="7:16" s="1634" customFormat="1">
      <c r="G55098" s="3336"/>
      <c r="P55098" s="3337"/>
    </row>
    <row r="55099" spans="7:16" s="1634" customFormat="1">
      <c r="G55099" s="3336"/>
      <c r="P55099" s="3337"/>
    </row>
    <row r="55100" spans="7:16" s="1634" customFormat="1">
      <c r="G55100" s="3336"/>
      <c r="P55100" s="3337"/>
    </row>
    <row r="55101" spans="7:16" s="1634" customFormat="1">
      <c r="G55101" s="3336"/>
      <c r="P55101" s="3337"/>
    </row>
    <row r="55102" spans="7:16" s="1634" customFormat="1">
      <c r="G55102" s="3336"/>
      <c r="P55102" s="3337"/>
    </row>
    <row r="55103" spans="7:16" s="1634" customFormat="1">
      <c r="G55103" s="3336"/>
      <c r="P55103" s="3337"/>
    </row>
    <row r="55104" spans="7:16" s="1634" customFormat="1">
      <c r="G55104" s="3336"/>
      <c r="P55104" s="3337"/>
    </row>
    <row r="55105" spans="7:16" s="1634" customFormat="1">
      <c r="G55105" s="3336"/>
      <c r="P55105" s="3337"/>
    </row>
    <row r="55106" spans="7:16" s="1634" customFormat="1">
      <c r="G55106" s="3336"/>
      <c r="P55106" s="3337"/>
    </row>
    <row r="55107" spans="7:16" s="1634" customFormat="1">
      <c r="G55107" s="3336"/>
      <c r="P55107" s="3337"/>
    </row>
    <row r="55108" spans="7:16" s="1634" customFormat="1">
      <c r="G55108" s="3336"/>
      <c r="P55108" s="3337"/>
    </row>
    <row r="55109" spans="7:16" s="1634" customFormat="1">
      <c r="G55109" s="3336"/>
      <c r="P55109" s="3337"/>
    </row>
    <row r="55110" spans="7:16" s="1634" customFormat="1">
      <c r="G55110" s="3336"/>
      <c r="P55110" s="3337"/>
    </row>
    <row r="55111" spans="7:16" s="1634" customFormat="1">
      <c r="G55111" s="3336"/>
      <c r="P55111" s="3337"/>
    </row>
    <row r="55112" spans="7:16" s="1634" customFormat="1">
      <c r="G55112" s="3336"/>
      <c r="P55112" s="3337"/>
    </row>
    <row r="55113" spans="7:16" s="1634" customFormat="1">
      <c r="G55113" s="3336"/>
      <c r="P55113" s="3337"/>
    </row>
    <row r="55114" spans="7:16" s="1634" customFormat="1">
      <c r="G55114" s="3336"/>
      <c r="P55114" s="3337"/>
    </row>
    <row r="55115" spans="7:16" s="1634" customFormat="1">
      <c r="G55115" s="3336"/>
      <c r="P55115" s="3337"/>
    </row>
    <row r="55116" spans="7:16" s="1634" customFormat="1">
      <c r="G55116" s="3336"/>
      <c r="P55116" s="3337"/>
    </row>
    <row r="55117" spans="7:16" s="1634" customFormat="1">
      <c r="G55117" s="3336"/>
      <c r="P55117" s="3337"/>
    </row>
    <row r="55118" spans="7:16" s="1634" customFormat="1">
      <c r="G55118" s="3336"/>
      <c r="P55118" s="3337"/>
    </row>
    <row r="55119" spans="7:16" s="1634" customFormat="1">
      <c r="G55119" s="3336"/>
      <c r="P55119" s="3337"/>
    </row>
    <row r="55120" spans="7:16" s="1634" customFormat="1">
      <c r="G55120" s="3336"/>
      <c r="P55120" s="3337"/>
    </row>
    <row r="55121" spans="7:16" s="1634" customFormat="1">
      <c r="G55121" s="3336"/>
      <c r="P55121" s="3337"/>
    </row>
    <row r="55122" spans="7:16" s="1634" customFormat="1">
      <c r="G55122" s="3336"/>
      <c r="P55122" s="3337"/>
    </row>
    <row r="55123" spans="7:16" s="1634" customFormat="1">
      <c r="G55123" s="3336"/>
      <c r="P55123" s="3337"/>
    </row>
    <row r="55124" spans="7:16" s="1634" customFormat="1">
      <c r="G55124" s="3336"/>
      <c r="P55124" s="3337"/>
    </row>
    <row r="55125" spans="7:16" s="1634" customFormat="1">
      <c r="G55125" s="3336"/>
      <c r="P55125" s="3337"/>
    </row>
    <row r="55126" spans="7:16" s="1634" customFormat="1">
      <c r="G55126" s="3336"/>
      <c r="P55126" s="3337"/>
    </row>
    <row r="55127" spans="7:16" s="1634" customFormat="1">
      <c r="G55127" s="3336"/>
      <c r="P55127" s="3337"/>
    </row>
    <row r="55128" spans="7:16" s="1634" customFormat="1">
      <c r="G55128" s="3336"/>
      <c r="P55128" s="3337"/>
    </row>
    <row r="55129" spans="7:16" s="1634" customFormat="1">
      <c r="G55129" s="3336"/>
      <c r="P55129" s="3337"/>
    </row>
    <row r="55130" spans="7:16" s="1634" customFormat="1">
      <c r="G55130" s="3336"/>
      <c r="P55130" s="3337"/>
    </row>
    <row r="55131" spans="7:16" s="1634" customFormat="1">
      <c r="G55131" s="3336"/>
      <c r="P55131" s="3337"/>
    </row>
    <row r="55132" spans="7:16" s="1634" customFormat="1">
      <c r="G55132" s="3336"/>
      <c r="P55132" s="3337"/>
    </row>
    <row r="55133" spans="7:16" s="1634" customFormat="1">
      <c r="G55133" s="3336"/>
      <c r="P55133" s="3337"/>
    </row>
    <row r="55134" spans="7:16" s="1634" customFormat="1">
      <c r="G55134" s="3336"/>
      <c r="P55134" s="3337"/>
    </row>
    <row r="55135" spans="7:16" s="1634" customFormat="1">
      <c r="G55135" s="3336"/>
      <c r="P55135" s="3337"/>
    </row>
    <row r="55136" spans="7:16" s="1634" customFormat="1">
      <c r="G55136" s="3336"/>
      <c r="P55136" s="3337"/>
    </row>
    <row r="55137" spans="7:16" s="1634" customFormat="1">
      <c r="G55137" s="3336"/>
      <c r="P55137" s="3337"/>
    </row>
    <row r="55138" spans="7:16" s="1634" customFormat="1">
      <c r="G55138" s="3336"/>
      <c r="P55138" s="3337"/>
    </row>
    <row r="55139" spans="7:16" s="1634" customFormat="1">
      <c r="G55139" s="3336"/>
      <c r="P55139" s="3337"/>
    </row>
    <row r="55140" spans="7:16" s="1634" customFormat="1">
      <c r="G55140" s="3336"/>
      <c r="P55140" s="3337"/>
    </row>
    <row r="55141" spans="7:16" s="1634" customFormat="1">
      <c r="G55141" s="3336"/>
      <c r="P55141" s="3337"/>
    </row>
    <row r="55142" spans="7:16" s="1634" customFormat="1">
      <c r="G55142" s="3336"/>
      <c r="P55142" s="3337"/>
    </row>
    <row r="55143" spans="7:16" s="1634" customFormat="1">
      <c r="G55143" s="3336"/>
      <c r="P55143" s="3337"/>
    </row>
    <row r="55144" spans="7:16" s="1634" customFormat="1">
      <c r="G55144" s="3336"/>
      <c r="P55144" s="3337"/>
    </row>
    <row r="55145" spans="7:16" s="1634" customFormat="1">
      <c r="G55145" s="3336"/>
      <c r="P55145" s="3337"/>
    </row>
    <row r="55146" spans="7:16" s="1634" customFormat="1">
      <c r="G55146" s="3336"/>
      <c r="P55146" s="3337"/>
    </row>
    <row r="55147" spans="7:16" s="1634" customFormat="1">
      <c r="G55147" s="3336"/>
      <c r="P55147" s="3337"/>
    </row>
    <row r="55148" spans="7:16" s="1634" customFormat="1">
      <c r="G55148" s="3336"/>
      <c r="P55148" s="3337"/>
    </row>
    <row r="55149" spans="7:16" s="1634" customFormat="1">
      <c r="G55149" s="3336"/>
      <c r="P55149" s="3337"/>
    </row>
    <row r="55150" spans="7:16" s="1634" customFormat="1">
      <c r="G55150" s="3336"/>
      <c r="P55150" s="3337"/>
    </row>
    <row r="55151" spans="7:16" s="1634" customFormat="1">
      <c r="G55151" s="3336"/>
      <c r="P55151" s="3337"/>
    </row>
    <row r="55152" spans="7:16" s="1634" customFormat="1">
      <c r="G55152" s="3336"/>
      <c r="P55152" s="3337"/>
    </row>
    <row r="55153" spans="7:16" s="1634" customFormat="1">
      <c r="G55153" s="3336"/>
      <c r="P55153" s="3337"/>
    </row>
    <row r="55154" spans="7:16" s="1634" customFormat="1">
      <c r="G55154" s="3336"/>
      <c r="P55154" s="3337"/>
    </row>
    <row r="55155" spans="7:16" s="1634" customFormat="1">
      <c r="G55155" s="3336"/>
      <c r="P55155" s="3337"/>
    </row>
    <row r="55156" spans="7:16" s="1634" customFormat="1">
      <c r="G55156" s="3336"/>
      <c r="P55156" s="3337"/>
    </row>
    <row r="55157" spans="7:16" s="1634" customFormat="1">
      <c r="G55157" s="3336"/>
      <c r="P55157" s="3337"/>
    </row>
    <row r="55158" spans="7:16" s="1634" customFormat="1">
      <c r="G55158" s="3336"/>
      <c r="P55158" s="3337"/>
    </row>
    <row r="55159" spans="7:16" s="1634" customFormat="1">
      <c r="G55159" s="3336"/>
      <c r="P55159" s="3337"/>
    </row>
    <row r="55160" spans="7:16" s="1634" customFormat="1">
      <c r="G55160" s="3336"/>
      <c r="P55160" s="3337"/>
    </row>
    <row r="55161" spans="7:16" s="1634" customFormat="1">
      <c r="G55161" s="3336"/>
      <c r="P55161" s="3337"/>
    </row>
    <row r="55162" spans="7:16" s="1634" customFormat="1">
      <c r="G55162" s="3336"/>
      <c r="P55162" s="3337"/>
    </row>
    <row r="55163" spans="7:16" s="1634" customFormat="1">
      <c r="G55163" s="3336"/>
      <c r="P55163" s="3337"/>
    </row>
    <row r="55164" spans="7:16" s="1634" customFormat="1">
      <c r="G55164" s="3336"/>
      <c r="P55164" s="3337"/>
    </row>
    <row r="55165" spans="7:16" s="1634" customFormat="1">
      <c r="G55165" s="3336"/>
      <c r="P55165" s="3337"/>
    </row>
    <row r="55166" spans="7:16" s="1634" customFormat="1">
      <c r="G55166" s="3336"/>
      <c r="P55166" s="3337"/>
    </row>
    <row r="55167" spans="7:16" s="1634" customFormat="1">
      <c r="G55167" s="3336"/>
      <c r="P55167" s="3337"/>
    </row>
    <row r="55168" spans="7:16" s="1634" customFormat="1">
      <c r="G55168" s="3336"/>
      <c r="P55168" s="3337"/>
    </row>
    <row r="55169" spans="7:16" s="1634" customFormat="1">
      <c r="G55169" s="3336"/>
      <c r="P55169" s="3337"/>
    </row>
    <row r="55170" spans="7:16" s="1634" customFormat="1">
      <c r="G55170" s="3336"/>
      <c r="P55170" s="3337"/>
    </row>
    <row r="55171" spans="7:16" s="1634" customFormat="1">
      <c r="G55171" s="3336"/>
      <c r="P55171" s="3337"/>
    </row>
    <row r="55172" spans="7:16" s="1634" customFormat="1">
      <c r="G55172" s="3336"/>
      <c r="P55172" s="3337"/>
    </row>
    <row r="55173" spans="7:16" s="1634" customFormat="1">
      <c r="G55173" s="3336"/>
      <c r="P55173" s="3337"/>
    </row>
    <row r="55174" spans="7:16" s="1634" customFormat="1">
      <c r="G55174" s="3336"/>
      <c r="P55174" s="3337"/>
    </row>
    <row r="55175" spans="7:16" s="1634" customFormat="1">
      <c r="G55175" s="3336"/>
      <c r="P55175" s="3337"/>
    </row>
    <row r="55176" spans="7:16" s="1634" customFormat="1">
      <c r="G55176" s="3336"/>
      <c r="P55176" s="3337"/>
    </row>
    <row r="55177" spans="7:16" s="1634" customFormat="1">
      <c r="G55177" s="3336"/>
      <c r="P55177" s="3337"/>
    </row>
    <row r="55178" spans="7:16" s="1634" customFormat="1">
      <c r="G55178" s="3336"/>
      <c r="P55178" s="3337"/>
    </row>
    <row r="55179" spans="7:16" s="1634" customFormat="1">
      <c r="G55179" s="3336"/>
      <c r="P55179" s="3337"/>
    </row>
    <row r="55180" spans="7:16" s="1634" customFormat="1">
      <c r="G55180" s="3336"/>
      <c r="P55180" s="3337"/>
    </row>
    <row r="55181" spans="7:16" s="1634" customFormat="1">
      <c r="G55181" s="3336"/>
      <c r="P55181" s="3337"/>
    </row>
    <row r="55182" spans="7:16" s="1634" customFormat="1">
      <c r="G55182" s="3336"/>
      <c r="P55182" s="3337"/>
    </row>
    <row r="55183" spans="7:16" s="1634" customFormat="1">
      <c r="G55183" s="3336"/>
      <c r="P55183" s="3337"/>
    </row>
    <row r="55184" spans="7:16" s="1634" customFormat="1">
      <c r="G55184" s="3336"/>
      <c r="P55184" s="3337"/>
    </row>
    <row r="55185" spans="7:16" s="1634" customFormat="1">
      <c r="G55185" s="3336"/>
      <c r="P55185" s="3337"/>
    </row>
    <row r="55186" spans="7:16" s="1634" customFormat="1">
      <c r="G55186" s="3336"/>
      <c r="P55186" s="3337"/>
    </row>
    <row r="55187" spans="7:16" s="1634" customFormat="1">
      <c r="G55187" s="3336"/>
      <c r="P55187" s="3337"/>
    </row>
    <row r="55188" spans="7:16" s="1634" customFormat="1">
      <c r="G55188" s="3336"/>
      <c r="P55188" s="3337"/>
    </row>
    <row r="55189" spans="7:16" s="1634" customFormat="1">
      <c r="G55189" s="3336"/>
      <c r="P55189" s="3337"/>
    </row>
    <row r="55190" spans="7:16" s="1634" customFormat="1">
      <c r="G55190" s="3336"/>
      <c r="P55190" s="3337"/>
    </row>
    <row r="55191" spans="7:16" s="1634" customFormat="1">
      <c r="G55191" s="3336"/>
      <c r="P55191" s="3337"/>
    </row>
    <row r="55192" spans="7:16" s="1634" customFormat="1">
      <c r="G55192" s="3336"/>
      <c r="P55192" s="3337"/>
    </row>
    <row r="55193" spans="7:16" s="1634" customFormat="1">
      <c r="G55193" s="3336"/>
      <c r="P55193" s="3337"/>
    </row>
    <row r="55194" spans="7:16" s="1634" customFormat="1">
      <c r="G55194" s="3336"/>
      <c r="P55194" s="3337"/>
    </row>
    <row r="55195" spans="7:16" s="1634" customFormat="1">
      <c r="G55195" s="3336"/>
      <c r="P55195" s="3337"/>
    </row>
    <row r="55196" spans="7:16" s="1634" customFormat="1">
      <c r="G55196" s="3336"/>
      <c r="P55196" s="3337"/>
    </row>
    <row r="55197" spans="7:16" s="1634" customFormat="1">
      <c r="G55197" s="3336"/>
      <c r="P55197" s="3337"/>
    </row>
    <row r="55198" spans="7:16" s="1634" customFormat="1">
      <c r="G55198" s="3336"/>
      <c r="P55198" s="3337"/>
    </row>
    <row r="55199" spans="7:16" s="1634" customFormat="1">
      <c r="G55199" s="3336"/>
      <c r="P55199" s="3337"/>
    </row>
    <row r="55200" spans="7:16" s="1634" customFormat="1">
      <c r="G55200" s="3336"/>
      <c r="P55200" s="3337"/>
    </row>
    <row r="55201" spans="7:16" s="1634" customFormat="1">
      <c r="G55201" s="3336"/>
      <c r="P55201" s="3337"/>
    </row>
    <row r="55202" spans="7:16" s="1634" customFormat="1">
      <c r="G55202" s="3336"/>
      <c r="P55202" s="3337"/>
    </row>
    <row r="55203" spans="7:16" s="1634" customFormat="1">
      <c r="G55203" s="3336"/>
      <c r="P55203" s="3337"/>
    </row>
    <row r="55204" spans="7:16" s="1634" customFormat="1">
      <c r="G55204" s="3336"/>
      <c r="P55204" s="3337"/>
    </row>
    <row r="55205" spans="7:16" s="1634" customFormat="1">
      <c r="G55205" s="3336"/>
      <c r="P55205" s="3337"/>
    </row>
    <row r="55206" spans="7:16" s="1634" customFormat="1">
      <c r="G55206" s="3336"/>
      <c r="P55206" s="3337"/>
    </row>
    <row r="55207" spans="7:16" s="1634" customFormat="1">
      <c r="G55207" s="3336"/>
      <c r="P55207" s="3337"/>
    </row>
    <row r="55208" spans="7:16" s="1634" customFormat="1">
      <c r="G55208" s="3336"/>
      <c r="P55208" s="3337"/>
    </row>
    <row r="55209" spans="7:16" s="1634" customFormat="1">
      <c r="G55209" s="3336"/>
      <c r="P55209" s="3337"/>
    </row>
    <row r="55210" spans="7:16" s="1634" customFormat="1">
      <c r="G55210" s="3336"/>
      <c r="P55210" s="3337"/>
    </row>
    <row r="55211" spans="7:16" s="1634" customFormat="1">
      <c r="G55211" s="3336"/>
      <c r="P55211" s="3337"/>
    </row>
    <row r="55212" spans="7:16" s="1634" customFormat="1">
      <c r="G55212" s="3336"/>
      <c r="P55212" s="3337"/>
    </row>
    <row r="55213" spans="7:16" s="1634" customFormat="1">
      <c r="G55213" s="3336"/>
      <c r="P55213" s="3337"/>
    </row>
    <row r="55214" spans="7:16" s="1634" customFormat="1">
      <c r="G55214" s="3336"/>
      <c r="P55214" s="3337"/>
    </row>
    <row r="55215" spans="7:16" s="1634" customFormat="1">
      <c r="G55215" s="3336"/>
      <c r="P55215" s="3337"/>
    </row>
    <row r="55216" spans="7:16" s="1634" customFormat="1">
      <c r="G55216" s="3336"/>
      <c r="P55216" s="3337"/>
    </row>
    <row r="55217" spans="7:16" s="1634" customFormat="1">
      <c r="G55217" s="3336"/>
      <c r="P55217" s="3337"/>
    </row>
    <row r="55218" spans="7:16" s="1634" customFormat="1">
      <c r="G55218" s="3336"/>
      <c r="P55218" s="3337"/>
    </row>
    <row r="55219" spans="7:16" s="1634" customFormat="1">
      <c r="G55219" s="3336"/>
      <c r="P55219" s="3337"/>
    </row>
    <row r="55220" spans="7:16" s="1634" customFormat="1">
      <c r="G55220" s="3336"/>
      <c r="P55220" s="3337"/>
    </row>
    <row r="55221" spans="7:16" s="1634" customFormat="1">
      <c r="G55221" s="3336"/>
      <c r="P55221" s="3337"/>
    </row>
    <row r="55222" spans="7:16" s="1634" customFormat="1">
      <c r="G55222" s="3336"/>
      <c r="P55222" s="3337"/>
    </row>
    <row r="55223" spans="7:16" s="1634" customFormat="1">
      <c r="G55223" s="3336"/>
      <c r="P55223" s="3337"/>
    </row>
    <row r="55224" spans="7:16" s="1634" customFormat="1">
      <c r="G55224" s="3336"/>
      <c r="P55224" s="3337"/>
    </row>
    <row r="55225" spans="7:16" s="1634" customFormat="1">
      <c r="G55225" s="3336"/>
      <c r="P55225" s="3337"/>
    </row>
    <row r="55226" spans="7:16" s="1634" customFormat="1">
      <c r="G55226" s="3336"/>
      <c r="P55226" s="3337"/>
    </row>
    <row r="55227" spans="7:16" s="1634" customFormat="1">
      <c r="G55227" s="3336"/>
      <c r="P55227" s="3337"/>
    </row>
    <row r="55228" spans="7:16" s="1634" customFormat="1">
      <c r="G55228" s="3336"/>
      <c r="P55228" s="3337"/>
    </row>
    <row r="55229" spans="7:16" s="1634" customFormat="1">
      <c r="G55229" s="3336"/>
      <c r="P55229" s="3337"/>
    </row>
    <row r="55230" spans="7:16" s="1634" customFormat="1">
      <c r="G55230" s="3336"/>
      <c r="P55230" s="3337"/>
    </row>
    <row r="55231" spans="7:16" s="1634" customFormat="1">
      <c r="G55231" s="3336"/>
      <c r="P55231" s="3337"/>
    </row>
    <row r="55232" spans="7:16" s="1634" customFormat="1">
      <c r="G55232" s="3336"/>
      <c r="P55232" s="3337"/>
    </row>
    <row r="55233" spans="7:16" s="1634" customFormat="1">
      <c r="G55233" s="3336"/>
      <c r="P55233" s="3337"/>
    </row>
    <row r="55234" spans="7:16" s="1634" customFormat="1">
      <c r="G55234" s="3336"/>
      <c r="P55234" s="3337"/>
    </row>
    <row r="55235" spans="7:16" s="1634" customFormat="1">
      <c r="G55235" s="3336"/>
      <c r="P55235" s="3337"/>
    </row>
    <row r="55236" spans="7:16" s="1634" customFormat="1">
      <c r="G55236" s="3336"/>
      <c r="P55236" s="3337"/>
    </row>
    <row r="55237" spans="7:16" s="1634" customFormat="1">
      <c r="G55237" s="3336"/>
      <c r="P55237" s="3337"/>
    </row>
    <row r="55238" spans="7:16" s="1634" customFormat="1">
      <c r="G55238" s="3336"/>
      <c r="P55238" s="3337"/>
    </row>
    <row r="55239" spans="7:16" s="1634" customFormat="1">
      <c r="G55239" s="3336"/>
      <c r="P55239" s="3337"/>
    </row>
    <row r="55240" spans="7:16" s="1634" customFormat="1">
      <c r="G55240" s="3336"/>
      <c r="P55240" s="3337"/>
    </row>
    <row r="55241" spans="7:16" s="1634" customFormat="1">
      <c r="G55241" s="3336"/>
      <c r="P55241" s="3337"/>
    </row>
    <row r="55242" spans="7:16" s="1634" customFormat="1">
      <c r="G55242" s="3336"/>
      <c r="P55242" s="3337"/>
    </row>
    <row r="55243" spans="7:16" s="1634" customFormat="1">
      <c r="G55243" s="3336"/>
      <c r="P55243" s="3337"/>
    </row>
    <row r="55244" spans="7:16" s="1634" customFormat="1">
      <c r="G55244" s="3336"/>
      <c r="P55244" s="3337"/>
    </row>
    <row r="55245" spans="7:16" s="1634" customFormat="1">
      <c r="G55245" s="3336"/>
      <c r="P55245" s="3337"/>
    </row>
    <row r="55246" spans="7:16" s="1634" customFormat="1">
      <c r="G55246" s="3336"/>
      <c r="P55246" s="3337"/>
    </row>
    <row r="55247" spans="7:16" s="1634" customFormat="1">
      <c r="G55247" s="3336"/>
      <c r="P55247" s="3337"/>
    </row>
    <row r="55248" spans="7:16" s="1634" customFormat="1">
      <c r="G55248" s="3336"/>
      <c r="P55248" s="3337"/>
    </row>
    <row r="55249" spans="7:16" s="1634" customFormat="1">
      <c r="G55249" s="3336"/>
      <c r="P55249" s="3337"/>
    </row>
    <row r="55250" spans="7:16" s="1634" customFormat="1">
      <c r="G55250" s="3336"/>
      <c r="P55250" s="3337"/>
    </row>
    <row r="55251" spans="7:16" s="1634" customFormat="1">
      <c r="G55251" s="3336"/>
      <c r="P55251" s="3337"/>
    </row>
    <row r="55252" spans="7:16" s="1634" customFormat="1">
      <c r="G55252" s="3336"/>
      <c r="P55252" s="3337"/>
    </row>
    <row r="55253" spans="7:16" s="1634" customFormat="1">
      <c r="G55253" s="3336"/>
      <c r="P55253" s="3337"/>
    </row>
    <row r="55254" spans="7:16" s="1634" customFormat="1">
      <c r="G55254" s="3336"/>
      <c r="P55254" s="3337"/>
    </row>
    <row r="55255" spans="7:16" s="1634" customFormat="1">
      <c r="G55255" s="3336"/>
      <c r="P55255" s="3337"/>
    </row>
    <row r="55256" spans="7:16" s="1634" customFormat="1">
      <c r="G55256" s="3336"/>
      <c r="P55256" s="3337"/>
    </row>
    <row r="55257" spans="7:16" s="1634" customFormat="1">
      <c r="G55257" s="3336"/>
      <c r="P55257" s="3337"/>
    </row>
    <row r="55258" spans="7:16" s="1634" customFormat="1">
      <c r="G55258" s="3336"/>
      <c r="P55258" s="3337"/>
    </row>
    <row r="55259" spans="7:16" s="1634" customFormat="1">
      <c r="G55259" s="3336"/>
      <c r="P55259" s="3337"/>
    </row>
    <row r="55260" spans="7:16" s="1634" customFormat="1">
      <c r="G55260" s="3336"/>
      <c r="P55260" s="3337"/>
    </row>
    <row r="55261" spans="7:16" s="1634" customFormat="1">
      <c r="G55261" s="3336"/>
      <c r="P55261" s="3337"/>
    </row>
    <row r="55262" spans="7:16" s="1634" customFormat="1">
      <c r="G55262" s="3336"/>
      <c r="P55262" s="3337"/>
    </row>
    <row r="55263" spans="7:16" s="1634" customFormat="1">
      <c r="G55263" s="3336"/>
      <c r="P55263" s="3337"/>
    </row>
    <row r="55264" spans="7:16" s="1634" customFormat="1">
      <c r="G55264" s="3336"/>
      <c r="P55264" s="3337"/>
    </row>
    <row r="55265" spans="7:16" s="1634" customFormat="1">
      <c r="G55265" s="3336"/>
      <c r="P55265" s="3337"/>
    </row>
    <row r="55266" spans="7:16" s="1634" customFormat="1">
      <c r="G55266" s="3336"/>
      <c r="P55266" s="3337"/>
    </row>
    <row r="55267" spans="7:16" s="1634" customFormat="1">
      <c r="G55267" s="3336"/>
      <c r="P55267" s="3337"/>
    </row>
    <row r="55268" spans="7:16" s="1634" customFormat="1">
      <c r="G55268" s="3336"/>
      <c r="P55268" s="3337"/>
    </row>
    <row r="55269" spans="7:16" s="1634" customFormat="1">
      <c r="G55269" s="3336"/>
      <c r="P55269" s="3337"/>
    </row>
    <row r="55270" spans="7:16" s="1634" customFormat="1">
      <c r="G55270" s="3336"/>
      <c r="P55270" s="3337"/>
    </row>
    <row r="55271" spans="7:16" s="1634" customFormat="1">
      <c r="G55271" s="3336"/>
      <c r="P55271" s="3337"/>
    </row>
    <row r="55272" spans="7:16" s="1634" customFormat="1">
      <c r="G55272" s="3336"/>
      <c r="P55272" s="3337"/>
    </row>
    <row r="55273" spans="7:16" s="1634" customFormat="1">
      <c r="G55273" s="3336"/>
      <c r="P55273" s="3337"/>
    </row>
    <row r="55274" spans="7:16" s="1634" customFormat="1">
      <c r="G55274" s="3336"/>
      <c r="P55274" s="3337"/>
    </row>
    <row r="55275" spans="7:16" s="1634" customFormat="1">
      <c r="G55275" s="3336"/>
      <c r="P55275" s="3337"/>
    </row>
    <row r="55276" spans="7:16" s="1634" customFormat="1">
      <c r="G55276" s="3336"/>
      <c r="P55276" s="3337"/>
    </row>
    <row r="55277" spans="7:16" s="1634" customFormat="1">
      <c r="G55277" s="3336"/>
      <c r="P55277" s="3337"/>
    </row>
    <row r="55278" spans="7:16" s="1634" customFormat="1">
      <c r="G55278" s="3336"/>
      <c r="P55278" s="3337"/>
    </row>
    <row r="55279" spans="7:16" s="1634" customFormat="1">
      <c r="G55279" s="3336"/>
      <c r="P55279" s="3337"/>
    </row>
    <row r="55280" spans="7:16" s="1634" customFormat="1">
      <c r="G55280" s="3336"/>
      <c r="P55280" s="3337"/>
    </row>
    <row r="55281" spans="7:16" s="1634" customFormat="1">
      <c r="G55281" s="3336"/>
      <c r="P55281" s="3337"/>
    </row>
    <row r="55282" spans="7:16" s="1634" customFormat="1">
      <c r="G55282" s="3336"/>
      <c r="P55282" s="3337"/>
    </row>
    <row r="55283" spans="7:16" s="1634" customFormat="1">
      <c r="G55283" s="3336"/>
      <c r="P55283" s="3337"/>
    </row>
    <row r="55284" spans="7:16" s="1634" customFormat="1">
      <c r="G55284" s="3336"/>
      <c r="P55284" s="3337"/>
    </row>
    <row r="55285" spans="7:16" s="1634" customFormat="1">
      <c r="G55285" s="3336"/>
      <c r="P55285" s="3337"/>
    </row>
    <row r="55286" spans="7:16" s="1634" customFormat="1">
      <c r="G55286" s="3336"/>
      <c r="P55286" s="3337"/>
    </row>
    <row r="55287" spans="7:16" s="1634" customFormat="1">
      <c r="G55287" s="3336"/>
      <c r="P55287" s="3337"/>
    </row>
    <row r="55288" spans="7:16" s="1634" customFormat="1">
      <c r="G55288" s="3336"/>
      <c r="P55288" s="3337"/>
    </row>
    <row r="55289" spans="7:16" s="1634" customFormat="1">
      <c r="G55289" s="3336"/>
      <c r="P55289" s="3337"/>
    </row>
    <row r="55290" spans="7:16" s="1634" customFormat="1">
      <c r="G55290" s="3336"/>
      <c r="P55290" s="3337"/>
    </row>
    <row r="55291" spans="7:16" s="1634" customFormat="1">
      <c r="G55291" s="3336"/>
      <c r="P55291" s="3337"/>
    </row>
    <row r="55292" spans="7:16" s="1634" customFormat="1">
      <c r="G55292" s="3336"/>
      <c r="P55292" s="3337"/>
    </row>
    <row r="55293" spans="7:16" s="1634" customFormat="1">
      <c r="G55293" s="3336"/>
      <c r="P55293" s="3337"/>
    </row>
    <row r="55294" spans="7:16" s="1634" customFormat="1">
      <c r="G55294" s="3336"/>
      <c r="P55294" s="3337"/>
    </row>
    <row r="55295" spans="7:16" s="1634" customFormat="1">
      <c r="G55295" s="3336"/>
      <c r="P55295" s="3337"/>
    </row>
    <row r="55296" spans="7:16" s="1634" customFormat="1">
      <c r="G55296" s="3336"/>
      <c r="P55296" s="3337"/>
    </row>
    <row r="55297" spans="7:16" s="1634" customFormat="1">
      <c r="G55297" s="3336"/>
      <c r="P55297" s="3337"/>
    </row>
    <row r="55298" spans="7:16" s="1634" customFormat="1">
      <c r="G55298" s="3336"/>
      <c r="P55298" s="3337"/>
    </row>
    <row r="55299" spans="7:16" s="1634" customFormat="1">
      <c r="G55299" s="3336"/>
      <c r="P55299" s="3337"/>
    </row>
    <row r="55300" spans="7:16" s="1634" customFormat="1">
      <c r="G55300" s="3336"/>
      <c r="P55300" s="3337"/>
    </row>
    <row r="55301" spans="7:16" s="1634" customFormat="1">
      <c r="G55301" s="3336"/>
      <c r="P55301" s="3337"/>
    </row>
    <row r="55302" spans="7:16" s="1634" customFormat="1">
      <c r="G55302" s="3336"/>
      <c r="P55302" s="3337"/>
    </row>
    <row r="55303" spans="7:16" s="1634" customFormat="1">
      <c r="G55303" s="3336"/>
      <c r="P55303" s="3337"/>
    </row>
    <row r="55304" spans="7:16" s="1634" customFormat="1">
      <c r="G55304" s="3336"/>
      <c r="P55304" s="3337"/>
    </row>
    <row r="55305" spans="7:16" s="1634" customFormat="1">
      <c r="G55305" s="3336"/>
      <c r="P55305" s="3337"/>
    </row>
    <row r="55306" spans="7:16" s="1634" customFormat="1">
      <c r="G55306" s="3336"/>
      <c r="P55306" s="3337"/>
    </row>
    <row r="55307" spans="7:16" s="1634" customFormat="1">
      <c r="G55307" s="3336"/>
      <c r="P55307" s="3337"/>
    </row>
    <row r="55308" spans="7:16" s="1634" customFormat="1">
      <c r="G55308" s="3336"/>
      <c r="P55308" s="3337"/>
    </row>
    <row r="55309" spans="7:16" s="1634" customFormat="1">
      <c r="G55309" s="3336"/>
      <c r="P55309" s="3337"/>
    </row>
    <row r="55310" spans="7:16" s="1634" customFormat="1">
      <c r="G55310" s="3336"/>
      <c r="P55310" s="3337"/>
    </row>
    <row r="55311" spans="7:16" s="1634" customFormat="1">
      <c r="G55311" s="3336"/>
      <c r="P55311" s="3337"/>
    </row>
    <row r="55312" spans="7:16" s="1634" customFormat="1">
      <c r="G55312" s="3336"/>
      <c r="P55312" s="3337"/>
    </row>
    <row r="55313" spans="7:16" s="1634" customFormat="1">
      <c r="G55313" s="3336"/>
      <c r="P55313" s="3337"/>
    </row>
    <row r="55314" spans="7:16" s="1634" customFormat="1">
      <c r="G55314" s="3336"/>
      <c r="P55314" s="3337"/>
    </row>
    <row r="55315" spans="7:16" s="1634" customFormat="1">
      <c r="G55315" s="3336"/>
      <c r="P55315" s="3337"/>
    </row>
    <row r="55316" spans="7:16" s="1634" customFormat="1">
      <c r="G55316" s="3336"/>
      <c r="P55316" s="3337"/>
    </row>
    <row r="55317" spans="7:16" s="1634" customFormat="1">
      <c r="G55317" s="3336"/>
      <c r="P55317" s="3337"/>
    </row>
    <row r="55318" spans="7:16" s="1634" customFormat="1">
      <c r="G55318" s="3336"/>
      <c r="P55318" s="3337"/>
    </row>
    <row r="55319" spans="7:16" s="1634" customFormat="1">
      <c r="G55319" s="3336"/>
      <c r="P55319" s="3337"/>
    </row>
    <row r="55320" spans="7:16" s="1634" customFormat="1">
      <c r="G55320" s="3336"/>
      <c r="P55320" s="3337"/>
    </row>
    <row r="55321" spans="7:16" s="1634" customFormat="1">
      <c r="G55321" s="3336"/>
      <c r="P55321" s="3337"/>
    </row>
    <row r="55322" spans="7:16" s="1634" customFormat="1">
      <c r="G55322" s="3336"/>
      <c r="P55322" s="3337"/>
    </row>
    <row r="55323" spans="7:16" s="1634" customFormat="1">
      <c r="G55323" s="3336"/>
      <c r="P55323" s="3337"/>
    </row>
    <row r="55324" spans="7:16" s="1634" customFormat="1">
      <c r="G55324" s="3336"/>
      <c r="P55324" s="3337"/>
    </row>
    <row r="55325" spans="7:16" s="1634" customFormat="1">
      <c r="G55325" s="3336"/>
      <c r="P55325" s="3337"/>
    </row>
    <row r="55326" spans="7:16" s="1634" customFormat="1">
      <c r="G55326" s="3336"/>
      <c r="P55326" s="3337"/>
    </row>
    <row r="55327" spans="7:16" s="1634" customFormat="1">
      <c r="G55327" s="3336"/>
      <c r="P55327" s="3337"/>
    </row>
    <row r="55328" spans="7:16" s="1634" customFormat="1">
      <c r="G55328" s="3336"/>
      <c r="P55328" s="3337"/>
    </row>
    <row r="55329" spans="7:16" s="1634" customFormat="1">
      <c r="G55329" s="3336"/>
      <c r="P55329" s="3337"/>
    </row>
    <row r="55330" spans="7:16" s="1634" customFormat="1">
      <c r="G55330" s="3336"/>
      <c r="P55330" s="3337"/>
    </row>
    <row r="55331" spans="7:16" s="1634" customFormat="1">
      <c r="G55331" s="3336"/>
      <c r="P55331" s="3337"/>
    </row>
    <row r="55332" spans="7:16" s="1634" customFormat="1">
      <c r="G55332" s="3336"/>
      <c r="P55332" s="3337"/>
    </row>
    <row r="55333" spans="7:16" s="1634" customFormat="1">
      <c r="G55333" s="3336"/>
      <c r="P55333" s="3337"/>
    </row>
    <row r="55334" spans="7:16" s="1634" customFormat="1">
      <c r="G55334" s="3336"/>
      <c r="P55334" s="3337"/>
    </row>
    <row r="55335" spans="7:16" s="1634" customFormat="1">
      <c r="G55335" s="3336"/>
      <c r="P55335" s="3337"/>
    </row>
    <row r="55336" spans="7:16" s="1634" customFormat="1">
      <c r="G55336" s="3336"/>
      <c r="P55336" s="3337"/>
    </row>
    <row r="55337" spans="7:16" s="1634" customFormat="1">
      <c r="G55337" s="3336"/>
      <c r="P55337" s="3337"/>
    </row>
    <row r="55338" spans="7:16" s="1634" customFormat="1">
      <c r="G55338" s="3336"/>
      <c r="P55338" s="3337"/>
    </row>
    <row r="55339" spans="7:16" s="1634" customFormat="1">
      <c r="G55339" s="3336"/>
      <c r="P55339" s="3337"/>
    </row>
    <row r="55340" spans="7:16" s="1634" customFormat="1">
      <c r="G55340" s="3336"/>
      <c r="P55340" s="3337"/>
    </row>
    <row r="55341" spans="7:16" s="1634" customFormat="1">
      <c r="G55341" s="3336"/>
      <c r="P55341" s="3337"/>
    </row>
    <row r="55342" spans="7:16" s="1634" customFormat="1">
      <c r="G55342" s="3336"/>
      <c r="P55342" s="3337"/>
    </row>
    <row r="55343" spans="7:16" s="1634" customFormat="1">
      <c r="G55343" s="3336"/>
      <c r="P55343" s="3337"/>
    </row>
    <row r="55344" spans="7:16" s="1634" customFormat="1">
      <c r="G55344" s="3336"/>
      <c r="P55344" s="3337"/>
    </row>
    <row r="55345" spans="7:16" s="1634" customFormat="1">
      <c r="G55345" s="3336"/>
      <c r="P55345" s="3337"/>
    </row>
    <row r="55346" spans="7:16" s="1634" customFormat="1">
      <c r="G55346" s="3336"/>
      <c r="P55346" s="3337"/>
    </row>
    <row r="55347" spans="7:16" s="1634" customFormat="1">
      <c r="G55347" s="3336"/>
      <c r="P55347" s="3337"/>
    </row>
    <row r="55348" spans="7:16" s="1634" customFormat="1">
      <c r="G55348" s="3336"/>
      <c r="P55348" s="3337"/>
    </row>
    <row r="55349" spans="7:16" s="1634" customFormat="1">
      <c r="G55349" s="3336"/>
      <c r="P55349" s="3337"/>
    </row>
    <row r="55350" spans="7:16" s="1634" customFormat="1">
      <c r="G55350" s="3336"/>
      <c r="P55350" s="3337"/>
    </row>
    <row r="55351" spans="7:16" s="1634" customFormat="1">
      <c r="G55351" s="3336"/>
      <c r="P55351" s="3337"/>
    </row>
    <row r="55352" spans="7:16" s="1634" customFormat="1">
      <c r="G55352" s="3336"/>
      <c r="P55352" s="3337"/>
    </row>
    <row r="55353" spans="7:16" s="1634" customFormat="1">
      <c r="G55353" s="3336"/>
      <c r="P55353" s="3337"/>
    </row>
    <row r="55354" spans="7:16" s="1634" customFormat="1">
      <c r="G55354" s="3336"/>
      <c r="P55354" s="3337"/>
    </row>
    <row r="55355" spans="7:16" s="1634" customFormat="1">
      <c r="G55355" s="3336"/>
      <c r="P55355" s="3337"/>
    </row>
    <row r="55356" spans="7:16" s="1634" customFormat="1">
      <c r="G55356" s="3336"/>
      <c r="P55356" s="3337"/>
    </row>
    <row r="55357" spans="7:16" s="1634" customFormat="1">
      <c r="G55357" s="3336"/>
      <c r="P55357" s="3337"/>
    </row>
    <row r="55358" spans="7:16" s="1634" customFormat="1">
      <c r="G55358" s="3336"/>
      <c r="P55358" s="3337"/>
    </row>
    <row r="55359" spans="7:16" s="1634" customFormat="1">
      <c r="G55359" s="3336"/>
      <c r="P55359" s="3337"/>
    </row>
    <row r="55360" spans="7:16" s="1634" customFormat="1">
      <c r="G55360" s="3336"/>
      <c r="P55360" s="3337"/>
    </row>
    <row r="55361" spans="7:16" s="1634" customFormat="1">
      <c r="G55361" s="3336"/>
      <c r="P55361" s="3337"/>
    </row>
    <row r="55362" spans="7:16" s="1634" customFormat="1">
      <c r="G55362" s="3336"/>
      <c r="P55362" s="3337"/>
    </row>
    <row r="55363" spans="7:16" s="1634" customFormat="1">
      <c r="G55363" s="3336"/>
      <c r="P55363" s="3337"/>
    </row>
    <row r="55364" spans="7:16" s="1634" customFormat="1">
      <c r="G55364" s="3336"/>
      <c r="P55364" s="3337"/>
    </row>
    <row r="55365" spans="7:16" s="1634" customFormat="1">
      <c r="G55365" s="3336"/>
      <c r="P55365" s="3337"/>
    </row>
    <row r="55366" spans="7:16" s="1634" customFormat="1">
      <c r="G55366" s="3336"/>
      <c r="P55366" s="3337"/>
    </row>
    <row r="55367" spans="7:16" s="1634" customFormat="1">
      <c r="G55367" s="3336"/>
      <c r="P55367" s="3337"/>
    </row>
    <row r="55368" spans="7:16" s="1634" customFormat="1">
      <c r="G55368" s="3336"/>
      <c r="P55368" s="3337"/>
    </row>
    <row r="55369" spans="7:16" s="1634" customFormat="1">
      <c r="G55369" s="3336"/>
      <c r="P55369" s="3337"/>
    </row>
    <row r="55370" spans="7:16" s="1634" customFormat="1">
      <c r="G55370" s="3336"/>
      <c r="P55370" s="3337"/>
    </row>
    <row r="55371" spans="7:16" s="1634" customFormat="1">
      <c r="G55371" s="3336"/>
      <c r="P55371" s="3337"/>
    </row>
    <row r="55372" spans="7:16" s="1634" customFormat="1">
      <c r="G55372" s="3336"/>
      <c r="P55372" s="3337"/>
    </row>
    <row r="55373" spans="7:16" s="1634" customFormat="1">
      <c r="G55373" s="3336"/>
      <c r="P55373" s="3337"/>
    </row>
    <row r="55374" spans="7:16" s="1634" customFormat="1">
      <c r="G55374" s="3336"/>
      <c r="P55374" s="3337"/>
    </row>
    <row r="55375" spans="7:16" s="1634" customFormat="1">
      <c r="G55375" s="3336"/>
      <c r="P55375" s="3337"/>
    </row>
    <row r="55376" spans="7:16" s="1634" customFormat="1">
      <c r="G55376" s="3336"/>
      <c r="P55376" s="3337"/>
    </row>
    <row r="55377" spans="7:16" s="1634" customFormat="1">
      <c r="G55377" s="3336"/>
      <c r="P55377" s="3337"/>
    </row>
    <row r="55378" spans="7:16" s="1634" customFormat="1">
      <c r="G55378" s="3336"/>
      <c r="P55378" s="3337"/>
    </row>
    <row r="55379" spans="7:16" s="1634" customFormat="1">
      <c r="G55379" s="3336"/>
      <c r="P55379" s="3337"/>
    </row>
    <row r="55380" spans="7:16" s="1634" customFormat="1">
      <c r="G55380" s="3336"/>
      <c r="P55380" s="3337"/>
    </row>
    <row r="55381" spans="7:16" s="1634" customFormat="1">
      <c r="G55381" s="3336"/>
      <c r="P55381" s="3337"/>
    </row>
    <row r="55382" spans="7:16" s="1634" customFormat="1">
      <c r="G55382" s="3336"/>
      <c r="P55382" s="3337"/>
    </row>
    <row r="55383" spans="7:16" s="1634" customFormat="1">
      <c r="G55383" s="3336"/>
      <c r="P55383" s="3337"/>
    </row>
    <row r="55384" spans="7:16" s="1634" customFormat="1">
      <c r="G55384" s="3336"/>
      <c r="P55384" s="3337"/>
    </row>
    <row r="55385" spans="7:16" s="1634" customFormat="1">
      <c r="G55385" s="3336"/>
      <c r="P55385" s="3337"/>
    </row>
    <row r="55386" spans="7:16" s="1634" customFormat="1">
      <c r="G55386" s="3336"/>
      <c r="P55386" s="3337"/>
    </row>
    <row r="55387" spans="7:16" s="1634" customFormat="1">
      <c r="G55387" s="3336"/>
      <c r="P55387" s="3337"/>
    </row>
    <row r="55388" spans="7:16" s="1634" customFormat="1">
      <c r="G55388" s="3336"/>
      <c r="P55388" s="3337"/>
    </row>
    <row r="55389" spans="7:16" s="1634" customFormat="1">
      <c r="G55389" s="3336"/>
      <c r="P55389" s="3337"/>
    </row>
    <row r="55390" spans="7:16" s="1634" customFormat="1">
      <c r="G55390" s="3336"/>
      <c r="P55390" s="3337"/>
    </row>
    <row r="55391" spans="7:16" s="1634" customFormat="1">
      <c r="G55391" s="3336"/>
      <c r="P55391" s="3337"/>
    </row>
    <row r="55392" spans="7:16" s="1634" customFormat="1">
      <c r="G55392" s="3336"/>
      <c r="P55392" s="3337"/>
    </row>
    <row r="55393" spans="7:16" s="1634" customFormat="1">
      <c r="G55393" s="3336"/>
      <c r="P55393" s="3337"/>
    </row>
    <row r="55394" spans="7:16" s="1634" customFormat="1">
      <c r="G55394" s="3336"/>
      <c r="P55394" s="3337"/>
    </row>
    <row r="55395" spans="7:16" s="1634" customFormat="1">
      <c r="G55395" s="3336"/>
      <c r="P55395" s="3337"/>
    </row>
    <row r="55396" spans="7:16" s="1634" customFormat="1">
      <c r="G55396" s="3336"/>
      <c r="P55396" s="3337"/>
    </row>
    <row r="55397" spans="7:16" s="1634" customFormat="1">
      <c r="G55397" s="3336"/>
      <c r="P55397" s="3337"/>
    </row>
    <row r="55398" spans="7:16" s="1634" customFormat="1">
      <c r="G55398" s="3336"/>
      <c r="P55398" s="3337"/>
    </row>
    <row r="55399" spans="7:16" s="1634" customFormat="1">
      <c r="G55399" s="3336"/>
      <c r="P55399" s="3337"/>
    </row>
    <row r="55400" spans="7:16" s="1634" customFormat="1">
      <c r="G55400" s="3336"/>
      <c r="P55400" s="3337"/>
    </row>
    <row r="55401" spans="7:16" s="1634" customFormat="1">
      <c r="G55401" s="3336"/>
      <c r="P55401" s="3337"/>
    </row>
    <row r="55402" spans="7:16" s="1634" customFormat="1">
      <c r="G55402" s="3336"/>
      <c r="P55402" s="3337"/>
    </row>
    <row r="55403" spans="7:16" s="1634" customFormat="1">
      <c r="G55403" s="3336"/>
      <c r="P55403" s="3337"/>
    </row>
    <row r="55404" spans="7:16" s="1634" customFormat="1">
      <c r="G55404" s="3336"/>
      <c r="P55404" s="3337"/>
    </row>
    <row r="55405" spans="7:16" s="1634" customFormat="1">
      <c r="G55405" s="3336"/>
      <c r="P55405" s="3337"/>
    </row>
    <row r="55406" spans="7:16" s="1634" customFormat="1">
      <c r="G55406" s="3336"/>
      <c r="P55406" s="3337"/>
    </row>
    <row r="55407" spans="7:16" s="1634" customFormat="1">
      <c r="G55407" s="3336"/>
      <c r="P55407" s="3337"/>
    </row>
    <row r="55408" spans="7:16" s="1634" customFormat="1">
      <c r="G55408" s="3336"/>
      <c r="P55408" s="3337"/>
    </row>
    <row r="55409" spans="7:16" s="1634" customFormat="1">
      <c r="G55409" s="3336"/>
      <c r="P55409" s="3337"/>
    </row>
    <row r="55410" spans="7:16" s="1634" customFormat="1">
      <c r="G55410" s="3336"/>
      <c r="P55410" s="3337"/>
    </row>
    <row r="55411" spans="7:16" s="1634" customFormat="1">
      <c r="G55411" s="3336"/>
      <c r="P55411" s="3337"/>
    </row>
    <row r="55412" spans="7:16" s="1634" customFormat="1">
      <c r="G55412" s="3336"/>
      <c r="P55412" s="3337"/>
    </row>
    <row r="55413" spans="7:16" s="1634" customFormat="1">
      <c r="G55413" s="3336"/>
      <c r="P55413" s="3337"/>
    </row>
    <row r="55414" spans="7:16" s="1634" customFormat="1">
      <c r="G55414" s="3336"/>
      <c r="P55414" s="3337"/>
    </row>
    <row r="55415" spans="7:16" s="1634" customFormat="1">
      <c r="G55415" s="3336"/>
      <c r="P55415" s="3337"/>
    </row>
    <row r="55416" spans="7:16" s="1634" customFormat="1">
      <c r="G55416" s="3336"/>
      <c r="P55416" s="3337"/>
    </row>
    <row r="55417" spans="7:16" s="1634" customFormat="1">
      <c r="G55417" s="3336"/>
      <c r="P55417" s="3337"/>
    </row>
    <row r="55418" spans="7:16" s="1634" customFormat="1">
      <c r="G55418" s="3336"/>
      <c r="P55418" s="3337"/>
    </row>
    <row r="55419" spans="7:16" s="1634" customFormat="1">
      <c r="G55419" s="3336"/>
      <c r="P55419" s="3337"/>
    </row>
    <row r="55420" spans="7:16" s="1634" customFormat="1">
      <c r="G55420" s="3336"/>
      <c r="P55420" s="3337"/>
    </row>
    <row r="55421" spans="7:16" s="1634" customFormat="1">
      <c r="G55421" s="3336"/>
      <c r="P55421" s="3337"/>
    </row>
    <row r="55422" spans="7:16" s="1634" customFormat="1">
      <c r="G55422" s="3336"/>
      <c r="P55422" s="3337"/>
    </row>
    <row r="55423" spans="7:16" s="1634" customFormat="1">
      <c r="G55423" s="3336"/>
      <c r="P55423" s="3337"/>
    </row>
    <row r="55424" spans="7:16" s="1634" customFormat="1">
      <c r="G55424" s="3336"/>
      <c r="P55424" s="3337"/>
    </row>
    <row r="55425" spans="7:16" s="1634" customFormat="1">
      <c r="G55425" s="3336"/>
      <c r="P55425" s="3337"/>
    </row>
    <row r="55426" spans="7:16" s="1634" customFormat="1">
      <c r="G55426" s="3336"/>
      <c r="P55426" s="3337"/>
    </row>
    <row r="55427" spans="7:16" s="1634" customFormat="1">
      <c r="G55427" s="3336"/>
      <c r="P55427" s="3337"/>
    </row>
    <row r="55428" spans="7:16" s="1634" customFormat="1">
      <c r="G55428" s="3336"/>
      <c r="P55428" s="3337"/>
    </row>
    <row r="55429" spans="7:16" s="1634" customFormat="1">
      <c r="G55429" s="3336"/>
      <c r="P55429" s="3337"/>
    </row>
    <row r="55430" spans="7:16" s="1634" customFormat="1">
      <c r="G55430" s="3336"/>
      <c r="P55430" s="3337"/>
    </row>
    <row r="55431" spans="7:16" s="1634" customFormat="1">
      <c r="G55431" s="3336"/>
      <c r="P55431" s="3337"/>
    </row>
    <row r="55432" spans="7:16" s="1634" customFormat="1">
      <c r="G55432" s="3336"/>
      <c r="P55432" s="3337"/>
    </row>
    <row r="55433" spans="7:16" s="1634" customFormat="1">
      <c r="G55433" s="3336"/>
      <c r="P55433" s="3337"/>
    </row>
    <row r="55434" spans="7:16" s="1634" customFormat="1">
      <c r="G55434" s="3336"/>
      <c r="P55434" s="3337"/>
    </row>
    <row r="55435" spans="7:16" s="1634" customFormat="1">
      <c r="G55435" s="3336"/>
      <c r="P55435" s="3337"/>
    </row>
    <row r="55436" spans="7:16" s="1634" customFormat="1">
      <c r="G55436" s="3336"/>
      <c r="P55436" s="3337"/>
    </row>
    <row r="55437" spans="7:16" s="1634" customFormat="1">
      <c r="G55437" s="3336"/>
      <c r="P55437" s="3337"/>
    </row>
    <row r="55438" spans="7:16" s="1634" customFormat="1">
      <c r="G55438" s="3336"/>
      <c r="P55438" s="3337"/>
    </row>
    <row r="55439" spans="7:16" s="1634" customFormat="1">
      <c r="G55439" s="3336"/>
      <c r="P55439" s="3337"/>
    </row>
    <row r="55440" spans="7:16" s="1634" customFormat="1">
      <c r="G55440" s="3336"/>
      <c r="P55440" s="3337"/>
    </row>
    <row r="55441" spans="7:16" s="1634" customFormat="1">
      <c r="G55441" s="3336"/>
      <c r="P55441" s="3337"/>
    </row>
    <row r="55442" spans="7:16" s="1634" customFormat="1">
      <c r="G55442" s="3336"/>
      <c r="P55442" s="3337"/>
    </row>
    <row r="55443" spans="7:16" s="1634" customFormat="1">
      <c r="G55443" s="3336"/>
      <c r="P55443" s="3337"/>
    </row>
    <row r="55444" spans="7:16" s="1634" customFormat="1">
      <c r="G55444" s="3336"/>
      <c r="P55444" s="3337"/>
    </row>
    <row r="55445" spans="7:16" s="1634" customFormat="1">
      <c r="G55445" s="3336"/>
      <c r="P55445" s="3337"/>
    </row>
    <row r="55446" spans="7:16" s="1634" customFormat="1">
      <c r="G55446" s="3336"/>
      <c r="P55446" s="3337"/>
    </row>
    <row r="55447" spans="7:16" s="1634" customFormat="1">
      <c r="G55447" s="3336"/>
      <c r="P55447" s="3337"/>
    </row>
    <row r="55448" spans="7:16" s="1634" customFormat="1">
      <c r="G55448" s="3336"/>
      <c r="P55448" s="3337"/>
    </row>
    <row r="55449" spans="7:16" s="1634" customFormat="1">
      <c r="G55449" s="3336"/>
      <c r="P55449" s="3337"/>
    </row>
    <row r="55450" spans="7:16" s="1634" customFormat="1">
      <c r="G55450" s="3336"/>
      <c r="P55450" s="3337"/>
    </row>
    <row r="55451" spans="7:16" s="1634" customFormat="1">
      <c r="G55451" s="3336"/>
      <c r="P55451" s="3337"/>
    </row>
    <row r="55452" spans="7:16" s="1634" customFormat="1">
      <c r="G55452" s="3336"/>
      <c r="P55452" s="3337"/>
    </row>
    <row r="55453" spans="7:16" s="1634" customFormat="1">
      <c r="G55453" s="3336"/>
      <c r="P55453" s="3337"/>
    </row>
    <row r="55454" spans="7:16" s="1634" customFormat="1">
      <c r="G55454" s="3336"/>
      <c r="P55454" s="3337"/>
    </row>
    <row r="55455" spans="7:16" s="1634" customFormat="1">
      <c r="G55455" s="3336"/>
      <c r="P55455" s="3337"/>
    </row>
    <row r="55456" spans="7:16" s="1634" customFormat="1">
      <c r="G55456" s="3336"/>
      <c r="P55456" s="3337"/>
    </row>
    <row r="55457" spans="7:16" s="1634" customFormat="1">
      <c r="G55457" s="3336"/>
      <c r="P55457" s="3337"/>
    </row>
    <row r="55458" spans="7:16" s="1634" customFormat="1">
      <c r="G55458" s="3336"/>
      <c r="P55458" s="3337"/>
    </row>
    <row r="55459" spans="7:16" s="1634" customFormat="1">
      <c r="G55459" s="3336"/>
      <c r="P55459" s="3337"/>
    </row>
    <row r="55460" spans="7:16" s="1634" customFormat="1">
      <c r="G55460" s="3336"/>
      <c r="P55460" s="3337"/>
    </row>
    <row r="55461" spans="7:16" s="1634" customFormat="1">
      <c r="G55461" s="3336"/>
      <c r="P55461" s="3337"/>
    </row>
    <row r="55462" spans="7:16" s="1634" customFormat="1">
      <c r="G55462" s="3336"/>
      <c r="P55462" s="3337"/>
    </row>
    <row r="55463" spans="7:16" s="1634" customFormat="1">
      <c r="G55463" s="3336"/>
      <c r="P55463" s="3337"/>
    </row>
    <row r="55464" spans="7:16" s="1634" customFormat="1">
      <c r="G55464" s="3336"/>
      <c r="P55464" s="3337"/>
    </row>
    <row r="55465" spans="7:16" s="1634" customFormat="1">
      <c r="G55465" s="3336"/>
      <c r="P55465" s="3337"/>
    </row>
    <row r="55466" spans="7:16" s="1634" customFormat="1">
      <c r="G55466" s="3336"/>
      <c r="P55466" s="3337"/>
    </row>
    <row r="55467" spans="7:16" s="1634" customFormat="1">
      <c r="G55467" s="3336"/>
      <c r="P55467" s="3337"/>
    </row>
    <row r="55468" spans="7:16" s="1634" customFormat="1">
      <c r="G55468" s="3336"/>
      <c r="P55468" s="3337"/>
    </row>
    <row r="55469" spans="7:16" s="1634" customFormat="1">
      <c r="G55469" s="3336"/>
      <c r="P55469" s="3337"/>
    </row>
    <row r="55470" spans="7:16" s="1634" customFormat="1">
      <c r="G55470" s="3336"/>
      <c r="P55470" s="3337"/>
    </row>
    <row r="55471" spans="7:16" s="1634" customFormat="1">
      <c r="G55471" s="3336"/>
      <c r="P55471" s="3337"/>
    </row>
    <row r="55472" spans="7:16" s="1634" customFormat="1">
      <c r="G55472" s="3336"/>
      <c r="P55472" s="3337"/>
    </row>
    <row r="55473" spans="7:16" s="1634" customFormat="1">
      <c r="G55473" s="3336"/>
      <c r="P55473" s="3337"/>
    </row>
    <row r="55474" spans="7:16" s="1634" customFormat="1">
      <c r="G55474" s="3336"/>
      <c r="P55474" s="3337"/>
    </row>
    <row r="55475" spans="7:16" s="1634" customFormat="1">
      <c r="G55475" s="3336"/>
      <c r="P55475" s="3337"/>
    </row>
    <row r="55476" spans="7:16" s="1634" customFormat="1">
      <c r="G55476" s="3336"/>
      <c r="P55476" s="3337"/>
    </row>
    <row r="55477" spans="7:16" s="1634" customFormat="1">
      <c r="G55477" s="3336"/>
      <c r="P55477" s="3337"/>
    </row>
    <row r="55478" spans="7:16" s="1634" customFormat="1">
      <c r="G55478" s="3336"/>
      <c r="P55478" s="3337"/>
    </row>
    <row r="55479" spans="7:16" s="1634" customFormat="1">
      <c r="G55479" s="3336"/>
      <c r="P55479" s="3337"/>
    </row>
    <row r="55480" spans="7:16" s="1634" customFormat="1">
      <c r="G55480" s="3336"/>
      <c r="P55480" s="3337"/>
    </row>
    <row r="55481" spans="7:16" s="1634" customFormat="1">
      <c r="G55481" s="3336"/>
      <c r="P55481" s="3337"/>
    </row>
    <row r="55482" spans="7:16" s="1634" customFormat="1">
      <c r="G55482" s="3336"/>
      <c r="P55482" s="3337"/>
    </row>
    <row r="55483" spans="7:16" s="1634" customFormat="1">
      <c r="G55483" s="3336"/>
      <c r="P55483" s="3337"/>
    </row>
    <row r="55484" spans="7:16" s="1634" customFormat="1">
      <c r="G55484" s="3336"/>
      <c r="P55484" s="3337"/>
    </row>
    <row r="55485" spans="7:16" s="1634" customFormat="1">
      <c r="G55485" s="3336"/>
      <c r="P55485" s="3337"/>
    </row>
    <row r="55486" spans="7:16" s="1634" customFormat="1">
      <c r="G55486" s="3336"/>
      <c r="P55486" s="3337"/>
    </row>
    <row r="55487" spans="7:16" s="1634" customFormat="1">
      <c r="G55487" s="3336"/>
      <c r="P55487" s="3337"/>
    </row>
    <row r="55488" spans="7:16" s="1634" customFormat="1">
      <c r="G55488" s="3336"/>
      <c r="P55488" s="3337"/>
    </row>
    <row r="55489" spans="7:16" s="1634" customFormat="1">
      <c r="G55489" s="3336"/>
      <c r="P55489" s="3337"/>
    </row>
    <row r="55490" spans="7:16" s="1634" customFormat="1">
      <c r="G55490" s="3336"/>
      <c r="P55490" s="3337"/>
    </row>
    <row r="55491" spans="7:16" s="1634" customFormat="1">
      <c r="G55491" s="3336"/>
      <c r="P55491" s="3337"/>
    </row>
    <row r="55492" spans="7:16" s="1634" customFormat="1">
      <c r="G55492" s="3336"/>
      <c r="P55492" s="3337"/>
    </row>
    <row r="55493" spans="7:16" s="1634" customFormat="1">
      <c r="G55493" s="3336"/>
      <c r="P55493" s="3337"/>
    </row>
    <row r="55494" spans="7:16" s="1634" customFormat="1">
      <c r="G55494" s="3336"/>
      <c r="P55494" s="3337"/>
    </row>
    <row r="55495" spans="7:16" s="1634" customFormat="1">
      <c r="G55495" s="3336"/>
      <c r="P55495" s="3337"/>
    </row>
    <row r="55496" spans="7:16" s="1634" customFormat="1">
      <c r="G55496" s="3336"/>
      <c r="P55496" s="3337"/>
    </row>
    <row r="55497" spans="7:16" s="1634" customFormat="1">
      <c r="G55497" s="3336"/>
      <c r="P55497" s="3337"/>
    </row>
    <row r="55498" spans="7:16" s="1634" customFormat="1">
      <c r="G55498" s="3336"/>
      <c r="P55498" s="3337"/>
    </row>
    <row r="55499" spans="7:16" s="1634" customFormat="1">
      <c r="G55499" s="3336"/>
      <c r="P55499" s="3337"/>
    </row>
    <row r="55500" spans="7:16" s="1634" customFormat="1">
      <c r="G55500" s="3336"/>
      <c r="P55500" s="3337"/>
    </row>
    <row r="55501" spans="7:16" s="1634" customFormat="1">
      <c r="G55501" s="3336"/>
      <c r="P55501" s="3337"/>
    </row>
    <row r="55502" spans="7:16" s="1634" customFormat="1">
      <c r="G55502" s="3336"/>
      <c r="P55502" s="3337"/>
    </row>
    <row r="55503" spans="7:16" s="1634" customFormat="1">
      <c r="G55503" s="3336"/>
      <c r="P55503" s="3337"/>
    </row>
    <row r="55504" spans="7:16" s="1634" customFormat="1">
      <c r="G55504" s="3336"/>
      <c r="P55504" s="3337"/>
    </row>
    <row r="55505" spans="7:16" s="1634" customFormat="1">
      <c r="G55505" s="3336"/>
      <c r="P55505" s="3337"/>
    </row>
    <row r="55506" spans="7:16" s="1634" customFormat="1">
      <c r="G55506" s="3336"/>
      <c r="P55506" s="3337"/>
    </row>
    <row r="55507" spans="7:16" s="1634" customFormat="1">
      <c r="G55507" s="3336"/>
      <c r="P55507" s="3337"/>
    </row>
    <row r="55508" spans="7:16" s="1634" customFormat="1">
      <c r="G55508" s="3336"/>
      <c r="P55508" s="3337"/>
    </row>
    <row r="55509" spans="7:16" s="1634" customFormat="1">
      <c r="G55509" s="3336"/>
      <c r="P55509" s="3337"/>
    </row>
    <row r="55510" spans="7:16" s="1634" customFormat="1">
      <c r="G55510" s="3336"/>
      <c r="P55510" s="3337"/>
    </row>
    <row r="55511" spans="7:16" s="1634" customFormat="1">
      <c r="G55511" s="3336"/>
      <c r="P55511" s="3337"/>
    </row>
    <row r="55512" spans="7:16" s="1634" customFormat="1">
      <c r="G55512" s="3336"/>
      <c r="P55512" s="3337"/>
    </row>
    <row r="55513" spans="7:16" s="1634" customFormat="1">
      <c r="G55513" s="3336"/>
      <c r="P55513" s="3337"/>
    </row>
    <row r="55514" spans="7:16" s="1634" customFormat="1">
      <c r="G55514" s="3336"/>
      <c r="P55514" s="3337"/>
    </row>
    <row r="55515" spans="7:16" s="1634" customFormat="1">
      <c r="G55515" s="3336"/>
      <c r="P55515" s="3337"/>
    </row>
    <row r="55516" spans="7:16" s="1634" customFormat="1">
      <c r="G55516" s="3336"/>
      <c r="P55516" s="3337"/>
    </row>
    <row r="55517" spans="7:16" s="1634" customFormat="1">
      <c r="G55517" s="3336"/>
      <c r="P55517" s="3337"/>
    </row>
    <row r="55518" spans="7:16" s="1634" customFormat="1">
      <c r="G55518" s="3336"/>
      <c r="P55518" s="3337"/>
    </row>
    <row r="55519" spans="7:16" s="1634" customFormat="1">
      <c r="G55519" s="3336"/>
      <c r="P55519" s="3337"/>
    </row>
    <row r="55520" spans="7:16" s="1634" customFormat="1">
      <c r="G55520" s="3336"/>
      <c r="P55520" s="3337"/>
    </row>
    <row r="55521" spans="7:16" s="1634" customFormat="1">
      <c r="G55521" s="3336"/>
      <c r="P55521" s="3337"/>
    </row>
    <row r="55522" spans="7:16" s="1634" customFormat="1">
      <c r="G55522" s="3336"/>
      <c r="P55522" s="3337"/>
    </row>
    <row r="55523" spans="7:16" s="1634" customFormat="1">
      <c r="G55523" s="3336"/>
      <c r="P55523" s="3337"/>
    </row>
    <row r="55524" spans="7:16" s="1634" customFormat="1">
      <c r="G55524" s="3336"/>
      <c r="P55524" s="3337"/>
    </row>
    <row r="55525" spans="7:16" s="1634" customFormat="1">
      <c r="G55525" s="3336"/>
      <c r="P55525" s="3337"/>
    </row>
    <row r="55526" spans="7:16" s="1634" customFormat="1">
      <c r="G55526" s="3336"/>
      <c r="P55526" s="3337"/>
    </row>
    <row r="55527" spans="7:16" s="1634" customFormat="1">
      <c r="G55527" s="3336"/>
      <c r="P55527" s="3337"/>
    </row>
    <row r="55528" spans="7:16" s="1634" customFormat="1">
      <c r="G55528" s="3336"/>
      <c r="P55528" s="3337"/>
    </row>
    <row r="55529" spans="7:16" s="1634" customFormat="1">
      <c r="G55529" s="3336"/>
      <c r="P55529" s="3337"/>
    </row>
    <row r="55530" spans="7:16" s="1634" customFormat="1">
      <c r="G55530" s="3336"/>
      <c r="P55530" s="3337"/>
    </row>
    <row r="55531" spans="7:16" s="1634" customFormat="1">
      <c r="G55531" s="3336"/>
      <c r="P55531" s="3337"/>
    </row>
    <row r="55532" spans="7:16" s="1634" customFormat="1">
      <c r="G55532" s="3336"/>
      <c r="P55532" s="3337"/>
    </row>
    <row r="55533" spans="7:16" s="1634" customFormat="1">
      <c r="G55533" s="3336"/>
      <c r="P55533" s="3337"/>
    </row>
    <row r="55534" spans="7:16" s="1634" customFormat="1">
      <c r="G55534" s="3336"/>
      <c r="P55534" s="3337"/>
    </row>
    <row r="55535" spans="7:16" s="1634" customFormat="1">
      <c r="G55535" s="3336"/>
      <c r="P55535" s="3337"/>
    </row>
    <row r="55536" spans="7:16" s="1634" customFormat="1">
      <c r="G55536" s="3336"/>
      <c r="P55536" s="3337"/>
    </row>
    <row r="55537" spans="7:16" s="1634" customFormat="1">
      <c r="G55537" s="3336"/>
      <c r="P55537" s="3337"/>
    </row>
    <row r="55538" spans="7:16" s="1634" customFormat="1">
      <c r="G55538" s="3336"/>
      <c r="P55538" s="3337"/>
    </row>
    <row r="55539" spans="7:16" s="1634" customFormat="1">
      <c r="G55539" s="3336"/>
      <c r="P55539" s="3337"/>
    </row>
    <row r="55540" spans="7:16" s="1634" customFormat="1">
      <c r="G55540" s="3336"/>
      <c r="P55540" s="3337"/>
    </row>
    <row r="55541" spans="7:16" s="1634" customFormat="1">
      <c r="G55541" s="3336"/>
      <c r="P55541" s="3337"/>
    </row>
    <row r="55542" spans="7:16" s="1634" customFormat="1">
      <c r="G55542" s="3336"/>
      <c r="P55542" s="3337"/>
    </row>
    <row r="55543" spans="7:16" s="1634" customFormat="1">
      <c r="G55543" s="3336"/>
      <c r="P55543" s="3337"/>
    </row>
    <row r="55544" spans="7:16" s="1634" customFormat="1">
      <c r="G55544" s="3336"/>
      <c r="P55544" s="3337"/>
    </row>
    <row r="55545" spans="7:16" s="1634" customFormat="1">
      <c r="G55545" s="3336"/>
      <c r="P55545" s="3337"/>
    </row>
    <row r="55546" spans="7:16" s="1634" customFormat="1">
      <c r="G55546" s="3336"/>
      <c r="P55546" s="3337"/>
    </row>
    <row r="55547" spans="7:16" s="1634" customFormat="1">
      <c r="G55547" s="3336"/>
      <c r="P55547" s="3337"/>
    </row>
    <row r="55548" spans="7:16" s="1634" customFormat="1">
      <c r="G55548" s="3336"/>
      <c r="P55548" s="3337"/>
    </row>
    <row r="55549" spans="7:16" s="1634" customFormat="1">
      <c r="G55549" s="3336"/>
      <c r="P55549" s="3337"/>
    </row>
    <row r="55550" spans="7:16" s="1634" customFormat="1">
      <c r="G55550" s="3336"/>
      <c r="P55550" s="3337"/>
    </row>
    <row r="55551" spans="7:16" s="1634" customFormat="1">
      <c r="G55551" s="3336"/>
      <c r="P55551" s="3337"/>
    </row>
    <row r="55552" spans="7:16" s="1634" customFormat="1">
      <c r="G55552" s="3336"/>
      <c r="P55552" s="3337"/>
    </row>
    <row r="55553" spans="7:16" s="1634" customFormat="1">
      <c r="G55553" s="3336"/>
      <c r="P55553" s="3337"/>
    </row>
    <row r="55554" spans="7:16" s="1634" customFormat="1">
      <c r="G55554" s="3336"/>
      <c r="P55554" s="3337"/>
    </row>
    <row r="55555" spans="7:16" s="1634" customFormat="1">
      <c r="G55555" s="3336"/>
      <c r="P55555" s="3337"/>
    </row>
    <row r="55556" spans="7:16" s="1634" customFormat="1">
      <c r="G55556" s="3336"/>
      <c r="P55556" s="3337"/>
    </row>
    <row r="55557" spans="7:16" s="1634" customFormat="1">
      <c r="G55557" s="3336"/>
      <c r="P55557" s="3337"/>
    </row>
    <row r="55558" spans="7:16" s="1634" customFormat="1">
      <c r="G55558" s="3336"/>
      <c r="P55558" s="3337"/>
    </row>
    <row r="55559" spans="7:16" s="1634" customFormat="1">
      <c r="G55559" s="3336"/>
      <c r="P55559" s="3337"/>
    </row>
    <row r="55560" spans="7:16" s="1634" customFormat="1">
      <c r="G55560" s="3336"/>
      <c r="P55560" s="3337"/>
    </row>
    <row r="55561" spans="7:16" s="1634" customFormat="1">
      <c r="G55561" s="3336"/>
      <c r="P55561" s="3337"/>
    </row>
    <row r="55562" spans="7:16" s="1634" customFormat="1">
      <c r="G55562" s="3336"/>
      <c r="P55562" s="3337"/>
    </row>
    <row r="55563" spans="7:16" s="1634" customFormat="1">
      <c r="G55563" s="3336"/>
      <c r="P55563" s="3337"/>
    </row>
    <row r="55564" spans="7:16" s="1634" customFormat="1">
      <c r="G55564" s="3336"/>
      <c r="P55564" s="3337"/>
    </row>
    <row r="55565" spans="7:16" s="1634" customFormat="1">
      <c r="G55565" s="3336"/>
      <c r="P55565" s="3337"/>
    </row>
    <row r="55566" spans="7:16" s="1634" customFormat="1">
      <c r="G55566" s="3336"/>
      <c r="P55566" s="3337"/>
    </row>
    <row r="55567" spans="7:16" s="1634" customFormat="1">
      <c r="G55567" s="3336"/>
      <c r="P55567" s="3337"/>
    </row>
    <row r="55568" spans="7:16" s="1634" customFormat="1">
      <c r="G55568" s="3336"/>
      <c r="P55568" s="3337"/>
    </row>
    <row r="55569" spans="7:16" s="1634" customFormat="1">
      <c r="G55569" s="3336"/>
      <c r="P55569" s="3337"/>
    </row>
    <row r="55570" spans="7:16" s="1634" customFormat="1">
      <c r="G55570" s="3336"/>
      <c r="P55570" s="3337"/>
    </row>
    <row r="55571" spans="7:16" s="1634" customFormat="1">
      <c r="G55571" s="3336"/>
      <c r="P55571" s="3337"/>
    </row>
    <row r="55572" spans="7:16" s="1634" customFormat="1">
      <c r="G55572" s="3336"/>
      <c r="P55572" s="3337"/>
    </row>
    <row r="55573" spans="7:16" s="1634" customFormat="1">
      <c r="G55573" s="3336"/>
      <c r="P55573" s="3337"/>
    </row>
    <row r="55574" spans="7:16" s="1634" customFormat="1">
      <c r="G55574" s="3336"/>
      <c r="P55574" s="3337"/>
    </row>
    <row r="55575" spans="7:16" s="1634" customFormat="1">
      <c r="G55575" s="3336"/>
      <c r="P55575" s="3337"/>
    </row>
    <row r="55576" spans="7:16" s="1634" customFormat="1">
      <c r="G55576" s="3336"/>
      <c r="P55576" s="3337"/>
    </row>
    <row r="55577" spans="7:16" s="1634" customFormat="1">
      <c r="G55577" s="3336"/>
      <c r="P55577" s="3337"/>
    </row>
    <row r="55578" spans="7:16" s="1634" customFormat="1">
      <c r="G55578" s="3336"/>
      <c r="P55578" s="3337"/>
    </row>
    <row r="55579" spans="7:16" s="1634" customFormat="1">
      <c r="G55579" s="3336"/>
      <c r="P55579" s="3337"/>
    </row>
    <row r="55580" spans="7:16" s="1634" customFormat="1">
      <c r="G55580" s="3336"/>
      <c r="P55580" s="3337"/>
    </row>
    <row r="55581" spans="7:16" s="1634" customFormat="1">
      <c r="G55581" s="3336"/>
      <c r="P55581" s="3337"/>
    </row>
    <row r="55582" spans="7:16" s="1634" customFormat="1">
      <c r="G55582" s="3336"/>
      <c r="P55582" s="3337"/>
    </row>
    <row r="55583" spans="7:16" s="1634" customFormat="1">
      <c r="G55583" s="3336"/>
      <c r="P55583" s="3337"/>
    </row>
    <row r="55584" spans="7:16" s="1634" customFormat="1">
      <c r="G55584" s="3336"/>
      <c r="P55584" s="3337"/>
    </row>
    <row r="55585" spans="7:16" s="1634" customFormat="1">
      <c r="G55585" s="3336"/>
      <c r="P55585" s="3337"/>
    </row>
    <row r="55586" spans="7:16" s="1634" customFormat="1">
      <c r="G55586" s="3336"/>
      <c r="P55586" s="3337"/>
    </row>
    <row r="55587" spans="7:16" s="1634" customFormat="1">
      <c r="G55587" s="3336"/>
      <c r="P55587" s="3337"/>
    </row>
    <row r="55588" spans="7:16" s="1634" customFormat="1">
      <c r="G55588" s="3336"/>
      <c r="P55588" s="3337"/>
    </row>
    <row r="55589" spans="7:16" s="1634" customFormat="1">
      <c r="G55589" s="3336"/>
      <c r="P55589" s="3337"/>
    </row>
    <row r="55590" spans="7:16" s="1634" customFormat="1">
      <c r="G55590" s="3336"/>
      <c r="P55590" s="3337"/>
    </row>
    <row r="55591" spans="7:16" s="1634" customFormat="1">
      <c r="G55591" s="3336"/>
      <c r="P55591" s="3337"/>
    </row>
    <row r="55592" spans="7:16" s="1634" customFormat="1">
      <c r="G55592" s="3336"/>
      <c r="P55592" s="3337"/>
    </row>
    <row r="55593" spans="7:16" s="1634" customFormat="1">
      <c r="G55593" s="3336"/>
      <c r="P55593" s="3337"/>
    </row>
    <row r="55594" spans="7:16" s="1634" customFormat="1">
      <c r="G55594" s="3336"/>
      <c r="P55594" s="3337"/>
    </row>
    <row r="55595" spans="7:16" s="1634" customFormat="1">
      <c r="G55595" s="3336"/>
      <c r="P55595" s="3337"/>
    </row>
    <row r="55596" spans="7:16" s="1634" customFormat="1">
      <c r="G55596" s="3336"/>
      <c r="P55596" s="3337"/>
    </row>
    <row r="55597" spans="7:16" s="1634" customFormat="1">
      <c r="G55597" s="3336"/>
      <c r="P55597" s="3337"/>
    </row>
    <row r="55598" spans="7:16" s="1634" customFormat="1">
      <c r="G55598" s="3336"/>
      <c r="P55598" s="3337"/>
    </row>
    <row r="55599" spans="7:16" s="1634" customFormat="1">
      <c r="G55599" s="3336"/>
      <c r="P55599" s="3337"/>
    </row>
    <row r="55600" spans="7:16" s="1634" customFormat="1">
      <c r="G55600" s="3336"/>
      <c r="P55600" s="3337"/>
    </row>
    <row r="55601" spans="7:16" s="1634" customFormat="1">
      <c r="G55601" s="3336"/>
      <c r="P55601" s="3337"/>
    </row>
    <row r="55602" spans="7:16" s="1634" customFormat="1">
      <c r="G55602" s="3336"/>
      <c r="P55602" s="3337"/>
    </row>
    <row r="55603" spans="7:16" s="1634" customFormat="1">
      <c r="G55603" s="3336"/>
      <c r="P55603" s="3337"/>
    </row>
    <row r="55604" spans="7:16" s="1634" customFormat="1">
      <c r="G55604" s="3336"/>
      <c r="P55604" s="3337"/>
    </row>
    <row r="55605" spans="7:16" s="1634" customFormat="1">
      <c r="G55605" s="3336"/>
      <c r="P55605" s="3337"/>
    </row>
    <row r="55606" spans="7:16" s="1634" customFormat="1">
      <c r="G55606" s="3336"/>
      <c r="P55606" s="3337"/>
    </row>
    <row r="55607" spans="7:16" s="1634" customFormat="1">
      <c r="G55607" s="3336"/>
      <c r="P55607" s="3337"/>
    </row>
    <row r="55608" spans="7:16" s="1634" customFormat="1">
      <c r="G55608" s="3336"/>
      <c r="P55608" s="3337"/>
    </row>
    <row r="55609" spans="7:16" s="1634" customFormat="1">
      <c r="G55609" s="3336"/>
      <c r="P55609" s="3337"/>
    </row>
    <row r="55610" spans="7:16" s="1634" customFormat="1">
      <c r="G55610" s="3336"/>
      <c r="P55610" s="3337"/>
    </row>
    <row r="55611" spans="7:16" s="1634" customFormat="1">
      <c r="G55611" s="3336"/>
      <c r="P55611" s="3337"/>
    </row>
    <row r="55612" spans="7:16" s="1634" customFormat="1">
      <c r="G55612" s="3336"/>
      <c r="P55612" s="3337"/>
    </row>
    <row r="55613" spans="7:16" s="1634" customFormat="1">
      <c r="G55613" s="3336"/>
      <c r="P55613" s="3337"/>
    </row>
    <row r="55614" spans="7:16" s="1634" customFormat="1">
      <c r="G55614" s="3336"/>
      <c r="P55614" s="3337"/>
    </row>
    <row r="55615" spans="7:16" s="1634" customFormat="1">
      <c r="G55615" s="3336"/>
      <c r="P55615" s="3337"/>
    </row>
    <row r="55616" spans="7:16" s="1634" customFormat="1">
      <c r="G55616" s="3336"/>
      <c r="P55616" s="3337"/>
    </row>
    <row r="55617" spans="7:16" s="1634" customFormat="1">
      <c r="G55617" s="3336"/>
      <c r="P55617" s="3337"/>
    </row>
    <row r="55618" spans="7:16" s="1634" customFormat="1">
      <c r="G55618" s="3336"/>
      <c r="P55618" s="3337"/>
    </row>
    <row r="55619" spans="7:16" s="1634" customFormat="1">
      <c r="G55619" s="3336"/>
      <c r="P55619" s="3337"/>
    </row>
    <row r="55620" spans="7:16" s="1634" customFormat="1">
      <c r="G55620" s="3336"/>
      <c r="P55620" s="3337"/>
    </row>
    <row r="55621" spans="7:16" s="1634" customFormat="1">
      <c r="G55621" s="3336"/>
      <c r="P55621" s="3337"/>
    </row>
    <row r="55622" spans="7:16" s="1634" customFormat="1">
      <c r="G55622" s="3336"/>
      <c r="P55622" s="3337"/>
    </row>
    <row r="55623" spans="7:16" s="1634" customFormat="1">
      <c r="G55623" s="3336"/>
      <c r="P55623" s="3337"/>
    </row>
    <row r="55624" spans="7:16" s="1634" customFormat="1">
      <c r="G55624" s="3336"/>
      <c r="P55624" s="3337"/>
    </row>
    <row r="55625" spans="7:16" s="1634" customFormat="1">
      <c r="G55625" s="3336"/>
      <c r="P55625" s="3337"/>
    </row>
    <row r="55626" spans="7:16" s="1634" customFormat="1">
      <c r="G55626" s="3336"/>
      <c r="P55626" s="3337"/>
    </row>
    <row r="55627" spans="7:16" s="1634" customFormat="1">
      <c r="G55627" s="3336"/>
      <c r="P55627" s="3337"/>
    </row>
    <row r="55628" spans="7:16" s="1634" customFormat="1">
      <c r="G55628" s="3336"/>
      <c r="P55628" s="3337"/>
    </row>
    <row r="55629" spans="7:16" s="1634" customFormat="1">
      <c r="G55629" s="3336"/>
      <c r="P55629" s="3337"/>
    </row>
    <row r="55630" spans="7:16" s="1634" customFormat="1">
      <c r="G55630" s="3336"/>
      <c r="P55630" s="3337"/>
    </row>
    <row r="55631" spans="7:16" s="1634" customFormat="1">
      <c r="G55631" s="3336"/>
      <c r="P55631" s="3337"/>
    </row>
    <row r="55632" spans="7:16" s="1634" customFormat="1">
      <c r="G55632" s="3336"/>
      <c r="P55632" s="3337"/>
    </row>
    <row r="55633" spans="7:16" s="1634" customFormat="1">
      <c r="G55633" s="3336"/>
      <c r="P55633" s="3337"/>
    </row>
    <row r="55634" spans="7:16" s="1634" customFormat="1">
      <c r="G55634" s="3336"/>
      <c r="P55634" s="3337"/>
    </row>
    <row r="55635" spans="7:16" s="1634" customFormat="1">
      <c r="G55635" s="3336"/>
      <c r="P55635" s="3337"/>
    </row>
    <row r="55636" spans="7:16" s="1634" customFormat="1">
      <c r="G55636" s="3336"/>
      <c r="P55636" s="3337"/>
    </row>
    <row r="55637" spans="7:16" s="1634" customFormat="1">
      <c r="G55637" s="3336"/>
      <c r="P55637" s="3337"/>
    </row>
    <row r="55638" spans="7:16" s="1634" customFormat="1">
      <c r="G55638" s="3336"/>
      <c r="P55638" s="3337"/>
    </row>
    <row r="55639" spans="7:16" s="1634" customFormat="1">
      <c r="G55639" s="3336"/>
      <c r="P55639" s="3337"/>
    </row>
    <row r="55640" spans="7:16" s="1634" customFormat="1">
      <c r="G55640" s="3336"/>
      <c r="P55640" s="3337"/>
    </row>
    <row r="55641" spans="7:16" s="1634" customFormat="1">
      <c r="G55641" s="3336"/>
      <c r="P55641" s="3337"/>
    </row>
    <row r="55642" spans="7:16" s="1634" customFormat="1">
      <c r="G55642" s="3336"/>
      <c r="P55642" s="3337"/>
    </row>
    <row r="55643" spans="7:16" s="1634" customFormat="1">
      <c r="G55643" s="3336"/>
      <c r="P55643" s="3337"/>
    </row>
    <row r="55644" spans="7:16" s="1634" customFormat="1">
      <c r="G55644" s="3336"/>
      <c r="P55644" s="3337"/>
    </row>
    <row r="55645" spans="7:16" s="1634" customFormat="1">
      <c r="G55645" s="3336"/>
      <c r="P55645" s="3337"/>
    </row>
    <row r="55646" spans="7:16" s="1634" customFormat="1">
      <c r="G55646" s="3336"/>
      <c r="P55646" s="3337"/>
    </row>
    <row r="55647" spans="7:16" s="1634" customFormat="1">
      <c r="G55647" s="3336"/>
      <c r="P55647" s="3337"/>
    </row>
    <row r="55648" spans="7:16" s="1634" customFormat="1">
      <c r="G55648" s="3336"/>
      <c r="P55648" s="3337"/>
    </row>
    <row r="55649" spans="7:16" s="1634" customFormat="1">
      <c r="G55649" s="3336"/>
      <c r="P55649" s="3337"/>
    </row>
    <row r="55650" spans="7:16" s="1634" customFormat="1">
      <c r="G55650" s="3336"/>
      <c r="P55650" s="3337"/>
    </row>
    <row r="55651" spans="7:16" s="1634" customFormat="1">
      <c r="G55651" s="3336"/>
      <c r="P55651" s="3337"/>
    </row>
    <row r="55652" spans="7:16" s="1634" customFormat="1">
      <c r="G55652" s="3336"/>
      <c r="P55652" s="3337"/>
    </row>
    <row r="55653" spans="7:16" s="1634" customFormat="1">
      <c r="G55653" s="3336"/>
      <c r="P55653" s="3337"/>
    </row>
    <row r="55654" spans="7:16" s="1634" customFormat="1">
      <c r="G55654" s="3336"/>
      <c r="P55654" s="3337"/>
    </row>
    <row r="55655" spans="7:16" s="1634" customFormat="1">
      <c r="G55655" s="3336"/>
      <c r="P55655" s="3337"/>
    </row>
    <row r="55656" spans="7:16" s="1634" customFormat="1">
      <c r="G55656" s="3336"/>
      <c r="P55656" s="3337"/>
    </row>
    <row r="55657" spans="7:16" s="1634" customFormat="1">
      <c r="G55657" s="3336"/>
      <c r="P55657" s="3337"/>
    </row>
    <row r="55658" spans="7:16" s="1634" customFormat="1">
      <c r="G55658" s="3336"/>
      <c r="P55658" s="3337"/>
    </row>
    <row r="55659" spans="7:16" s="1634" customFormat="1">
      <c r="G55659" s="3336"/>
      <c r="P55659" s="3337"/>
    </row>
    <row r="55660" spans="7:16" s="1634" customFormat="1">
      <c r="G55660" s="3336"/>
      <c r="P55660" s="3337"/>
    </row>
    <row r="55661" spans="7:16" s="1634" customFormat="1">
      <c r="G55661" s="3336"/>
      <c r="P55661" s="3337"/>
    </row>
    <row r="55662" spans="7:16" s="1634" customFormat="1">
      <c r="G55662" s="3336"/>
      <c r="P55662" s="3337"/>
    </row>
    <row r="55663" spans="7:16" s="1634" customFormat="1">
      <c r="G55663" s="3336"/>
      <c r="P55663" s="3337"/>
    </row>
    <row r="55664" spans="7:16" s="1634" customFormat="1">
      <c r="G55664" s="3336"/>
      <c r="P55664" s="3337"/>
    </row>
    <row r="55665" spans="7:16" s="1634" customFormat="1">
      <c r="G55665" s="3336"/>
      <c r="P55665" s="3337"/>
    </row>
    <row r="55666" spans="7:16" s="1634" customFormat="1">
      <c r="G55666" s="3336"/>
      <c r="P55666" s="3337"/>
    </row>
    <row r="55667" spans="7:16" s="1634" customFormat="1">
      <c r="G55667" s="3336"/>
      <c r="P55667" s="3337"/>
    </row>
    <row r="55668" spans="7:16" s="1634" customFormat="1">
      <c r="G55668" s="3336"/>
      <c r="P55668" s="3337"/>
    </row>
    <row r="55669" spans="7:16" s="1634" customFormat="1">
      <c r="G55669" s="3336"/>
      <c r="P55669" s="3337"/>
    </row>
    <row r="55670" spans="7:16" s="1634" customFormat="1">
      <c r="G55670" s="3336"/>
      <c r="P55670" s="3337"/>
    </row>
    <row r="55671" spans="7:16" s="1634" customFormat="1">
      <c r="G55671" s="3336"/>
      <c r="P55671" s="3337"/>
    </row>
    <row r="55672" spans="7:16" s="1634" customFormat="1">
      <c r="G55672" s="3336"/>
      <c r="P55672" s="3337"/>
    </row>
    <row r="55673" spans="7:16" s="1634" customFormat="1">
      <c r="G55673" s="3336"/>
      <c r="P55673" s="3337"/>
    </row>
    <row r="55674" spans="7:16" s="1634" customFormat="1">
      <c r="G55674" s="3336"/>
      <c r="P55674" s="3337"/>
    </row>
    <row r="55675" spans="7:16" s="1634" customFormat="1">
      <c r="G55675" s="3336"/>
      <c r="P55675" s="3337"/>
    </row>
    <row r="55676" spans="7:16" s="1634" customFormat="1">
      <c r="G55676" s="3336"/>
      <c r="P55676" s="3337"/>
    </row>
    <row r="55677" spans="7:16" s="1634" customFormat="1">
      <c r="G55677" s="3336"/>
      <c r="P55677" s="3337"/>
    </row>
    <row r="55678" spans="7:16" s="1634" customFormat="1">
      <c r="G55678" s="3336"/>
      <c r="P55678" s="3337"/>
    </row>
    <row r="55679" spans="7:16" s="1634" customFormat="1">
      <c r="G55679" s="3336"/>
      <c r="P55679" s="3337"/>
    </row>
    <row r="55680" spans="7:16" s="1634" customFormat="1">
      <c r="G55680" s="3336"/>
      <c r="P55680" s="3337"/>
    </row>
    <row r="55681" spans="7:16" s="1634" customFormat="1">
      <c r="G55681" s="3336"/>
      <c r="P55681" s="3337"/>
    </row>
    <row r="55682" spans="7:16" s="1634" customFormat="1">
      <c r="G55682" s="3336"/>
      <c r="P55682" s="3337"/>
    </row>
    <row r="55683" spans="7:16" s="1634" customFormat="1">
      <c r="G55683" s="3336"/>
      <c r="P55683" s="3337"/>
    </row>
    <row r="55684" spans="7:16" s="1634" customFormat="1">
      <c r="G55684" s="3336"/>
      <c r="P55684" s="3337"/>
    </row>
    <row r="55685" spans="7:16" s="1634" customFormat="1">
      <c r="G55685" s="3336"/>
      <c r="P55685" s="3337"/>
    </row>
    <row r="55686" spans="7:16" s="1634" customFormat="1">
      <c r="G55686" s="3336"/>
      <c r="P55686" s="3337"/>
    </row>
    <row r="55687" spans="7:16" s="1634" customFormat="1">
      <c r="G55687" s="3336"/>
      <c r="P55687" s="3337"/>
    </row>
    <row r="55688" spans="7:16" s="1634" customFormat="1">
      <c r="G55688" s="3336"/>
      <c r="P55688" s="3337"/>
    </row>
    <row r="55689" spans="7:16" s="1634" customFormat="1">
      <c r="G55689" s="3336"/>
      <c r="P55689" s="3337"/>
    </row>
    <row r="55690" spans="7:16" s="1634" customFormat="1">
      <c r="G55690" s="3336"/>
      <c r="P55690" s="3337"/>
    </row>
    <row r="55691" spans="7:16" s="1634" customFormat="1">
      <c r="G55691" s="3336"/>
      <c r="P55691" s="3337"/>
    </row>
    <row r="55692" spans="7:16" s="1634" customFormat="1">
      <c r="G55692" s="3336"/>
      <c r="P55692" s="3337"/>
    </row>
    <row r="55693" spans="7:16" s="1634" customFormat="1">
      <c r="G55693" s="3336"/>
      <c r="P55693" s="3337"/>
    </row>
    <row r="55694" spans="7:16" s="1634" customFormat="1">
      <c r="G55694" s="3336"/>
      <c r="P55694" s="3337"/>
    </row>
    <row r="55695" spans="7:16" s="1634" customFormat="1">
      <c r="G55695" s="3336"/>
      <c r="P55695" s="3337"/>
    </row>
    <row r="55696" spans="7:16" s="1634" customFormat="1">
      <c r="G55696" s="3336"/>
      <c r="P55696" s="3337"/>
    </row>
    <row r="55697" spans="7:16" s="1634" customFormat="1">
      <c r="G55697" s="3336"/>
      <c r="P55697" s="3337"/>
    </row>
    <row r="55698" spans="7:16" s="1634" customFormat="1">
      <c r="G55698" s="3336"/>
      <c r="P55698" s="3337"/>
    </row>
    <row r="55699" spans="7:16" s="1634" customFormat="1">
      <c r="G55699" s="3336"/>
      <c r="P55699" s="3337"/>
    </row>
    <row r="55700" spans="7:16" s="1634" customFormat="1">
      <c r="G55700" s="3336"/>
      <c r="P55700" s="3337"/>
    </row>
    <row r="55701" spans="7:16" s="1634" customFormat="1">
      <c r="G55701" s="3336"/>
      <c r="P55701" s="3337"/>
    </row>
    <row r="55702" spans="7:16" s="1634" customFormat="1">
      <c r="G55702" s="3336"/>
      <c r="P55702" s="3337"/>
    </row>
    <row r="55703" spans="7:16" s="1634" customFormat="1">
      <c r="G55703" s="3336"/>
      <c r="P55703" s="3337"/>
    </row>
    <row r="55704" spans="7:16" s="1634" customFormat="1">
      <c r="G55704" s="3336"/>
      <c r="P55704" s="3337"/>
    </row>
    <row r="55705" spans="7:16" s="1634" customFormat="1">
      <c r="G55705" s="3336"/>
      <c r="P55705" s="3337"/>
    </row>
    <row r="55706" spans="7:16" s="1634" customFormat="1">
      <c r="G55706" s="3336"/>
      <c r="P55706" s="3337"/>
    </row>
    <row r="55707" spans="7:16" s="1634" customFormat="1">
      <c r="G55707" s="3336"/>
      <c r="P55707" s="3337"/>
    </row>
    <row r="55708" spans="7:16" s="1634" customFormat="1">
      <c r="G55708" s="3336"/>
      <c r="P55708" s="3337"/>
    </row>
    <row r="55709" spans="7:16" s="1634" customFormat="1">
      <c r="G55709" s="3336"/>
      <c r="P55709" s="3337"/>
    </row>
    <row r="55710" spans="7:16" s="1634" customFormat="1">
      <c r="G55710" s="3336"/>
      <c r="P55710" s="3337"/>
    </row>
    <row r="55711" spans="7:16" s="1634" customFormat="1">
      <c r="G55711" s="3336"/>
      <c r="P55711" s="3337"/>
    </row>
    <row r="55712" spans="7:16" s="1634" customFormat="1">
      <c r="G55712" s="3336"/>
      <c r="P55712" s="3337"/>
    </row>
    <row r="55713" spans="7:16" s="1634" customFormat="1">
      <c r="G55713" s="3336"/>
      <c r="P55713" s="3337"/>
    </row>
    <row r="55714" spans="7:16" s="1634" customFormat="1">
      <c r="G55714" s="3336"/>
      <c r="P55714" s="3337"/>
    </row>
    <row r="55715" spans="7:16" s="1634" customFormat="1">
      <c r="G55715" s="3336"/>
      <c r="P55715" s="3337"/>
    </row>
    <row r="55716" spans="7:16" s="1634" customFormat="1">
      <c r="G55716" s="3336"/>
      <c r="P55716" s="3337"/>
    </row>
    <row r="55717" spans="7:16" s="1634" customFormat="1">
      <c r="G55717" s="3336"/>
      <c r="P55717" s="3337"/>
    </row>
    <row r="55718" spans="7:16" s="1634" customFormat="1">
      <c r="G55718" s="3336"/>
      <c r="P55718" s="3337"/>
    </row>
    <row r="55719" spans="7:16" s="1634" customFormat="1">
      <c r="G55719" s="3336"/>
      <c r="P55719" s="3337"/>
    </row>
    <row r="55720" spans="7:16" s="1634" customFormat="1">
      <c r="G55720" s="3336"/>
      <c r="P55720" s="3337"/>
    </row>
    <row r="55721" spans="7:16" s="1634" customFormat="1">
      <c r="G55721" s="3336"/>
      <c r="P55721" s="3337"/>
    </row>
    <row r="55722" spans="7:16" s="1634" customFormat="1">
      <c r="G55722" s="3336"/>
      <c r="P55722" s="3337"/>
    </row>
    <row r="55723" spans="7:16" s="1634" customFormat="1">
      <c r="G55723" s="3336"/>
      <c r="P55723" s="3337"/>
    </row>
    <row r="55724" spans="7:16" s="1634" customFormat="1">
      <c r="G55724" s="3336"/>
      <c r="P55724" s="3337"/>
    </row>
    <row r="55725" spans="7:16" s="1634" customFormat="1">
      <c r="G55725" s="3336"/>
      <c r="P55725" s="3337"/>
    </row>
    <row r="55726" spans="7:16" s="1634" customFormat="1">
      <c r="G55726" s="3336"/>
      <c r="P55726" s="3337"/>
    </row>
    <row r="55727" spans="7:16" s="1634" customFormat="1">
      <c r="G55727" s="3336"/>
      <c r="P55727" s="3337"/>
    </row>
    <row r="55728" spans="7:16" s="1634" customFormat="1">
      <c r="G55728" s="3336"/>
      <c r="P55728" s="3337"/>
    </row>
    <row r="55729" spans="7:16" s="1634" customFormat="1">
      <c r="G55729" s="3336"/>
      <c r="P55729" s="3337"/>
    </row>
    <row r="55730" spans="7:16" s="1634" customFormat="1">
      <c r="G55730" s="3336"/>
      <c r="P55730" s="3337"/>
    </row>
    <row r="55731" spans="7:16" s="1634" customFormat="1">
      <c r="G55731" s="3336"/>
      <c r="P55731" s="3337"/>
    </row>
    <row r="55732" spans="7:16" s="1634" customFormat="1">
      <c r="G55732" s="3336"/>
      <c r="P55732" s="3337"/>
    </row>
    <row r="55733" spans="7:16" s="1634" customFormat="1">
      <c r="G55733" s="3336"/>
      <c r="P55733" s="3337"/>
    </row>
    <row r="55734" spans="7:16" s="1634" customFormat="1">
      <c r="G55734" s="3336"/>
      <c r="P55734" s="3337"/>
    </row>
    <row r="55735" spans="7:16" s="1634" customFormat="1">
      <c r="G55735" s="3336"/>
      <c r="P55735" s="3337"/>
    </row>
    <row r="55736" spans="7:16" s="1634" customFormat="1">
      <c r="G55736" s="3336"/>
      <c r="P55736" s="3337"/>
    </row>
    <row r="55737" spans="7:16" s="1634" customFormat="1">
      <c r="G55737" s="3336"/>
      <c r="P55737" s="3337"/>
    </row>
    <row r="55738" spans="7:16" s="1634" customFormat="1">
      <c r="G55738" s="3336"/>
      <c r="P55738" s="3337"/>
    </row>
    <row r="55739" spans="7:16" s="1634" customFormat="1">
      <c r="G55739" s="3336"/>
      <c r="P55739" s="3337"/>
    </row>
    <row r="55740" spans="7:16" s="1634" customFormat="1">
      <c r="G55740" s="3336"/>
      <c r="P55740" s="3337"/>
    </row>
    <row r="55741" spans="7:16" s="1634" customFormat="1">
      <c r="G55741" s="3336"/>
      <c r="P55741" s="3337"/>
    </row>
    <row r="55742" spans="7:16" s="1634" customFormat="1">
      <c r="G55742" s="3336"/>
      <c r="P55742" s="3337"/>
    </row>
    <row r="55743" spans="7:16" s="1634" customFormat="1">
      <c r="G55743" s="3336"/>
      <c r="P55743" s="3337"/>
    </row>
    <row r="55744" spans="7:16" s="1634" customFormat="1">
      <c r="G55744" s="3336"/>
      <c r="P55744" s="3337"/>
    </row>
    <row r="55745" spans="7:16" s="1634" customFormat="1">
      <c r="G55745" s="3336"/>
      <c r="P55745" s="3337"/>
    </row>
    <row r="55746" spans="7:16" s="1634" customFormat="1">
      <c r="G55746" s="3336"/>
      <c r="P55746" s="3337"/>
    </row>
    <row r="55747" spans="7:16" s="1634" customFormat="1">
      <c r="G55747" s="3336"/>
      <c r="P55747" s="3337"/>
    </row>
    <row r="55748" spans="7:16" s="1634" customFormat="1">
      <c r="G55748" s="3336"/>
      <c r="P55748" s="3337"/>
    </row>
    <row r="55749" spans="7:16" s="1634" customFormat="1">
      <c r="G55749" s="3336"/>
      <c r="P55749" s="3337"/>
    </row>
    <row r="55750" spans="7:16" s="1634" customFormat="1">
      <c r="G55750" s="3336"/>
      <c r="P55750" s="3337"/>
    </row>
    <row r="55751" spans="7:16" s="1634" customFormat="1">
      <c r="G55751" s="3336"/>
      <c r="P55751" s="3337"/>
    </row>
    <row r="55752" spans="7:16" s="1634" customFormat="1">
      <c r="G55752" s="3336"/>
      <c r="P55752" s="3337"/>
    </row>
    <row r="55753" spans="7:16" s="1634" customFormat="1">
      <c r="G55753" s="3336"/>
      <c r="P55753" s="3337"/>
    </row>
    <row r="55754" spans="7:16" s="1634" customFormat="1">
      <c r="G55754" s="3336"/>
      <c r="P55754" s="3337"/>
    </row>
    <row r="55755" spans="7:16" s="1634" customFormat="1">
      <c r="G55755" s="3336"/>
      <c r="P55755" s="3337"/>
    </row>
    <row r="55756" spans="7:16" s="1634" customFormat="1">
      <c r="G55756" s="3336"/>
      <c r="P55756" s="3337"/>
    </row>
    <row r="55757" spans="7:16" s="1634" customFormat="1">
      <c r="G55757" s="3336"/>
      <c r="P55757" s="3337"/>
    </row>
    <row r="55758" spans="7:16" s="1634" customFormat="1">
      <c r="G55758" s="3336"/>
      <c r="P55758" s="3337"/>
    </row>
    <row r="55759" spans="7:16" s="1634" customFormat="1">
      <c r="G55759" s="3336"/>
      <c r="P55759" s="3337"/>
    </row>
    <row r="55760" spans="7:16" s="1634" customFormat="1">
      <c r="G55760" s="3336"/>
      <c r="P55760" s="3337"/>
    </row>
    <row r="55761" spans="7:16" s="1634" customFormat="1">
      <c r="G55761" s="3336"/>
      <c r="P55761" s="3337"/>
    </row>
    <row r="55762" spans="7:16" s="1634" customFormat="1">
      <c r="G55762" s="3336"/>
      <c r="P55762" s="3337"/>
    </row>
    <row r="55763" spans="7:16" s="1634" customFormat="1">
      <c r="G55763" s="3336"/>
      <c r="P55763" s="3337"/>
    </row>
    <row r="55764" spans="7:16" s="1634" customFormat="1">
      <c r="G55764" s="3336"/>
      <c r="P55764" s="3337"/>
    </row>
    <row r="55765" spans="7:16" s="1634" customFormat="1">
      <c r="G55765" s="3336"/>
      <c r="P55765" s="3337"/>
    </row>
    <row r="55766" spans="7:16" s="1634" customFormat="1">
      <c r="G55766" s="3336"/>
      <c r="P55766" s="3337"/>
    </row>
    <row r="55767" spans="7:16" s="1634" customFormat="1">
      <c r="G55767" s="3336"/>
      <c r="P55767" s="3337"/>
    </row>
    <row r="55768" spans="7:16" s="1634" customFormat="1">
      <c r="G55768" s="3336"/>
      <c r="P55768" s="3337"/>
    </row>
    <row r="55769" spans="7:16" s="1634" customFormat="1">
      <c r="G55769" s="3336"/>
      <c r="P55769" s="3337"/>
    </row>
    <row r="55770" spans="7:16" s="1634" customFormat="1">
      <c r="G55770" s="3336"/>
      <c r="P55770" s="3337"/>
    </row>
    <row r="55771" spans="7:16" s="1634" customFormat="1">
      <c r="G55771" s="3336"/>
      <c r="P55771" s="3337"/>
    </row>
    <row r="55772" spans="7:16" s="1634" customFormat="1">
      <c r="G55772" s="3336"/>
      <c r="P55772" s="3337"/>
    </row>
    <row r="55773" spans="7:16" s="1634" customFormat="1">
      <c r="G55773" s="3336"/>
      <c r="P55773" s="3337"/>
    </row>
    <row r="55774" spans="7:16" s="1634" customFormat="1">
      <c r="G55774" s="3336"/>
      <c r="P55774" s="3337"/>
    </row>
    <row r="55775" spans="7:16" s="1634" customFormat="1">
      <c r="G55775" s="3336"/>
      <c r="P55775" s="3337"/>
    </row>
    <row r="55776" spans="7:16" s="1634" customFormat="1">
      <c r="G55776" s="3336"/>
      <c r="P55776" s="3337"/>
    </row>
    <row r="55777" spans="7:16" s="1634" customFormat="1">
      <c r="G55777" s="3336"/>
      <c r="P55777" s="3337"/>
    </row>
    <row r="55778" spans="7:16" s="1634" customFormat="1">
      <c r="G55778" s="3336"/>
      <c r="P55778" s="3337"/>
    </row>
    <row r="55779" spans="7:16" s="1634" customFormat="1">
      <c r="G55779" s="3336"/>
      <c r="P55779" s="3337"/>
    </row>
    <row r="55780" spans="7:16" s="1634" customFormat="1">
      <c r="G55780" s="3336"/>
      <c r="P55780" s="3337"/>
    </row>
    <row r="55781" spans="7:16" s="1634" customFormat="1">
      <c r="G55781" s="3336"/>
      <c r="P55781" s="3337"/>
    </row>
    <row r="55782" spans="7:16" s="1634" customFormat="1">
      <c r="G55782" s="3336"/>
      <c r="P55782" s="3337"/>
    </row>
    <row r="55783" spans="7:16" s="1634" customFormat="1">
      <c r="G55783" s="3336"/>
      <c r="P55783" s="3337"/>
    </row>
    <row r="55784" spans="7:16" s="1634" customFormat="1">
      <c r="G55784" s="3336"/>
      <c r="P55784" s="3337"/>
    </row>
    <row r="55785" spans="7:16" s="1634" customFormat="1">
      <c r="G55785" s="3336"/>
      <c r="P55785" s="3337"/>
    </row>
    <row r="55786" spans="7:16" s="1634" customFormat="1">
      <c r="G55786" s="3336"/>
      <c r="P55786" s="3337"/>
    </row>
    <row r="55787" spans="7:16" s="1634" customFormat="1">
      <c r="G55787" s="3336"/>
      <c r="P55787" s="3337"/>
    </row>
    <row r="55788" spans="7:16" s="1634" customFormat="1">
      <c r="G55788" s="3336"/>
      <c r="P55788" s="3337"/>
    </row>
    <row r="55789" spans="7:16" s="1634" customFormat="1">
      <c r="G55789" s="3336"/>
      <c r="P55789" s="3337"/>
    </row>
    <row r="55790" spans="7:16" s="1634" customFormat="1">
      <c r="G55790" s="3336"/>
      <c r="P55790" s="3337"/>
    </row>
    <row r="55791" spans="7:16" s="1634" customFormat="1">
      <c r="G55791" s="3336"/>
      <c r="P55791" s="3337"/>
    </row>
    <row r="55792" spans="7:16" s="1634" customFormat="1">
      <c r="G55792" s="3336"/>
      <c r="P55792" s="3337"/>
    </row>
    <row r="55793" spans="7:16" s="1634" customFormat="1">
      <c r="G55793" s="3336"/>
      <c r="P55793" s="3337"/>
    </row>
    <row r="55794" spans="7:16" s="1634" customFormat="1">
      <c r="G55794" s="3336"/>
      <c r="P55794" s="3337"/>
    </row>
    <row r="55795" spans="7:16" s="1634" customFormat="1">
      <c r="G55795" s="3336"/>
      <c r="P55795" s="3337"/>
    </row>
    <row r="55796" spans="7:16" s="1634" customFormat="1">
      <c r="G55796" s="3336"/>
      <c r="P55796" s="3337"/>
    </row>
    <row r="55797" spans="7:16" s="1634" customFormat="1">
      <c r="G55797" s="3336"/>
      <c r="P55797" s="3337"/>
    </row>
    <row r="55798" spans="7:16" s="1634" customFormat="1">
      <c r="G55798" s="3336"/>
      <c r="P55798" s="3337"/>
    </row>
    <row r="55799" spans="7:16" s="1634" customFormat="1">
      <c r="G55799" s="3336"/>
      <c r="P55799" s="3337"/>
    </row>
    <row r="55800" spans="7:16" s="1634" customFormat="1">
      <c r="G55800" s="3336"/>
      <c r="P55800" s="3337"/>
    </row>
    <row r="55801" spans="7:16" s="1634" customFormat="1">
      <c r="G55801" s="3336"/>
      <c r="P55801" s="3337"/>
    </row>
    <row r="55802" spans="7:16" s="1634" customFormat="1">
      <c r="G55802" s="3336"/>
      <c r="P55802" s="3337"/>
    </row>
    <row r="55803" spans="7:16" s="1634" customFormat="1">
      <c r="G55803" s="3336"/>
      <c r="P55803" s="3337"/>
    </row>
    <row r="55804" spans="7:16" s="1634" customFormat="1">
      <c r="G55804" s="3336"/>
      <c r="P55804" s="3337"/>
    </row>
    <row r="55805" spans="7:16" s="1634" customFormat="1">
      <c r="G55805" s="3336"/>
      <c r="P55805" s="3337"/>
    </row>
    <row r="55806" spans="7:16" s="1634" customFormat="1">
      <c r="G55806" s="3336"/>
      <c r="P55806" s="3337"/>
    </row>
    <row r="55807" spans="7:16" s="1634" customFormat="1">
      <c r="G55807" s="3336"/>
      <c r="P55807" s="3337"/>
    </row>
    <row r="55808" spans="7:16" s="1634" customFormat="1">
      <c r="G55808" s="3336"/>
      <c r="P55808" s="3337"/>
    </row>
    <row r="55809" spans="7:16" s="1634" customFormat="1">
      <c r="G55809" s="3336"/>
      <c r="P55809" s="3337"/>
    </row>
    <row r="55810" spans="7:16" s="1634" customFormat="1">
      <c r="G55810" s="3336"/>
      <c r="P55810" s="3337"/>
    </row>
    <row r="55811" spans="7:16" s="1634" customFormat="1">
      <c r="G55811" s="3336"/>
      <c r="P55811" s="3337"/>
    </row>
    <row r="55812" spans="7:16" s="1634" customFormat="1">
      <c r="G55812" s="3336"/>
      <c r="P55812" s="3337"/>
    </row>
    <row r="55813" spans="7:16" s="1634" customFormat="1">
      <c r="G55813" s="3336"/>
      <c r="P55813" s="3337"/>
    </row>
    <row r="55814" spans="7:16" s="1634" customFormat="1">
      <c r="G55814" s="3336"/>
      <c r="P55814" s="3337"/>
    </row>
    <row r="55815" spans="7:16" s="1634" customFormat="1">
      <c r="G55815" s="3336"/>
      <c r="P55815" s="3337"/>
    </row>
    <row r="55816" spans="7:16" s="1634" customFormat="1">
      <c r="G55816" s="3336"/>
      <c r="P55816" s="3337"/>
    </row>
    <row r="55817" spans="7:16" s="1634" customFormat="1">
      <c r="G55817" s="3336"/>
      <c r="P55817" s="3337"/>
    </row>
    <row r="55818" spans="7:16" s="1634" customFormat="1">
      <c r="G55818" s="3336"/>
      <c r="P55818" s="3337"/>
    </row>
    <row r="55819" spans="7:16" s="1634" customFormat="1">
      <c r="G55819" s="3336"/>
      <c r="P55819" s="3337"/>
    </row>
    <row r="55820" spans="7:16" s="1634" customFormat="1">
      <c r="G55820" s="3336"/>
      <c r="P55820" s="3337"/>
    </row>
    <row r="55821" spans="7:16" s="1634" customFormat="1">
      <c r="G55821" s="3336"/>
      <c r="P55821" s="3337"/>
    </row>
    <row r="55822" spans="7:16" s="1634" customFormat="1">
      <c r="G55822" s="3336"/>
      <c r="P55822" s="3337"/>
    </row>
    <row r="55823" spans="7:16" s="1634" customFormat="1">
      <c r="G55823" s="3336"/>
      <c r="P55823" s="3337"/>
    </row>
    <row r="55824" spans="7:16" s="1634" customFormat="1">
      <c r="G55824" s="3336"/>
      <c r="P55824" s="3337"/>
    </row>
    <row r="55825" spans="7:16" s="1634" customFormat="1">
      <c r="G55825" s="3336"/>
      <c r="P55825" s="3337"/>
    </row>
    <row r="55826" spans="7:16" s="1634" customFormat="1">
      <c r="G55826" s="3336"/>
      <c r="P55826" s="3337"/>
    </row>
    <row r="55827" spans="7:16" s="1634" customFormat="1">
      <c r="G55827" s="3336"/>
      <c r="P55827" s="3337"/>
    </row>
    <row r="55828" spans="7:16" s="1634" customFormat="1">
      <c r="G55828" s="3336"/>
      <c r="P55828" s="3337"/>
    </row>
    <row r="55829" spans="7:16" s="1634" customFormat="1">
      <c r="G55829" s="3336"/>
      <c r="P55829" s="3337"/>
    </row>
    <row r="55830" spans="7:16" s="1634" customFormat="1">
      <c r="G55830" s="3336"/>
      <c r="P55830" s="3337"/>
    </row>
    <row r="55831" spans="7:16" s="1634" customFormat="1">
      <c r="G55831" s="3336"/>
      <c r="P55831" s="3337"/>
    </row>
    <row r="55832" spans="7:16" s="1634" customFormat="1">
      <c r="G55832" s="3336"/>
      <c r="P55832" s="3337"/>
    </row>
    <row r="55833" spans="7:16" s="1634" customFormat="1">
      <c r="G55833" s="3336"/>
      <c r="P55833" s="3337"/>
    </row>
    <row r="55834" spans="7:16" s="1634" customFormat="1">
      <c r="G55834" s="3336"/>
      <c r="P55834" s="3337"/>
    </row>
    <row r="55835" spans="7:16" s="1634" customFormat="1">
      <c r="G55835" s="3336"/>
      <c r="P55835" s="3337"/>
    </row>
    <row r="55836" spans="7:16" s="1634" customFormat="1">
      <c r="G55836" s="3336"/>
      <c r="P55836" s="3337"/>
    </row>
    <row r="55837" spans="7:16" s="1634" customFormat="1">
      <c r="G55837" s="3336"/>
      <c r="P55837" s="3337"/>
    </row>
    <row r="55838" spans="7:16" s="1634" customFormat="1">
      <c r="G55838" s="3336"/>
      <c r="P55838" s="3337"/>
    </row>
    <row r="55839" spans="7:16" s="1634" customFormat="1">
      <c r="G55839" s="3336"/>
      <c r="P55839" s="3337"/>
    </row>
    <row r="55840" spans="7:16" s="1634" customFormat="1">
      <c r="G55840" s="3336"/>
      <c r="P55840" s="3337"/>
    </row>
    <row r="55841" spans="7:16" s="1634" customFormat="1">
      <c r="G55841" s="3336"/>
      <c r="P55841" s="3337"/>
    </row>
    <row r="55842" spans="7:16" s="1634" customFormat="1">
      <c r="G55842" s="3336"/>
      <c r="P55842" s="3337"/>
    </row>
    <row r="55843" spans="7:16" s="1634" customFormat="1">
      <c r="G55843" s="3336"/>
      <c r="P55843" s="3337"/>
    </row>
    <row r="55844" spans="7:16" s="1634" customFormat="1">
      <c r="G55844" s="3336"/>
      <c r="P55844" s="3337"/>
    </row>
    <row r="55845" spans="7:16" s="1634" customFormat="1">
      <c r="G55845" s="3336"/>
      <c r="P55845" s="3337"/>
    </row>
    <row r="55846" spans="7:16" s="1634" customFormat="1">
      <c r="G55846" s="3336"/>
      <c r="P55846" s="3337"/>
    </row>
    <row r="55847" spans="7:16" s="1634" customFormat="1">
      <c r="G55847" s="3336"/>
      <c r="P55847" s="3337"/>
    </row>
    <row r="55848" spans="7:16" s="1634" customFormat="1">
      <c r="G55848" s="3336"/>
      <c r="P55848" s="3337"/>
    </row>
    <row r="55849" spans="7:16" s="1634" customFormat="1">
      <c r="G55849" s="3336"/>
      <c r="P55849" s="3337"/>
    </row>
    <row r="55850" spans="7:16" s="1634" customFormat="1">
      <c r="G55850" s="3336"/>
      <c r="P55850" s="3337"/>
    </row>
    <row r="55851" spans="7:16" s="1634" customFormat="1">
      <c r="G55851" s="3336"/>
      <c r="P55851" s="3337"/>
    </row>
    <row r="55852" spans="7:16" s="1634" customFormat="1">
      <c r="G55852" s="3336"/>
      <c r="P55852" s="3337"/>
    </row>
    <row r="55853" spans="7:16" s="1634" customFormat="1">
      <c r="G55853" s="3336"/>
      <c r="P55853" s="3337"/>
    </row>
    <row r="55854" spans="7:16" s="1634" customFormat="1">
      <c r="G55854" s="3336"/>
      <c r="P55854" s="3337"/>
    </row>
    <row r="55855" spans="7:16" s="1634" customFormat="1">
      <c r="G55855" s="3336"/>
      <c r="P55855" s="3337"/>
    </row>
    <row r="55856" spans="7:16" s="1634" customFormat="1">
      <c r="G55856" s="3336"/>
      <c r="P55856" s="3337"/>
    </row>
    <row r="55857" spans="7:16" s="1634" customFormat="1">
      <c r="G55857" s="3336"/>
      <c r="P55857" s="3337"/>
    </row>
    <row r="55858" spans="7:16" s="1634" customFormat="1">
      <c r="G55858" s="3336"/>
      <c r="P55858" s="3337"/>
    </row>
    <row r="55859" spans="7:16" s="1634" customFormat="1">
      <c r="G55859" s="3336"/>
      <c r="P55859" s="3337"/>
    </row>
    <row r="55860" spans="7:16" s="1634" customFormat="1">
      <c r="G55860" s="3336"/>
      <c r="P55860" s="3337"/>
    </row>
    <row r="55861" spans="7:16" s="1634" customFormat="1">
      <c r="G55861" s="3336"/>
      <c r="P55861" s="3337"/>
    </row>
    <row r="55862" spans="7:16" s="1634" customFormat="1">
      <c r="G55862" s="3336"/>
      <c r="P55862" s="3337"/>
    </row>
    <row r="55863" spans="7:16" s="1634" customFormat="1">
      <c r="G55863" s="3336"/>
      <c r="P55863" s="3337"/>
    </row>
    <row r="55864" spans="7:16" s="1634" customFormat="1">
      <c r="G55864" s="3336"/>
      <c r="P55864" s="3337"/>
    </row>
    <row r="55865" spans="7:16" s="1634" customFormat="1">
      <c r="G55865" s="3336"/>
      <c r="P55865" s="3337"/>
    </row>
    <row r="55866" spans="7:16" s="1634" customFormat="1">
      <c r="G55866" s="3336"/>
      <c r="P55866" s="3337"/>
    </row>
    <row r="55867" spans="7:16" s="1634" customFormat="1">
      <c r="G55867" s="3336"/>
      <c r="P55867" s="3337"/>
    </row>
    <row r="55868" spans="7:16" s="1634" customFormat="1">
      <c r="G55868" s="3336"/>
      <c r="P55868" s="3337"/>
    </row>
    <row r="55869" spans="7:16" s="1634" customFormat="1">
      <c r="G55869" s="3336"/>
      <c r="P55869" s="3337"/>
    </row>
    <row r="55870" spans="7:16" s="1634" customFormat="1">
      <c r="G55870" s="3336"/>
      <c r="P55870" s="3337"/>
    </row>
    <row r="55871" spans="7:16" s="1634" customFormat="1">
      <c r="G55871" s="3336"/>
      <c r="P55871" s="3337"/>
    </row>
    <row r="55872" spans="7:16" s="1634" customFormat="1">
      <c r="G55872" s="3336"/>
      <c r="P55872" s="3337"/>
    </row>
    <row r="55873" spans="7:16" s="1634" customFormat="1">
      <c r="G55873" s="3336"/>
      <c r="P55873" s="3337"/>
    </row>
    <row r="55874" spans="7:16" s="1634" customFormat="1">
      <c r="G55874" s="3336"/>
      <c r="P55874" s="3337"/>
    </row>
    <row r="55875" spans="7:16" s="1634" customFormat="1">
      <c r="G55875" s="3336"/>
      <c r="P55875" s="3337"/>
    </row>
    <row r="55876" spans="7:16" s="1634" customFormat="1">
      <c r="G55876" s="3336"/>
      <c r="P55876" s="3337"/>
    </row>
    <row r="55877" spans="7:16" s="1634" customFormat="1">
      <c r="G55877" s="3336"/>
      <c r="P55877" s="3337"/>
    </row>
    <row r="55878" spans="7:16" s="1634" customFormat="1">
      <c r="G55878" s="3336"/>
      <c r="P55878" s="3337"/>
    </row>
    <row r="55879" spans="7:16" s="1634" customFormat="1">
      <c r="G55879" s="3336"/>
      <c r="P55879" s="3337"/>
    </row>
    <row r="55880" spans="7:16" s="1634" customFormat="1">
      <c r="G55880" s="3336"/>
      <c r="P55880" s="3337"/>
    </row>
    <row r="55881" spans="7:16" s="1634" customFormat="1">
      <c r="G55881" s="3336"/>
      <c r="P55881" s="3337"/>
    </row>
    <row r="55882" spans="7:16" s="1634" customFormat="1">
      <c r="G55882" s="3336"/>
      <c r="P55882" s="3337"/>
    </row>
    <row r="55883" spans="7:16" s="1634" customFormat="1">
      <c r="G55883" s="3336"/>
      <c r="P55883" s="3337"/>
    </row>
    <row r="55884" spans="7:16" s="1634" customFormat="1">
      <c r="G55884" s="3336"/>
      <c r="P55884" s="3337"/>
    </row>
    <row r="55885" spans="7:16" s="1634" customFormat="1">
      <c r="G55885" s="3336"/>
      <c r="P55885" s="3337"/>
    </row>
    <row r="55886" spans="7:16" s="1634" customFormat="1">
      <c r="G55886" s="3336"/>
      <c r="P55886" s="3337"/>
    </row>
    <row r="55887" spans="7:16" s="1634" customFormat="1">
      <c r="G55887" s="3336"/>
      <c r="P55887" s="3337"/>
    </row>
    <row r="55888" spans="7:16" s="1634" customFormat="1">
      <c r="G55888" s="3336"/>
      <c r="P55888" s="3337"/>
    </row>
    <row r="55889" spans="7:16" s="1634" customFormat="1">
      <c r="G55889" s="3336"/>
      <c r="P55889" s="3337"/>
    </row>
    <row r="55890" spans="7:16" s="1634" customFormat="1">
      <c r="G55890" s="3336"/>
      <c r="P55890" s="3337"/>
    </row>
    <row r="55891" spans="7:16" s="1634" customFormat="1">
      <c r="G55891" s="3336"/>
      <c r="P55891" s="3337"/>
    </row>
    <row r="55892" spans="7:16" s="1634" customFormat="1">
      <c r="G55892" s="3336"/>
      <c r="P55892" s="3337"/>
    </row>
    <row r="55893" spans="7:16" s="1634" customFormat="1">
      <c r="G55893" s="3336"/>
      <c r="P55893" s="3337"/>
    </row>
    <row r="55894" spans="7:16" s="1634" customFormat="1">
      <c r="G55894" s="3336"/>
      <c r="P55894" s="3337"/>
    </row>
    <row r="55895" spans="7:16" s="1634" customFormat="1">
      <c r="G55895" s="3336"/>
      <c r="P55895" s="3337"/>
    </row>
    <row r="55896" spans="7:16" s="1634" customFormat="1">
      <c r="G55896" s="3336"/>
      <c r="P55896" s="3337"/>
    </row>
    <row r="55897" spans="7:16" s="1634" customFormat="1">
      <c r="G55897" s="3336"/>
      <c r="P55897" s="3337"/>
    </row>
    <row r="55898" spans="7:16" s="1634" customFormat="1">
      <c r="G55898" s="3336"/>
      <c r="P55898" s="3337"/>
    </row>
    <row r="55899" spans="7:16" s="1634" customFormat="1">
      <c r="G55899" s="3336"/>
      <c r="P55899" s="3337"/>
    </row>
    <row r="55900" spans="7:16" s="1634" customFormat="1">
      <c r="G55900" s="3336"/>
      <c r="P55900" s="3337"/>
    </row>
    <row r="55901" spans="7:16" s="1634" customFormat="1">
      <c r="G55901" s="3336"/>
      <c r="P55901" s="3337"/>
    </row>
    <row r="55902" spans="7:16" s="1634" customFormat="1">
      <c r="G55902" s="3336"/>
      <c r="P55902" s="3337"/>
    </row>
    <row r="55903" spans="7:16" s="1634" customFormat="1">
      <c r="G55903" s="3336"/>
      <c r="P55903" s="3337"/>
    </row>
    <row r="55904" spans="7:16" s="1634" customFormat="1">
      <c r="G55904" s="3336"/>
      <c r="P55904" s="3337"/>
    </row>
    <row r="55905" spans="7:16" s="1634" customFormat="1">
      <c r="G55905" s="3336"/>
      <c r="P55905" s="3337"/>
    </row>
    <row r="55906" spans="7:16" s="1634" customFormat="1">
      <c r="G55906" s="3336"/>
      <c r="P55906" s="3337"/>
    </row>
    <row r="55907" spans="7:16" s="1634" customFormat="1">
      <c r="G55907" s="3336"/>
      <c r="P55907" s="3337"/>
    </row>
    <row r="55908" spans="7:16" s="1634" customFormat="1">
      <c r="G55908" s="3336"/>
      <c r="P55908" s="3337"/>
    </row>
    <row r="55909" spans="7:16" s="1634" customFormat="1">
      <c r="G55909" s="3336"/>
      <c r="P55909" s="3337"/>
    </row>
    <row r="55910" spans="7:16" s="1634" customFormat="1">
      <c r="G55910" s="3336"/>
      <c r="P55910" s="3337"/>
    </row>
    <row r="55911" spans="7:16" s="1634" customFormat="1">
      <c r="G55911" s="3336"/>
      <c r="P55911" s="3337"/>
    </row>
    <row r="55912" spans="7:16" s="1634" customFormat="1">
      <c r="G55912" s="3336"/>
      <c r="P55912" s="3337"/>
    </row>
    <row r="55913" spans="7:16" s="1634" customFormat="1">
      <c r="G55913" s="3336"/>
      <c r="P55913" s="3337"/>
    </row>
    <row r="55914" spans="7:16" s="1634" customFormat="1">
      <c r="G55914" s="3336"/>
      <c r="P55914" s="3337"/>
    </row>
    <row r="55915" spans="7:16" s="1634" customFormat="1">
      <c r="G55915" s="3336"/>
      <c r="P55915" s="3337"/>
    </row>
    <row r="55916" spans="7:16" s="1634" customFormat="1">
      <c r="G55916" s="3336"/>
      <c r="P55916" s="3337"/>
    </row>
    <row r="55917" spans="7:16" s="1634" customFormat="1">
      <c r="G55917" s="3336"/>
      <c r="P55917" s="3337"/>
    </row>
    <row r="55918" spans="7:16" s="1634" customFormat="1">
      <c r="G55918" s="3336"/>
      <c r="P55918" s="3337"/>
    </row>
    <row r="55919" spans="7:16" s="1634" customFormat="1">
      <c r="G55919" s="3336"/>
      <c r="P55919" s="3337"/>
    </row>
    <row r="55920" spans="7:16" s="1634" customFormat="1">
      <c r="G55920" s="3336"/>
      <c r="P55920" s="3337"/>
    </row>
    <row r="55921" spans="7:16" s="1634" customFormat="1">
      <c r="G55921" s="3336"/>
      <c r="P55921" s="3337"/>
    </row>
    <row r="55922" spans="7:16" s="1634" customFormat="1">
      <c r="G55922" s="3336"/>
      <c r="P55922" s="3337"/>
    </row>
    <row r="55923" spans="7:16" s="1634" customFormat="1">
      <c r="G55923" s="3336"/>
      <c r="P55923" s="3337"/>
    </row>
    <row r="55924" spans="7:16" s="1634" customFormat="1">
      <c r="G55924" s="3336"/>
      <c r="P55924" s="3337"/>
    </row>
    <row r="55925" spans="7:16" s="1634" customFormat="1">
      <c r="G55925" s="3336"/>
      <c r="P55925" s="3337"/>
    </row>
    <row r="55926" spans="7:16" s="1634" customFormat="1">
      <c r="G55926" s="3336"/>
      <c r="P55926" s="3337"/>
    </row>
    <row r="55927" spans="7:16" s="1634" customFormat="1">
      <c r="G55927" s="3336"/>
      <c r="P55927" s="3337"/>
    </row>
    <row r="55928" spans="7:16" s="1634" customFormat="1">
      <c r="G55928" s="3336"/>
      <c r="P55928" s="3337"/>
    </row>
    <row r="55929" spans="7:16" s="1634" customFormat="1">
      <c r="G55929" s="3336"/>
      <c r="P55929" s="3337"/>
    </row>
    <row r="55930" spans="7:16" s="1634" customFormat="1">
      <c r="G55930" s="3336"/>
      <c r="P55930" s="3337"/>
    </row>
    <row r="55931" spans="7:16" s="1634" customFormat="1">
      <c r="G55931" s="3336"/>
      <c r="P55931" s="3337"/>
    </row>
    <row r="55932" spans="7:16" s="1634" customFormat="1">
      <c r="G55932" s="3336"/>
      <c r="P55932" s="3337"/>
    </row>
    <row r="55933" spans="7:16" s="1634" customFormat="1">
      <c r="G55933" s="3336"/>
      <c r="P55933" s="3337"/>
    </row>
    <row r="55934" spans="7:16" s="1634" customFormat="1">
      <c r="G55934" s="3336"/>
      <c r="P55934" s="3337"/>
    </row>
    <row r="55935" spans="7:16" s="1634" customFormat="1">
      <c r="G55935" s="3336"/>
      <c r="P55935" s="3337"/>
    </row>
    <row r="55936" spans="7:16" s="1634" customFormat="1">
      <c r="G55936" s="3336"/>
      <c r="P55936" s="3337"/>
    </row>
    <row r="55937" spans="7:16" s="1634" customFormat="1">
      <c r="G55937" s="3336"/>
      <c r="P55937" s="3337"/>
    </row>
    <row r="55938" spans="7:16" s="1634" customFormat="1">
      <c r="G55938" s="3336"/>
      <c r="P55938" s="3337"/>
    </row>
    <row r="55939" spans="7:16" s="1634" customFormat="1">
      <c r="G55939" s="3336"/>
      <c r="P55939" s="3337"/>
    </row>
    <row r="55940" spans="7:16" s="1634" customFormat="1">
      <c r="G55940" s="3336"/>
      <c r="P55940" s="3337"/>
    </row>
    <row r="55941" spans="7:16" s="1634" customFormat="1">
      <c r="G55941" s="3336"/>
      <c r="P55941" s="3337"/>
    </row>
    <row r="55942" spans="7:16" s="1634" customFormat="1">
      <c r="G55942" s="3336"/>
      <c r="P55942" s="3337"/>
    </row>
    <row r="55943" spans="7:16" s="1634" customFormat="1">
      <c r="G55943" s="3336"/>
      <c r="P55943" s="3337"/>
    </row>
    <row r="55944" spans="7:16" s="1634" customFormat="1">
      <c r="G55944" s="3336"/>
      <c r="P55944" s="3337"/>
    </row>
    <row r="55945" spans="7:16" s="1634" customFormat="1">
      <c r="G55945" s="3336"/>
      <c r="P55945" s="3337"/>
    </row>
    <row r="55946" spans="7:16" s="1634" customFormat="1">
      <c r="G55946" s="3336"/>
      <c r="P55946" s="3337"/>
    </row>
    <row r="55947" spans="7:16" s="1634" customFormat="1">
      <c r="G55947" s="3336"/>
      <c r="P55947" s="3337"/>
    </row>
    <row r="55948" spans="7:16" s="1634" customFormat="1">
      <c r="G55948" s="3336"/>
      <c r="P55948" s="3337"/>
    </row>
    <row r="55949" spans="7:16" s="1634" customFormat="1">
      <c r="G55949" s="3336"/>
      <c r="P55949" s="3337"/>
    </row>
    <row r="55950" spans="7:16" s="1634" customFormat="1">
      <c r="G55950" s="3336"/>
      <c r="P55950" s="3337"/>
    </row>
    <row r="55951" spans="7:16" s="1634" customFormat="1">
      <c r="G55951" s="3336"/>
      <c r="P55951" s="3337"/>
    </row>
    <row r="55952" spans="7:16" s="1634" customFormat="1">
      <c r="G55952" s="3336"/>
      <c r="P55952" s="3337"/>
    </row>
    <row r="55953" spans="7:16" s="1634" customFormat="1">
      <c r="G55953" s="3336"/>
      <c r="P55953" s="3337"/>
    </row>
    <row r="55954" spans="7:16" s="1634" customFormat="1">
      <c r="G55954" s="3336"/>
      <c r="P55954" s="3337"/>
    </row>
    <row r="55955" spans="7:16" s="1634" customFormat="1">
      <c r="G55955" s="3336"/>
      <c r="P55955" s="3337"/>
    </row>
    <row r="55956" spans="7:16" s="1634" customFormat="1">
      <c r="G55956" s="3336"/>
      <c r="P55956" s="3337"/>
    </row>
    <row r="55957" spans="7:16" s="1634" customFormat="1">
      <c r="G55957" s="3336"/>
      <c r="P55957" s="3337"/>
    </row>
    <row r="55958" spans="7:16" s="1634" customFormat="1">
      <c r="G55958" s="3336"/>
      <c r="P55958" s="3337"/>
    </row>
    <row r="55959" spans="7:16" s="1634" customFormat="1">
      <c r="G55959" s="3336"/>
      <c r="P55959" s="3337"/>
    </row>
    <row r="55960" spans="7:16" s="1634" customFormat="1">
      <c r="G55960" s="3336"/>
      <c r="P55960" s="3337"/>
    </row>
    <row r="55961" spans="7:16" s="1634" customFormat="1">
      <c r="G55961" s="3336"/>
      <c r="P55961" s="3337"/>
    </row>
    <row r="55962" spans="7:16" s="1634" customFormat="1">
      <c r="G55962" s="3336"/>
      <c r="P55962" s="3337"/>
    </row>
    <row r="55963" spans="7:16" s="1634" customFormat="1">
      <c r="G55963" s="3336"/>
      <c r="P55963" s="3337"/>
    </row>
    <row r="55964" spans="7:16" s="1634" customFormat="1">
      <c r="G55964" s="3336"/>
      <c r="P55964" s="3337"/>
    </row>
    <row r="55965" spans="7:16" s="1634" customFormat="1">
      <c r="G55965" s="3336"/>
      <c r="P55965" s="3337"/>
    </row>
    <row r="55966" spans="7:16" s="1634" customFormat="1">
      <c r="G55966" s="3336"/>
      <c r="P55966" s="3337"/>
    </row>
    <row r="55967" spans="7:16" s="1634" customFormat="1">
      <c r="G55967" s="3336"/>
      <c r="P55967" s="3337"/>
    </row>
    <row r="55968" spans="7:16" s="1634" customFormat="1">
      <c r="G55968" s="3336"/>
      <c r="P55968" s="3337"/>
    </row>
    <row r="55969" spans="7:16" s="1634" customFormat="1">
      <c r="G55969" s="3336"/>
      <c r="P55969" s="3337"/>
    </row>
    <row r="55970" spans="7:16" s="1634" customFormat="1">
      <c r="G55970" s="3336"/>
      <c r="P55970" s="3337"/>
    </row>
    <row r="55971" spans="7:16" s="1634" customFormat="1">
      <c r="G55971" s="3336"/>
      <c r="P55971" s="3337"/>
    </row>
    <row r="55972" spans="7:16" s="1634" customFormat="1">
      <c r="G55972" s="3336"/>
      <c r="P55972" s="3337"/>
    </row>
    <row r="55973" spans="7:16" s="1634" customFormat="1">
      <c r="G55973" s="3336"/>
      <c r="P55973" s="3337"/>
    </row>
    <row r="55974" spans="7:16" s="1634" customFormat="1">
      <c r="G55974" s="3336"/>
      <c r="P55974" s="3337"/>
    </row>
    <row r="55975" spans="7:16" s="1634" customFormat="1">
      <c r="G55975" s="3336"/>
      <c r="P55975" s="3337"/>
    </row>
    <row r="55976" spans="7:16" s="1634" customFormat="1">
      <c r="G55976" s="3336"/>
      <c r="P55976" s="3337"/>
    </row>
    <row r="55977" spans="7:16" s="1634" customFormat="1">
      <c r="G55977" s="3336"/>
      <c r="P55977" s="3337"/>
    </row>
    <row r="55978" spans="7:16" s="1634" customFormat="1">
      <c r="G55978" s="3336"/>
      <c r="P55978" s="3337"/>
    </row>
    <row r="55979" spans="7:16" s="1634" customFormat="1">
      <c r="G55979" s="3336"/>
      <c r="P55979" s="3337"/>
    </row>
    <row r="55980" spans="7:16" s="1634" customFormat="1">
      <c r="G55980" s="3336"/>
      <c r="P55980" s="3337"/>
    </row>
    <row r="55981" spans="7:16" s="1634" customFormat="1">
      <c r="G55981" s="3336"/>
      <c r="P55981" s="3337"/>
    </row>
    <row r="55982" spans="7:16" s="1634" customFormat="1">
      <c r="G55982" s="3336"/>
      <c r="P55982" s="3337"/>
    </row>
    <row r="55983" spans="7:16" s="1634" customFormat="1">
      <c r="G55983" s="3336"/>
      <c r="P55983" s="3337"/>
    </row>
    <row r="55984" spans="7:16" s="1634" customFormat="1">
      <c r="G55984" s="3336"/>
      <c r="P55984" s="3337"/>
    </row>
    <row r="55985" spans="7:16" s="1634" customFormat="1">
      <c r="G55985" s="3336"/>
      <c r="P55985" s="3337"/>
    </row>
    <row r="55986" spans="7:16" s="1634" customFormat="1">
      <c r="G55986" s="3336"/>
      <c r="P55986" s="3337"/>
    </row>
    <row r="55987" spans="7:16" s="1634" customFormat="1">
      <c r="G55987" s="3336"/>
      <c r="P55987" s="3337"/>
    </row>
    <row r="55988" spans="7:16" s="1634" customFormat="1">
      <c r="G55988" s="3336"/>
      <c r="P55988" s="3337"/>
    </row>
    <row r="55989" spans="7:16" s="1634" customFormat="1">
      <c r="G55989" s="3336"/>
      <c r="P55989" s="3337"/>
    </row>
    <row r="55990" spans="7:16" s="1634" customFormat="1">
      <c r="G55990" s="3336"/>
      <c r="P55990" s="3337"/>
    </row>
    <row r="55991" spans="7:16" s="1634" customFormat="1">
      <c r="G55991" s="3336"/>
      <c r="P55991" s="3337"/>
    </row>
    <row r="55992" spans="7:16" s="1634" customFormat="1">
      <c r="G55992" s="3336"/>
      <c r="P55992" s="3337"/>
    </row>
    <row r="55993" spans="7:16" s="1634" customFormat="1">
      <c r="G55993" s="3336"/>
      <c r="P55993" s="3337"/>
    </row>
    <row r="55994" spans="7:16" s="1634" customFormat="1">
      <c r="G55994" s="3336"/>
      <c r="P55994" s="3337"/>
    </row>
    <row r="55995" spans="7:16" s="1634" customFormat="1">
      <c r="G55995" s="3336"/>
      <c r="P55995" s="3337"/>
    </row>
    <row r="55996" spans="7:16" s="1634" customFormat="1">
      <c r="G55996" s="3336"/>
      <c r="P55996" s="3337"/>
    </row>
    <row r="55997" spans="7:16" s="1634" customFormat="1">
      <c r="G55997" s="3336"/>
      <c r="P55997" s="3337"/>
    </row>
    <row r="55998" spans="7:16" s="1634" customFormat="1">
      <c r="G55998" s="3336"/>
      <c r="P55998" s="3337"/>
    </row>
    <row r="55999" spans="7:16" s="1634" customFormat="1">
      <c r="G55999" s="3336"/>
      <c r="P55999" s="3337"/>
    </row>
    <row r="56000" spans="7:16" s="1634" customFormat="1">
      <c r="G56000" s="3336"/>
      <c r="P56000" s="3337"/>
    </row>
    <row r="56001" spans="7:16" s="1634" customFormat="1">
      <c r="G56001" s="3336"/>
      <c r="P56001" s="3337"/>
    </row>
    <row r="56002" spans="7:16" s="1634" customFormat="1">
      <c r="G56002" s="3336"/>
      <c r="P56002" s="3337"/>
    </row>
    <row r="56003" spans="7:16" s="1634" customFormat="1">
      <c r="G56003" s="3336"/>
      <c r="P56003" s="3337"/>
    </row>
    <row r="56004" spans="7:16" s="1634" customFormat="1">
      <c r="G56004" s="3336"/>
      <c r="P56004" s="3337"/>
    </row>
    <row r="56005" spans="7:16" s="1634" customFormat="1">
      <c r="G56005" s="3336"/>
      <c r="P56005" s="3337"/>
    </row>
    <row r="56006" spans="7:16" s="1634" customFormat="1">
      <c r="G56006" s="3336"/>
      <c r="P56006" s="3337"/>
    </row>
    <row r="56007" spans="7:16" s="1634" customFormat="1">
      <c r="G56007" s="3336"/>
      <c r="P56007" s="3337"/>
    </row>
    <row r="56008" spans="7:16" s="1634" customFormat="1">
      <c r="G56008" s="3336"/>
      <c r="P56008" s="3337"/>
    </row>
    <row r="56009" spans="7:16" s="1634" customFormat="1">
      <c r="G56009" s="3336"/>
      <c r="P56009" s="3337"/>
    </row>
    <row r="56010" spans="7:16" s="1634" customFormat="1">
      <c r="G56010" s="3336"/>
      <c r="P56010" s="3337"/>
    </row>
    <row r="56011" spans="7:16" s="1634" customFormat="1">
      <c r="G56011" s="3336"/>
      <c r="P56011" s="3337"/>
    </row>
    <row r="56012" spans="7:16" s="1634" customFormat="1">
      <c r="G56012" s="3336"/>
      <c r="P56012" s="3337"/>
    </row>
    <row r="56013" spans="7:16" s="1634" customFormat="1">
      <c r="G56013" s="3336"/>
      <c r="P56013" s="3337"/>
    </row>
    <row r="56014" spans="7:16" s="1634" customFormat="1">
      <c r="G56014" s="3336"/>
      <c r="P56014" s="3337"/>
    </row>
    <row r="56015" spans="7:16" s="1634" customFormat="1">
      <c r="G56015" s="3336"/>
      <c r="P56015" s="3337"/>
    </row>
    <row r="56016" spans="7:16" s="1634" customFormat="1">
      <c r="G56016" s="3336"/>
      <c r="P56016" s="3337"/>
    </row>
    <row r="56017" spans="7:16" s="1634" customFormat="1">
      <c r="G56017" s="3336"/>
      <c r="P56017" s="3337"/>
    </row>
    <row r="56018" spans="7:16" s="1634" customFormat="1">
      <c r="G56018" s="3336"/>
      <c r="P56018" s="3337"/>
    </row>
    <row r="56019" spans="7:16" s="1634" customFormat="1">
      <c r="G56019" s="3336"/>
      <c r="P56019" s="3337"/>
    </row>
    <row r="56020" spans="7:16" s="1634" customFormat="1">
      <c r="G56020" s="3336"/>
      <c r="P56020" s="3337"/>
    </row>
    <row r="56021" spans="7:16" s="1634" customFormat="1">
      <c r="G56021" s="3336"/>
      <c r="P56021" s="3337"/>
    </row>
    <row r="56022" spans="7:16" s="1634" customFormat="1">
      <c r="G56022" s="3336"/>
      <c r="P56022" s="3337"/>
    </row>
    <row r="56023" spans="7:16" s="1634" customFormat="1">
      <c r="G56023" s="3336"/>
      <c r="P56023" s="3337"/>
    </row>
    <row r="56024" spans="7:16" s="1634" customFormat="1">
      <c r="G56024" s="3336"/>
      <c r="P56024" s="3337"/>
    </row>
    <row r="56025" spans="7:16" s="1634" customFormat="1">
      <c r="G56025" s="3336"/>
      <c r="P56025" s="3337"/>
    </row>
    <row r="56026" spans="7:16" s="1634" customFormat="1">
      <c r="G56026" s="3336"/>
      <c r="P56026" s="3337"/>
    </row>
    <row r="56027" spans="7:16" s="1634" customFormat="1">
      <c r="G56027" s="3336"/>
      <c r="P56027" s="3337"/>
    </row>
    <row r="56028" spans="7:16" s="1634" customFormat="1">
      <c r="G56028" s="3336"/>
      <c r="P56028" s="3337"/>
    </row>
    <row r="56029" spans="7:16" s="1634" customFormat="1">
      <c r="G56029" s="3336"/>
      <c r="P56029" s="3337"/>
    </row>
    <row r="56030" spans="7:16" s="1634" customFormat="1">
      <c r="G56030" s="3336"/>
      <c r="P56030" s="3337"/>
    </row>
    <row r="56031" spans="7:16" s="1634" customFormat="1">
      <c r="G56031" s="3336"/>
      <c r="P56031" s="3337"/>
    </row>
    <row r="56032" spans="7:16" s="1634" customFormat="1">
      <c r="G56032" s="3336"/>
      <c r="P56032" s="3337"/>
    </row>
    <row r="56033" spans="7:16" s="1634" customFormat="1">
      <c r="G56033" s="3336"/>
      <c r="P56033" s="3337"/>
    </row>
    <row r="56034" spans="7:16" s="1634" customFormat="1">
      <c r="G56034" s="3336"/>
      <c r="P56034" s="3337"/>
    </row>
    <row r="56035" spans="7:16" s="1634" customFormat="1">
      <c r="G56035" s="3336"/>
      <c r="P56035" s="3337"/>
    </row>
    <row r="56036" spans="7:16" s="1634" customFormat="1">
      <c r="G56036" s="3336"/>
      <c r="P56036" s="3337"/>
    </row>
    <row r="56037" spans="7:16" s="1634" customFormat="1">
      <c r="G56037" s="3336"/>
      <c r="P56037" s="3337"/>
    </row>
    <row r="56038" spans="7:16" s="1634" customFormat="1">
      <c r="G56038" s="3336"/>
      <c r="P56038" s="3337"/>
    </row>
    <row r="56039" spans="7:16" s="1634" customFormat="1">
      <c r="G56039" s="3336"/>
      <c r="P56039" s="3337"/>
    </row>
    <row r="56040" spans="7:16" s="1634" customFormat="1">
      <c r="G56040" s="3336"/>
      <c r="P56040" s="3337"/>
    </row>
    <row r="56041" spans="7:16" s="1634" customFormat="1">
      <c r="G56041" s="3336"/>
      <c r="P56041" s="3337"/>
    </row>
    <row r="56042" spans="7:16" s="1634" customFormat="1">
      <c r="G56042" s="3336"/>
      <c r="P56042" s="3337"/>
    </row>
    <row r="56043" spans="7:16" s="1634" customFormat="1">
      <c r="G56043" s="3336"/>
      <c r="P56043" s="3337"/>
    </row>
    <row r="56044" spans="7:16" s="1634" customFormat="1">
      <c r="G56044" s="3336"/>
      <c r="P56044" s="3337"/>
    </row>
    <row r="56045" spans="7:16" s="1634" customFormat="1">
      <c r="G56045" s="3336"/>
      <c r="P56045" s="3337"/>
    </row>
    <row r="56046" spans="7:16" s="1634" customFormat="1">
      <c r="G56046" s="3336"/>
      <c r="P56046" s="3337"/>
    </row>
    <row r="56047" spans="7:16" s="1634" customFormat="1">
      <c r="G56047" s="3336"/>
      <c r="P56047" s="3337"/>
    </row>
    <row r="56048" spans="7:16" s="1634" customFormat="1">
      <c r="G56048" s="3336"/>
      <c r="P56048" s="3337"/>
    </row>
    <row r="56049" spans="7:16" s="1634" customFormat="1">
      <c r="G56049" s="3336"/>
      <c r="P56049" s="3337"/>
    </row>
    <row r="56050" spans="7:16" s="1634" customFormat="1">
      <c r="G56050" s="3336"/>
      <c r="P56050" s="3337"/>
    </row>
    <row r="56051" spans="7:16" s="1634" customFormat="1">
      <c r="G56051" s="3336"/>
      <c r="P56051" s="3337"/>
    </row>
    <row r="56052" spans="7:16" s="1634" customFormat="1">
      <c r="G56052" s="3336"/>
      <c r="P56052" s="3337"/>
    </row>
    <row r="56053" spans="7:16" s="1634" customFormat="1">
      <c r="G56053" s="3336"/>
      <c r="P56053" s="3337"/>
    </row>
    <row r="56054" spans="7:16" s="1634" customFormat="1">
      <c r="G56054" s="3336"/>
      <c r="P56054" s="3337"/>
    </row>
    <row r="56055" spans="7:16" s="1634" customFormat="1">
      <c r="G56055" s="3336"/>
      <c r="P56055" s="3337"/>
    </row>
    <row r="56056" spans="7:16" s="1634" customFormat="1">
      <c r="G56056" s="3336"/>
      <c r="P56056" s="3337"/>
    </row>
    <row r="56057" spans="7:16" s="1634" customFormat="1">
      <c r="G56057" s="3336"/>
      <c r="P56057" s="3337"/>
    </row>
    <row r="56058" spans="7:16" s="1634" customFormat="1">
      <c r="G56058" s="3336"/>
      <c r="P56058" s="3337"/>
    </row>
    <row r="56059" spans="7:16" s="1634" customFormat="1">
      <c r="G56059" s="3336"/>
      <c r="P56059" s="3337"/>
    </row>
    <row r="56060" spans="7:16" s="1634" customFormat="1">
      <c r="G56060" s="3336"/>
      <c r="P56060" s="3337"/>
    </row>
    <row r="56061" spans="7:16" s="1634" customFormat="1">
      <c r="G56061" s="3336"/>
      <c r="P56061" s="3337"/>
    </row>
    <row r="56062" spans="7:16" s="1634" customFormat="1">
      <c r="G56062" s="3336"/>
      <c r="P56062" s="3337"/>
    </row>
    <row r="56063" spans="7:16" s="1634" customFormat="1">
      <c r="G56063" s="3336"/>
      <c r="P56063" s="3337"/>
    </row>
    <row r="56064" spans="7:16" s="1634" customFormat="1">
      <c r="G56064" s="3336"/>
      <c r="P56064" s="3337"/>
    </row>
    <row r="56065" spans="7:16" s="1634" customFormat="1">
      <c r="G56065" s="3336"/>
      <c r="P56065" s="3337"/>
    </row>
    <row r="56066" spans="7:16" s="1634" customFormat="1">
      <c r="G56066" s="3336"/>
      <c r="P56066" s="3337"/>
    </row>
    <row r="56067" spans="7:16" s="1634" customFormat="1">
      <c r="G56067" s="3336"/>
      <c r="P56067" s="3337"/>
    </row>
    <row r="56068" spans="7:16" s="1634" customFormat="1">
      <c r="G56068" s="3336"/>
      <c r="P56068" s="3337"/>
    </row>
    <row r="56069" spans="7:16" s="1634" customFormat="1">
      <c r="G56069" s="3336"/>
      <c r="P56069" s="3337"/>
    </row>
    <row r="56070" spans="7:16" s="1634" customFormat="1">
      <c r="G56070" s="3336"/>
      <c r="P56070" s="3337"/>
    </row>
    <row r="56071" spans="7:16" s="1634" customFormat="1">
      <c r="G56071" s="3336"/>
      <c r="P56071" s="3337"/>
    </row>
    <row r="56072" spans="7:16" s="1634" customFormat="1">
      <c r="G56072" s="3336"/>
      <c r="P56072" s="3337"/>
    </row>
    <row r="56073" spans="7:16" s="1634" customFormat="1">
      <c r="G56073" s="3336"/>
      <c r="P56073" s="3337"/>
    </row>
    <row r="56074" spans="7:16" s="1634" customFormat="1">
      <c r="G56074" s="3336"/>
      <c r="P56074" s="3337"/>
    </row>
    <row r="56075" spans="7:16" s="1634" customFormat="1">
      <c r="G56075" s="3336"/>
      <c r="P56075" s="3337"/>
    </row>
    <row r="56076" spans="7:16" s="1634" customFormat="1">
      <c r="G56076" s="3336"/>
      <c r="P56076" s="3337"/>
    </row>
    <row r="56077" spans="7:16" s="1634" customFormat="1">
      <c r="G56077" s="3336"/>
      <c r="P56077" s="3337"/>
    </row>
    <row r="56078" spans="7:16" s="1634" customFormat="1">
      <c r="G56078" s="3336"/>
      <c r="P56078" s="3337"/>
    </row>
    <row r="56079" spans="7:16" s="1634" customFormat="1">
      <c r="G56079" s="3336"/>
      <c r="P56079" s="3337"/>
    </row>
    <row r="56080" spans="7:16" s="1634" customFormat="1">
      <c r="G56080" s="3336"/>
      <c r="P56080" s="3337"/>
    </row>
    <row r="56081" spans="7:16" s="1634" customFormat="1">
      <c r="G56081" s="3336"/>
      <c r="P56081" s="3337"/>
    </row>
    <row r="56082" spans="7:16" s="1634" customFormat="1">
      <c r="G56082" s="3336"/>
      <c r="P56082" s="3337"/>
    </row>
    <row r="56083" spans="7:16" s="1634" customFormat="1">
      <c r="G56083" s="3336"/>
      <c r="P56083" s="3337"/>
    </row>
    <row r="56084" spans="7:16" s="1634" customFormat="1">
      <c r="G56084" s="3336"/>
      <c r="P56084" s="3337"/>
    </row>
    <row r="56085" spans="7:16" s="1634" customFormat="1">
      <c r="G56085" s="3336"/>
      <c r="P56085" s="3337"/>
    </row>
    <row r="56086" spans="7:16" s="1634" customFormat="1">
      <c r="G56086" s="3336"/>
      <c r="P56086" s="3337"/>
    </row>
    <row r="56087" spans="7:16" s="1634" customFormat="1">
      <c r="G56087" s="3336"/>
      <c r="P56087" s="3337"/>
    </row>
    <row r="56088" spans="7:16" s="1634" customFormat="1">
      <c r="G56088" s="3336"/>
      <c r="P56088" s="3337"/>
    </row>
    <row r="56089" spans="7:16" s="1634" customFormat="1">
      <c r="G56089" s="3336"/>
      <c r="P56089" s="3337"/>
    </row>
    <row r="56090" spans="7:16" s="1634" customFormat="1">
      <c r="G56090" s="3336"/>
      <c r="P56090" s="3337"/>
    </row>
    <row r="56091" spans="7:16" s="1634" customFormat="1">
      <c r="G56091" s="3336"/>
      <c r="P56091" s="3337"/>
    </row>
    <row r="56092" spans="7:16" s="1634" customFormat="1">
      <c r="G56092" s="3336"/>
      <c r="P56092" s="3337"/>
    </row>
    <row r="56093" spans="7:16" s="1634" customFormat="1">
      <c r="G56093" s="3336"/>
      <c r="P56093" s="3337"/>
    </row>
    <row r="56094" spans="7:16" s="1634" customFormat="1">
      <c r="G56094" s="3336"/>
      <c r="P56094" s="3337"/>
    </row>
    <row r="56095" spans="7:16" s="1634" customFormat="1">
      <c r="G56095" s="3336"/>
      <c r="P56095" s="3337"/>
    </row>
    <row r="56096" spans="7:16" s="1634" customFormat="1">
      <c r="G56096" s="3336"/>
      <c r="P56096" s="3337"/>
    </row>
    <row r="56097" spans="7:16" s="1634" customFormat="1">
      <c r="G56097" s="3336"/>
      <c r="P56097" s="3337"/>
    </row>
    <row r="56098" spans="7:16" s="1634" customFormat="1">
      <c r="G56098" s="3336"/>
      <c r="P56098" s="3337"/>
    </row>
    <row r="56099" spans="7:16" s="1634" customFormat="1">
      <c r="G56099" s="3336"/>
      <c r="P56099" s="3337"/>
    </row>
    <row r="56100" spans="7:16" s="1634" customFormat="1">
      <c r="G56100" s="3336"/>
      <c r="P56100" s="3337"/>
    </row>
    <row r="56101" spans="7:16" s="1634" customFormat="1">
      <c r="G56101" s="3336"/>
      <c r="P56101" s="3337"/>
    </row>
    <row r="56102" spans="7:16" s="1634" customFormat="1">
      <c r="G56102" s="3336"/>
      <c r="P56102" s="3337"/>
    </row>
    <row r="56103" spans="7:16" s="1634" customFormat="1">
      <c r="G56103" s="3336"/>
      <c r="P56103" s="3337"/>
    </row>
    <row r="56104" spans="7:16" s="1634" customFormat="1">
      <c r="G56104" s="3336"/>
      <c r="P56104" s="3337"/>
    </row>
    <row r="56105" spans="7:16" s="1634" customFormat="1">
      <c r="G56105" s="3336"/>
      <c r="P56105" s="3337"/>
    </row>
    <row r="56106" spans="7:16" s="1634" customFormat="1">
      <c r="G56106" s="3336"/>
      <c r="P56106" s="3337"/>
    </row>
    <row r="56107" spans="7:16" s="1634" customFormat="1">
      <c r="G56107" s="3336"/>
      <c r="P56107" s="3337"/>
    </row>
    <row r="56108" spans="7:16" s="1634" customFormat="1">
      <c r="G56108" s="3336"/>
      <c r="P56108" s="3337"/>
    </row>
    <row r="56109" spans="7:16" s="1634" customFormat="1">
      <c r="G56109" s="3336"/>
      <c r="P56109" s="3337"/>
    </row>
    <row r="56110" spans="7:16" s="1634" customFormat="1">
      <c r="G56110" s="3336"/>
      <c r="P56110" s="3337"/>
    </row>
    <row r="56111" spans="7:16" s="1634" customFormat="1">
      <c r="G56111" s="3336"/>
      <c r="P56111" s="3337"/>
    </row>
    <row r="56112" spans="7:16" s="1634" customFormat="1">
      <c r="G56112" s="3336"/>
      <c r="P56112" s="3337"/>
    </row>
    <row r="56113" spans="7:16" s="1634" customFormat="1">
      <c r="G56113" s="3336"/>
      <c r="P56113" s="3337"/>
    </row>
    <row r="56114" spans="7:16" s="1634" customFormat="1">
      <c r="G56114" s="3336"/>
      <c r="P56114" s="3337"/>
    </row>
    <row r="56115" spans="7:16" s="1634" customFormat="1">
      <c r="G56115" s="3336"/>
      <c r="P56115" s="3337"/>
    </row>
    <row r="56116" spans="7:16" s="1634" customFormat="1">
      <c r="G56116" s="3336"/>
      <c r="P56116" s="3337"/>
    </row>
    <row r="56117" spans="7:16" s="1634" customFormat="1">
      <c r="G56117" s="3336"/>
      <c r="P56117" s="3337"/>
    </row>
    <row r="56118" spans="7:16" s="1634" customFormat="1">
      <c r="G56118" s="3336"/>
      <c r="P56118" s="3337"/>
    </row>
    <row r="56119" spans="7:16" s="1634" customFormat="1">
      <c r="G56119" s="3336"/>
      <c r="P56119" s="3337"/>
    </row>
    <row r="56120" spans="7:16" s="1634" customFormat="1">
      <c r="G56120" s="3336"/>
      <c r="P56120" s="3337"/>
    </row>
    <row r="56121" spans="7:16" s="1634" customFormat="1">
      <c r="G56121" s="3336"/>
      <c r="P56121" s="3337"/>
    </row>
    <row r="56122" spans="7:16" s="1634" customFormat="1">
      <c r="G56122" s="3336"/>
      <c r="P56122" s="3337"/>
    </row>
    <row r="56123" spans="7:16" s="1634" customFormat="1">
      <c r="G56123" s="3336"/>
      <c r="P56123" s="3337"/>
    </row>
    <row r="56124" spans="7:16" s="1634" customFormat="1">
      <c r="G56124" s="3336"/>
      <c r="P56124" s="3337"/>
    </row>
    <row r="56125" spans="7:16" s="1634" customFormat="1">
      <c r="G56125" s="3336"/>
      <c r="P56125" s="3337"/>
    </row>
    <row r="56126" spans="7:16" s="1634" customFormat="1">
      <c r="G56126" s="3336"/>
      <c r="P56126" s="3337"/>
    </row>
    <row r="56127" spans="7:16" s="1634" customFormat="1">
      <c r="G56127" s="3336"/>
      <c r="P56127" s="3337"/>
    </row>
    <row r="56128" spans="7:16" s="1634" customFormat="1">
      <c r="G56128" s="3336"/>
      <c r="P56128" s="3337"/>
    </row>
    <row r="56129" spans="7:16" s="1634" customFormat="1">
      <c r="G56129" s="3336"/>
      <c r="P56129" s="3337"/>
    </row>
    <row r="56130" spans="7:16" s="1634" customFormat="1">
      <c r="G56130" s="3336"/>
      <c r="P56130" s="3337"/>
    </row>
    <row r="56131" spans="7:16" s="1634" customFormat="1">
      <c r="G56131" s="3336"/>
      <c r="P56131" s="3337"/>
    </row>
    <row r="56132" spans="7:16" s="1634" customFormat="1">
      <c r="G56132" s="3336"/>
      <c r="P56132" s="3337"/>
    </row>
    <row r="56133" spans="7:16" s="1634" customFormat="1">
      <c r="G56133" s="3336"/>
      <c r="P56133" s="3337"/>
    </row>
    <row r="56134" spans="7:16" s="1634" customFormat="1">
      <c r="G56134" s="3336"/>
      <c r="P56134" s="3337"/>
    </row>
    <row r="56135" spans="7:16" s="1634" customFormat="1">
      <c r="G56135" s="3336"/>
      <c r="P56135" s="3337"/>
    </row>
    <row r="56136" spans="7:16" s="1634" customFormat="1">
      <c r="G56136" s="3336"/>
      <c r="P56136" s="3337"/>
    </row>
    <row r="56137" spans="7:16" s="1634" customFormat="1">
      <c r="G56137" s="3336"/>
      <c r="P56137" s="3337"/>
    </row>
    <row r="56138" spans="7:16" s="1634" customFormat="1">
      <c r="G56138" s="3336"/>
      <c r="P56138" s="3337"/>
    </row>
    <row r="56139" spans="7:16" s="1634" customFormat="1">
      <c r="G56139" s="3336"/>
      <c r="P56139" s="3337"/>
    </row>
    <row r="56140" spans="7:16" s="1634" customFormat="1">
      <c r="G56140" s="3336"/>
      <c r="P56140" s="3337"/>
    </row>
    <row r="56141" spans="7:16" s="1634" customFormat="1">
      <c r="G56141" s="3336"/>
      <c r="P56141" s="3337"/>
    </row>
    <row r="56142" spans="7:16" s="1634" customFormat="1">
      <c r="G56142" s="3336"/>
      <c r="P56142" s="3337"/>
    </row>
    <row r="56143" spans="7:16" s="1634" customFormat="1">
      <c r="G56143" s="3336"/>
      <c r="P56143" s="3337"/>
    </row>
    <row r="56144" spans="7:16" s="1634" customFormat="1">
      <c r="G56144" s="3336"/>
      <c r="P56144" s="3337"/>
    </row>
    <row r="56145" spans="7:16" s="1634" customFormat="1">
      <c r="G56145" s="3336"/>
      <c r="P56145" s="3337"/>
    </row>
    <row r="56146" spans="7:16" s="1634" customFormat="1">
      <c r="G56146" s="3336"/>
      <c r="P56146" s="3337"/>
    </row>
    <row r="56147" spans="7:16" s="1634" customFormat="1">
      <c r="G56147" s="3336"/>
      <c r="P56147" s="3337"/>
    </row>
    <row r="56148" spans="7:16" s="1634" customFormat="1">
      <c r="G56148" s="3336"/>
      <c r="P56148" s="3337"/>
    </row>
    <row r="56149" spans="7:16" s="1634" customFormat="1">
      <c r="G56149" s="3336"/>
      <c r="P56149" s="3337"/>
    </row>
    <row r="56150" spans="7:16" s="1634" customFormat="1">
      <c r="G56150" s="3336"/>
      <c r="P56150" s="3337"/>
    </row>
    <row r="56151" spans="7:16" s="1634" customFormat="1">
      <c r="G56151" s="3336"/>
      <c r="P56151" s="3337"/>
    </row>
    <row r="56152" spans="7:16" s="1634" customFormat="1">
      <c r="G56152" s="3336"/>
      <c r="P56152" s="3337"/>
    </row>
    <row r="56153" spans="7:16" s="1634" customFormat="1">
      <c r="G56153" s="3336"/>
      <c r="P56153" s="3337"/>
    </row>
    <row r="56154" spans="7:16" s="1634" customFormat="1">
      <c r="G56154" s="3336"/>
      <c r="P56154" s="3337"/>
    </row>
    <row r="56155" spans="7:16" s="1634" customFormat="1">
      <c r="G56155" s="3336"/>
      <c r="P56155" s="3337"/>
    </row>
    <row r="56156" spans="7:16" s="1634" customFormat="1">
      <c r="G56156" s="3336"/>
      <c r="P56156" s="3337"/>
    </row>
    <row r="56157" spans="7:16" s="1634" customFormat="1">
      <c r="G56157" s="3336"/>
      <c r="P56157" s="3337"/>
    </row>
    <row r="56158" spans="7:16" s="1634" customFormat="1">
      <c r="G56158" s="3336"/>
      <c r="P56158" s="3337"/>
    </row>
    <row r="56159" spans="7:16" s="1634" customFormat="1">
      <c r="G56159" s="3336"/>
      <c r="P56159" s="3337"/>
    </row>
    <row r="56160" spans="7:16" s="1634" customFormat="1">
      <c r="G56160" s="3336"/>
      <c r="P56160" s="3337"/>
    </row>
    <row r="56161" spans="7:16" s="1634" customFormat="1">
      <c r="G56161" s="3336"/>
      <c r="P56161" s="3337"/>
    </row>
    <row r="56162" spans="7:16" s="1634" customFormat="1">
      <c r="G56162" s="3336"/>
      <c r="P56162" s="3337"/>
    </row>
    <row r="56163" spans="7:16" s="1634" customFormat="1">
      <c r="G56163" s="3336"/>
      <c r="P56163" s="3337"/>
    </row>
    <row r="56164" spans="7:16" s="1634" customFormat="1">
      <c r="G56164" s="3336"/>
      <c r="P56164" s="3337"/>
    </row>
    <row r="56165" spans="7:16" s="1634" customFormat="1">
      <c r="G56165" s="3336"/>
      <c r="P56165" s="3337"/>
    </row>
    <row r="56166" spans="7:16" s="1634" customFormat="1">
      <c r="G56166" s="3336"/>
      <c r="P56166" s="3337"/>
    </row>
    <row r="56167" spans="7:16" s="1634" customFormat="1">
      <c r="G56167" s="3336"/>
      <c r="P56167" s="3337"/>
    </row>
    <row r="56168" spans="7:16" s="1634" customFormat="1">
      <c r="G56168" s="3336"/>
      <c r="P56168" s="3337"/>
    </row>
    <row r="56169" spans="7:16" s="1634" customFormat="1">
      <c r="G56169" s="3336"/>
      <c r="P56169" s="3337"/>
    </row>
    <row r="56170" spans="7:16" s="1634" customFormat="1">
      <c r="G56170" s="3336"/>
      <c r="P56170" s="3337"/>
    </row>
    <row r="56171" spans="7:16" s="1634" customFormat="1">
      <c r="G56171" s="3336"/>
      <c r="P56171" s="3337"/>
    </row>
    <row r="56172" spans="7:16" s="1634" customFormat="1">
      <c r="G56172" s="3336"/>
      <c r="P56172" s="3337"/>
    </row>
    <row r="56173" spans="7:16" s="1634" customFormat="1">
      <c r="G56173" s="3336"/>
      <c r="P56173" s="3337"/>
    </row>
    <row r="56174" spans="7:16" s="1634" customFormat="1">
      <c r="G56174" s="3336"/>
      <c r="P56174" s="3337"/>
    </row>
    <row r="56175" spans="7:16" s="1634" customFormat="1">
      <c r="G56175" s="3336"/>
      <c r="P56175" s="3337"/>
    </row>
    <row r="56176" spans="7:16" s="1634" customFormat="1">
      <c r="G56176" s="3336"/>
      <c r="P56176" s="3337"/>
    </row>
    <row r="56177" spans="7:16" s="1634" customFormat="1">
      <c r="G56177" s="3336"/>
      <c r="P56177" s="3337"/>
    </row>
    <row r="56178" spans="7:16" s="1634" customFormat="1">
      <c r="G56178" s="3336"/>
      <c r="P56178" s="3337"/>
    </row>
    <row r="56179" spans="7:16" s="1634" customFormat="1">
      <c r="G56179" s="3336"/>
      <c r="P56179" s="3337"/>
    </row>
    <row r="56180" spans="7:16" s="1634" customFormat="1">
      <c r="G56180" s="3336"/>
      <c r="P56180" s="3337"/>
    </row>
    <row r="56181" spans="7:16" s="1634" customFormat="1">
      <c r="G56181" s="3336"/>
      <c r="P56181" s="3337"/>
    </row>
    <row r="56182" spans="7:16" s="1634" customFormat="1">
      <c r="G56182" s="3336"/>
      <c r="P56182" s="3337"/>
    </row>
    <row r="56183" spans="7:16" s="1634" customFormat="1">
      <c r="G56183" s="3336"/>
      <c r="P56183" s="3337"/>
    </row>
    <row r="56184" spans="7:16" s="1634" customFormat="1">
      <c r="G56184" s="3336"/>
      <c r="P56184" s="3337"/>
    </row>
    <row r="56185" spans="7:16" s="1634" customFormat="1">
      <c r="G56185" s="3336"/>
      <c r="P56185" s="3337"/>
    </row>
    <row r="56186" spans="7:16" s="1634" customFormat="1">
      <c r="G56186" s="3336"/>
      <c r="P56186" s="3337"/>
    </row>
    <row r="56187" spans="7:16" s="1634" customFormat="1">
      <c r="G56187" s="3336"/>
      <c r="P56187" s="3337"/>
    </row>
    <row r="56188" spans="7:16" s="1634" customFormat="1">
      <c r="G56188" s="3336"/>
      <c r="P56188" s="3337"/>
    </row>
    <row r="56189" spans="7:16" s="1634" customFormat="1">
      <c r="G56189" s="3336"/>
      <c r="P56189" s="3337"/>
    </row>
    <row r="56190" spans="7:16" s="1634" customFormat="1">
      <c r="G56190" s="3336"/>
      <c r="P56190" s="3337"/>
    </row>
    <row r="56191" spans="7:16" s="1634" customFormat="1">
      <c r="G56191" s="3336"/>
      <c r="P56191" s="3337"/>
    </row>
    <row r="56192" spans="7:16" s="1634" customFormat="1">
      <c r="G56192" s="3336"/>
      <c r="P56192" s="3337"/>
    </row>
    <row r="56193" spans="7:16" s="1634" customFormat="1">
      <c r="G56193" s="3336"/>
      <c r="P56193" s="3337"/>
    </row>
    <row r="56194" spans="7:16" s="1634" customFormat="1">
      <c r="G56194" s="3336"/>
      <c r="P56194" s="3337"/>
    </row>
    <row r="56195" spans="7:16" s="1634" customFormat="1">
      <c r="G56195" s="3336"/>
      <c r="P56195" s="3337"/>
    </row>
    <row r="56196" spans="7:16" s="1634" customFormat="1">
      <c r="G56196" s="3336"/>
      <c r="P56196" s="3337"/>
    </row>
    <row r="56197" spans="7:16" s="1634" customFormat="1">
      <c r="G56197" s="3336"/>
      <c r="P56197" s="3337"/>
    </row>
    <row r="56198" spans="7:16" s="1634" customFormat="1">
      <c r="G56198" s="3336"/>
      <c r="P56198" s="3337"/>
    </row>
    <row r="56199" spans="7:16" s="1634" customFormat="1">
      <c r="G56199" s="3336"/>
      <c r="P56199" s="3337"/>
    </row>
    <row r="56200" spans="7:16" s="1634" customFormat="1">
      <c r="G56200" s="3336"/>
      <c r="P56200" s="3337"/>
    </row>
    <row r="56201" spans="7:16" s="1634" customFormat="1">
      <c r="G56201" s="3336"/>
      <c r="P56201" s="3337"/>
    </row>
    <row r="56202" spans="7:16" s="1634" customFormat="1">
      <c r="G56202" s="3336"/>
      <c r="P56202" s="3337"/>
    </row>
    <row r="56203" spans="7:16" s="1634" customFormat="1">
      <c r="G56203" s="3336"/>
      <c r="P56203" s="3337"/>
    </row>
    <row r="56204" spans="7:16" s="1634" customFormat="1">
      <c r="G56204" s="3336"/>
      <c r="P56204" s="3337"/>
    </row>
    <row r="56205" spans="7:16" s="1634" customFormat="1">
      <c r="G56205" s="3336"/>
      <c r="P56205" s="3337"/>
    </row>
    <row r="56206" spans="7:16" s="1634" customFormat="1">
      <c r="G56206" s="3336"/>
      <c r="P56206" s="3337"/>
    </row>
    <row r="56207" spans="7:16" s="1634" customFormat="1">
      <c r="G56207" s="3336"/>
      <c r="P56207" s="3337"/>
    </row>
    <row r="56208" spans="7:16" s="1634" customFormat="1">
      <c r="G56208" s="3336"/>
      <c r="P56208" s="3337"/>
    </row>
    <row r="56209" spans="7:16" s="1634" customFormat="1">
      <c r="G56209" s="3336"/>
      <c r="P56209" s="3337"/>
    </row>
    <row r="56210" spans="7:16" s="1634" customFormat="1">
      <c r="G56210" s="3336"/>
      <c r="P56210" s="3337"/>
    </row>
    <row r="56211" spans="7:16" s="1634" customFormat="1">
      <c r="G56211" s="3336"/>
      <c r="P56211" s="3337"/>
    </row>
    <row r="56212" spans="7:16" s="1634" customFormat="1">
      <c r="G56212" s="3336"/>
      <c r="P56212" s="3337"/>
    </row>
    <row r="56213" spans="7:16" s="1634" customFormat="1">
      <c r="G56213" s="3336"/>
      <c r="P56213" s="3337"/>
    </row>
    <row r="56214" spans="7:16" s="1634" customFormat="1">
      <c r="G56214" s="3336"/>
      <c r="P56214" s="3337"/>
    </row>
    <row r="56215" spans="7:16" s="1634" customFormat="1">
      <c r="G56215" s="3336"/>
      <c r="P56215" s="3337"/>
    </row>
    <row r="56216" spans="7:16" s="1634" customFormat="1">
      <c r="G56216" s="3336"/>
      <c r="P56216" s="3337"/>
    </row>
    <row r="56217" spans="7:16" s="1634" customFormat="1">
      <c r="G56217" s="3336"/>
      <c r="P56217" s="3337"/>
    </row>
    <row r="56218" spans="7:16" s="1634" customFormat="1">
      <c r="G56218" s="3336"/>
      <c r="P56218" s="3337"/>
    </row>
    <row r="56219" spans="7:16" s="1634" customFormat="1">
      <c r="G56219" s="3336"/>
      <c r="P56219" s="3337"/>
    </row>
    <row r="56220" spans="7:16" s="1634" customFormat="1">
      <c r="G56220" s="3336"/>
      <c r="P56220" s="3337"/>
    </row>
    <row r="56221" spans="7:16" s="1634" customFormat="1">
      <c r="G56221" s="3336"/>
      <c r="P56221" s="3337"/>
    </row>
    <row r="56222" spans="7:16" s="1634" customFormat="1">
      <c r="G56222" s="3336"/>
      <c r="P56222" s="3337"/>
    </row>
    <row r="56223" spans="7:16" s="1634" customFormat="1">
      <c r="G56223" s="3336"/>
      <c r="P56223" s="3337"/>
    </row>
    <row r="56224" spans="7:16" s="1634" customFormat="1">
      <c r="G56224" s="3336"/>
      <c r="P56224" s="3337"/>
    </row>
    <row r="56225" spans="7:16" s="1634" customFormat="1">
      <c r="G56225" s="3336"/>
      <c r="P56225" s="3337"/>
    </row>
    <row r="56226" spans="7:16" s="1634" customFormat="1">
      <c r="G56226" s="3336"/>
      <c r="P56226" s="3337"/>
    </row>
    <row r="56227" spans="7:16" s="1634" customFormat="1">
      <c r="G56227" s="3336"/>
      <c r="P56227" s="3337"/>
    </row>
    <row r="56228" spans="7:16" s="1634" customFormat="1">
      <c r="G56228" s="3336"/>
      <c r="P56228" s="3337"/>
    </row>
    <row r="56229" spans="7:16" s="1634" customFormat="1">
      <c r="G56229" s="3336"/>
      <c r="P56229" s="3337"/>
    </row>
    <row r="56230" spans="7:16" s="1634" customFormat="1">
      <c r="G56230" s="3336"/>
      <c r="P56230" s="3337"/>
    </row>
    <row r="56231" spans="7:16" s="1634" customFormat="1">
      <c r="G56231" s="3336"/>
      <c r="P56231" s="3337"/>
    </row>
    <row r="56232" spans="7:16" s="1634" customFormat="1">
      <c r="G56232" s="3336"/>
      <c r="P56232" s="3337"/>
    </row>
    <row r="56233" spans="7:16" s="1634" customFormat="1">
      <c r="G56233" s="3336"/>
      <c r="P56233" s="3337"/>
    </row>
    <row r="56234" spans="7:16" s="1634" customFormat="1">
      <c r="G56234" s="3336"/>
      <c r="P56234" s="3337"/>
    </row>
    <row r="56235" spans="7:16" s="1634" customFormat="1">
      <c r="G56235" s="3336"/>
      <c r="P56235" s="3337"/>
    </row>
    <row r="56236" spans="7:16" s="1634" customFormat="1">
      <c r="G56236" s="3336"/>
      <c r="P56236" s="3337"/>
    </row>
    <row r="56237" spans="7:16" s="1634" customFormat="1">
      <c r="G56237" s="3336"/>
      <c r="P56237" s="3337"/>
    </row>
    <row r="56238" spans="7:16" s="1634" customFormat="1">
      <c r="G56238" s="3336"/>
      <c r="P56238" s="3337"/>
    </row>
    <row r="56239" spans="7:16" s="1634" customFormat="1">
      <c r="G56239" s="3336"/>
      <c r="P56239" s="3337"/>
    </row>
    <row r="56240" spans="7:16" s="1634" customFormat="1">
      <c r="G56240" s="3336"/>
      <c r="P56240" s="3337"/>
    </row>
    <row r="56241" spans="7:16" s="1634" customFormat="1">
      <c r="G56241" s="3336"/>
      <c r="P56241" s="3337"/>
    </row>
    <row r="56242" spans="7:16" s="1634" customFormat="1">
      <c r="G56242" s="3336"/>
      <c r="P56242" s="3337"/>
    </row>
    <row r="56243" spans="7:16" s="1634" customFormat="1">
      <c r="G56243" s="3336"/>
      <c r="P56243" s="3337"/>
    </row>
    <row r="56244" spans="7:16" s="1634" customFormat="1">
      <c r="G56244" s="3336"/>
      <c r="P56244" s="3337"/>
    </row>
    <row r="56245" spans="7:16" s="1634" customFormat="1">
      <c r="G56245" s="3336"/>
      <c r="P56245" s="3337"/>
    </row>
    <row r="56246" spans="7:16" s="1634" customFormat="1">
      <c r="G56246" s="3336"/>
      <c r="P56246" s="3337"/>
    </row>
    <row r="56247" spans="7:16" s="1634" customFormat="1">
      <c r="G56247" s="3336"/>
      <c r="P56247" s="3337"/>
    </row>
    <row r="56248" spans="7:16" s="1634" customFormat="1">
      <c r="G56248" s="3336"/>
      <c r="P56248" s="3337"/>
    </row>
    <row r="56249" spans="7:16" s="1634" customFormat="1">
      <c r="G56249" s="3336"/>
      <c r="P56249" s="3337"/>
    </row>
    <row r="56250" spans="7:16" s="1634" customFormat="1">
      <c r="G56250" s="3336"/>
      <c r="P56250" s="3337"/>
    </row>
    <row r="56251" spans="7:16" s="1634" customFormat="1">
      <c r="G56251" s="3336"/>
      <c r="P56251" s="3337"/>
    </row>
    <row r="56252" spans="7:16" s="1634" customFormat="1">
      <c r="G56252" s="3336"/>
      <c r="P56252" s="3337"/>
    </row>
    <row r="56253" spans="7:16" s="1634" customFormat="1">
      <c r="G56253" s="3336"/>
      <c r="P56253" s="3337"/>
    </row>
    <row r="56254" spans="7:16" s="1634" customFormat="1">
      <c r="G56254" s="3336"/>
      <c r="P56254" s="3337"/>
    </row>
    <row r="56255" spans="7:16" s="1634" customFormat="1">
      <c r="G56255" s="3336"/>
      <c r="P56255" s="3337"/>
    </row>
    <row r="56256" spans="7:16" s="1634" customFormat="1">
      <c r="G56256" s="3336"/>
      <c r="P56256" s="3337"/>
    </row>
    <row r="56257" spans="7:16" s="1634" customFormat="1">
      <c r="G56257" s="3336"/>
      <c r="P56257" s="3337"/>
    </row>
    <row r="56258" spans="7:16" s="1634" customFormat="1">
      <c r="G56258" s="3336"/>
      <c r="P56258" s="3337"/>
    </row>
    <row r="56259" spans="7:16" s="1634" customFormat="1">
      <c r="G56259" s="3336"/>
      <c r="P56259" s="3337"/>
    </row>
    <row r="56260" spans="7:16" s="1634" customFormat="1">
      <c r="G56260" s="3336"/>
      <c r="P56260" s="3337"/>
    </row>
    <row r="56261" spans="7:16" s="1634" customFormat="1">
      <c r="G56261" s="3336"/>
      <c r="P56261" s="3337"/>
    </row>
    <row r="56262" spans="7:16" s="1634" customFormat="1">
      <c r="G56262" s="3336"/>
      <c r="P56262" s="3337"/>
    </row>
    <row r="56263" spans="7:16" s="1634" customFormat="1">
      <c r="G56263" s="3336"/>
      <c r="P56263" s="3337"/>
    </row>
    <row r="56264" spans="7:16" s="1634" customFormat="1">
      <c r="G56264" s="3336"/>
      <c r="P56264" s="3337"/>
    </row>
    <row r="56265" spans="7:16" s="1634" customFormat="1">
      <c r="G56265" s="3336"/>
      <c r="P56265" s="3337"/>
    </row>
    <row r="56266" spans="7:16" s="1634" customFormat="1">
      <c r="G56266" s="3336"/>
      <c r="P56266" s="3337"/>
    </row>
    <row r="56267" spans="7:16" s="1634" customFormat="1">
      <c r="G56267" s="3336"/>
      <c r="P56267" s="3337"/>
    </row>
    <row r="56268" spans="7:16" s="1634" customFormat="1">
      <c r="G56268" s="3336"/>
      <c r="P56268" s="3337"/>
    </row>
    <row r="56269" spans="7:16" s="1634" customFormat="1">
      <c r="G56269" s="3336"/>
      <c r="P56269" s="3337"/>
    </row>
    <row r="56270" spans="7:16" s="1634" customFormat="1">
      <c r="G56270" s="3336"/>
      <c r="P56270" s="3337"/>
    </row>
    <row r="56271" spans="7:16" s="1634" customFormat="1">
      <c r="G56271" s="3336"/>
      <c r="P56271" s="3337"/>
    </row>
    <row r="56272" spans="7:16" s="1634" customFormat="1">
      <c r="G56272" s="3336"/>
      <c r="P56272" s="3337"/>
    </row>
    <row r="56273" spans="7:16" s="1634" customFormat="1">
      <c r="G56273" s="3336"/>
      <c r="P56273" s="3337"/>
    </row>
    <row r="56274" spans="7:16" s="1634" customFormat="1">
      <c r="G56274" s="3336"/>
      <c r="P56274" s="3337"/>
    </row>
    <row r="56275" spans="7:16" s="1634" customFormat="1">
      <c r="G56275" s="3336"/>
      <c r="P56275" s="3337"/>
    </row>
    <row r="56276" spans="7:16" s="1634" customFormat="1">
      <c r="G56276" s="3336"/>
      <c r="P56276" s="3337"/>
    </row>
    <row r="56277" spans="7:16" s="1634" customFormat="1">
      <c r="G56277" s="3336"/>
      <c r="P56277" s="3337"/>
    </row>
    <row r="56278" spans="7:16" s="1634" customFormat="1">
      <c r="G56278" s="3336"/>
      <c r="P56278" s="3337"/>
    </row>
    <row r="56279" spans="7:16" s="1634" customFormat="1">
      <c r="G56279" s="3336"/>
      <c r="P56279" s="3337"/>
    </row>
    <row r="56280" spans="7:16" s="1634" customFormat="1">
      <c r="G56280" s="3336"/>
      <c r="P56280" s="3337"/>
    </row>
    <row r="56281" spans="7:16" s="1634" customFormat="1">
      <c r="G56281" s="3336"/>
      <c r="P56281" s="3337"/>
    </row>
    <row r="56282" spans="7:16" s="1634" customFormat="1">
      <c r="G56282" s="3336"/>
      <c r="P56282" s="3337"/>
    </row>
    <row r="56283" spans="7:16" s="1634" customFormat="1">
      <c r="G56283" s="3336"/>
      <c r="P56283" s="3337"/>
    </row>
    <row r="56284" spans="7:16" s="1634" customFormat="1">
      <c r="G56284" s="3336"/>
      <c r="P56284" s="3337"/>
    </row>
    <row r="56285" spans="7:16" s="1634" customFormat="1">
      <c r="G56285" s="3336"/>
      <c r="P56285" s="3337"/>
    </row>
    <row r="56286" spans="7:16" s="1634" customFormat="1">
      <c r="G56286" s="3336"/>
      <c r="P56286" s="3337"/>
    </row>
    <row r="56287" spans="7:16" s="1634" customFormat="1">
      <c r="G56287" s="3336"/>
      <c r="P56287" s="3337"/>
    </row>
    <row r="56288" spans="7:16" s="1634" customFormat="1">
      <c r="G56288" s="3336"/>
      <c r="P56288" s="3337"/>
    </row>
    <row r="56289" spans="7:16" s="1634" customFormat="1">
      <c r="G56289" s="3336"/>
      <c r="P56289" s="3337"/>
    </row>
    <row r="56290" spans="7:16" s="1634" customFormat="1">
      <c r="G56290" s="3336"/>
      <c r="P56290" s="3337"/>
    </row>
    <row r="56291" spans="7:16" s="1634" customFormat="1">
      <c r="G56291" s="3336"/>
      <c r="P56291" s="3337"/>
    </row>
    <row r="56292" spans="7:16" s="1634" customFormat="1">
      <c r="G56292" s="3336"/>
      <c r="P56292" s="3337"/>
    </row>
    <row r="56293" spans="7:16" s="1634" customFormat="1">
      <c r="G56293" s="3336"/>
      <c r="P56293" s="3337"/>
    </row>
    <row r="56294" spans="7:16" s="1634" customFormat="1">
      <c r="G56294" s="3336"/>
      <c r="P56294" s="3337"/>
    </row>
    <row r="56295" spans="7:16" s="1634" customFormat="1">
      <c r="G56295" s="3336"/>
      <c r="P56295" s="3337"/>
    </row>
    <row r="56296" spans="7:16" s="1634" customFormat="1">
      <c r="G56296" s="3336"/>
      <c r="P56296" s="3337"/>
    </row>
    <row r="56297" spans="7:16" s="1634" customFormat="1">
      <c r="G56297" s="3336"/>
      <c r="P56297" s="3337"/>
    </row>
    <row r="56298" spans="7:16" s="1634" customFormat="1">
      <c r="G56298" s="3336"/>
      <c r="P56298" s="3337"/>
    </row>
    <row r="56299" spans="7:16" s="1634" customFormat="1">
      <c r="G56299" s="3336"/>
      <c r="P56299" s="3337"/>
    </row>
    <row r="56300" spans="7:16" s="1634" customFormat="1">
      <c r="G56300" s="3336"/>
      <c r="P56300" s="3337"/>
    </row>
    <row r="56301" spans="7:16" s="1634" customFormat="1">
      <c r="G56301" s="3336"/>
      <c r="P56301" s="3337"/>
    </row>
    <row r="56302" spans="7:16" s="1634" customFormat="1">
      <c r="G56302" s="3336"/>
      <c r="P56302" s="3337"/>
    </row>
    <row r="56303" spans="7:16" s="1634" customFormat="1">
      <c r="G56303" s="3336"/>
      <c r="P56303" s="3337"/>
    </row>
    <row r="56304" spans="7:16" s="1634" customFormat="1">
      <c r="G56304" s="3336"/>
      <c r="P56304" s="3337"/>
    </row>
    <row r="56305" spans="7:16" s="1634" customFormat="1">
      <c r="G56305" s="3336"/>
      <c r="P56305" s="3337"/>
    </row>
    <row r="56306" spans="7:16" s="1634" customFormat="1">
      <c r="G56306" s="3336"/>
      <c r="P56306" s="3337"/>
    </row>
    <row r="56307" spans="7:16" s="1634" customFormat="1">
      <c r="G56307" s="3336"/>
      <c r="P56307" s="3337"/>
    </row>
    <row r="56308" spans="7:16" s="1634" customFormat="1">
      <c r="G56308" s="3336"/>
      <c r="P56308" s="3337"/>
    </row>
    <row r="56309" spans="7:16" s="1634" customFormat="1">
      <c r="G56309" s="3336"/>
      <c r="P56309" s="3337"/>
    </row>
    <row r="56310" spans="7:16" s="1634" customFormat="1">
      <c r="G56310" s="3336"/>
      <c r="P56310" s="3337"/>
    </row>
    <row r="56311" spans="7:16" s="1634" customFormat="1">
      <c r="G56311" s="3336"/>
      <c r="P56311" s="3337"/>
    </row>
    <row r="56312" spans="7:16" s="1634" customFormat="1">
      <c r="G56312" s="3336"/>
      <c r="P56312" s="3337"/>
    </row>
    <row r="56313" spans="7:16" s="1634" customFormat="1">
      <c r="G56313" s="3336"/>
      <c r="P56313" s="3337"/>
    </row>
    <row r="56314" spans="7:16" s="1634" customFormat="1">
      <c r="G56314" s="3336"/>
      <c r="P56314" s="3337"/>
    </row>
    <row r="56315" spans="7:16" s="1634" customFormat="1">
      <c r="G56315" s="3336"/>
      <c r="P56315" s="3337"/>
    </row>
    <row r="56316" spans="7:16" s="1634" customFormat="1">
      <c r="G56316" s="3336"/>
      <c r="P56316" s="3337"/>
    </row>
    <row r="56317" spans="7:16" s="1634" customFormat="1">
      <c r="G56317" s="3336"/>
      <c r="P56317" s="3337"/>
    </row>
    <row r="56318" spans="7:16" s="1634" customFormat="1">
      <c r="G56318" s="3336"/>
      <c r="P56318" s="3337"/>
    </row>
    <row r="56319" spans="7:16" s="1634" customFormat="1">
      <c r="G56319" s="3336"/>
      <c r="P56319" s="3337"/>
    </row>
    <row r="56320" spans="7:16" s="1634" customFormat="1">
      <c r="G56320" s="3336"/>
      <c r="P56320" s="3337"/>
    </row>
    <row r="56321" spans="7:16" s="1634" customFormat="1">
      <c r="G56321" s="3336"/>
      <c r="P56321" s="3337"/>
    </row>
    <row r="56322" spans="7:16" s="1634" customFormat="1">
      <c r="G56322" s="3336"/>
      <c r="P56322" s="3337"/>
    </row>
    <row r="56323" spans="7:16" s="1634" customFormat="1">
      <c r="G56323" s="3336"/>
      <c r="P56323" s="3337"/>
    </row>
    <row r="56324" spans="7:16" s="1634" customFormat="1">
      <c r="G56324" s="3336"/>
      <c r="P56324" s="3337"/>
    </row>
    <row r="56325" spans="7:16" s="1634" customFormat="1">
      <c r="G56325" s="3336"/>
      <c r="P56325" s="3337"/>
    </row>
    <row r="56326" spans="7:16" s="1634" customFormat="1">
      <c r="G56326" s="3336"/>
      <c r="P56326" s="3337"/>
    </row>
    <row r="56327" spans="7:16" s="1634" customFormat="1">
      <c r="G56327" s="3336"/>
      <c r="P56327" s="3337"/>
    </row>
    <row r="56328" spans="7:16" s="1634" customFormat="1">
      <c r="G56328" s="3336"/>
      <c r="P56328" s="3337"/>
    </row>
    <row r="56329" spans="7:16" s="1634" customFormat="1">
      <c r="G56329" s="3336"/>
      <c r="P56329" s="3337"/>
    </row>
    <row r="56330" spans="7:16" s="1634" customFormat="1">
      <c r="G56330" s="3336"/>
      <c r="P56330" s="3337"/>
    </row>
    <row r="56331" spans="7:16" s="1634" customFormat="1">
      <c r="G56331" s="3336"/>
      <c r="P56331" s="3337"/>
    </row>
    <row r="56332" spans="7:16" s="1634" customFormat="1">
      <c r="G56332" s="3336"/>
      <c r="P56332" s="3337"/>
    </row>
    <row r="56333" spans="7:16" s="1634" customFormat="1">
      <c r="G56333" s="3336"/>
      <c r="P56333" s="3337"/>
    </row>
    <row r="56334" spans="7:16" s="1634" customFormat="1">
      <c r="G56334" s="3336"/>
      <c r="P56334" s="3337"/>
    </row>
    <row r="56335" spans="7:16" s="1634" customFormat="1">
      <c r="G56335" s="3336"/>
      <c r="P56335" s="3337"/>
    </row>
    <row r="56336" spans="7:16" s="1634" customFormat="1">
      <c r="G56336" s="3336"/>
      <c r="P56336" s="3337"/>
    </row>
    <row r="56337" spans="7:16" s="1634" customFormat="1">
      <c r="G56337" s="3336"/>
      <c r="P56337" s="3337"/>
    </row>
    <row r="56338" spans="7:16" s="1634" customFormat="1">
      <c r="G56338" s="3336"/>
      <c r="P56338" s="3337"/>
    </row>
    <row r="56339" spans="7:16" s="1634" customFormat="1">
      <c r="G56339" s="3336"/>
      <c r="P56339" s="3337"/>
    </row>
    <row r="56340" spans="7:16" s="1634" customFormat="1">
      <c r="G56340" s="3336"/>
      <c r="P56340" s="3337"/>
    </row>
    <row r="56341" spans="7:16" s="1634" customFormat="1">
      <c r="G56341" s="3336"/>
      <c r="P56341" s="3337"/>
    </row>
    <row r="56342" spans="7:16" s="1634" customFormat="1">
      <c r="G56342" s="3336"/>
      <c r="P56342" s="3337"/>
    </row>
    <row r="56343" spans="7:16" s="1634" customFormat="1">
      <c r="G56343" s="3336"/>
      <c r="P56343" s="3337"/>
    </row>
    <row r="56344" spans="7:16" s="1634" customFormat="1">
      <c r="G56344" s="3336"/>
      <c r="P56344" s="3337"/>
    </row>
    <row r="56345" spans="7:16" s="1634" customFormat="1">
      <c r="G56345" s="3336"/>
      <c r="P56345" s="3337"/>
    </row>
    <row r="56346" spans="7:16" s="1634" customFormat="1">
      <c r="G56346" s="3336"/>
      <c r="P56346" s="3337"/>
    </row>
    <row r="56347" spans="7:16" s="1634" customFormat="1">
      <c r="G56347" s="3336"/>
      <c r="P56347" s="3337"/>
    </row>
    <row r="56348" spans="7:16" s="1634" customFormat="1">
      <c r="G56348" s="3336"/>
      <c r="P56348" s="3337"/>
    </row>
    <row r="56349" spans="7:16" s="1634" customFormat="1">
      <c r="G56349" s="3336"/>
      <c r="P56349" s="3337"/>
    </row>
    <row r="56350" spans="7:16" s="1634" customFormat="1">
      <c r="G56350" s="3336"/>
      <c r="P56350" s="3337"/>
    </row>
    <row r="56351" spans="7:16" s="1634" customFormat="1">
      <c r="G56351" s="3336"/>
      <c r="P56351" s="3337"/>
    </row>
    <row r="56352" spans="7:16" s="1634" customFormat="1">
      <c r="G56352" s="3336"/>
      <c r="P56352" s="3337"/>
    </row>
    <row r="56353" spans="7:16" s="1634" customFormat="1">
      <c r="G56353" s="3336"/>
      <c r="P56353" s="3337"/>
    </row>
    <row r="56354" spans="7:16" s="1634" customFormat="1">
      <c r="G56354" s="3336"/>
      <c r="P56354" s="3337"/>
    </row>
    <row r="56355" spans="7:16" s="1634" customFormat="1">
      <c r="G56355" s="3336"/>
      <c r="P56355" s="3337"/>
    </row>
    <row r="56356" spans="7:16" s="1634" customFormat="1">
      <c r="G56356" s="3336"/>
      <c r="P56356" s="3337"/>
    </row>
    <row r="56357" spans="7:16" s="1634" customFormat="1">
      <c r="G56357" s="3336"/>
      <c r="P56357" s="3337"/>
    </row>
    <row r="56358" spans="7:16" s="1634" customFormat="1">
      <c r="G56358" s="3336"/>
      <c r="P56358" s="3337"/>
    </row>
    <row r="56359" spans="7:16" s="1634" customFormat="1">
      <c r="G56359" s="3336"/>
      <c r="P56359" s="3337"/>
    </row>
    <row r="56360" spans="7:16" s="1634" customFormat="1">
      <c r="G56360" s="3336"/>
      <c r="P56360" s="3337"/>
    </row>
    <row r="56361" spans="7:16" s="1634" customFormat="1">
      <c r="G56361" s="3336"/>
      <c r="P56361" s="3337"/>
    </row>
    <row r="56362" spans="7:16" s="1634" customFormat="1">
      <c r="G56362" s="3336"/>
      <c r="P56362" s="3337"/>
    </row>
    <row r="56363" spans="7:16" s="1634" customFormat="1">
      <c r="G56363" s="3336"/>
      <c r="P56363" s="3337"/>
    </row>
    <row r="56364" spans="7:16" s="1634" customFormat="1">
      <c r="G56364" s="3336"/>
      <c r="P56364" s="3337"/>
    </row>
    <row r="56365" spans="7:16" s="1634" customFormat="1">
      <c r="G56365" s="3336"/>
      <c r="P56365" s="3337"/>
    </row>
    <row r="56366" spans="7:16" s="1634" customFormat="1">
      <c r="G56366" s="3336"/>
      <c r="P56366" s="3337"/>
    </row>
    <row r="56367" spans="7:16" s="1634" customFormat="1">
      <c r="G56367" s="3336"/>
      <c r="P56367" s="3337"/>
    </row>
    <row r="56368" spans="7:16" s="1634" customFormat="1">
      <c r="G56368" s="3336"/>
      <c r="P56368" s="3337"/>
    </row>
    <row r="56369" spans="7:16" s="1634" customFormat="1">
      <c r="G56369" s="3336"/>
      <c r="P56369" s="3337"/>
    </row>
    <row r="56370" spans="7:16" s="1634" customFormat="1">
      <c r="G56370" s="3336"/>
      <c r="P56370" s="3337"/>
    </row>
    <row r="56371" spans="7:16" s="1634" customFormat="1">
      <c r="G56371" s="3336"/>
      <c r="P56371" s="3337"/>
    </row>
    <row r="56372" spans="7:16" s="1634" customFormat="1">
      <c r="G56372" s="3336"/>
      <c r="P56372" s="3337"/>
    </row>
    <row r="56373" spans="7:16" s="1634" customFormat="1">
      <c r="G56373" s="3336"/>
      <c r="P56373" s="3337"/>
    </row>
    <row r="56374" spans="7:16" s="1634" customFormat="1">
      <c r="G56374" s="3336"/>
      <c r="P56374" s="3337"/>
    </row>
    <row r="56375" spans="7:16" s="1634" customFormat="1">
      <c r="G56375" s="3336"/>
      <c r="P56375" s="3337"/>
    </row>
    <row r="56376" spans="7:16" s="1634" customFormat="1">
      <c r="G56376" s="3336"/>
      <c r="P56376" s="3337"/>
    </row>
    <row r="56377" spans="7:16" s="1634" customFormat="1">
      <c r="G56377" s="3336"/>
      <c r="P56377" s="3337"/>
    </row>
    <row r="56378" spans="7:16" s="1634" customFormat="1">
      <c r="G56378" s="3336"/>
      <c r="P56378" s="3337"/>
    </row>
    <row r="56379" spans="7:16" s="1634" customFormat="1">
      <c r="G56379" s="3336"/>
      <c r="P56379" s="3337"/>
    </row>
    <row r="56380" spans="7:16" s="1634" customFormat="1">
      <c r="G56380" s="3336"/>
      <c r="P56380" s="3337"/>
    </row>
    <row r="56381" spans="7:16" s="1634" customFormat="1">
      <c r="G56381" s="3336"/>
      <c r="P56381" s="3337"/>
    </row>
    <row r="56382" spans="7:16" s="1634" customFormat="1">
      <c r="G56382" s="3336"/>
      <c r="P56382" s="3337"/>
    </row>
    <row r="56383" spans="7:16" s="1634" customFormat="1">
      <c r="G56383" s="3336"/>
      <c r="P56383" s="3337"/>
    </row>
    <row r="56384" spans="7:16" s="1634" customFormat="1">
      <c r="G56384" s="3336"/>
      <c r="P56384" s="3337"/>
    </row>
    <row r="56385" spans="7:16" s="1634" customFormat="1">
      <c r="G56385" s="3336"/>
      <c r="P56385" s="3337"/>
    </row>
    <row r="56386" spans="7:16" s="1634" customFormat="1">
      <c r="G56386" s="3336"/>
      <c r="P56386" s="3337"/>
    </row>
    <row r="56387" spans="7:16" s="1634" customFormat="1">
      <c r="G56387" s="3336"/>
      <c r="P56387" s="3337"/>
    </row>
    <row r="56388" spans="7:16" s="1634" customFormat="1">
      <c r="G56388" s="3336"/>
      <c r="P56388" s="3337"/>
    </row>
    <row r="56389" spans="7:16" s="1634" customFormat="1">
      <c r="G56389" s="3336"/>
      <c r="P56389" s="3337"/>
    </row>
    <row r="56390" spans="7:16" s="1634" customFormat="1">
      <c r="G56390" s="3336"/>
      <c r="P56390" s="3337"/>
    </row>
    <row r="56391" spans="7:16" s="1634" customFormat="1">
      <c r="G56391" s="3336"/>
      <c r="P56391" s="3337"/>
    </row>
    <row r="56392" spans="7:16" s="1634" customFormat="1">
      <c r="G56392" s="3336"/>
      <c r="P56392" s="3337"/>
    </row>
    <row r="56393" spans="7:16" s="1634" customFormat="1">
      <c r="G56393" s="3336"/>
      <c r="P56393" s="3337"/>
    </row>
    <row r="56394" spans="7:16" s="1634" customFormat="1">
      <c r="G56394" s="3336"/>
      <c r="P56394" s="3337"/>
    </row>
    <row r="56395" spans="7:16" s="1634" customFormat="1">
      <c r="G56395" s="3336"/>
      <c r="P56395" s="3337"/>
    </row>
    <row r="56396" spans="7:16" s="1634" customFormat="1">
      <c r="G56396" s="3336"/>
      <c r="P56396" s="3337"/>
    </row>
    <row r="56397" spans="7:16" s="1634" customFormat="1">
      <c r="G56397" s="3336"/>
      <c r="P56397" s="3337"/>
    </row>
    <row r="56398" spans="7:16" s="1634" customFormat="1">
      <c r="G56398" s="3336"/>
      <c r="P56398" s="3337"/>
    </row>
    <row r="56399" spans="7:16" s="1634" customFormat="1">
      <c r="G56399" s="3336"/>
      <c r="P56399" s="3337"/>
    </row>
    <row r="56400" spans="7:16" s="1634" customFormat="1">
      <c r="G56400" s="3336"/>
      <c r="P56400" s="3337"/>
    </row>
    <row r="56401" spans="7:16" s="1634" customFormat="1">
      <c r="G56401" s="3336"/>
      <c r="P56401" s="3337"/>
    </row>
    <row r="56402" spans="7:16" s="1634" customFormat="1">
      <c r="G56402" s="3336"/>
      <c r="P56402" s="3337"/>
    </row>
    <row r="56403" spans="7:16" s="1634" customFormat="1">
      <c r="G56403" s="3336"/>
      <c r="P56403" s="3337"/>
    </row>
    <row r="56404" spans="7:16" s="1634" customFormat="1">
      <c r="G56404" s="3336"/>
      <c r="P56404" s="3337"/>
    </row>
    <row r="56405" spans="7:16" s="1634" customFormat="1">
      <c r="G56405" s="3336"/>
      <c r="P56405" s="3337"/>
    </row>
    <row r="56406" spans="7:16" s="1634" customFormat="1">
      <c r="G56406" s="3336"/>
      <c r="P56406" s="3337"/>
    </row>
    <row r="56407" spans="7:16" s="1634" customFormat="1">
      <c r="G56407" s="3336"/>
      <c r="P56407" s="3337"/>
    </row>
    <row r="56408" spans="7:16" s="1634" customFormat="1">
      <c r="G56408" s="3336"/>
      <c r="P56408" s="3337"/>
    </row>
    <row r="56409" spans="7:16" s="1634" customFormat="1">
      <c r="G56409" s="3336"/>
      <c r="P56409" s="3337"/>
    </row>
    <row r="56410" spans="7:16" s="1634" customFormat="1">
      <c r="G56410" s="3336"/>
      <c r="P56410" s="3337"/>
    </row>
    <row r="56411" spans="7:16" s="1634" customFormat="1">
      <c r="G56411" s="3336"/>
      <c r="P56411" s="3337"/>
    </row>
    <row r="56412" spans="7:16" s="1634" customFormat="1">
      <c r="G56412" s="3336"/>
      <c r="P56412" s="3337"/>
    </row>
    <row r="56413" spans="7:16" s="1634" customFormat="1">
      <c r="G56413" s="3336"/>
      <c r="P56413" s="3337"/>
    </row>
    <row r="56414" spans="7:16" s="1634" customFormat="1">
      <c r="G56414" s="3336"/>
      <c r="P56414" s="3337"/>
    </row>
    <row r="56415" spans="7:16" s="1634" customFormat="1">
      <c r="G56415" s="3336"/>
      <c r="P56415" s="3337"/>
    </row>
    <row r="56416" spans="7:16" s="1634" customFormat="1">
      <c r="G56416" s="3336"/>
      <c r="P56416" s="3337"/>
    </row>
    <row r="56417" spans="7:16" s="1634" customFormat="1">
      <c r="G56417" s="3336"/>
      <c r="P56417" s="3337"/>
    </row>
    <row r="56418" spans="7:16" s="1634" customFormat="1">
      <c r="G56418" s="3336"/>
      <c r="P56418" s="3337"/>
    </row>
    <row r="56419" spans="7:16" s="1634" customFormat="1">
      <c r="G56419" s="3336"/>
      <c r="P56419" s="3337"/>
    </row>
    <row r="56420" spans="7:16" s="1634" customFormat="1">
      <c r="G56420" s="3336"/>
      <c r="P56420" s="3337"/>
    </row>
    <row r="56421" spans="7:16" s="1634" customFormat="1">
      <c r="G56421" s="3336"/>
      <c r="P56421" s="3337"/>
    </row>
    <row r="56422" spans="7:16" s="1634" customFormat="1">
      <c r="G56422" s="3336"/>
      <c r="P56422" s="3337"/>
    </row>
    <row r="56423" spans="7:16" s="1634" customFormat="1">
      <c r="G56423" s="3336"/>
      <c r="P56423" s="3337"/>
    </row>
    <row r="56424" spans="7:16" s="1634" customFormat="1">
      <c r="G56424" s="3336"/>
      <c r="P56424" s="3337"/>
    </row>
    <row r="56425" spans="7:16" s="1634" customFormat="1">
      <c r="G56425" s="3336"/>
      <c r="P56425" s="3337"/>
    </row>
    <row r="56426" spans="7:16" s="1634" customFormat="1">
      <c r="G56426" s="3336"/>
      <c r="P56426" s="3337"/>
    </row>
    <row r="56427" spans="7:16" s="1634" customFormat="1">
      <c r="G56427" s="3336"/>
      <c r="P56427" s="3337"/>
    </row>
    <row r="56428" spans="7:16" s="1634" customFormat="1">
      <c r="G56428" s="3336"/>
      <c r="P56428" s="3337"/>
    </row>
    <row r="56429" spans="7:16" s="1634" customFormat="1">
      <c r="G56429" s="3336"/>
      <c r="P56429" s="3337"/>
    </row>
    <row r="56430" spans="7:16" s="1634" customFormat="1">
      <c r="G56430" s="3336"/>
      <c r="P56430" s="3337"/>
    </row>
    <row r="56431" spans="7:16" s="1634" customFormat="1">
      <c r="G56431" s="3336"/>
      <c r="P56431" s="3337"/>
    </row>
    <row r="56432" spans="7:16" s="1634" customFormat="1">
      <c r="G56432" s="3336"/>
      <c r="P56432" s="3337"/>
    </row>
    <row r="56433" spans="7:16" s="1634" customFormat="1">
      <c r="G56433" s="3336"/>
      <c r="P56433" s="3337"/>
    </row>
    <row r="56434" spans="7:16" s="1634" customFormat="1">
      <c r="G56434" s="3336"/>
      <c r="P56434" s="3337"/>
    </row>
    <row r="56435" spans="7:16" s="1634" customFormat="1">
      <c r="G56435" s="3336"/>
      <c r="P56435" s="3337"/>
    </row>
    <row r="56436" spans="7:16" s="1634" customFormat="1">
      <c r="G56436" s="3336"/>
      <c r="P56436" s="3337"/>
    </row>
    <row r="56437" spans="7:16" s="1634" customFormat="1">
      <c r="G56437" s="3336"/>
      <c r="P56437" s="3337"/>
    </row>
    <row r="56438" spans="7:16" s="1634" customFormat="1">
      <c r="G56438" s="3336"/>
      <c r="P56438" s="3337"/>
    </row>
    <row r="56439" spans="7:16" s="1634" customFormat="1">
      <c r="G56439" s="3336"/>
      <c r="P56439" s="3337"/>
    </row>
    <row r="56440" spans="7:16" s="1634" customFormat="1">
      <c r="G56440" s="3336"/>
      <c r="P56440" s="3337"/>
    </row>
    <row r="56441" spans="7:16" s="1634" customFormat="1">
      <c r="G56441" s="3336"/>
      <c r="P56441" s="3337"/>
    </row>
    <row r="56442" spans="7:16" s="1634" customFormat="1">
      <c r="G56442" s="3336"/>
      <c r="P56442" s="3337"/>
    </row>
    <row r="56443" spans="7:16" s="1634" customFormat="1">
      <c r="G56443" s="3336"/>
      <c r="P56443" s="3337"/>
    </row>
    <row r="56444" spans="7:16" s="1634" customFormat="1">
      <c r="G56444" s="3336"/>
      <c r="P56444" s="3337"/>
    </row>
    <row r="56445" spans="7:16" s="1634" customFormat="1">
      <c r="G56445" s="3336"/>
      <c r="P56445" s="3337"/>
    </row>
    <row r="56446" spans="7:16" s="1634" customFormat="1">
      <c r="G56446" s="3336"/>
      <c r="P56446" s="3337"/>
    </row>
    <row r="56447" spans="7:16" s="1634" customFormat="1">
      <c r="G56447" s="3336"/>
      <c r="P56447" s="3337"/>
    </row>
    <row r="56448" spans="7:16" s="1634" customFormat="1">
      <c r="G56448" s="3336"/>
      <c r="P56448" s="3337"/>
    </row>
    <row r="56449" spans="7:16" s="1634" customFormat="1">
      <c r="G56449" s="3336"/>
      <c r="P56449" s="3337"/>
    </row>
    <row r="56450" spans="7:16" s="1634" customFormat="1">
      <c r="G56450" s="3336"/>
      <c r="P56450" s="3337"/>
    </row>
    <row r="56451" spans="7:16" s="1634" customFormat="1">
      <c r="G56451" s="3336"/>
      <c r="P56451" s="3337"/>
    </row>
    <row r="56452" spans="7:16" s="1634" customFormat="1">
      <c r="G56452" s="3336"/>
      <c r="P56452" s="3337"/>
    </row>
    <row r="56453" spans="7:16" s="1634" customFormat="1">
      <c r="G56453" s="3336"/>
      <c r="P56453" s="3337"/>
    </row>
    <row r="56454" spans="7:16" s="1634" customFormat="1">
      <c r="G56454" s="3336"/>
      <c r="P56454" s="3337"/>
    </row>
    <row r="56455" spans="7:16" s="1634" customFormat="1">
      <c r="G56455" s="3336"/>
      <c r="P56455" s="3337"/>
    </row>
    <row r="56456" spans="7:16" s="1634" customFormat="1">
      <c r="G56456" s="3336"/>
      <c r="P56456" s="3337"/>
    </row>
    <row r="56457" spans="7:16" s="1634" customFormat="1">
      <c r="G56457" s="3336"/>
      <c r="P56457" s="3337"/>
    </row>
    <row r="56458" spans="7:16" s="1634" customFormat="1">
      <c r="G56458" s="3336"/>
      <c r="P56458" s="3337"/>
    </row>
    <row r="56459" spans="7:16" s="1634" customFormat="1">
      <c r="G56459" s="3336"/>
      <c r="P56459" s="3337"/>
    </row>
    <row r="56460" spans="7:16" s="1634" customFormat="1">
      <c r="G56460" s="3336"/>
      <c r="P56460" s="3337"/>
    </row>
    <row r="56461" spans="7:16" s="1634" customFormat="1">
      <c r="G56461" s="3336"/>
      <c r="P56461" s="3337"/>
    </row>
    <row r="56462" spans="7:16" s="1634" customFormat="1">
      <c r="G56462" s="3336"/>
      <c r="P56462" s="3337"/>
    </row>
    <row r="56463" spans="7:16" s="1634" customFormat="1">
      <c r="G56463" s="3336"/>
      <c r="P56463" s="3337"/>
    </row>
    <row r="56464" spans="7:16" s="1634" customFormat="1">
      <c r="G56464" s="3336"/>
      <c r="P56464" s="3337"/>
    </row>
    <row r="56465" spans="7:16" s="1634" customFormat="1">
      <c r="G56465" s="3336"/>
      <c r="P56465" s="3337"/>
    </row>
    <row r="56466" spans="7:16" s="1634" customFormat="1">
      <c r="G56466" s="3336"/>
      <c r="P56466" s="3337"/>
    </row>
    <row r="56467" spans="7:16" s="1634" customFormat="1">
      <c r="G56467" s="3336"/>
      <c r="P56467" s="3337"/>
    </row>
    <row r="56468" spans="7:16" s="1634" customFormat="1">
      <c r="G56468" s="3336"/>
      <c r="P56468" s="3337"/>
    </row>
    <row r="56469" spans="7:16" s="1634" customFormat="1">
      <c r="G56469" s="3336"/>
      <c r="P56469" s="3337"/>
    </row>
    <row r="56470" spans="7:16" s="1634" customFormat="1">
      <c r="G56470" s="3336"/>
      <c r="P56470" s="3337"/>
    </row>
    <row r="56471" spans="7:16" s="1634" customFormat="1">
      <c r="G56471" s="3336"/>
      <c r="P56471" s="3337"/>
    </row>
    <row r="56472" spans="7:16" s="1634" customFormat="1">
      <c r="G56472" s="3336"/>
      <c r="P56472" s="3337"/>
    </row>
    <row r="56473" spans="7:16" s="1634" customFormat="1">
      <c r="G56473" s="3336"/>
      <c r="P56473" s="3337"/>
    </row>
    <row r="56474" spans="7:16" s="1634" customFormat="1">
      <c r="G56474" s="3336"/>
      <c r="P56474" s="3337"/>
    </row>
    <row r="56475" spans="7:16" s="1634" customFormat="1">
      <c r="G56475" s="3336"/>
      <c r="P56475" s="3337"/>
    </row>
    <row r="56476" spans="7:16" s="1634" customFormat="1">
      <c r="G56476" s="3336"/>
      <c r="P56476" s="3337"/>
    </row>
    <row r="56477" spans="7:16" s="1634" customFormat="1">
      <c r="G56477" s="3336"/>
      <c r="P56477" s="3337"/>
    </row>
    <row r="56478" spans="7:16" s="1634" customFormat="1">
      <c r="G56478" s="3336"/>
      <c r="P56478" s="3337"/>
    </row>
    <row r="56479" spans="7:16" s="1634" customFormat="1">
      <c r="G56479" s="3336"/>
      <c r="P56479" s="3337"/>
    </row>
    <row r="56480" spans="7:16" s="1634" customFormat="1">
      <c r="G56480" s="3336"/>
      <c r="P56480" s="3337"/>
    </row>
    <row r="56481" spans="7:16" s="1634" customFormat="1">
      <c r="G56481" s="3336"/>
      <c r="P56481" s="3337"/>
    </row>
    <row r="56482" spans="7:16" s="1634" customFormat="1">
      <c r="G56482" s="3336"/>
      <c r="P56482" s="3337"/>
    </row>
    <row r="56483" spans="7:16" s="1634" customFormat="1">
      <c r="G56483" s="3336"/>
      <c r="P56483" s="3337"/>
    </row>
    <row r="56484" spans="7:16" s="1634" customFormat="1">
      <c r="G56484" s="3336"/>
      <c r="P56484" s="3337"/>
    </row>
    <row r="56485" spans="7:16" s="1634" customFormat="1">
      <c r="G56485" s="3336"/>
      <c r="P56485" s="3337"/>
    </row>
    <row r="56486" spans="7:16" s="1634" customFormat="1">
      <c r="G56486" s="3336"/>
      <c r="P56486" s="3337"/>
    </row>
    <row r="56487" spans="7:16" s="1634" customFormat="1">
      <c r="G56487" s="3336"/>
      <c r="P56487" s="3337"/>
    </row>
    <row r="56488" spans="7:16" s="1634" customFormat="1">
      <c r="G56488" s="3336"/>
      <c r="P56488" s="3337"/>
    </row>
    <row r="56489" spans="7:16" s="1634" customFormat="1">
      <c r="G56489" s="3336"/>
      <c r="P56489" s="3337"/>
    </row>
    <row r="56490" spans="7:16" s="1634" customFormat="1">
      <c r="G56490" s="3336"/>
      <c r="P56490" s="3337"/>
    </row>
    <row r="56491" spans="7:16" s="1634" customFormat="1">
      <c r="G56491" s="3336"/>
      <c r="P56491" s="3337"/>
    </row>
    <row r="56492" spans="7:16" s="1634" customFormat="1">
      <c r="G56492" s="3336"/>
      <c r="P56492" s="3337"/>
    </row>
    <row r="56493" spans="7:16" s="1634" customFormat="1">
      <c r="G56493" s="3336"/>
      <c r="P56493" s="3337"/>
    </row>
    <row r="56494" spans="7:16" s="1634" customFormat="1">
      <c r="G56494" s="3336"/>
      <c r="P56494" s="3337"/>
    </row>
    <row r="56495" spans="7:16" s="1634" customFormat="1">
      <c r="G56495" s="3336"/>
      <c r="P56495" s="3337"/>
    </row>
    <row r="56496" spans="7:16" s="1634" customFormat="1">
      <c r="G56496" s="3336"/>
      <c r="P56496" s="3337"/>
    </row>
    <row r="56497" spans="7:16" s="1634" customFormat="1">
      <c r="G56497" s="3336"/>
      <c r="P56497" s="3337"/>
    </row>
    <row r="56498" spans="7:16" s="1634" customFormat="1">
      <c r="G56498" s="3336"/>
      <c r="P56498" s="3337"/>
    </row>
    <row r="56499" spans="7:16" s="1634" customFormat="1">
      <c r="G56499" s="3336"/>
      <c r="P56499" s="3337"/>
    </row>
    <row r="56500" spans="7:16" s="1634" customFormat="1">
      <c r="G56500" s="3336"/>
      <c r="P56500" s="3337"/>
    </row>
    <row r="56501" spans="7:16" s="1634" customFormat="1">
      <c r="G56501" s="3336"/>
      <c r="P56501" s="3337"/>
    </row>
    <row r="56502" spans="7:16" s="1634" customFormat="1">
      <c r="G56502" s="3336"/>
      <c r="P56502" s="3337"/>
    </row>
    <row r="56503" spans="7:16" s="1634" customFormat="1">
      <c r="G56503" s="3336"/>
      <c r="P56503" s="3337"/>
    </row>
    <row r="56504" spans="7:16" s="1634" customFormat="1">
      <c r="G56504" s="3336"/>
      <c r="P56504" s="3337"/>
    </row>
    <row r="56505" spans="7:16" s="1634" customFormat="1">
      <c r="G56505" s="3336"/>
      <c r="P56505" s="3337"/>
    </row>
    <row r="56506" spans="7:16" s="1634" customFormat="1">
      <c r="G56506" s="3336"/>
      <c r="P56506" s="3337"/>
    </row>
    <row r="56507" spans="7:16" s="1634" customFormat="1">
      <c r="G56507" s="3336"/>
      <c r="P56507" s="3337"/>
    </row>
    <row r="56508" spans="7:16" s="1634" customFormat="1">
      <c r="G56508" s="3336"/>
      <c r="P56508" s="3337"/>
    </row>
    <row r="56509" spans="7:16" s="1634" customFormat="1">
      <c r="G56509" s="3336"/>
      <c r="P56509" s="3337"/>
    </row>
    <row r="56510" spans="7:16" s="1634" customFormat="1">
      <c r="G56510" s="3336"/>
      <c r="P56510" s="3337"/>
    </row>
    <row r="56511" spans="7:16" s="1634" customFormat="1">
      <c r="G56511" s="3336"/>
      <c r="P56511" s="3337"/>
    </row>
    <row r="56512" spans="7:16" s="1634" customFormat="1">
      <c r="G56512" s="3336"/>
      <c r="P56512" s="3337"/>
    </row>
    <row r="56513" spans="7:16" s="1634" customFormat="1">
      <c r="G56513" s="3336"/>
      <c r="P56513" s="3337"/>
    </row>
    <row r="56514" spans="7:16" s="1634" customFormat="1">
      <c r="G56514" s="3336"/>
      <c r="P56514" s="3337"/>
    </row>
    <row r="56515" spans="7:16" s="1634" customFormat="1">
      <c r="G56515" s="3336"/>
      <c r="P56515" s="3337"/>
    </row>
    <row r="56516" spans="7:16" s="1634" customFormat="1">
      <c r="G56516" s="3336"/>
      <c r="P56516" s="3337"/>
    </row>
    <row r="56517" spans="7:16" s="1634" customFormat="1">
      <c r="G56517" s="3336"/>
      <c r="P56517" s="3337"/>
    </row>
    <row r="56518" spans="7:16" s="1634" customFormat="1">
      <c r="G56518" s="3336"/>
      <c r="P56518" s="3337"/>
    </row>
    <row r="56519" spans="7:16" s="1634" customFormat="1">
      <c r="G56519" s="3336"/>
      <c r="P56519" s="3337"/>
    </row>
    <row r="56520" spans="7:16" s="1634" customFormat="1">
      <c r="G56520" s="3336"/>
      <c r="P56520" s="3337"/>
    </row>
    <row r="56521" spans="7:16" s="1634" customFormat="1">
      <c r="G56521" s="3336"/>
      <c r="P56521" s="3337"/>
    </row>
    <row r="56522" spans="7:16" s="1634" customFormat="1">
      <c r="G56522" s="3336"/>
      <c r="P56522" s="3337"/>
    </row>
    <row r="56523" spans="7:16" s="1634" customFormat="1">
      <c r="G56523" s="3336"/>
      <c r="P56523" s="3337"/>
    </row>
    <row r="56524" spans="7:16" s="1634" customFormat="1">
      <c r="G56524" s="3336"/>
      <c r="P56524" s="3337"/>
    </row>
    <row r="56525" spans="7:16" s="1634" customFormat="1">
      <c r="G56525" s="3336"/>
      <c r="P56525" s="3337"/>
    </row>
    <row r="56526" spans="7:16" s="1634" customFormat="1">
      <c r="G56526" s="3336"/>
      <c r="P56526" s="3337"/>
    </row>
    <row r="56527" spans="7:16" s="1634" customFormat="1">
      <c r="G56527" s="3336"/>
      <c r="P56527" s="3337"/>
    </row>
    <row r="56528" spans="7:16" s="1634" customFormat="1">
      <c r="G56528" s="3336"/>
      <c r="P56528" s="3337"/>
    </row>
    <row r="56529" spans="7:16" s="1634" customFormat="1">
      <c r="G56529" s="3336"/>
      <c r="P56529" s="3337"/>
    </row>
    <row r="56530" spans="7:16" s="1634" customFormat="1">
      <c r="G56530" s="3336"/>
      <c r="P56530" s="3337"/>
    </row>
    <row r="56531" spans="7:16" s="1634" customFormat="1">
      <c r="G56531" s="3336"/>
      <c r="P56531" s="3337"/>
    </row>
    <row r="56532" spans="7:16" s="1634" customFormat="1">
      <c r="G56532" s="3336"/>
      <c r="P56532" s="3337"/>
    </row>
    <row r="56533" spans="7:16" s="1634" customFormat="1">
      <c r="G56533" s="3336"/>
      <c r="P56533" s="3337"/>
    </row>
    <row r="56534" spans="7:16" s="1634" customFormat="1">
      <c r="G56534" s="3336"/>
      <c r="P56534" s="3337"/>
    </row>
    <row r="56535" spans="7:16" s="1634" customFormat="1">
      <c r="G56535" s="3336"/>
      <c r="P56535" s="3337"/>
    </row>
    <row r="56536" spans="7:16" s="1634" customFormat="1">
      <c r="G56536" s="3336"/>
      <c r="P56536" s="3337"/>
    </row>
    <row r="56537" spans="7:16" s="1634" customFormat="1">
      <c r="G56537" s="3336"/>
      <c r="P56537" s="3337"/>
    </row>
    <row r="56538" spans="7:16" s="1634" customFormat="1">
      <c r="G56538" s="3336"/>
      <c r="P56538" s="3337"/>
    </row>
    <row r="56539" spans="7:16" s="1634" customFormat="1">
      <c r="G56539" s="3336"/>
      <c r="P56539" s="3337"/>
    </row>
    <row r="56540" spans="7:16" s="1634" customFormat="1">
      <c r="G56540" s="3336"/>
      <c r="P56540" s="3337"/>
    </row>
    <row r="56541" spans="7:16" s="1634" customFormat="1">
      <c r="G56541" s="3336"/>
      <c r="P56541" s="3337"/>
    </row>
    <row r="56542" spans="7:16" s="1634" customFormat="1">
      <c r="G56542" s="3336"/>
      <c r="P56542" s="3337"/>
    </row>
    <row r="56543" spans="7:16" s="1634" customFormat="1">
      <c r="G56543" s="3336"/>
      <c r="P56543" s="3337"/>
    </row>
    <row r="56544" spans="7:16" s="1634" customFormat="1">
      <c r="G56544" s="3336"/>
      <c r="P56544" s="3337"/>
    </row>
    <row r="56545" spans="7:16" s="1634" customFormat="1">
      <c r="G56545" s="3336"/>
      <c r="P56545" s="3337"/>
    </row>
    <row r="56546" spans="7:16" s="1634" customFormat="1">
      <c r="G56546" s="3336"/>
      <c r="P56546" s="3337"/>
    </row>
    <row r="56547" spans="7:16" s="1634" customFormat="1">
      <c r="G56547" s="3336"/>
      <c r="P56547" s="3337"/>
    </row>
    <row r="56548" spans="7:16" s="1634" customFormat="1">
      <c r="G56548" s="3336"/>
      <c r="P56548" s="3337"/>
    </row>
    <row r="56549" spans="7:16" s="1634" customFormat="1">
      <c r="G56549" s="3336"/>
      <c r="P56549" s="3337"/>
    </row>
    <row r="56550" spans="7:16" s="1634" customFormat="1">
      <c r="G56550" s="3336"/>
      <c r="P56550" s="3337"/>
    </row>
    <row r="56551" spans="7:16" s="1634" customFormat="1">
      <c r="G56551" s="3336"/>
      <c r="P56551" s="3337"/>
    </row>
    <row r="56552" spans="7:16" s="1634" customFormat="1">
      <c r="G56552" s="3336"/>
      <c r="P56552" s="3337"/>
    </row>
    <row r="56553" spans="7:16" s="1634" customFormat="1">
      <c r="G56553" s="3336"/>
      <c r="P56553" s="3337"/>
    </row>
    <row r="56554" spans="7:16" s="1634" customFormat="1">
      <c r="G56554" s="3336"/>
      <c r="P56554" s="3337"/>
    </row>
    <row r="56555" spans="7:16" s="1634" customFormat="1">
      <c r="G56555" s="3336"/>
      <c r="P56555" s="3337"/>
    </row>
    <row r="56556" spans="7:16" s="1634" customFormat="1">
      <c r="G56556" s="3336"/>
      <c r="P56556" s="3337"/>
    </row>
    <row r="56557" spans="7:16" s="1634" customFormat="1">
      <c r="G56557" s="3336"/>
      <c r="P56557" s="3337"/>
    </row>
    <row r="56558" spans="7:16" s="1634" customFormat="1">
      <c r="G56558" s="3336"/>
      <c r="P56558" s="3337"/>
    </row>
    <row r="56559" spans="7:16" s="1634" customFormat="1">
      <c r="G56559" s="3336"/>
      <c r="P56559" s="3337"/>
    </row>
    <row r="56560" spans="7:16" s="1634" customFormat="1">
      <c r="G56560" s="3336"/>
      <c r="P56560" s="3337"/>
    </row>
    <row r="56561" spans="7:16" s="1634" customFormat="1">
      <c r="G56561" s="3336"/>
      <c r="P56561" s="3337"/>
    </row>
    <row r="56562" spans="7:16" s="1634" customFormat="1">
      <c r="G56562" s="3336"/>
      <c r="P56562" s="3337"/>
    </row>
    <row r="56563" spans="7:16" s="1634" customFormat="1">
      <c r="G56563" s="3336"/>
      <c r="P56563" s="3337"/>
    </row>
    <row r="56564" spans="7:16" s="1634" customFormat="1">
      <c r="G56564" s="3336"/>
      <c r="P56564" s="3337"/>
    </row>
    <row r="56565" spans="7:16" s="1634" customFormat="1">
      <c r="G56565" s="3336"/>
      <c r="P56565" s="3337"/>
    </row>
    <row r="56566" spans="7:16" s="1634" customFormat="1">
      <c r="G56566" s="3336"/>
      <c r="P56566" s="3337"/>
    </row>
    <row r="56567" spans="7:16" s="1634" customFormat="1">
      <c r="G56567" s="3336"/>
      <c r="P56567" s="3337"/>
    </row>
    <row r="56568" spans="7:16" s="1634" customFormat="1">
      <c r="G56568" s="3336"/>
      <c r="P56568" s="3337"/>
    </row>
    <row r="56569" spans="7:16" s="1634" customFormat="1">
      <c r="G56569" s="3336"/>
      <c r="P56569" s="3337"/>
    </row>
    <row r="56570" spans="7:16" s="1634" customFormat="1">
      <c r="G56570" s="3336"/>
      <c r="P56570" s="3337"/>
    </row>
    <row r="56571" spans="7:16" s="1634" customFormat="1">
      <c r="G56571" s="3336"/>
      <c r="P56571" s="3337"/>
    </row>
    <row r="56572" spans="7:16" s="1634" customFormat="1">
      <c r="G56572" s="3336"/>
      <c r="P56572" s="3337"/>
    </row>
    <row r="56573" spans="7:16" s="1634" customFormat="1">
      <c r="G56573" s="3336"/>
      <c r="P56573" s="3337"/>
    </row>
    <row r="56574" spans="7:16" s="1634" customFormat="1">
      <c r="G56574" s="3336"/>
      <c r="P56574" s="3337"/>
    </row>
    <row r="56575" spans="7:16" s="1634" customFormat="1">
      <c r="G56575" s="3336"/>
      <c r="P56575" s="3337"/>
    </row>
    <row r="56576" spans="7:16" s="1634" customFormat="1">
      <c r="G56576" s="3336"/>
      <c r="P56576" s="3337"/>
    </row>
    <row r="56577" spans="7:16" s="1634" customFormat="1">
      <c r="G56577" s="3336"/>
      <c r="P56577" s="3337"/>
    </row>
    <row r="56578" spans="7:16" s="1634" customFormat="1">
      <c r="G56578" s="3336"/>
      <c r="P56578" s="3337"/>
    </row>
    <row r="56579" spans="7:16" s="1634" customFormat="1">
      <c r="G56579" s="3336"/>
      <c r="P56579" s="3337"/>
    </row>
    <row r="56580" spans="7:16" s="1634" customFormat="1">
      <c r="G56580" s="3336"/>
      <c r="P56580" s="3337"/>
    </row>
    <row r="56581" spans="7:16" s="1634" customFormat="1">
      <c r="G56581" s="3336"/>
      <c r="P56581" s="3337"/>
    </row>
    <row r="56582" spans="7:16" s="1634" customFormat="1">
      <c r="G56582" s="3336"/>
      <c r="P56582" s="3337"/>
    </row>
    <row r="56583" spans="7:16" s="1634" customFormat="1">
      <c r="G56583" s="3336"/>
      <c r="P56583" s="3337"/>
    </row>
    <row r="56584" spans="7:16" s="1634" customFormat="1">
      <c r="G56584" s="3336"/>
      <c r="P56584" s="3337"/>
    </row>
    <row r="56585" spans="7:16" s="1634" customFormat="1">
      <c r="G56585" s="3336"/>
      <c r="P56585" s="3337"/>
    </row>
    <row r="56586" spans="7:16" s="1634" customFormat="1">
      <c r="G56586" s="3336"/>
      <c r="P56586" s="3337"/>
    </row>
    <row r="56587" spans="7:16" s="1634" customFormat="1">
      <c r="G56587" s="3336"/>
      <c r="P56587" s="3337"/>
    </row>
    <row r="56588" spans="7:16" s="1634" customFormat="1">
      <c r="G56588" s="3336"/>
      <c r="P56588" s="3337"/>
    </row>
    <row r="56589" spans="7:16" s="1634" customFormat="1">
      <c r="G56589" s="3336"/>
      <c r="P56589" s="3337"/>
    </row>
    <row r="56590" spans="7:16" s="1634" customFormat="1">
      <c r="G56590" s="3336"/>
      <c r="P56590" s="3337"/>
    </row>
    <row r="56591" spans="7:16" s="1634" customFormat="1">
      <c r="G56591" s="3336"/>
      <c r="P56591" s="3337"/>
    </row>
    <row r="56592" spans="7:16" s="1634" customFormat="1">
      <c r="G56592" s="3336"/>
      <c r="P56592" s="3337"/>
    </row>
    <row r="56593" spans="7:16" s="1634" customFormat="1">
      <c r="G56593" s="3336"/>
      <c r="P56593" s="3337"/>
    </row>
    <row r="56594" spans="7:16" s="1634" customFormat="1">
      <c r="G56594" s="3336"/>
      <c r="P56594" s="3337"/>
    </row>
    <row r="56595" spans="7:16" s="1634" customFormat="1">
      <c r="G56595" s="3336"/>
      <c r="P56595" s="3337"/>
    </row>
    <row r="56596" spans="7:16" s="1634" customFormat="1">
      <c r="G56596" s="3336"/>
      <c r="P56596" s="3337"/>
    </row>
    <row r="56597" spans="7:16" s="1634" customFormat="1">
      <c r="G56597" s="3336"/>
      <c r="P56597" s="3337"/>
    </row>
    <row r="56598" spans="7:16" s="1634" customFormat="1">
      <c r="G56598" s="3336"/>
      <c r="P56598" s="3337"/>
    </row>
    <row r="56599" spans="7:16" s="1634" customFormat="1">
      <c r="G56599" s="3336"/>
      <c r="P56599" s="3337"/>
    </row>
    <row r="56600" spans="7:16" s="1634" customFormat="1">
      <c r="G56600" s="3336"/>
      <c r="P56600" s="3337"/>
    </row>
    <row r="56601" spans="7:16" s="1634" customFormat="1">
      <c r="G56601" s="3336"/>
      <c r="P56601" s="3337"/>
    </row>
    <row r="56602" spans="7:16" s="1634" customFormat="1">
      <c r="G56602" s="3336"/>
      <c r="P56602" s="3337"/>
    </row>
    <row r="56603" spans="7:16" s="1634" customFormat="1">
      <c r="G56603" s="3336"/>
      <c r="P56603" s="3337"/>
    </row>
    <row r="56604" spans="7:16" s="1634" customFormat="1">
      <c r="G56604" s="3336"/>
      <c r="P56604" s="3337"/>
    </row>
    <row r="56605" spans="7:16" s="1634" customFormat="1">
      <c r="G56605" s="3336"/>
      <c r="P56605" s="3337"/>
    </row>
    <row r="56606" spans="7:16" s="1634" customFormat="1">
      <c r="G56606" s="3336"/>
      <c r="P56606" s="3337"/>
    </row>
    <row r="56607" spans="7:16" s="1634" customFormat="1">
      <c r="G56607" s="3336"/>
      <c r="P56607" s="3337"/>
    </row>
    <row r="56608" spans="7:16" s="1634" customFormat="1">
      <c r="G56608" s="3336"/>
      <c r="P56608" s="3337"/>
    </row>
    <row r="56609" spans="7:16" s="1634" customFormat="1">
      <c r="G56609" s="3336"/>
      <c r="P56609" s="3337"/>
    </row>
    <row r="56610" spans="7:16" s="1634" customFormat="1">
      <c r="G56610" s="3336"/>
      <c r="P56610" s="3337"/>
    </row>
    <row r="56611" spans="7:16" s="1634" customFormat="1">
      <c r="G56611" s="3336"/>
      <c r="P56611" s="3337"/>
    </row>
    <row r="56612" spans="7:16" s="1634" customFormat="1">
      <c r="G56612" s="3336"/>
      <c r="P56612" s="3337"/>
    </row>
    <row r="56613" spans="7:16" s="1634" customFormat="1">
      <c r="G56613" s="3336"/>
      <c r="P56613" s="3337"/>
    </row>
    <row r="56614" spans="7:16" s="1634" customFormat="1">
      <c r="G56614" s="3336"/>
      <c r="P56614" s="3337"/>
    </row>
    <row r="56615" spans="7:16" s="1634" customFormat="1">
      <c r="G56615" s="3336"/>
      <c r="P56615" s="3337"/>
    </row>
    <row r="56616" spans="7:16" s="1634" customFormat="1">
      <c r="G56616" s="3336"/>
      <c r="P56616" s="3337"/>
    </row>
    <row r="56617" spans="7:16" s="1634" customFormat="1">
      <c r="G56617" s="3336"/>
      <c r="P56617" s="3337"/>
    </row>
    <row r="56618" spans="7:16" s="1634" customFormat="1">
      <c r="G56618" s="3336"/>
      <c r="P56618" s="3337"/>
    </row>
    <row r="56619" spans="7:16" s="1634" customFormat="1">
      <c r="G56619" s="3336"/>
      <c r="P56619" s="3337"/>
    </row>
    <row r="56620" spans="7:16" s="1634" customFormat="1">
      <c r="G56620" s="3336"/>
      <c r="P56620" s="3337"/>
    </row>
    <row r="56621" spans="7:16" s="1634" customFormat="1">
      <c r="G56621" s="3336"/>
      <c r="P56621" s="3337"/>
    </row>
    <row r="56622" spans="7:16" s="1634" customFormat="1">
      <c r="G56622" s="3336"/>
      <c r="P56622" s="3337"/>
    </row>
    <row r="56623" spans="7:16" s="1634" customFormat="1">
      <c r="G56623" s="3336"/>
      <c r="P56623" s="3337"/>
    </row>
    <row r="56624" spans="7:16" s="1634" customFormat="1">
      <c r="G56624" s="3336"/>
      <c r="P56624" s="3337"/>
    </row>
    <row r="56625" spans="7:16" s="1634" customFormat="1">
      <c r="G56625" s="3336"/>
      <c r="P56625" s="3337"/>
    </row>
    <row r="56626" spans="7:16" s="1634" customFormat="1">
      <c r="G56626" s="3336"/>
      <c r="P56626" s="3337"/>
    </row>
    <row r="56627" spans="7:16" s="1634" customFormat="1">
      <c r="G56627" s="3336"/>
      <c r="P56627" s="3337"/>
    </row>
    <row r="56628" spans="7:16" s="1634" customFormat="1">
      <c r="G56628" s="3336"/>
      <c r="P56628" s="3337"/>
    </row>
    <row r="56629" spans="7:16" s="1634" customFormat="1">
      <c r="G56629" s="3336"/>
      <c r="P56629" s="3337"/>
    </row>
    <row r="56630" spans="7:16" s="1634" customFormat="1">
      <c r="G56630" s="3336"/>
      <c r="P56630" s="3337"/>
    </row>
    <row r="56631" spans="7:16" s="1634" customFormat="1">
      <c r="G56631" s="3336"/>
      <c r="P56631" s="3337"/>
    </row>
    <row r="56632" spans="7:16" s="1634" customFormat="1">
      <c r="G56632" s="3336"/>
      <c r="P56632" s="3337"/>
    </row>
    <row r="56633" spans="7:16" s="1634" customFormat="1">
      <c r="G56633" s="3336"/>
      <c r="P56633" s="3337"/>
    </row>
    <row r="56634" spans="7:16" s="1634" customFormat="1">
      <c r="G56634" s="3336"/>
      <c r="P56634" s="3337"/>
    </row>
    <row r="56635" spans="7:16" s="1634" customFormat="1">
      <c r="G56635" s="3336"/>
      <c r="P56635" s="3337"/>
    </row>
    <row r="56636" spans="7:16" s="1634" customFormat="1">
      <c r="G56636" s="3336"/>
      <c r="P56636" s="3337"/>
    </row>
    <row r="56637" spans="7:16" s="1634" customFormat="1">
      <c r="G56637" s="3336"/>
      <c r="P56637" s="3337"/>
    </row>
    <row r="56638" spans="7:16" s="1634" customFormat="1">
      <c r="G56638" s="3336"/>
      <c r="P56638" s="3337"/>
    </row>
    <row r="56639" spans="7:16" s="1634" customFormat="1">
      <c r="G56639" s="3336"/>
      <c r="P56639" s="3337"/>
    </row>
    <row r="56640" spans="7:16" s="1634" customFormat="1">
      <c r="G56640" s="3336"/>
      <c r="P56640" s="3337"/>
    </row>
    <row r="56641" spans="7:16" s="1634" customFormat="1">
      <c r="G56641" s="3336"/>
      <c r="P56641" s="3337"/>
    </row>
    <row r="56642" spans="7:16" s="1634" customFormat="1">
      <c r="G56642" s="3336"/>
      <c r="P56642" s="3337"/>
    </row>
    <row r="56643" spans="7:16" s="1634" customFormat="1">
      <c r="G56643" s="3336"/>
      <c r="P56643" s="3337"/>
    </row>
    <row r="56644" spans="7:16" s="1634" customFormat="1">
      <c r="G56644" s="3336"/>
      <c r="P56644" s="3337"/>
    </row>
    <row r="56645" spans="7:16" s="1634" customFormat="1">
      <c r="G56645" s="3336"/>
      <c r="P56645" s="3337"/>
    </row>
    <row r="56646" spans="7:16" s="1634" customFormat="1">
      <c r="G56646" s="3336"/>
      <c r="P56646" s="3337"/>
    </row>
    <row r="56647" spans="7:16" s="1634" customFormat="1">
      <c r="G56647" s="3336"/>
      <c r="P56647" s="3337"/>
    </row>
    <row r="56648" spans="7:16" s="1634" customFormat="1">
      <c r="G56648" s="3336"/>
      <c r="P56648" s="3337"/>
    </row>
    <row r="56649" spans="7:16" s="1634" customFormat="1">
      <c r="G56649" s="3336"/>
      <c r="P56649" s="3337"/>
    </row>
    <row r="56650" spans="7:16" s="1634" customFormat="1">
      <c r="G56650" s="3336"/>
      <c r="P56650" s="3337"/>
    </row>
    <row r="56651" spans="7:16" s="1634" customFormat="1">
      <c r="G56651" s="3336"/>
      <c r="P56651" s="3337"/>
    </row>
    <row r="56652" spans="7:16" s="1634" customFormat="1">
      <c r="G56652" s="3336"/>
      <c r="P56652" s="3337"/>
    </row>
    <row r="56653" spans="7:16" s="1634" customFormat="1">
      <c r="G56653" s="3336"/>
      <c r="P56653" s="3337"/>
    </row>
    <row r="56654" spans="7:16" s="1634" customFormat="1">
      <c r="G56654" s="3336"/>
      <c r="P56654" s="3337"/>
    </row>
    <row r="56655" spans="7:16" s="1634" customFormat="1">
      <c r="G56655" s="3336"/>
      <c r="P56655" s="3337"/>
    </row>
    <row r="56656" spans="7:16" s="1634" customFormat="1">
      <c r="G56656" s="3336"/>
      <c r="P56656" s="3337"/>
    </row>
    <row r="56657" spans="7:16" s="1634" customFormat="1">
      <c r="G56657" s="3336"/>
      <c r="P56657" s="3337"/>
    </row>
    <row r="56658" spans="7:16" s="1634" customFormat="1">
      <c r="G56658" s="3336"/>
      <c r="P56658" s="3337"/>
    </row>
    <row r="56659" spans="7:16" s="1634" customFormat="1">
      <c r="G56659" s="3336"/>
      <c r="P56659" s="3337"/>
    </row>
    <row r="56660" spans="7:16" s="1634" customFormat="1">
      <c r="G56660" s="3336"/>
      <c r="P56660" s="3337"/>
    </row>
    <row r="56661" spans="7:16" s="1634" customFormat="1">
      <c r="G56661" s="3336"/>
      <c r="P56661" s="3337"/>
    </row>
    <row r="56662" spans="7:16" s="1634" customFormat="1">
      <c r="G56662" s="3336"/>
      <c r="P56662" s="3337"/>
    </row>
    <row r="56663" spans="7:16" s="1634" customFormat="1">
      <c r="G56663" s="3336"/>
      <c r="P56663" s="3337"/>
    </row>
    <row r="56664" spans="7:16" s="1634" customFormat="1">
      <c r="G56664" s="3336"/>
      <c r="P56664" s="3337"/>
    </row>
    <row r="56665" spans="7:16" s="1634" customFormat="1">
      <c r="G56665" s="3336"/>
      <c r="P56665" s="3337"/>
    </row>
    <row r="56666" spans="7:16" s="1634" customFormat="1">
      <c r="G56666" s="3336"/>
      <c r="P56666" s="3337"/>
    </row>
    <row r="56667" spans="7:16" s="1634" customFormat="1">
      <c r="G56667" s="3336"/>
      <c r="P56667" s="3337"/>
    </row>
    <row r="56668" spans="7:16" s="1634" customFormat="1">
      <c r="G56668" s="3336"/>
      <c r="P56668" s="3337"/>
    </row>
    <row r="56669" spans="7:16" s="1634" customFormat="1">
      <c r="G56669" s="3336"/>
      <c r="P56669" s="3337"/>
    </row>
    <row r="56670" spans="7:16" s="1634" customFormat="1">
      <c r="G56670" s="3336"/>
      <c r="P56670" s="3337"/>
    </row>
    <row r="56671" spans="7:16" s="1634" customFormat="1">
      <c r="G56671" s="3336"/>
      <c r="P56671" s="3337"/>
    </row>
    <row r="56672" spans="7:16" s="1634" customFormat="1">
      <c r="G56672" s="3336"/>
      <c r="P56672" s="3337"/>
    </row>
    <row r="56673" spans="7:16" s="1634" customFormat="1">
      <c r="G56673" s="3336"/>
      <c r="P56673" s="3337"/>
    </row>
    <row r="56674" spans="7:16" s="1634" customFormat="1">
      <c r="G56674" s="3336"/>
      <c r="P56674" s="3337"/>
    </row>
    <row r="56675" spans="7:16" s="1634" customFormat="1">
      <c r="G56675" s="3336"/>
      <c r="P56675" s="3337"/>
    </row>
    <row r="56676" spans="7:16" s="1634" customFormat="1">
      <c r="G56676" s="3336"/>
      <c r="P56676" s="3337"/>
    </row>
    <row r="56677" spans="7:16" s="1634" customFormat="1">
      <c r="G56677" s="3336"/>
      <c r="P56677" s="3337"/>
    </row>
    <row r="56678" spans="7:16" s="1634" customFormat="1">
      <c r="G56678" s="3336"/>
      <c r="P56678" s="3337"/>
    </row>
    <row r="56679" spans="7:16" s="1634" customFormat="1">
      <c r="G56679" s="3336"/>
      <c r="P56679" s="3337"/>
    </row>
    <row r="56680" spans="7:16" s="1634" customFormat="1">
      <c r="G56680" s="3336"/>
      <c r="P56680" s="3337"/>
    </row>
    <row r="56681" spans="7:16" s="1634" customFormat="1">
      <c r="G56681" s="3336"/>
      <c r="P56681" s="3337"/>
    </row>
    <row r="56682" spans="7:16" s="1634" customFormat="1">
      <c r="G56682" s="3336"/>
      <c r="P56682" s="3337"/>
    </row>
    <row r="56683" spans="7:16" s="1634" customFormat="1">
      <c r="G56683" s="3336"/>
      <c r="P56683" s="3337"/>
    </row>
    <row r="56684" spans="7:16" s="1634" customFormat="1">
      <c r="G56684" s="3336"/>
      <c r="P56684" s="3337"/>
    </row>
    <row r="56685" spans="7:16" s="1634" customFormat="1">
      <c r="G56685" s="3336"/>
      <c r="P56685" s="3337"/>
    </row>
    <row r="56686" spans="7:16" s="1634" customFormat="1">
      <c r="G56686" s="3336"/>
      <c r="P56686" s="3337"/>
    </row>
    <row r="56687" spans="7:16" s="1634" customFormat="1">
      <c r="G56687" s="3336"/>
      <c r="P56687" s="3337"/>
    </row>
    <row r="56688" spans="7:16" s="1634" customFormat="1">
      <c r="G56688" s="3336"/>
      <c r="P56688" s="3337"/>
    </row>
    <row r="56689" spans="7:16" s="1634" customFormat="1">
      <c r="G56689" s="3336"/>
      <c r="P56689" s="3337"/>
    </row>
    <row r="56690" spans="7:16" s="1634" customFormat="1">
      <c r="G56690" s="3336"/>
      <c r="P56690" s="3337"/>
    </row>
    <row r="56691" spans="7:16" s="1634" customFormat="1">
      <c r="G56691" s="3336"/>
      <c r="P56691" s="3337"/>
    </row>
    <row r="56692" spans="7:16" s="1634" customFormat="1">
      <c r="G56692" s="3336"/>
      <c r="P56692" s="3337"/>
    </row>
    <row r="56693" spans="7:16" s="1634" customFormat="1">
      <c r="G56693" s="3336"/>
      <c r="P56693" s="3337"/>
    </row>
    <row r="56694" spans="7:16" s="1634" customFormat="1">
      <c r="G56694" s="3336"/>
      <c r="P56694" s="3337"/>
    </row>
    <row r="56695" spans="7:16" s="1634" customFormat="1">
      <c r="G56695" s="3336"/>
      <c r="P56695" s="3337"/>
    </row>
    <row r="56696" spans="7:16" s="1634" customFormat="1">
      <c r="G56696" s="3336"/>
      <c r="P56696" s="3337"/>
    </row>
    <row r="56697" spans="7:16" s="1634" customFormat="1">
      <c r="G56697" s="3336"/>
      <c r="P56697" s="3337"/>
    </row>
    <row r="56698" spans="7:16" s="1634" customFormat="1">
      <c r="G56698" s="3336"/>
      <c r="P56698" s="3337"/>
    </row>
    <row r="56699" spans="7:16" s="1634" customFormat="1">
      <c r="G56699" s="3336"/>
      <c r="P56699" s="3337"/>
    </row>
    <row r="56700" spans="7:16" s="1634" customFormat="1">
      <c r="G56700" s="3336"/>
      <c r="P56700" s="3337"/>
    </row>
    <row r="56701" spans="7:16" s="1634" customFormat="1">
      <c r="G56701" s="3336"/>
      <c r="P56701" s="3337"/>
    </row>
    <row r="56702" spans="7:16" s="1634" customFormat="1">
      <c r="G56702" s="3336"/>
      <c r="P56702" s="3337"/>
    </row>
    <row r="56703" spans="7:16" s="1634" customFormat="1">
      <c r="G56703" s="3336"/>
      <c r="P56703" s="3337"/>
    </row>
    <row r="56704" spans="7:16" s="1634" customFormat="1">
      <c r="G56704" s="3336"/>
      <c r="P56704" s="3337"/>
    </row>
    <row r="56705" spans="7:16" s="1634" customFormat="1">
      <c r="G56705" s="3336"/>
      <c r="P56705" s="3337"/>
    </row>
    <row r="56706" spans="7:16" s="1634" customFormat="1">
      <c r="G56706" s="3336"/>
      <c r="P56706" s="3337"/>
    </row>
    <row r="56707" spans="7:16" s="1634" customFormat="1">
      <c r="G56707" s="3336"/>
      <c r="P56707" s="3337"/>
    </row>
    <row r="56708" spans="7:16" s="1634" customFormat="1">
      <c r="G56708" s="3336"/>
      <c r="P56708" s="3337"/>
    </row>
    <row r="56709" spans="7:16" s="1634" customFormat="1">
      <c r="G56709" s="3336"/>
      <c r="P56709" s="3337"/>
    </row>
    <row r="56710" spans="7:16" s="1634" customFormat="1">
      <c r="G56710" s="3336"/>
      <c r="P56710" s="3337"/>
    </row>
    <row r="56711" spans="7:16" s="1634" customFormat="1">
      <c r="G56711" s="3336"/>
      <c r="P56711" s="3337"/>
    </row>
    <row r="56712" spans="7:16" s="1634" customFormat="1">
      <c r="G56712" s="3336"/>
      <c r="P56712" s="3337"/>
    </row>
    <row r="56713" spans="7:16" s="1634" customFormat="1">
      <c r="G56713" s="3336"/>
      <c r="P56713" s="3337"/>
    </row>
    <row r="56714" spans="7:16" s="1634" customFormat="1">
      <c r="G56714" s="3336"/>
      <c r="P56714" s="3337"/>
    </row>
    <row r="56715" spans="7:16" s="1634" customFormat="1">
      <c r="G56715" s="3336"/>
      <c r="P56715" s="3337"/>
    </row>
    <row r="56716" spans="7:16" s="1634" customFormat="1">
      <c r="G56716" s="3336"/>
      <c r="P56716" s="3337"/>
    </row>
    <row r="56717" spans="7:16" s="1634" customFormat="1">
      <c r="G56717" s="3336"/>
      <c r="P56717" s="3337"/>
    </row>
    <row r="56718" spans="7:16" s="1634" customFormat="1">
      <c r="G56718" s="3336"/>
      <c r="P56718" s="3337"/>
    </row>
    <row r="56719" spans="7:16" s="1634" customFormat="1">
      <c r="G56719" s="3336"/>
      <c r="P56719" s="3337"/>
    </row>
    <row r="56720" spans="7:16" s="1634" customFormat="1">
      <c r="G56720" s="3336"/>
      <c r="P56720" s="3337"/>
    </row>
    <row r="56721" spans="7:16" s="1634" customFormat="1">
      <c r="G56721" s="3336"/>
      <c r="P56721" s="3337"/>
    </row>
    <row r="56722" spans="7:16" s="1634" customFormat="1">
      <c r="G56722" s="3336"/>
      <c r="P56722" s="3337"/>
    </row>
    <row r="56723" spans="7:16" s="1634" customFormat="1">
      <c r="G56723" s="3336"/>
      <c r="P56723" s="3337"/>
    </row>
    <row r="56724" spans="7:16" s="1634" customFormat="1">
      <c r="G56724" s="3336"/>
      <c r="P56724" s="3337"/>
    </row>
    <row r="56725" spans="7:16" s="1634" customFormat="1">
      <c r="G56725" s="3336"/>
      <c r="P56725" s="3337"/>
    </row>
    <row r="56726" spans="7:16" s="1634" customFormat="1">
      <c r="G56726" s="3336"/>
      <c r="P56726" s="3337"/>
    </row>
    <row r="56727" spans="7:16" s="1634" customFormat="1">
      <c r="G56727" s="3336"/>
      <c r="P56727" s="3337"/>
    </row>
    <row r="56728" spans="7:16" s="1634" customFormat="1">
      <c r="G56728" s="3336"/>
      <c r="P56728" s="3337"/>
    </row>
    <row r="56729" spans="7:16" s="1634" customFormat="1">
      <c r="G56729" s="3336"/>
      <c r="P56729" s="3337"/>
    </row>
    <row r="56730" spans="7:16" s="1634" customFormat="1">
      <c r="G56730" s="3336"/>
      <c r="P56730" s="3337"/>
    </row>
    <row r="56731" spans="7:16" s="1634" customFormat="1">
      <c r="G56731" s="3336"/>
      <c r="P56731" s="3337"/>
    </row>
    <row r="56732" spans="7:16" s="1634" customFormat="1">
      <c r="G56732" s="3336"/>
      <c r="P56732" s="3337"/>
    </row>
    <row r="56733" spans="7:16" s="1634" customFormat="1">
      <c r="G56733" s="3336"/>
      <c r="P56733" s="3337"/>
    </row>
    <row r="56734" spans="7:16" s="1634" customFormat="1">
      <c r="G56734" s="3336"/>
      <c r="P56734" s="3337"/>
    </row>
    <row r="56735" spans="7:16" s="1634" customFormat="1">
      <c r="G56735" s="3336"/>
      <c r="P56735" s="3337"/>
    </row>
    <row r="56736" spans="7:16" s="1634" customFormat="1">
      <c r="G56736" s="3336"/>
      <c r="P56736" s="3337"/>
    </row>
    <row r="56737" spans="7:16" s="1634" customFormat="1">
      <c r="G56737" s="3336"/>
      <c r="P56737" s="3337"/>
    </row>
    <row r="56738" spans="7:16" s="1634" customFormat="1">
      <c r="G56738" s="3336"/>
      <c r="P56738" s="3337"/>
    </row>
    <row r="56739" spans="7:16" s="1634" customFormat="1">
      <c r="G56739" s="3336"/>
      <c r="P56739" s="3337"/>
    </row>
    <row r="56740" spans="7:16" s="1634" customFormat="1">
      <c r="G56740" s="3336"/>
      <c r="P56740" s="3337"/>
    </row>
    <row r="56741" spans="7:16" s="1634" customFormat="1">
      <c r="G56741" s="3336"/>
      <c r="P56741" s="3337"/>
    </row>
    <row r="56742" spans="7:16" s="1634" customFormat="1">
      <c r="G56742" s="3336"/>
      <c r="P56742" s="3337"/>
    </row>
    <row r="56743" spans="7:16" s="1634" customFormat="1">
      <c r="G56743" s="3336"/>
      <c r="P56743" s="3337"/>
    </row>
    <row r="56744" spans="7:16" s="1634" customFormat="1">
      <c r="G56744" s="3336"/>
      <c r="P56744" s="3337"/>
    </row>
    <row r="56745" spans="7:16" s="1634" customFormat="1">
      <c r="G56745" s="3336"/>
      <c r="P56745" s="3337"/>
    </row>
    <row r="56746" spans="7:16" s="1634" customFormat="1">
      <c r="G56746" s="3336"/>
      <c r="P56746" s="3337"/>
    </row>
    <row r="56747" spans="7:16" s="1634" customFormat="1">
      <c r="G56747" s="3336"/>
      <c r="P56747" s="3337"/>
    </row>
    <row r="56748" spans="7:16" s="1634" customFormat="1">
      <c r="G56748" s="3336"/>
      <c r="P56748" s="3337"/>
    </row>
    <row r="56749" spans="7:16" s="1634" customFormat="1">
      <c r="G56749" s="3336"/>
      <c r="P56749" s="3337"/>
    </row>
    <row r="56750" spans="7:16" s="1634" customFormat="1">
      <c r="G56750" s="3336"/>
      <c r="P56750" s="3337"/>
    </row>
    <row r="56751" spans="7:16" s="1634" customFormat="1">
      <c r="G56751" s="3336"/>
      <c r="P56751" s="3337"/>
    </row>
    <row r="56752" spans="7:16" s="1634" customFormat="1">
      <c r="G56752" s="3336"/>
      <c r="P56752" s="3337"/>
    </row>
    <row r="56753" spans="7:16" s="1634" customFormat="1">
      <c r="G56753" s="3336"/>
      <c r="P56753" s="3337"/>
    </row>
    <row r="56754" spans="7:16" s="1634" customFormat="1">
      <c r="G56754" s="3336"/>
      <c r="P56754" s="3337"/>
    </row>
    <row r="56755" spans="7:16" s="1634" customFormat="1">
      <c r="G56755" s="3336"/>
      <c r="P56755" s="3337"/>
    </row>
    <row r="56756" spans="7:16" s="1634" customFormat="1">
      <c r="G56756" s="3336"/>
      <c r="P56756" s="3337"/>
    </row>
    <row r="56757" spans="7:16" s="1634" customFormat="1">
      <c r="G56757" s="3336"/>
      <c r="P56757" s="3337"/>
    </row>
    <row r="56758" spans="7:16" s="1634" customFormat="1">
      <c r="G56758" s="3336"/>
      <c r="P56758" s="3337"/>
    </row>
    <row r="56759" spans="7:16" s="1634" customFormat="1">
      <c r="G56759" s="3336"/>
      <c r="P56759" s="3337"/>
    </row>
    <row r="56760" spans="7:16" s="1634" customFormat="1">
      <c r="G56760" s="3336"/>
      <c r="P56760" s="3337"/>
    </row>
    <row r="56761" spans="7:16" s="1634" customFormat="1">
      <c r="G56761" s="3336"/>
      <c r="P56761" s="3337"/>
    </row>
    <row r="56762" spans="7:16" s="1634" customFormat="1">
      <c r="G56762" s="3336"/>
      <c r="P56762" s="3337"/>
    </row>
    <row r="56763" spans="7:16" s="1634" customFormat="1">
      <c r="G56763" s="3336"/>
      <c r="P56763" s="3337"/>
    </row>
    <row r="56764" spans="7:16" s="1634" customFormat="1">
      <c r="G56764" s="3336"/>
      <c r="P56764" s="3337"/>
    </row>
    <row r="56765" spans="7:16" s="1634" customFormat="1">
      <c r="G56765" s="3336"/>
      <c r="P56765" s="3337"/>
    </row>
    <row r="56766" spans="7:16" s="1634" customFormat="1">
      <c r="G56766" s="3336"/>
      <c r="P56766" s="3337"/>
    </row>
    <row r="56767" spans="7:16" s="1634" customFormat="1">
      <c r="G56767" s="3336"/>
      <c r="P56767" s="3337"/>
    </row>
    <row r="56768" spans="7:16" s="1634" customFormat="1">
      <c r="G56768" s="3336"/>
      <c r="P56768" s="3337"/>
    </row>
    <row r="56769" spans="7:16" s="1634" customFormat="1">
      <c r="G56769" s="3336"/>
      <c r="P56769" s="3337"/>
    </row>
    <row r="56770" spans="7:16" s="1634" customFormat="1">
      <c r="G56770" s="3336"/>
      <c r="P56770" s="3337"/>
    </row>
    <row r="56771" spans="7:16" s="1634" customFormat="1">
      <c r="G56771" s="3336"/>
      <c r="P56771" s="3337"/>
    </row>
    <row r="56772" spans="7:16" s="1634" customFormat="1">
      <c r="G56772" s="3336"/>
      <c r="P56772" s="3337"/>
    </row>
    <row r="56773" spans="7:16" s="1634" customFormat="1">
      <c r="G56773" s="3336"/>
      <c r="P56773" s="3337"/>
    </row>
    <row r="56774" spans="7:16" s="1634" customFormat="1">
      <c r="G56774" s="3336"/>
      <c r="P56774" s="3337"/>
    </row>
    <row r="56775" spans="7:16" s="1634" customFormat="1">
      <c r="G56775" s="3336"/>
      <c r="P56775" s="3337"/>
    </row>
    <row r="56776" spans="7:16" s="1634" customFormat="1">
      <c r="G56776" s="3336"/>
      <c r="P56776" s="3337"/>
    </row>
    <row r="56777" spans="7:16" s="1634" customFormat="1">
      <c r="G56777" s="3336"/>
      <c r="P56777" s="3337"/>
    </row>
    <row r="56778" spans="7:16" s="1634" customFormat="1">
      <c r="G56778" s="3336"/>
      <c r="P56778" s="3337"/>
    </row>
    <row r="56779" spans="7:16" s="1634" customFormat="1">
      <c r="G56779" s="3336"/>
      <c r="P56779" s="3337"/>
    </row>
    <row r="56780" spans="7:16" s="1634" customFormat="1">
      <c r="G56780" s="3336"/>
      <c r="P56780" s="3337"/>
    </row>
    <row r="56781" spans="7:16" s="1634" customFormat="1">
      <c r="G56781" s="3336"/>
      <c r="P56781" s="3337"/>
    </row>
    <row r="56782" spans="7:16" s="1634" customFormat="1">
      <c r="G56782" s="3336"/>
      <c r="P56782" s="3337"/>
    </row>
    <row r="56783" spans="7:16" s="1634" customFormat="1">
      <c r="G56783" s="3336"/>
      <c r="P56783" s="3337"/>
    </row>
    <row r="56784" spans="7:16" s="1634" customFormat="1">
      <c r="G56784" s="3336"/>
      <c r="P56784" s="3337"/>
    </row>
    <row r="56785" spans="7:16" s="1634" customFormat="1">
      <c r="G56785" s="3336"/>
      <c r="P56785" s="3337"/>
    </row>
    <row r="56786" spans="7:16" s="1634" customFormat="1">
      <c r="G56786" s="3336"/>
      <c r="P56786" s="3337"/>
    </row>
    <row r="56787" spans="7:16" s="1634" customFormat="1">
      <c r="G56787" s="3336"/>
      <c r="P56787" s="3337"/>
    </row>
    <row r="56788" spans="7:16" s="1634" customFormat="1">
      <c r="G56788" s="3336"/>
      <c r="P56788" s="3337"/>
    </row>
    <row r="56789" spans="7:16" s="1634" customFormat="1">
      <c r="G56789" s="3336"/>
      <c r="P56789" s="3337"/>
    </row>
    <row r="56790" spans="7:16" s="1634" customFormat="1">
      <c r="G56790" s="3336"/>
      <c r="P56790" s="3337"/>
    </row>
    <row r="56791" spans="7:16" s="1634" customFormat="1">
      <c r="G56791" s="3336"/>
      <c r="P56791" s="3337"/>
    </row>
    <row r="56792" spans="7:16" s="1634" customFormat="1">
      <c r="G56792" s="3336"/>
      <c r="P56792" s="3337"/>
    </row>
    <row r="56793" spans="7:16" s="1634" customFormat="1">
      <c r="G56793" s="3336"/>
      <c r="P56793" s="3337"/>
    </row>
    <row r="56794" spans="7:16" s="1634" customFormat="1">
      <c r="G56794" s="3336"/>
      <c r="P56794" s="3337"/>
    </row>
    <row r="56795" spans="7:16" s="1634" customFormat="1">
      <c r="G56795" s="3336"/>
      <c r="P56795" s="3337"/>
    </row>
    <row r="56796" spans="7:16" s="1634" customFormat="1">
      <c r="G56796" s="3336"/>
      <c r="P56796" s="3337"/>
    </row>
    <row r="56797" spans="7:16" s="1634" customFormat="1">
      <c r="G56797" s="3336"/>
      <c r="P56797" s="3337"/>
    </row>
    <row r="56798" spans="7:16" s="1634" customFormat="1">
      <c r="G56798" s="3336"/>
      <c r="P56798" s="3337"/>
    </row>
    <row r="56799" spans="7:16" s="1634" customFormat="1">
      <c r="G56799" s="3336"/>
      <c r="P56799" s="3337"/>
    </row>
    <row r="56800" spans="7:16" s="1634" customFormat="1">
      <c r="G56800" s="3336"/>
      <c r="P56800" s="3337"/>
    </row>
    <row r="56801" spans="7:16" s="1634" customFormat="1">
      <c r="G56801" s="3336"/>
      <c r="P56801" s="3337"/>
    </row>
    <row r="56802" spans="7:16" s="1634" customFormat="1">
      <c r="G56802" s="3336"/>
      <c r="P56802" s="3337"/>
    </row>
    <row r="56803" spans="7:16" s="1634" customFormat="1">
      <c r="G56803" s="3336"/>
      <c r="P56803" s="3337"/>
    </row>
    <row r="56804" spans="7:16" s="1634" customFormat="1">
      <c r="G56804" s="3336"/>
      <c r="P56804" s="3337"/>
    </row>
    <row r="56805" spans="7:16" s="1634" customFormat="1">
      <c r="G56805" s="3336"/>
      <c r="P56805" s="3337"/>
    </row>
    <row r="56806" spans="7:16" s="1634" customFormat="1">
      <c r="G56806" s="3336"/>
      <c r="P56806" s="3337"/>
    </row>
    <row r="56807" spans="7:16" s="1634" customFormat="1">
      <c r="G56807" s="3336"/>
      <c r="P56807" s="3337"/>
    </row>
    <row r="56808" spans="7:16" s="1634" customFormat="1">
      <c r="G56808" s="3336"/>
      <c r="P56808" s="3337"/>
    </row>
    <row r="56809" spans="7:16" s="1634" customFormat="1">
      <c r="G56809" s="3336"/>
      <c r="P56809" s="3337"/>
    </row>
    <row r="56810" spans="7:16" s="1634" customFormat="1">
      <c r="G56810" s="3336"/>
      <c r="P56810" s="3337"/>
    </row>
    <row r="56811" spans="7:16" s="1634" customFormat="1">
      <c r="G56811" s="3336"/>
      <c r="P56811" s="3337"/>
    </row>
    <row r="56812" spans="7:16" s="1634" customFormat="1">
      <c r="G56812" s="3336"/>
      <c r="P56812" s="3337"/>
    </row>
    <row r="56813" spans="7:16" s="1634" customFormat="1">
      <c r="G56813" s="3336"/>
      <c r="P56813" s="3337"/>
    </row>
    <row r="56814" spans="7:16" s="1634" customFormat="1">
      <c r="G56814" s="3336"/>
      <c r="P56814" s="3337"/>
    </row>
    <row r="56815" spans="7:16" s="1634" customFormat="1">
      <c r="G56815" s="3336"/>
      <c r="P56815" s="3337"/>
    </row>
    <row r="56816" spans="7:16" s="1634" customFormat="1">
      <c r="G56816" s="3336"/>
      <c r="P56816" s="3337"/>
    </row>
    <row r="56817" spans="7:16" s="1634" customFormat="1">
      <c r="G56817" s="3336"/>
      <c r="P56817" s="3337"/>
    </row>
    <row r="56818" spans="7:16" s="1634" customFormat="1">
      <c r="G56818" s="3336"/>
      <c r="P56818" s="3337"/>
    </row>
    <row r="56819" spans="7:16" s="1634" customFormat="1">
      <c r="G56819" s="3336"/>
      <c r="P56819" s="3337"/>
    </row>
    <row r="56820" spans="7:16" s="1634" customFormat="1">
      <c r="G56820" s="3336"/>
      <c r="P56820" s="3337"/>
    </row>
    <row r="56821" spans="7:16" s="1634" customFormat="1">
      <c r="G56821" s="3336"/>
      <c r="P56821" s="3337"/>
    </row>
    <row r="56822" spans="7:16" s="1634" customFormat="1">
      <c r="G56822" s="3336"/>
      <c r="P56822" s="3337"/>
    </row>
    <row r="56823" spans="7:16" s="1634" customFormat="1">
      <c r="G56823" s="3336"/>
      <c r="P56823" s="3337"/>
    </row>
    <row r="56824" spans="7:16" s="1634" customFormat="1">
      <c r="G56824" s="3336"/>
      <c r="P56824" s="3337"/>
    </row>
    <row r="56825" spans="7:16" s="1634" customFormat="1">
      <c r="G56825" s="3336"/>
      <c r="P56825" s="3337"/>
    </row>
    <row r="56826" spans="7:16" s="1634" customFormat="1">
      <c r="G56826" s="3336"/>
      <c r="P56826" s="3337"/>
    </row>
    <row r="56827" spans="7:16" s="1634" customFormat="1">
      <c r="G56827" s="3336"/>
      <c r="P56827" s="3337"/>
    </row>
    <row r="56828" spans="7:16" s="1634" customFormat="1">
      <c r="G56828" s="3336"/>
      <c r="P56828" s="3337"/>
    </row>
    <row r="56829" spans="7:16" s="1634" customFormat="1">
      <c r="G56829" s="3336"/>
      <c r="P56829" s="3337"/>
    </row>
    <row r="56830" spans="7:16" s="1634" customFormat="1">
      <c r="G56830" s="3336"/>
      <c r="P56830" s="3337"/>
    </row>
    <row r="56831" spans="7:16" s="1634" customFormat="1">
      <c r="G56831" s="3336"/>
      <c r="P56831" s="3337"/>
    </row>
    <row r="56832" spans="7:16" s="1634" customFormat="1">
      <c r="G56832" s="3336"/>
      <c r="P56832" s="3337"/>
    </row>
    <row r="56833" spans="7:16" s="1634" customFormat="1">
      <c r="G56833" s="3336"/>
      <c r="P56833" s="3337"/>
    </row>
    <row r="56834" spans="7:16" s="1634" customFormat="1">
      <c r="G56834" s="3336"/>
      <c r="P56834" s="3337"/>
    </row>
    <row r="56835" spans="7:16" s="1634" customFormat="1">
      <c r="G56835" s="3336"/>
      <c r="P56835" s="3337"/>
    </row>
    <row r="56836" spans="7:16" s="1634" customFormat="1">
      <c r="G56836" s="3336"/>
      <c r="P56836" s="3337"/>
    </row>
    <row r="56837" spans="7:16" s="1634" customFormat="1">
      <c r="G56837" s="3336"/>
      <c r="P56837" s="3337"/>
    </row>
    <row r="56838" spans="7:16" s="1634" customFormat="1">
      <c r="G56838" s="3336"/>
      <c r="P56838" s="3337"/>
    </row>
    <row r="56839" spans="7:16" s="1634" customFormat="1">
      <c r="G56839" s="3336"/>
      <c r="P56839" s="3337"/>
    </row>
    <row r="56840" spans="7:16" s="1634" customFormat="1">
      <c r="G56840" s="3336"/>
      <c r="P56840" s="3337"/>
    </row>
    <row r="56841" spans="7:16" s="1634" customFormat="1">
      <c r="G56841" s="3336"/>
      <c r="P56841" s="3337"/>
    </row>
    <row r="56842" spans="7:16" s="1634" customFormat="1">
      <c r="G56842" s="3336"/>
      <c r="P56842" s="3337"/>
    </row>
    <row r="56843" spans="7:16" s="1634" customFormat="1">
      <c r="G56843" s="3336"/>
      <c r="P56843" s="3337"/>
    </row>
    <row r="56844" spans="7:16" s="1634" customFormat="1">
      <c r="G56844" s="3336"/>
      <c r="P56844" s="3337"/>
    </row>
    <row r="56845" spans="7:16" s="1634" customFormat="1">
      <c r="G56845" s="3336"/>
      <c r="P56845" s="3337"/>
    </row>
    <row r="56846" spans="7:16" s="1634" customFormat="1">
      <c r="G56846" s="3336"/>
      <c r="P56846" s="3337"/>
    </row>
    <row r="56847" spans="7:16" s="1634" customFormat="1">
      <c r="G56847" s="3336"/>
      <c r="P56847" s="3337"/>
    </row>
    <row r="56848" spans="7:16" s="1634" customFormat="1">
      <c r="G56848" s="3336"/>
      <c r="P56848" s="3337"/>
    </row>
    <row r="56849" spans="7:16" s="1634" customFormat="1">
      <c r="G56849" s="3336"/>
      <c r="P56849" s="3337"/>
    </row>
    <row r="56850" spans="7:16" s="1634" customFormat="1">
      <c r="G56850" s="3336"/>
      <c r="P56850" s="3337"/>
    </row>
    <row r="56851" spans="7:16" s="1634" customFormat="1">
      <c r="G56851" s="3336"/>
      <c r="P56851" s="3337"/>
    </row>
    <row r="56852" spans="7:16" s="1634" customFormat="1">
      <c r="G56852" s="3336"/>
      <c r="P56852" s="3337"/>
    </row>
    <row r="56853" spans="7:16" s="1634" customFormat="1">
      <c r="G56853" s="3336"/>
      <c r="P56853" s="3337"/>
    </row>
    <row r="56854" spans="7:16" s="1634" customFormat="1">
      <c r="G56854" s="3336"/>
      <c r="P56854" s="3337"/>
    </row>
    <row r="56855" spans="7:16" s="1634" customFormat="1">
      <c r="G56855" s="3336"/>
      <c r="P56855" s="3337"/>
    </row>
    <row r="56856" spans="7:16" s="1634" customFormat="1">
      <c r="G56856" s="3336"/>
      <c r="P56856" s="3337"/>
    </row>
    <row r="56857" spans="7:16" s="1634" customFormat="1">
      <c r="G56857" s="3336"/>
      <c r="P56857" s="3337"/>
    </row>
    <row r="56858" spans="7:16" s="1634" customFormat="1">
      <c r="G56858" s="3336"/>
      <c r="P56858" s="3337"/>
    </row>
    <row r="56859" spans="7:16" s="1634" customFormat="1">
      <c r="G56859" s="3336"/>
      <c r="P56859" s="3337"/>
    </row>
    <row r="56860" spans="7:16" s="1634" customFormat="1">
      <c r="G56860" s="3336"/>
      <c r="P56860" s="3337"/>
    </row>
    <row r="56861" spans="7:16" s="1634" customFormat="1">
      <c r="G56861" s="3336"/>
      <c r="P56861" s="3337"/>
    </row>
    <row r="56862" spans="7:16" s="1634" customFormat="1">
      <c r="G56862" s="3336"/>
      <c r="P56862" s="3337"/>
    </row>
    <row r="56863" spans="7:16" s="1634" customFormat="1">
      <c r="G56863" s="3336"/>
      <c r="P56863" s="3337"/>
    </row>
    <row r="56864" spans="7:16" s="1634" customFormat="1">
      <c r="G56864" s="3336"/>
      <c r="P56864" s="3337"/>
    </row>
    <row r="56865" spans="7:16" s="1634" customFormat="1">
      <c r="G56865" s="3336"/>
      <c r="P56865" s="3337"/>
    </row>
    <row r="56866" spans="7:16" s="1634" customFormat="1">
      <c r="G56866" s="3336"/>
      <c r="P56866" s="3337"/>
    </row>
    <row r="56867" spans="7:16" s="1634" customFormat="1">
      <c r="G56867" s="3336"/>
      <c r="P56867" s="3337"/>
    </row>
    <row r="56868" spans="7:16" s="1634" customFormat="1">
      <c r="G56868" s="3336"/>
      <c r="P56868" s="3337"/>
    </row>
    <row r="56869" spans="7:16" s="1634" customFormat="1">
      <c r="G56869" s="3336"/>
      <c r="P56869" s="3337"/>
    </row>
    <row r="56870" spans="7:16" s="1634" customFormat="1">
      <c r="G56870" s="3336"/>
      <c r="P56870" s="3337"/>
    </row>
    <row r="56871" spans="7:16" s="1634" customFormat="1">
      <c r="G56871" s="3336"/>
      <c r="P56871" s="3337"/>
    </row>
    <row r="56872" spans="7:16" s="1634" customFormat="1">
      <c r="G56872" s="3336"/>
      <c r="P56872" s="3337"/>
    </row>
    <row r="56873" spans="7:16" s="1634" customFormat="1">
      <c r="G56873" s="3336"/>
      <c r="P56873" s="3337"/>
    </row>
    <row r="56874" spans="7:16" s="1634" customFormat="1">
      <c r="G56874" s="3336"/>
      <c r="P56874" s="3337"/>
    </row>
    <row r="56875" spans="7:16" s="1634" customFormat="1">
      <c r="G56875" s="3336"/>
      <c r="P56875" s="3337"/>
    </row>
    <row r="56876" spans="7:16" s="1634" customFormat="1">
      <c r="G56876" s="3336"/>
      <c r="P56876" s="3337"/>
    </row>
    <row r="56877" spans="7:16" s="1634" customFormat="1">
      <c r="G56877" s="3336"/>
      <c r="P56877" s="3337"/>
    </row>
    <row r="56878" spans="7:16" s="1634" customFormat="1">
      <c r="G56878" s="3336"/>
      <c r="P56878" s="3337"/>
    </row>
    <row r="56879" spans="7:16" s="1634" customFormat="1">
      <c r="G56879" s="3336"/>
      <c r="P56879" s="3337"/>
    </row>
    <row r="56880" spans="7:16" s="1634" customFormat="1">
      <c r="G56880" s="3336"/>
      <c r="P56880" s="3337"/>
    </row>
    <row r="56881" spans="7:16" s="1634" customFormat="1">
      <c r="G56881" s="3336"/>
      <c r="P56881" s="3337"/>
    </row>
    <row r="56882" spans="7:16" s="1634" customFormat="1">
      <c r="G56882" s="3336"/>
      <c r="P56882" s="3337"/>
    </row>
    <row r="56883" spans="7:16" s="1634" customFormat="1">
      <c r="G56883" s="3336"/>
      <c r="P56883" s="3337"/>
    </row>
    <row r="56884" spans="7:16" s="1634" customFormat="1">
      <c r="G56884" s="3336"/>
      <c r="P56884" s="3337"/>
    </row>
    <row r="56885" spans="7:16" s="1634" customFormat="1">
      <c r="G56885" s="3336"/>
      <c r="P56885" s="3337"/>
    </row>
    <row r="56886" spans="7:16" s="1634" customFormat="1">
      <c r="G56886" s="3336"/>
      <c r="P56886" s="3337"/>
    </row>
    <row r="56887" spans="7:16" s="1634" customFormat="1">
      <c r="G56887" s="3336"/>
      <c r="P56887" s="3337"/>
    </row>
    <row r="56888" spans="7:16" s="1634" customFormat="1">
      <c r="G56888" s="3336"/>
      <c r="P56888" s="3337"/>
    </row>
    <row r="56889" spans="7:16" s="1634" customFormat="1">
      <c r="G56889" s="3336"/>
      <c r="P56889" s="3337"/>
    </row>
    <row r="56890" spans="7:16" s="1634" customFormat="1">
      <c r="G56890" s="3336"/>
      <c r="P56890" s="3337"/>
    </row>
    <row r="56891" spans="7:16" s="1634" customFormat="1">
      <c r="G56891" s="3336"/>
      <c r="P56891" s="3337"/>
    </row>
    <row r="56892" spans="7:16" s="1634" customFormat="1">
      <c r="G56892" s="3336"/>
      <c r="P56892" s="3337"/>
    </row>
    <row r="56893" spans="7:16" s="1634" customFormat="1">
      <c r="G56893" s="3336"/>
      <c r="P56893" s="3337"/>
    </row>
    <row r="56894" spans="7:16" s="1634" customFormat="1">
      <c r="G56894" s="3336"/>
      <c r="P56894" s="3337"/>
    </row>
    <row r="56895" spans="7:16" s="1634" customFormat="1">
      <c r="G56895" s="3336"/>
      <c r="P56895" s="3337"/>
    </row>
    <row r="56896" spans="7:16" s="1634" customFormat="1">
      <c r="G56896" s="3336"/>
      <c r="P56896" s="3337"/>
    </row>
    <row r="56897" spans="7:16" s="1634" customFormat="1">
      <c r="G56897" s="3336"/>
      <c r="P56897" s="3337"/>
    </row>
    <row r="56898" spans="7:16" s="1634" customFormat="1">
      <c r="G56898" s="3336"/>
      <c r="P56898" s="3337"/>
    </row>
    <row r="56899" spans="7:16" s="1634" customFormat="1">
      <c r="G56899" s="3336"/>
      <c r="P56899" s="3337"/>
    </row>
    <row r="56900" spans="7:16" s="1634" customFormat="1">
      <c r="G56900" s="3336"/>
      <c r="P56900" s="3337"/>
    </row>
    <row r="56901" spans="7:16" s="1634" customFormat="1">
      <c r="G56901" s="3336"/>
      <c r="P56901" s="3337"/>
    </row>
    <row r="56902" spans="7:16" s="1634" customFormat="1">
      <c r="G56902" s="3336"/>
      <c r="P56902" s="3337"/>
    </row>
    <row r="56903" spans="7:16" s="1634" customFormat="1">
      <c r="G56903" s="3336"/>
      <c r="P56903" s="3337"/>
    </row>
    <row r="56904" spans="7:16" s="1634" customFormat="1">
      <c r="G56904" s="3336"/>
      <c r="P56904" s="3337"/>
    </row>
    <row r="56905" spans="7:16" s="1634" customFormat="1">
      <c r="G56905" s="3336"/>
      <c r="P56905" s="3337"/>
    </row>
    <row r="56906" spans="7:16" s="1634" customFormat="1">
      <c r="G56906" s="3336"/>
      <c r="P56906" s="3337"/>
    </row>
    <row r="56907" spans="7:16" s="1634" customFormat="1">
      <c r="G56907" s="3336"/>
      <c r="P56907" s="3337"/>
    </row>
    <row r="56908" spans="7:16" s="1634" customFormat="1">
      <c r="G56908" s="3336"/>
      <c r="P56908" s="3337"/>
    </row>
    <row r="56909" spans="7:16" s="1634" customFormat="1">
      <c r="G56909" s="3336"/>
      <c r="P56909" s="3337"/>
    </row>
    <row r="56910" spans="7:16" s="1634" customFormat="1">
      <c r="G56910" s="3336"/>
      <c r="P56910" s="3337"/>
    </row>
    <row r="56911" spans="7:16" s="1634" customFormat="1">
      <c r="G56911" s="3336"/>
      <c r="P56911" s="3337"/>
    </row>
    <row r="56912" spans="7:16" s="1634" customFormat="1">
      <c r="G56912" s="3336"/>
      <c r="P56912" s="3337"/>
    </row>
    <row r="56913" spans="7:16" s="1634" customFormat="1">
      <c r="G56913" s="3336"/>
      <c r="P56913" s="3337"/>
    </row>
    <row r="56914" spans="7:16" s="1634" customFormat="1">
      <c r="G56914" s="3336"/>
      <c r="P56914" s="3337"/>
    </row>
    <row r="56915" spans="7:16" s="1634" customFormat="1">
      <c r="G56915" s="3336"/>
      <c r="P56915" s="3337"/>
    </row>
    <row r="56916" spans="7:16" s="1634" customFormat="1">
      <c r="G56916" s="3336"/>
      <c r="P56916" s="3337"/>
    </row>
    <row r="56917" spans="7:16" s="1634" customFormat="1">
      <c r="G56917" s="3336"/>
      <c r="P56917" s="3337"/>
    </row>
    <row r="56918" spans="7:16" s="1634" customFormat="1">
      <c r="G56918" s="3336"/>
      <c r="P56918" s="3337"/>
    </row>
    <row r="56919" spans="7:16" s="1634" customFormat="1">
      <c r="G56919" s="3336"/>
      <c r="P56919" s="3337"/>
    </row>
    <row r="56920" spans="7:16" s="1634" customFormat="1">
      <c r="G56920" s="3336"/>
      <c r="P56920" s="3337"/>
    </row>
    <row r="56921" spans="7:16" s="1634" customFormat="1">
      <c r="G56921" s="3336"/>
      <c r="P56921" s="3337"/>
    </row>
    <row r="56922" spans="7:16" s="1634" customFormat="1">
      <c r="G56922" s="3336"/>
      <c r="P56922" s="3337"/>
    </row>
    <row r="56923" spans="7:16" s="1634" customFormat="1">
      <c r="G56923" s="3336"/>
      <c r="P56923" s="3337"/>
    </row>
    <row r="56924" spans="7:16" s="1634" customFormat="1">
      <c r="G56924" s="3336"/>
      <c r="P56924" s="3337"/>
    </row>
    <row r="56925" spans="7:16" s="1634" customFormat="1">
      <c r="G56925" s="3336"/>
      <c r="P56925" s="3337"/>
    </row>
    <row r="56926" spans="7:16" s="1634" customFormat="1">
      <c r="G56926" s="3336"/>
      <c r="P56926" s="3337"/>
    </row>
    <row r="56927" spans="7:16" s="1634" customFormat="1">
      <c r="G56927" s="3336"/>
      <c r="P56927" s="3337"/>
    </row>
    <row r="56928" spans="7:16" s="1634" customFormat="1">
      <c r="G56928" s="3336"/>
      <c r="P56928" s="3337"/>
    </row>
    <row r="56929" spans="7:16" s="1634" customFormat="1">
      <c r="G56929" s="3336"/>
      <c r="P56929" s="3337"/>
    </row>
    <row r="56930" spans="7:16" s="1634" customFormat="1">
      <c r="G56930" s="3336"/>
      <c r="P56930" s="3337"/>
    </row>
    <row r="56931" spans="7:16" s="1634" customFormat="1">
      <c r="G56931" s="3336"/>
      <c r="P56931" s="3337"/>
    </row>
    <row r="56932" spans="7:16" s="1634" customFormat="1">
      <c r="G56932" s="3336"/>
      <c r="P56932" s="3337"/>
    </row>
    <row r="56933" spans="7:16" s="1634" customFormat="1">
      <c r="G56933" s="3336"/>
      <c r="P56933" s="3337"/>
    </row>
    <row r="56934" spans="7:16" s="1634" customFormat="1">
      <c r="G56934" s="3336"/>
      <c r="P56934" s="3337"/>
    </row>
    <row r="56935" spans="7:16" s="1634" customFormat="1">
      <c r="G56935" s="3336"/>
      <c r="P56935" s="3337"/>
    </row>
    <row r="56936" spans="7:16" s="1634" customFormat="1">
      <c r="G56936" s="3336"/>
      <c r="P56936" s="3337"/>
    </row>
    <row r="56937" spans="7:16" s="1634" customFormat="1">
      <c r="G56937" s="3336"/>
      <c r="P56937" s="3337"/>
    </row>
    <row r="56938" spans="7:16" s="1634" customFormat="1">
      <c r="G56938" s="3336"/>
      <c r="P56938" s="3337"/>
    </row>
    <row r="56939" spans="7:16" s="1634" customFormat="1">
      <c r="G56939" s="3336"/>
      <c r="P56939" s="3337"/>
    </row>
    <row r="56940" spans="7:16" s="1634" customFormat="1">
      <c r="G56940" s="3336"/>
      <c r="P56940" s="3337"/>
    </row>
    <row r="56941" spans="7:16" s="1634" customFormat="1">
      <c r="G56941" s="3336"/>
      <c r="P56941" s="3337"/>
    </row>
    <row r="56942" spans="7:16" s="1634" customFormat="1">
      <c r="G56942" s="3336"/>
      <c r="P56942" s="3337"/>
    </row>
    <row r="56943" spans="7:16" s="1634" customFormat="1">
      <c r="G56943" s="3336"/>
      <c r="P56943" s="3337"/>
    </row>
    <row r="56944" spans="7:16" s="1634" customFormat="1">
      <c r="G56944" s="3336"/>
      <c r="P56944" s="3337"/>
    </row>
    <row r="56945" spans="7:16" s="1634" customFormat="1">
      <c r="G56945" s="3336"/>
      <c r="P56945" s="3337"/>
    </row>
    <row r="56946" spans="7:16" s="1634" customFormat="1">
      <c r="G56946" s="3336"/>
      <c r="P56946" s="3337"/>
    </row>
    <row r="56947" spans="7:16" s="1634" customFormat="1">
      <c r="G56947" s="3336"/>
      <c r="P56947" s="3337"/>
    </row>
    <row r="56948" spans="7:16" s="1634" customFormat="1">
      <c r="G56948" s="3336"/>
      <c r="P56948" s="3337"/>
    </row>
    <row r="56949" spans="7:16" s="1634" customFormat="1">
      <c r="G56949" s="3336"/>
      <c r="P56949" s="3337"/>
    </row>
    <row r="56950" spans="7:16" s="1634" customFormat="1">
      <c r="G56950" s="3336"/>
      <c r="P56950" s="3337"/>
    </row>
    <row r="56951" spans="7:16" s="1634" customFormat="1">
      <c r="G56951" s="3336"/>
      <c r="P56951" s="3337"/>
    </row>
    <row r="56952" spans="7:16" s="1634" customFormat="1">
      <c r="G56952" s="3336"/>
      <c r="P56952" s="3337"/>
    </row>
    <row r="56953" spans="7:16" s="1634" customFormat="1">
      <c r="G56953" s="3336"/>
      <c r="P56953" s="3337"/>
    </row>
    <row r="56954" spans="7:16" s="1634" customFormat="1">
      <c r="G56954" s="3336"/>
      <c r="P56954" s="3337"/>
    </row>
    <row r="56955" spans="7:16" s="1634" customFormat="1">
      <c r="G56955" s="3336"/>
      <c r="P56955" s="3337"/>
    </row>
    <row r="56956" spans="7:16" s="1634" customFormat="1">
      <c r="G56956" s="3336"/>
      <c r="P56956" s="3337"/>
    </row>
    <row r="56957" spans="7:16" s="1634" customFormat="1">
      <c r="G56957" s="3336"/>
      <c r="P56957" s="3337"/>
    </row>
    <row r="56958" spans="7:16" s="1634" customFormat="1">
      <c r="G56958" s="3336"/>
      <c r="P56958" s="3337"/>
    </row>
    <row r="56959" spans="7:16" s="1634" customFormat="1">
      <c r="G56959" s="3336"/>
      <c r="P56959" s="3337"/>
    </row>
    <row r="56960" spans="7:16" s="1634" customFormat="1">
      <c r="G56960" s="3336"/>
      <c r="P56960" s="3337"/>
    </row>
    <row r="56961" spans="7:16" s="1634" customFormat="1">
      <c r="G56961" s="3336"/>
      <c r="P56961" s="3337"/>
    </row>
    <row r="56962" spans="7:16" s="1634" customFormat="1">
      <c r="G56962" s="3336"/>
      <c r="P56962" s="3337"/>
    </row>
    <row r="56963" spans="7:16" s="1634" customFormat="1">
      <c r="G56963" s="3336"/>
      <c r="P56963" s="3337"/>
    </row>
    <row r="56964" spans="7:16" s="1634" customFormat="1">
      <c r="G56964" s="3336"/>
      <c r="P56964" s="3337"/>
    </row>
    <row r="56965" spans="7:16" s="1634" customFormat="1">
      <c r="G56965" s="3336"/>
      <c r="P56965" s="3337"/>
    </row>
    <row r="56966" spans="7:16" s="1634" customFormat="1">
      <c r="G56966" s="3336"/>
      <c r="P56966" s="3337"/>
    </row>
    <row r="56967" spans="7:16" s="1634" customFormat="1">
      <c r="G56967" s="3336"/>
      <c r="P56967" s="3337"/>
    </row>
    <row r="56968" spans="7:16" s="1634" customFormat="1">
      <c r="G56968" s="3336"/>
      <c r="P56968" s="3337"/>
    </row>
    <row r="56969" spans="7:16" s="1634" customFormat="1">
      <c r="G56969" s="3336"/>
      <c r="P56969" s="3337"/>
    </row>
    <row r="56970" spans="7:16" s="1634" customFormat="1">
      <c r="G56970" s="3336"/>
      <c r="P56970" s="3337"/>
    </row>
    <row r="56971" spans="7:16" s="1634" customFormat="1">
      <c r="G56971" s="3336"/>
      <c r="P56971" s="3337"/>
    </row>
    <row r="56972" spans="7:16" s="1634" customFormat="1">
      <c r="G56972" s="3336"/>
      <c r="P56972" s="3337"/>
    </row>
    <row r="56973" spans="7:16" s="1634" customFormat="1">
      <c r="G56973" s="3336"/>
      <c r="P56973" s="3337"/>
    </row>
    <row r="56974" spans="7:16" s="1634" customFormat="1">
      <c r="G56974" s="3336"/>
      <c r="P56974" s="3337"/>
    </row>
    <row r="56975" spans="7:16" s="1634" customFormat="1">
      <c r="G56975" s="3336"/>
      <c r="P56975" s="3337"/>
    </row>
    <row r="56976" spans="7:16" s="1634" customFormat="1">
      <c r="G56976" s="3336"/>
      <c r="P56976" s="3337"/>
    </row>
    <row r="56977" spans="7:16" s="1634" customFormat="1">
      <c r="G56977" s="3336"/>
      <c r="P56977" s="3337"/>
    </row>
    <row r="56978" spans="7:16" s="1634" customFormat="1">
      <c r="G56978" s="3336"/>
      <c r="P56978" s="3337"/>
    </row>
    <row r="56979" spans="7:16" s="1634" customFormat="1">
      <c r="G56979" s="3336"/>
      <c r="P56979" s="3337"/>
    </row>
    <row r="56980" spans="7:16" s="1634" customFormat="1">
      <c r="G56980" s="3336"/>
      <c r="P56980" s="3337"/>
    </row>
    <row r="56981" spans="7:16" s="1634" customFormat="1">
      <c r="G56981" s="3336"/>
      <c r="P56981" s="3337"/>
    </row>
    <row r="56982" spans="7:16" s="1634" customFormat="1">
      <c r="G56982" s="3336"/>
      <c r="P56982" s="3337"/>
    </row>
    <row r="56983" spans="7:16" s="1634" customFormat="1">
      <c r="G56983" s="3336"/>
      <c r="P56983" s="3337"/>
    </row>
    <row r="56984" spans="7:16" s="1634" customFormat="1">
      <c r="G56984" s="3336"/>
      <c r="P56984" s="3337"/>
    </row>
    <row r="56985" spans="7:16" s="1634" customFormat="1">
      <c r="G56985" s="3336"/>
      <c r="P56985" s="3337"/>
    </row>
    <row r="56986" spans="7:16" s="1634" customFormat="1">
      <c r="G56986" s="3336"/>
      <c r="P56986" s="3337"/>
    </row>
    <row r="56987" spans="7:16" s="1634" customFormat="1">
      <c r="G56987" s="3336"/>
      <c r="P56987" s="3337"/>
    </row>
    <row r="56988" spans="7:16" s="1634" customFormat="1">
      <c r="G56988" s="3336"/>
      <c r="P56988" s="3337"/>
    </row>
    <row r="56989" spans="7:16" s="1634" customFormat="1">
      <c r="G56989" s="3336"/>
      <c r="P56989" s="3337"/>
    </row>
    <row r="56990" spans="7:16" s="1634" customFormat="1">
      <c r="G56990" s="3336"/>
      <c r="P56990" s="3337"/>
    </row>
    <row r="56991" spans="7:16" s="1634" customFormat="1">
      <c r="G56991" s="3336"/>
      <c r="P56991" s="3337"/>
    </row>
    <row r="56992" spans="7:16" s="1634" customFormat="1">
      <c r="G56992" s="3336"/>
      <c r="P56992" s="3337"/>
    </row>
    <row r="56993" spans="7:16" s="1634" customFormat="1">
      <c r="G56993" s="3336"/>
      <c r="P56993" s="3337"/>
    </row>
    <row r="56994" spans="7:16" s="1634" customFormat="1">
      <c r="G56994" s="3336"/>
      <c r="P56994" s="3337"/>
    </row>
    <row r="56995" spans="7:16" s="1634" customFormat="1">
      <c r="G56995" s="3336"/>
      <c r="P56995" s="3337"/>
    </row>
    <row r="56996" spans="7:16" s="1634" customFormat="1">
      <c r="G56996" s="3336"/>
      <c r="P56996" s="3337"/>
    </row>
    <row r="56997" spans="7:16" s="1634" customFormat="1">
      <c r="G56997" s="3336"/>
      <c r="P56997" s="3337"/>
    </row>
    <row r="56998" spans="7:16" s="1634" customFormat="1">
      <c r="G56998" s="3336"/>
      <c r="P56998" s="3337"/>
    </row>
    <row r="56999" spans="7:16" s="1634" customFormat="1">
      <c r="G56999" s="3336"/>
      <c r="P56999" s="3337"/>
    </row>
    <row r="57000" spans="7:16" s="1634" customFormat="1">
      <c r="G57000" s="3336"/>
      <c r="P57000" s="3337"/>
    </row>
    <row r="57001" spans="7:16" s="1634" customFormat="1">
      <c r="G57001" s="3336"/>
      <c r="P57001" s="3337"/>
    </row>
    <row r="57002" spans="7:16" s="1634" customFormat="1">
      <c r="G57002" s="3336"/>
      <c r="P57002" s="3337"/>
    </row>
    <row r="57003" spans="7:16" s="1634" customFormat="1">
      <c r="G57003" s="3336"/>
      <c r="P57003" s="3337"/>
    </row>
    <row r="57004" spans="7:16" s="1634" customFormat="1">
      <c r="G57004" s="3336"/>
      <c r="P57004" s="3337"/>
    </row>
    <row r="57005" spans="7:16" s="1634" customFormat="1">
      <c r="G57005" s="3336"/>
      <c r="P57005" s="3337"/>
    </row>
    <row r="57006" spans="7:16" s="1634" customFormat="1">
      <c r="G57006" s="3336"/>
      <c r="P57006" s="3337"/>
    </row>
    <row r="57007" spans="7:16" s="1634" customFormat="1">
      <c r="G57007" s="3336"/>
      <c r="P57007" s="3337"/>
    </row>
    <row r="57008" spans="7:16" s="1634" customFormat="1">
      <c r="G57008" s="3336"/>
      <c r="P57008" s="3337"/>
    </row>
    <row r="57009" spans="7:16" s="1634" customFormat="1">
      <c r="G57009" s="3336"/>
      <c r="P57009" s="3337"/>
    </row>
    <row r="57010" spans="7:16" s="1634" customFormat="1">
      <c r="G57010" s="3336"/>
      <c r="P57010" s="3337"/>
    </row>
    <row r="57011" spans="7:16" s="1634" customFormat="1">
      <c r="G57011" s="3336"/>
      <c r="P57011" s="3337"/>
    </row>
    <row r="57012" spans="7:16" s="1634" customFormat="1">
      <c r="G57012" s="3336"/>
      <c r="P57012" s="3337"/>
    </row>
    <row r="57013" spans="7:16" s="1634" customFormat="1">
      <c r="G57013" s="3336"/>
      <c r="P57013" s="3337"/>
    </row>
    <row r="57014" spans="7:16" s="1634" customFormat="1">
      <c r="G57014" s="3336"/>
      <c r="P57014" s="3337"/>
    </row>
    <row r="57015" spans="7:16" s="1634" customFormat="1">
      <c r="G57015" s="3336"/>
      <c r="P57015" s="3337"/>
    </row>
    <row r="57016" spans="7:16" s="1634" customFormat="1">
      <c r="G57016" s="3336"/>
      <c r="P57016" s="3337"/>
    </row>
    <row r="57017" spans="7:16" s="1634" customFormat="1">
      <c r="G57017" s="3336"/>
      <c r="P57017" s="3337"/>
    </row>
    <row r="57018" spans="7:16" s="1634" customFormat="1">
      <c r="G57018" s="3336"/>
      <c r="P57018" s="3337"/>
    </row>
    <row r="57019" spans="7:16" s="1634" customFormat="1">
      <c r="G57019" s="3336"/>
      <c r="P57019" s="3337"/>
    </row>
    <row r="57020" spans="7:16" s="1634" customFormat="1">
      <c r="G57020" s="3336"/>
      <c r="P57020" s="3337"/>
    </row>
    <row r="57021" spans="7:16" s="1634" customFormat="1">
      <c r="G57021" s="3336"/>
      <c r="P57021" s="3337"/>
    </row>
    <row r="57022" spans="7:16" s="1634" customFormat="1">
      <c r="G57022" s="3336"/>
      <c r="P57022" s="3337"/>
    </row>
    <row r="57023" spans="7:16" s="1634" customFormat="1">
      <c r="G57023" s="3336"/>
      <c r="P57023" s="3337"/>
    </row>
    <row r="57024" spans="7:16" s="1634" customFormat="1">
      <c r="G57024" s="3336"/>
      <c r="P57024" s="3337"/>
    </row>
    <row r="57025" spans="7:16" s="1634" customFormat="1">
      <c r="G57025" s="3336"/>
      <c r="P57025" s="3337"/>
    </row>
    <row r="57026" spans="7:16" s="1634" customFormat="1">
      <c r="G57026" s="3336"/>
      <c r="P57026" s="3337"/>
    </row>
    <row r="57027" spans="7:16" s="1634" customFormat="1">
      <c r="G57027" s="3336"/>
      <c r="P57027" s="3337"/>
    </row>
    <row r="57028" spans="7:16" s="1634" customFormat="1">
      <c r="G57028" s="3336"/>
      <c r="P57028" s="3337"/>
    </row>
    <row r="57029" spans="7:16" s="1634" customFormat="1">
      <c r="G57029" s="3336"/>
      <c r="P57029" s="3337"/>
    </row>
    <row r="57030" spans="7:16" s="1634" customFormat="1">
      <c r="G57030" s="3336"/>
      <c r="P57030" s="3337"/>
    </row>
    <row r="57031" spans="7:16" s="1634" customFormat="1">
      <c r="G57031" s="3336"/>
      <c r="P57031" s="3337"/>
    </row>
    <row r="57032" spans="7:16" s="1634" customFormat="1">
      <c r="G57032" s="3336"/>
      <c r="P57032" s="3337"/>
    </row>
    <row r="57033" spans="7:16" s="1634" customFormat="1">
      <c r="G57033" s="3336"/>
      <c r="P57033" s="3337"/>
    </row>
    <row r="57034" spans="7:16" s="1634" customFormat="1">
      <c r="G57034" s="3336"/>
      <c r="P57034" s="3337"/>
    </row>
    <row r="57035" spans="7:16" s="1634" customFormat="1">
      <c r="G57035" s="3336"/>
      <c r="P57035" s="3337"/>
    </row>
    <row r="57036" spans="7:16" s="1634" customFormat="1">
      <c r="G57036" s="3336"/>
      <c r="P57036" s="3337"/>
    </row>
    <row r="57037" spans="7:16" s="1634" customFormat="1">
      <c r="G57037" s="3336"/>
      <c r="P57037" s="3337"/>
    </row>
    <row r="57038" spans="7:16" s="1634" customFormat="1">
      <c r="G57038" s="3336"/>
      <c r="P57038" s="3337"/>
    </row>
    <row r="57039" spans="7:16" s="1634" customFormat="1">
      <c r="G57039" s="3336"/>
      <c r="P57039" s="3337"/>
    </row>
    <row r="57040" spans="7:16" s="1634" customFormat="1">
      <c r="G57040" s="3336"/>
      <c r="P57040" s="3337"/>
    </row>
    <row r="57041" spans="7:16" s="1634" customFormat="1">
      <c r="G57041" s="3336"/>
      <c r="P57041" s="3337"/>
    </row>
    <row r="57042" spans="7:16" s="1634" customFormat="1">
      <c r="G57042" s="3336"/>
      <c r="P57042" s="3337"/>
    </row>
    <row r="57043" spans="7:16" s="1634" customFormat="1">
      <c r="G57043" s="3336"/>
      <c r="P57043" s="3337"/>
    </row>
    <row r="57044" spans="7:16" s="1634" customFormat="1">
      <c r="G57044" s="3336"/>
      <c r="P57044" s="3337"/>
    </row>
    <row r="57045" spans="7:16" s="1634" customFormat="1">
      <c r="G57045" s="3336"/>
      <c r="P57045" s="3337"/>
    </row>
    <row r="57046" spans="7:16" s="1634" customFormat="1">
      <c r="G57046" s="3336"/>
      <c r="P57046" s="3337"/>
    </row>
    <row r="57047" spans="7:16" s="1634" customFormat="1">
      <c r="G57047" s="3336"/>
      <c r="P57047" s="3337"/>
    </row>
    <row r="57048" spans="7:16" s="1634" customFormat="1">
      <c r="G57048" s="3336"/>
      <c r="P57048" s="3337"/>
    </row>
    <row r="57049" spans="7:16" s="1634" customFormat="1">
      <c r="G57049" s="3336"/>
      <c r="P57049" s="3337"/>
    </row>
    <row r="57050" spans="7:16" s="1634" customFormat="1">
      <c r="G57050" s="3336"/>
      <c r="P57050" s="3337"/>
    </row>
    <row r="57051" spans="7:16" s="1634" customFormat="1">
      <c r="G57051" s="3336"/>
      <c r="P57051" s="3337"/>
    </row>
    <row r="57052" spans="7:16" s="1634" customFormat="1">
      <c r="G57052" s="3336"/>
      <c r="P57052" s="3337"/>
    </row>
    <row r="57053" spans="7:16" s="1634" customFormat="1">
      <c r="G57053" s="3336"/>
      <c r="P57053" s="3337"/>
    </row>
    <row r="57054" spans="7:16" s="1634" customFormat="1">
      <c r="G57054" s="3336"/>
      <c r="P57054" s="3337"/>
    </row>
    <row r="57055" spans="7:16" s="1634" customFormat="1">
      <c r="G57055" s="3336"/>
      <c r="P57055" s="3337"/>
    </row>
    <row r="57056" spans="7:16" s="1634" customFormat="1">
      <c r="G57056" s="3336"/>
      <c r="P57056" s="3337"/>
    </row>
    <row r="57057" spans="7:16" s="1634" customFormat="1">
      <c r="G57057" s="3336"/>
      <c r="P57057" s="3337"/>
    </row>
    <row r="57058" spans="7:16" s="1634" customFormat="1">
      <c r="G57058" s="3336"/>
      <c r="P57058" s="3337"/>
    </row>
    <row r="57059" spans="7:16" s="1634" customFormat="1">
      <c r="G57059" s="3336"/>
      <c r="P57059" s="3337"/>
    </row>
    <row r="57060" spans="7:16" s="1634" customFormat="1">
      <c r="G57060" s="3336"/>
      <c r="P57060" s="3337"/>
    </row>
    <row r="57061" spans="7:16" s="1634" customFormat="1">
      <c r="G57061" s="3336"/>
      <c r="P57061" s="3337"/>
    </row>
    <row r="57062" spans="7:16" s="1634" customFormat="1">
      <c r="G57062" s="3336"/>
      <c r="P57062" s="3337"/>
    </row>
    <row r="57063" spans="7:16" s="1634" customFormat="1">
      <c r="G57063" s="3336"/>
      <c r="P57063" s="3337"/>
    </row>
    <row r="57064" spans="7:16" s="1634" customFormat="1">
      <c r="G57064" s="3336"/>
      <c r="P57064" s="3337"/>
    </row>
    <row r="57065" spans="7:16" s="1634" customFormat="1">
      <c r="G57065" s="3336"/>
      <c r="P57065" s="3337"/>
    </row>
    <row r="57066" spans="7:16" s="1634" customFormat="1">
      <c r="G57066" s="3336"/>
      <c r="P57066" s="3337"/>
    </row>
    <row r="57067" spans="7:16" s="1634" customFormat="1">
      <c r="G57067" s="3336"/>
      <c r="P57067" s="3337"/>
    </row>
    <row r="57068" spans="7:16" s="1634" customFormat="1">
      <c r="G57068" s="3336"/>
      <c r="P57068" s="3337"/>
    </row>
    <row r="57069" spans="7:16" s="1634" customFormat="1">
      <c r="G57069" s="3336"/>
      <c r="P57069" s="3337"/>
    </row>
    <row r="57070" spans="7:16" s="1634" customFormat="1">
      <c r="G57070" s="3336"/>
      <c r="P57070" s="3337"/>
    </row>
    <row r="57071" spans="7:16" s="1634" customFormat="1">
      <c r="G57071" s="3336"/>
      <c r="P57071" s="3337"/>
    </row>
    <row r="57072" spans="7:16" s="1634" customFormat="1">
      <c r="G57072" s="3336"/>
      <c r="P57072" s="3337"/>
    </row>
    <row r="57073" spans="7:16" s="1634" customFormat="1">
      <c r="G57073" s="3336"/>
      <c r="P57073" s="3337"/>
    </row>
    <row r="57074" spans="7:16" s="1634" customFormat="1">
      <c r="G57074" s="3336"/>
      <c r="P57074" s="3337"/>
    </row>
    <row r="57075" spans="7:16" s="1634" customFormat="1">
      <c r="G57075" s="3336"/>
      <c r="P57075" s="3337"/>
    </row>
    <row r="57076" spans="7:16" s="1634" customFormat="1">
      <c r="G57076" s="3336"/>
      <c r="P57076" s="3337"/>
    </row>
    <row r="57077" spans="7:16" s="1634" customFormat="1">
      <c r="G57077" s="3336"/>
      <c r="P57077" s="3337"/>
    </row>
    <row r="57078" spans="7:16" s="1634" customFormat="1">
      <c r="G57078" s="3336"/>
      <c r="P57078" s="3337"/>
    </row>
    <row r="57079" spans="7:16" s="1634" customFormat="1">
      <c r="G57079" s="3336"/>
      <c r="P57079" s="3337"/>
    </row>
    <row r="57080" spans="7:16" s="1634" customFormat="1">
      <c r="G57080" s="3336"/>
      <c r="P57080" s="3337"/>
    </row>
    <row r="57081" spans="7:16" s="1634" customFormat="1">
      <c r="G57081" s="3336"/>
      <c r="P57081" s="3337"/>
    </row>
    <row r="57082" spans="7:16" s="1634" customFormat="1">
      <c r="G57082" s="3336"/>
      <c r="P57082" s="3337"/>
    </row>
    <row r="57083" spans="7:16" s="1634" customFormat="1">
      <c r="G57083" s="3336"/>
      <c r="P57083" s="3337"/>
    </row>
    <row r="57084" spans="7:16" s="1634" customFormat="1">
      <c r="G57084" s="3336"/>
      <c r="P57084" s="3337"/>
    </row>
    <row r="57085" spans="7:16" s="1634" customFormat="1">
      <c r="G57085" s="3336"/>
      <c r="P57085" s="3337"/>
    </row>
    <row r="57086" spans="7:16" s="1634" customFormat="1">
      <c r="G57086" s="3336"/>
      <c r="P57086" s="3337"/>
    </row>
    <row r="57087" spans="7:16" s="1634" customFormat="1">
      <c r="G57087" s="3336"/>
      <c r="P57087" s="3337"/>
    </row>
    <row r="57088" spans="7:16" s="1634" customFormat="1">
      <c r="G57088" s="3336"/>
      <c r="P57088" s="3337"/>
    </row>
    <row r="57089" spans="7:16" s="1634" customFormat="1">
      <c r="G57089" s="3336"/>
      <c r="P57089" s="3337"/>
    </row>
    <row r="57090" spans="7:16" s="1634" customFormat="1">
      <c r="G57090" s="3336"/>
      <c r="P57090" s="3337"/>
    </row>
    <row r="57091" spans="7:16" s="1634" customFormat="1">
      <c r="G57091" s="3336"/>
      <c r="P57091" s="3337"/>
    </row>
    <row r="57092" spans="7:16" s="1634" customFormat="1">
      <c r="G57092" s="3336"/>
      <c r="P57092" s="3337"/>
    </row>
    <row r="57093" spans="7:16" s="1634" customFormat="1">
      <c r="G57093" s="3336"/>
      <c r="P57093" s="3337"/>
    </row>
    <row r="57094" spans="7:16" s="1634" customFormat="1">
      <c r="G57094" s="3336"/>
      <c r="P57094" s="3337"/>
    </row>
    <row r="57095" spans="7:16" s="1634" customFormat="1">
      <c r="G57095" s="3336"/>
      <c r="P57095" s="3337"/>
    </row>
    <row r="57096" spans="7:16" s="1634" customFormat="1">
      <c r="G57096" s="3336"/>
      <c r="P57096" s="3337"/>
    </row>
    <row r="57097" spans="7:16" s="1634" customFormat="1">
      <c r="G57097" s="3336"/>
      <c r="P57097" s="3337"/>
    </row>
    <row r="57098" spans="7:16" s="1634" customFormat="1">
      <c r="G57098" s="3336"/>
      <c r="P57098" s="3337"/>
    </row>
    <row r="57099" spans="7:16" s="1634" customFormat="1">
      <c r="G57099" s="3336"/>
      <c r="P57099" s="3337"/>
    </row>
    <row r="57100" spans="7:16" s="1634" customFormat="1">
      <c r="G57100" s="3336"/>
      <c r="P57100" s="3337"/>
    </row>
    <row r="57101" spans="7:16" s="1634" customFormat="1">
      <c r="G57101" s="3336"/>
      <c r="P57101" s="3337"/>
    </row>
    <row r="57102" spans="7:16" s="1634" customFormat="1">
      <c r="G57102" s="3336"/>
      <c r="P57102" s="3337"/>
    </row>
    <row r="57103" spans="7:16" s="1634" customFormat="1">
      <c r="G57103" s="3336"/>
      <c r="P57103" s="3337"/>
    </row>
    <row r="57104" spans="7:16" s="1634" customFormat="1">
      <c r="G57104" s="3336"/>
      <c r="P57104" s="3337"/>
    </row>
    <row r="57105" spans="7:16" s="1634" customFormat="1">
      <c r="G57105" s="3336"/>
      <c r="P57105" s="3337"/>
    </row>
    <row r="57106" spans="7:16" s="1634" customFormat="1">
      <c r="G57106" s="3336"/>
      <c r="P57106" s="3337"/>
    </row>
    <row r="57107" spans="7:16" s="1634" customFormat="1">
      <c r="G57107" s="3336"/>
      <c r="P57107" s="3337"/>
    </row>
    <row r="57108" spans="7:16" s="1634" customFormat="1">
      <c r="G57108" s="3336"/>
      <c r="P57108" s="3337"/>
    </row>
    <row r="57109" spans="7:16" s="1634" customFormat="1">
      <c r="G57109" s="3336"/>
      <c r="P57109" s="3337"/>
    </row>
    <row r="57110" spans="7:16" s="1634" customFormat="1">
      <c r="G57110" s="3336"/>
      <c r="P57110" s="3337"/>
    </row>
    <row r="57111" spans="7:16" s="1634" customFormat="1">
      <c r="G57111" s="3336"/>
      <c r="P57111" s="3337"/>
    </row>
    <row r="57112" spans="7:16" s="1634" customFormat="1">
      <c r="G57112" s="3336"/>
      <c r="P57112" s="3337"/>
    </row>
    <row r="57113" spans="7:16" s="1634" customFormat="1">
      <c r="G57113" s="3336"/>
      <c r="P57113" s="3337"/>
    </row>
    <row r="57114" spans="7:16" s="1634" customFormat="1">
      <c r="G57114" s="3336"/>
      <c r="P57114" s="3337"/>
    </row>
    <row r="57115" spans="7:16" s="1634" customFormat="1">
      <c r="G57115" s="3336"/>
      <c r="P57115" s="3337"/>
    </row>
    <row r="57116" spans="7:16" s="1634" customFormat="1">
      <c r="G57116" s="3336"/>
      <c r="P57116" s="3337"/>
    </row>
    <row r="57117" spans="7:16" s="1634" customFormat="1">
      <c r="G57117" s="3336"/>
      <c r="P57117" s="3337"/>
    </row>
    <row r="57118" spans="7:16" s="1634" customFormat="1">
      <c r="G57118" s="3336"/>
      <c r="P57118" s="3337"/>
    </row>
    <row r="57119" spans="7:16" s="1634" customFormat="1">
      <c r="G57119" s="3336"/>
      <c r="P57119" s="3337"/>
    </row>
    <row r="57120" spans="7:16" s="1634" customFormat="1">
      <c r="G57120" s="3336"/>
      <c r="P57120" s="3337"/>
    </row>
    <row r="57121" spans="7:16" s="1634" customFormat="1">
      <c r="G57121" s="3336"/>
      <c r="P57121" s="3337"/>
    </row>
    <row r="57122" spans="7:16" s="1634" customFormat="1">
      <c r="G57122" s="3336"/>
      <c r="P57122" s="3337"/>
    </row>
    <row r="57123" spans="7:16" s="1634" customFormat="1">
      <c r="G57123" s="3336"/>
      <c r="P57123" s="3337"/>
    </row>
    <row r="57124" spans="7:16" s="1634" customFormat="1">
      <c r="G57124" s="3336"/>
      <c r="P57124" s="3337"/>
    </row>
    <row r="57125" spans="7:16" s="1634" customFormat="1">
      <c r="G57125" s="3336"/>
      <c r="P57125" s="3337"/>
    </row>
    <row r="57126" spans="7:16" s="1634" customFormat="1">
      <c r="G57126" s="3336"/>
      <c r="P57126" s="3337"/>
    </row>
    <row r="57127" spans="7:16" s="1634" customFormat="1">
      <c r="G57127" s="3336"/>
      <c r="P57127" s="3337"/>
    </row>
    <row r="57128" spans="7:16" s="1634" customFormat="1">
      <c r="G57128" s="3336"/>
      <c r="P57128" s="3337"/>
    </row>
    <row r="57129" spans="7:16" s="1634" customFormat="1">
      <c r="G57129" s="3336"/>
      <c r="P57129" s="3337"/>
    </row>
    <row r="57130" spans="7:16" s="1634" customFormat="1">
      <c r="G57130" s="3336"/>
      <c r="P57130" s="3337"/>
    </row>
    <row r="57131" spans="7:16" s="1634" customFormat="1">
      <c r="G57131" s="3336"/>
      <c r="P57131" s="3337"/>
    </row>
    <row r="57132" spans="7:16" s="1634" customFormat="1">
      <c r="G57132" s="3336"/>
      <c r="P57132" s="3337"/>
    </row>
    <row r="57133" spans="7:16" s="1634" customFormat="1">
      <c r="G57133" s="3336"/>
      <c r="P57133" s="3337"/>
    </row>
    <row r="57134" spans="7:16" s="1634" customFormat="1">
      <c r="G57134" s="3336"/>
      <c r="P57134" s="3337"/>
    </row>
    <row r="57135" spans="7:16" s="1634" customFormat="1">
      <c r="G57135" s="3336"/>
      <c r="P57135" s="3337"/>
    </row>
    <row r="57136" spans="7:16" s="1634" customFormat="1">
      <c r="G57136" s="3336"/>
      <c r="P57136" s="3337"/>
    </row>
    <row r="57137" spans="7:16" s="1634" customFormat="1">
      <c r="G57137" s="3336"/>
      <c r="P57137" s="3337"/>
    </row>
    <row r="57138" spans="7:16" s="1634" customFormat="1">
      <c r="G57138" s="3336"/>
      <c r="P57138" s="3337"/>
    </row>
    <row r="57139" spans="7:16" s="1634" customFormat="1">
      <c r="G57139" s="3336"/>
      <c r="P57139" s="3337"/>
    </row>
    <row r="57140" spans="7:16" s="1634" customFormat="1">
      <c r="G57140" s="3336"/>
      <c r="P57140" s="3337"/>
    </row>
    <row r="57141" spans="7:16" s="1634" customFormat="1">
      <c r="G57141" s="3336"/>
      <c r="P57141" s="3337"/>
    </row>
    <row r="57142" spans="7:16" s="1634" customFormat="1">
      <c r="G57142" s="3336"/>
      <c r="P57142" s="3337"/>
    </row>
    <row r="57143" spans="7:16" s="1634" customFormat="1">
      <c r="G57143" s="3336"/>
      <c r="P57143" s="3337"/>
    </row>
    <row r="57144" spans="7:16" s="1634" customFormat="1">
      <c r="G57144" s="3336"/>
      <c r="P57144" s="3337"/>
    </row>
    <row r="57145" spans="7:16" s="1634" customFormat="1">
      <c r="G57145" s="3336"/>
      <c r="P57145" s="3337"/>
    </row>
    <row r="57146" spans="7:16" s="1634" customFormat="1">
      <c r="G57146" s="3336"/>
      <c r="P57146" s="3337"/>
    </row>
    <row r="57147" spans="7:16" s="1634" customFormat="1">
      <c r="G57147" s="3336"/>
      <c r="P57147" s="3337"/>
    </row>
    <row r="57148" spans="7:16" s="1634" customFormat="1">
      <c r="G57148" s="3336"/>
      <c r="P57148" s="3337"/>
    </row>
    <row r="57149" spans="7:16" s="1634" customFormat="1">
      <c r="G57149" s="3336"/>
      <c r="P57149" s="3337"/>
    </row>
    <row r="57150" spans="7:16" s="1634" customFormat="1">
      <c r="G57150" s="3336"/>
      <c r="P57150" s="3337"/>
    </row>
    <row r="57151" spans="7:16" s="1634" customFormat="1">
      <c r="G57151" s="3336"/>
      <c r="P57151" s="3337"/>
    </row>
    <row r="57152" spans="7:16" s="1634" customFormat="1">
      <c r="G57152" s="3336"/>
      <c r="P57152" s="3337"/>
    </row>
    <row r="57153" spans="7:16" s="1634" customFormat="1">
      <c r="G57153" s="3336"/>
      <c r="P57153" s="3337"/>
    </row>
    <row r="57154" spans="7:16" s="1634" customFormat="1">
      <c r="G57154" s="3336"/>
      <c r="P57154" s="3337"/>
    </row>
    <row r="57155" spans="7:16" s="1634" customFormat="1">
      <c r="G57155" s="3336"/>
      <c r="P57155" s="3337"/>
    </row>
    <row r="57156" spans="7:16" s="1634" customFormat="1">
      <c r="G57156" s="3336"/>
      <c r="P57156" s="3337"/>
    </row>
    <row r="57157" spans="7:16" s="1634" customFormat="1">
      <c r="G57157" s="3336"/>
      <c r="P57157" s="3337"/>
    </row>
    <row r="57158" spans="7:16" s="1634" customFormat="1">
      <c r="G57158" s="3336"/>
      <c r="P57158" s="3337"/>
    </row>
    <row r="57159" spans="7:16" s="1634" customFormat="1">
      <c r="G57159" s="3336"/>
      <c r="P57159" s="3337"/>
    </row>
    <row r="57160" spans="7:16" s="1634" customFormat="1">
      <c r="G57160" s="3336"/>
      <c r="P57160" s="3337"/>
    </row>
    <row r="57161" spans="7:16" s="1634" customFormat="1">
      <c r="G57161" s="3336"/>
      <c r="P57161" s="3337"/>
    </row>
    <row r="57162" spans="7:16" s="1634" customFormat="1">
      <c r="G57162" s="3336"/>
      <c r="P57162" s="3337"/>
    </row>
    <row r="57163" spans="7:16" s="1634" customFormat="1">
      <c r="G57163" s="3336"/>
      <c r="P57163" s="3337"/>
    </row>
    <row r="57164" spans="7:16" s="1634" customFormat="1">
      <c r="G57164" s="3336"/>
      <c r="P57164" s="3337"/>
    </row>
    <row r="57165" spans="7:16" s="1634" customFormat="1">
      <c r="G57165" s="3336"/>
      <c r="P57165" s="3337"/>
    </row>
    <row r="57166" spans="7:16" s="1634" customFormat="1">
      <c r="G57166" s="3336"/>
      <c r="P57166" s="3337"/>
    </row>
    <row r="57167" spans="7:16" s="1634" customFormat="1">
      <c r="G57167" s="3336"/>
      <c r="P57167" s="3337"/>
    </row>
    <row r="57168" spans="7:16" s="1634" customFormat="1">
      <c r="G57168" s="3336"/>
      <c r="P57168" s="3337"/>
    </row>
    <row r="57169" spans="7:16" s="1634" customFormat="1">
      <c r="G57169" s="3336"/>
      <c r="P57169" s="3337"/>
    </row>
    <row r="57170" spans="7:16" s="1634" customFormat="1">
      <c r="G57170" s="3336"/>
      <c r="P57170" s="3337"/>
    </row>
    <row r="57171" spans="7:16" s="1634" customFormat="1">
      <c r="G57171" s="3336"/>
      <c r="P57171" s="3337"/>
    </row>
    <row r="57172" spans="7:16" s="1634" customFormat="1">
      <c r="G57172" s="3336"/>
      <c r="P57172" s="3337"/>
    </row>
    <row r="57173" spans="7:16" s="1634" customFormat="1">
      <c r="G57173" s="3336"/>
      <c r="P57173" s="3337"/>
    </row>
    <row r="57174" spans="7:16" s="1634" customFormat="1">
      <c r="G57174" s="3336"/>
      <c r="P57174" s="3337"/>
    </row>
    <row r="57175" spans="7:16" s="1634" customFormat="1">
      <c r="G57175" s="3336"/>
      <c r="P57175" s="3337"/>
    </row>
    <row r="57176" spans="7:16" s="1634" customFormat="1">
      <c r="G57176" s="3336"/>
      <c r="P57176" s="3337"/>
    </row>
    <row r="57177" spans="7:16" s="1634" customFormat="1">
      <c r="G57177" s="3336"/>
      <c r="P57177" s="3337"/>
    </row>
    <row r="57178" spans="7:16" s="1634" customFormat="1">
      <c r="G57178" s="3336"/>
      <c r="P57178" s="3337"/>
    </row>
    <row r="57179" spans="7:16" s="1634" customFormat="1">
      <c r="G57179" s="3336"/>
      <c r="P57179" s="3337"/>
    </row>
    <row r="57180" spans="7:16" s="1634" customFormat="1">
      <c r="G57180" s="3336"/>
      <c r="P57180" s="3337"/>
    </row>
    <row r="57181" spans="7:16" s="1634" customFormat="1">
      <c r="G57181" s="3336"/>
      <c r="P57181" s="3337"/>
    </row>
    <row r="57182" spans="7:16" s="1634" customFormat="1">
      <c r="G57182" s="3336"/>
      <c r="P57182" s="3337"/>
    </row>
    <row r="57183" spans="7:16" s="1634" customFormat="1">
      <c r="G57183" s="3336"/>
      <c r="P57183" s="3337"/>
    </row>
    <row r="57184" spans="7:16" s="1634" customFormat="1">
      <c r="G57184" s="3336"/>
      <c r="P57184" s="3337"/>
    </row>
    <row r="57185" spans="7:16" s="1634" customFormat="1">
      <c r="G57185" s="3336"/>
      <c r="P57185" s="3337"/>
    </row>
    <row r="57186" spans="7:16" s="1634" customFormat="1">
      <c r="G57186" s="3336"/>
      <c r="P57186" s="3337"/>
    </row>
    <row r="57187" spans="7:16" s="1634" customFormat="1">
      <c r="G57187" s="3336"/>
      <c r="P57187" s="3337"/>
    </row>
    <row r="57188" spans="7:16" s="1634" customFormat="1">
      <c r="G57188" s="3336"/>
      <c r="P57188" s="3337"/>
    </row>
    <row r="57189" spans="7:16" s="1634" customFormat="1">
      <c r="G57189" s="3336"/>
      <c r="P57189" s="3337"/>
    </row>
    <row r="57190" spans="7:16" s="1634" customFormat="1">
      <c r="G57190" s="3336"/>
      <c r="P57190" s="3337"/>
    </row>
    <row r="57191" spans="7:16" s="1634" customFormat="1">
      <c r="G57191" s="3336"/>
      <c r="P57191" s="3337"/>
    </row>
    <row r="57192" spans="7:16" s="1634" customFormat="1">
      <c r="G57192" s="3336"/>
      <c r="P57192" s="3337"/>
    </row>
    <row r="57193" spans="7:16" s="1634" customFormat="1">
      <c r="G57193" s="3336"/>
      <c r="P57193" s="3337"/>
    </row>
    <row r="57194" spans="7:16" s="1634" customFormat="1">
      <c r="G57194" s="3336"/>
      <c r="P57194" s="3337"/>
    </row>
    <row r="57195" spans="7:16" s="1634" customFormat="1">
      <c r="G57195" s="3336"/>
      <c r="P57195" s="3337"/>
    </row>
    <row r="57196" spans="7:16" s="1634" customFormat="1">
      <c r="G57196" s="3336"/>
      <c r="P57196" s="3337"/>
    </row>
    <row r="57197" spans="7:16" s="1634" customFormat="1">
      <c r="G57197" s="3336"/>
      <c r="P57197" s="3337"/>
    </row>
    <row r="57198" spans="7:16" s="1634" customFormat="1">
      <c r="G57198" s="3336"/>
      <c r="P57198" s="3337"/>
    </row>
    <row r="57199" spans="7:16" s="1634" customFormat="1">
      <c r="G57199" s="3336"/>
      <c r="P57199" s="3337"/>
    </row>
    <row r="57200" spans="7:16" s="1634" customFormat="1">
      <c r="G57200" s="3336"/>
      <c r="P57200" s="3337"/>
    </row>
    <row r="57201" spans="7:16" s="1634" customFormat="1">
      <c r="G57201" s="3336"/>
      <c r="P57201" s="3337"/>
    </row>
    <row r="57202" spans="7:16" s="1634" customFormat="1">
      <c r="G57202" s="3336"/>
      <c r="P57202" s="3337"/>
    </row>
    <row r="57203" spans="7:16" s="1634" customFormat="1">
      <c r="G57203" s="3336"/>
      <c r="P57203" s="3337"/>
    </row>
    <row r="57204" spans="7:16" s="1634" customFormat="1">
      <c r="G57204" s="3336"/>
      <c r="P57204" s="3337"/>
    </row>
    <row r="57205" spans="7:16" s="1634" customFormat="1">
      <c r="G57205" s="3336"/>
      <c r="P57205" s="3337"/>
    </row>
    <row r="57206" spans="7:16" s="1634" customFormat="1">
      <c r="G57206" s="3336"/>
      <c r="P57206" s="3337"/>
    </row>
    <row r="57207" spans="7:16" s="1634" customFormat="1">
      <c r="G57207" s="3336"/>
      <c r="P57207" s="3337"/>
    </row>
    <row r="57208" spans="7:16" s="1634" customFormat="1">
      <c r="G57208" s="3336"/>
      <c r="P57208" s="3337"/>
    </row>
    <row r="57209" spans="7:16" s="1634" customFormat="1">
      <c r="G57209" s="3336"/>
      <c r="P57209" s="3337"/>
    </row>
    <row r="57210" spans="7:16" s="1634" customFormat="1">
      <c r="G57210" s="3336"/>
      <c r="P57210" s="3337"/>
    </row>
    <row r="57211" spans="7:16" s="1634" customFormat="1">
      <c r="G57211" s="3336"/>
      <c r="P57211" s="3337"/>
    </row>
    <row r="57212" spans="7:16" s="1634" customFormat="1">
      <c r="G57212" s="3336"/>
      <c r="P57212" s="3337"/>
    </row>
    <row r="57213" spans="7:16" s="1634" customFormat="1">
      <c r="G57213" s="3336"/>
      <c r="P57213" s="3337"/>
    </row>
    <row r="57214" spans="7:16" s="1634" customFormat="1">
      <c r="G57214" s="3336"/>
      <c r="P57214" s="3337"/>
    </row>
    <row r="57215" spans="7:16" s="1634" customFormat="1">
      <c r="G57215" s="3336"/>
      <c r="P57215" s="3337"/>
    </row>
    <row r="57216" spans="7:16" s="1634" customFormat="1">
      <c r="G57216" s="3336"/>
      <c r="P57216" s="3337"/>
    </row>
    <row r="57217" spans="7:16" s="1634" customFormat="1">
      <c r="G57217" s="3336"/>
      <c r="P57217" s="3337"/>
    </row>
    <row r="57218" spans="7:16" s="1634" customFormat="1">
      <c r="G57218" s="3336"/>
      <c r="P57218" s="3337"/>
    </row>
    <row r="57219" spans="7:16" s="1634" customFormat="1">
      <c r="G57219" s="3336"/>
      <c r="P57219" s="3337"/>
    </row>
    <row r="57220" spans="7:16" s="1634" customFormat="1">
      <c r="G57220" s="3336"/>
      <c r="P57220" s="3337"/>
    </row>
    <row r="57221" spans="7:16" s="1634" customFormat="1">
      <c r="G57221" s="3336"/>
      <c r="P57221" s="3337"/>
    </row>
    <row r="57222" spans="7:16" s="1634" customFormat="1">
      <c r="G57222" s="3336"/>
      <c r="P57222" s="3337"/>
    </row>
    <row r="57223" spans="7:16" s="1634" customFormat="1">
      <c r="G57223" s="3336"/>
      <c r="P57223" s="3337"/>
    </row>
    <row r="57224" spans="7:16" s="1634" customFormat="1">
      <c r="G57224" s="3336"/>
      <c r="P57224" s="3337"/>
    </row>
    <row r="57225" spans="7:16" s="1634" customFormat="1">
      <c r="G57225" s="3336"/>
      <c r="P57225" s="3337"/>
    </row>
    <row r="57226" spans="7:16" s="1634" customFormat="1">
      <c r="G57226" s="3336"/>
      <c r="P57226" s="3337"/>
    </row>
    <row r="57227" spans="7:16" s="1634" customFormat="1">
      <c r="G57227" s="3336"/>
      <c r="P57227" s="3337"/>
    </row>
    <row r="57228" spans="7:16" s="1634" customFormat="1">
      <c r="G57228" s="3336"/>
      <c r="P57228" s="3337"/>
    </row>
    <row r="57229" spans="7:16" s="1634" customFormat="1">
      <c r="G57229" s="3336"/>
      <c r="P57229" s="3337"/>
    </row>
    <row r="57230" spans="7:16" s="1634" customFormat="1">
      <c r="G57230" s="3336"/>
      <c r="P57230" s="3337"/>
    </row>
    <row r="57231" spans="7:16" s="1634" customFormat="1">
      <c r="G57231" s="3336"/>
      <c r="P57231" s="3337"/>
    </row>
    <row r="57232" spans="7:16" s="1634" customFormat="1">
      <c r="G57232" s="3336"/>
      <c r="P57232" s="3337"/>
    </row>
    <row r="57233" spans="7:16" s="1634" customFormat="1">
      <c r="G57233" s="3336"/>
      <c r="P57233" s="3337"/>
    </row>
    <row r="57234" spans="7:16" s="1634" customFormat="1">
      <c r="G57234" s="3336"/>
      <c r="P57234" s="3337"/>
    </row>
    <row r="57235" spans="7:16" s="1634" customFormat="1">
      <c r="G57235" s="3336"/>
      <c r="P57235" s="3337"/>
    </row>
    <row r="57236" spans="7:16" s="1634" customFormat="1">
      <c r="G57236" s="3336"/>
      <c r="P57236" s="3337"/>
    </row>
    <row r="57237" spans="7:16" s="1634" customFormat="1">
      <c r="G57237" s="3336"/>
      <c r="P57237" s="3337"/>
    </row>
    <row r="57238" spans="7:16" s="1634" customFormat="1">
      <c r="G57238" s="3336"/>
      <c r="P57238" s="3337"/>
    </row>
    <row r="57239" spans="7:16" s="1634" customFormat="1">
      <c r="G57239" s="3336"/>
      <c r="P57239" s="3337"/>
    </row>
    <row r="57240" spans="7:16" s="1634" customFormat="1">
      <c r="G57240" s="3336"/>
      <c r="P57240" s="3337"/>
    </row>
    <row r="57241" spans="7:16" s="1634" customFormat="1">
      <c r="G57241" s="3336"/>
      <c r="P57241" s="3337"/>
    </row>
    <row r="57242" spans="7:16" s="1634" customFormat="1">
      <c r="G57242" s="3336"/>
      <c r="P57242" s="3337"/>
    </row>
    <row r="57243" spans="7:16" s="1634" customFormat="1">
      <c r="G57243" s="3336"/>
      <c r="P57243" s="3337"/>
    </row>
    <row r="57244" spans="7:16" s="1634" customFormat="1">
      <c r="G57244" s="3336"/>
      <c r="P57244" s="3337"/>
    </row>
    <row r="57245" spans="7:16" s="1634" customFormat="1">
      <c r="G57245" s="3336"/>
      <c r="P57245" s="3337"/>
    </row>
    <row r="57246" spans="7:16" s="1634" customFormat="1">
      <c r="G57246" s="3336"/>
      <c r="P57246" s="3337"/>
    </row>
    <row r="57247" spans="7:16" s="1634" customFormat="1">
      <c r="G57247" s="3336"/>
      <c r="P57247" s="3337"/>
    </row>
    <row r="57248" spans="7:16" s="1634" customFormat="1">
      <c r="G57248" s="3336"/>
      <c r="P57248" s="3337"/>
    </row>
    <row r="57249" spans="7:16" s="1634" customFormat="1">
      <c r="G57249" s="3336"/>
      <c r="P57249" s="3337"/>
    </row>
    <row r="57250" spans="7:16" s="1634" customFormat="1">
      <c r="G57250" s="3336"/>
      <c r="P57250" s="3337"/>
    </row>
    <row r="57251" spans="7:16" s="1634" customFormat="1">
      <c r="G57251" s="3336"/>
      <c r="P57251" s="3337"/>
    </row>
    <row r="57252" spans="7:16" s="1634" customFormat="1">
      <c r="G57252" s="3336"/>
      <c r="P57252" s="3337"/>
    </row>
    <row r="57253" spans="7:16" s="1634" customFormat="1">
      <c r="G57253" s="3336"/>
      <c r="P57253" s="3337"/>
    </row>
    <row r="57254" spans="7:16" s="1634" customFormat="1">
      <c r="G57254" s="3336"/>
      <c r="P57254" s="3337"/>
    </row>
    <row r="57255" spans="7:16" s="1634" customFormat="1">
      <c r="G57255" s="3336"/>
      <c r="P57255" s="3337"/>
    </row>
    <row r="57256" spans="7:16" s="1634" customFormat="1">
      <c r="G57256" s="3336"/>
      <c r="P57256" s="3337"/>
    </row>
    <row r="57257" spans="7:16" s="1634" customFormat="1">
      <c r="G57257" s="3336"/>
      <c r="P57257" s="3337"/>
    </row>
    <row r="57258" spans="7:16" s="1634" customFormat="1">
      <c r="G57258" s="3336"/>
      <c r="P57258" s="3337"/>
    </row>
    <row r="57259" spans="7:16" s="1634" customFormat="1">
      <c r="G57259" s="3336"/>
      <c r="P57259" s="3337"/>
    </row>
    <row r="57260" spans="7:16" s="1634" customFormat="1">
      <c r="G57260" s="3336"/>
      <c r="P57260" s="3337"/>
    </row>
    <row r="57261" spans="7:16" s="1634" customFormat="1">
      <c r="G57261" s="3336"/>
      <c r="P57261" s="3337"/>
    </row>
    <row r="57262" spans="7:16" s="1634" customFormat="1">
      <c r="G57262" s="3336"/>
      <c r="P57262" s="3337"/>
    </row>
    <row r="57263" spans="7:16" s="1634" customFormat="1">
      <c r="G57263" s="3336"/>
      <c r="P57263" s="3337"/>
    </row>
    <row r="57264" spans="7:16" s="1634" customFormat="1">
      <c r="G57264" s="3336"/>
      <c r="P57264" s="3337"/>
    </row>
    <row r="57265" spans="7:16" s="1634" customFormat="1">
      <c r="G57265" s="3336"/>
      <c r="P57265" s="3337"/>
    </row>
    <row r="57266" spans="7:16" s="1634" customFormat="1">
      <c r="G57266" s="3336"/>
      <c r="P57266" s="3337"/>
    </row>
    <row r="57267" spans="7:16" s="1634" customFormat="1">
      <c r="G57267" s="3336"/>
      <c r="P57267" s="3337"/>
    </row>
    <row r="57268" spans="7:16" s="1634" customFormat="1">
      <c r="G57268" s="3336"/>
      <c r="P57268" s="3337"/>
    </row>
    <row r="57269" spans="7:16" s="1634" customFormat="1">
      <c r="G57269" s="3336"/>
      <c r="P57269" s="3337"/>
    </row>
    <row r="57270" spans="7:16" s="1634" customFormat="1">
      <c r="G57270" s="3336"/>
      <c r="P57270" s="3337"/>
    </row>
    <row r="57271" spans="7:16" s="1634" customFormat="1">
      <c r="G57271" s="3336"/>
      <c r="P57271" s="3337"/>
    </row>
    <row r="57272" spans="7:16" s="1634" customFormat="1">
      <c r="G57272" s="3336"/>
      <c r="P57272" s="3337"/>
    </row>
    <row r="57273" spans="7:16" s="1634" customFormat="1">
      <c r="G57273" s="3336"/>
      <c r="P57273" s="3337"/>
    </row>
    <row r="57274" spans="7:16" s="1634" customFormat="1">
      <c r="G57274" s="3336"/>
      <c r="P57274" s="3337"/>
    </row>
    <row r="57275" spans="7:16" s="1634" customFormat="1">
      <c r="G57275" s="3336"/>
      <c r="P57275" s="3337"/>
    </row>
    <row r="57276" spans="7:16" s="1634" customFormat="1">
      <c r="G57276" s="3336"/>
      <c r="P57276" s="3337"/>
    </row>
    <row r="57277" spans="7:16" s="1634" customFormat="1">
      <c r="G57277" s="3336"/>
      <c r="P57277" s="3337"/>
    </row>
    <row r="57278" spans="7:16" s="1634" customFormat="1">
      <c r="G57278" s="3336"/>
      <c r="P57278" s="3337"/>
    </row>
    <row r="57279" spans="7:16" s="1634" customFormat="1">
      <c r="G57279" s="3336"/>
      <c r="P57279" s="3337"/>
    </row>
    <row r="57280" spans="7:16" s="1634" customFormat="1">
      <c r="G57280" s="3336"/>
      <c r="P57280" s="3337"/>
    </row>
    <row r="57281" spans="7:16" s="1634" customFormat="1">
      <c r="G57281" s="3336"/>
      <c r="P57281" s="3337"/>
    </row>
    <row r="57282" spans="7:16" s="1634" customFormat="1">
      <c r="G57282" s="3336"/>
      <c r="P57282" s="3337"/>
    </row>
    <row r="57283" spans="7:16" s="1634" customFormat="1">
      <c r="G57283" s="3336"/>
      <c r="P57283" s="3337"/>
    </row>
    <row r="57284" spans="7:16" s="1634" customFormat="1">
      <c r="G57284" s="3336"/>
      <c r="P57284" s="3337"/>
    </row>
    <row r="57285" spans="7:16" s="1634" customFormat="1">
      <c r="G57285" s="3336"/>
      <c r="P57285" s="3337"/>
    </row>
    <row r="57286" spans="7:16" s="1634" customFormat="1">
      <c r="G57286" s="3336"/>
      <c r="P57286" s="3337"/>
    </row>
    <row r="57287" spans="7:16" s="1634" customFormat="1">
      <c r="G57287" s="3336"/>
      <c r="P57287" s="3337"/>
    </row>
    <row r="57288" spans="7:16" s="1634" customFormat="1">
      <c r="G57288" s="3336"/>
      <c r="P57288" s="3337"/>
    </row>
    <row r="57289" spans="7:16" s="1634" customFormat="1">
      <c r="G57289" s="3336"/>
      <c r="P57289" s="3337"/>
    </row>
    <row r="57290" spans="7:16" s="1634" customFormat="1">
      <c r="G57290" s="3336"/>
      <c r="P57290" s="3337"/>
    </row>
    <row r="57291" spans="7:16" s="1634" customFormat="1">
      <c r="G57291" s="3336"/>
      <c r="P57291" s="3337"/>
    </row>
    <row r="57292" spans="7:16" s="1634" customFormat="1">
      <c r="G57292" s="3336"/>
      <c r="P57292" s="3337"/>
    </row>
    <row r="57293" spans="7:16" s="1634" customFormat="1">
      <c r="G57293" s="3336"/>
      <c r="P57293" s="3337"/>
    </row>
    <row r="57294" spans="7:16" s="1634" customFormat="1">
      <c r="G57294" s="3336"/>
      <c r="P57294" s="3337"/>
    </row>
    <row r="57295" spans="7:16" s="1634" customFormat="1">
      <c r="G57295" s="3336"/>
      <c r="P57295" s="3337"/>
    </row>
    <row r="57296" spans="7:16" s="1634" customFormat="1">
      <c r="G57296" s="3336"/>
      <c r="P57296" s="3337"/>
    </row>
    <row r="57297" spans="7:16" s="1634" customFormat="1">
      <c r="G57297" s="3336"/>
      <c r="P57297" s="3337"/>
    </row>
    <row r="57298" spans="7:16" s="1634" customFormat="1">
      <c r="G57298" s="3336"/>
      <c r="P57298" s="3337"/>
    </row>
    <row r="57299" spans="7:16" s="1634" customFormat="1">
      <c r="G57299" s="3336"/>
      <c r="P57299" s="3337"/>
    </row>
    <row r="57300" spans="7:16" s="1634" customFormat="1">
      <c r="G57300" s="3336"/>
      <c r="P57300" s="3337"/>
    </row>
    <row r="57301" spans="7:16" s="1634" customFormat="1">
      <c r="G57301" s="3336"/>
      <c r="P57301" s="3337"/>
    </row>
    <row r="57302" spans="7:16" s="1634" customFormat="1">
      <c r="G57302" s="3336"/>
      <c r="P57302" s="3337"/>
    </row>
    <row r="57303" spans="7:16" s="1634" customFormat="1">
      <c r="G57303" s="3336"/>
      <c r="P57303" s="3337"/>
    </row>
    <row r="57304" spans="7:16" s="1634" customFormat="1">
      <c r="G57304" s="3336"/>
      <c r="P57304" s="3337"/>
    </row>
    <row r="57305" spans="7:16" s="1634" customFormat="1">
      <c r="G57305" s="3336"/>
      <c r="P57305" s="3337"/>
    </row>
    <row r="57306" spans="7:16" s="1634" customFormat="1">
      <c r="G57306" s="3336"/>
      <c r="P57306" s="3337"/>
    </row>
    <row r="57307" spans="7:16" s="1634" customFormat="1">
      <c r="G57307" s="3336"/>
      <c r="P57307" s="3337"/>
    </row>
    <row r="57308" spans="7:16" s="1634" customFormat="1">
      <c r="G57308" s="3336"/>
      <c r="P57308" s="3337"/>
    </row>
    <row r="57309" spans="7:16" s="1634" customFormat="1">
      <c r="G57309" s="3336"/>
      <c r="P57309" s="3337"/>
    </row>
    <row r="57310" spans="7:16" s="1634" customFormat="1">
      <c r="G57310" s="3336"/>
      <c r="P57310" s="3337"/>
    </row>
    <row r="57311" spans="7:16" s="1634" customFormat="1">
      <c r="G57311" s="3336"/>
      <c r="P57311" s="3337"/>
    </row>
    <row r="57312" spans="7:16" s="1634" customFormat="1">
      <c r="G57312" s="3336"/>
      <c r="P57312" s="3337"/>
    </row>
    <row r="57313" spans="7:16" s="1634" customFormat="1">
      <c r="G57313" s="3336"/>
      <c r="P57313" s="3337"/>
    </row>
    <row r="57314" spans="7:16" s="1634" customFormat="1">
      <c r="G57314" s="3336"/>
      <c r="P57314" s="3337"/>
    </row>
    <row r="57315" spans="7:16" s="1634" customFormat="1">
      <c r="G57315" s="3336"/>
      <c r="P57315" s="3337"/>
    </row>
    <row r="57316" spans="7:16" s="1634" customFormat="1">
      <c r="G57316" s="3336"/>
      <c r="P57316" s="3337"/>
    </row>
    <row r="57317" spans="7:16" s="1634" customFormat="1">
      <c r="G57317" s="3336"/>
      <c r="P57317" s="3337"/>
    </row>
    <row r="57318" spans="7:16" s="1634" customFormat="1">
      <c r="G57318" s="3336"/>
      <c r="P57318" s="3337"/>
    </row>
    <row r="57319" spans="7:16" s="1634" customFormat="1">
      <c r="G57319" s="3336"/>
      <c r="P57319" s="3337"/>
    </row>
    <row r="57320" spans="7:16" s="1634" customFormat="1">
      <c r="G57320" s="3336"/>
      <c r="P57320" s="3337"/>
    </row>
    <row r="57321" spans="7:16" s="1634" customFormat="1">
      <c r="G57321" s="3336"/>
      <c r="P57321" s="3337"/>
    </row>
    <row r="57322" spans="7:16" s="1634" customFormat="1">
      <c r="G57322" s="3336"/>
      <c r="P57322" s="3337"/>
    </row>
    <row r="57323" spans="7:16" s="1634" customFormat="1">
      <c r="G57323" s="3336"/>
      <c r="P57323" s="3337"/>
    </row>
    <row r="57324" spans="7:16" s="1634" customFormat="1">
      <c r="G57324" s="3336"/>
      <c r="P57324" s="3337"/>
    </row>
    <row r="57325" spans="7:16" s="1634" customFormat="1">
      <c r="G57325" s="3336"/>
      <c r="P57325" s="3337"/>
    </row>
    <row r="57326" spans="7:16" s="1634" customFormat="1">
      <c r="G57326" s="3336"/>
      <c r="P57326" s="3337"/>
    </row>
    <row r="57327" spans="7:16" s="1634" customFormat="1">
      <c r="G57327" s="3336"/>
      <c r="P57327" s="3337"/>
    </row>
    <row r="57328" spans="7:16" s="1634" customFormat="1">
      <c r="G57328" s="3336"/>
      <c r="P57328" s="3337"/>
    </row>
    <row r="57329" spans="7:16" s="1634" customFormat="1">
      <c r="G57329" s="3336"/>
      <c r="P57329" s="3337"/>
    </row>
    <row r="57330" spans="7:16" s="1634" customFormat="1">
      <c r="G57330" s="3336"/>
      <c r="P57330" s="3337"/>
    </row>
    <row r="57331" spans="7:16" s="1634" customFormat="1">
      <c r="G57331" s="3336"/>
      <c r="P57331" s="3337"/>
    </row>
    <row r="57332" spans="7:16" s="1634" customFormat="1">
      <c r="G57332" s="3336"/>
      <c r="P57332" s="3337"/>
    </row>
    <row r="57333" spans="7:16" s="1634" customFormat="1">
      <c r="G57333" s="3336"/>
      <c r="P57333" s="3337"/>
    </row>
    <row r="57334" spans="7:16" s="1634" customFormat="1">
      <c r="G57334" s="3336"/>
      <c r="P57334" s="3337"/>
    </row>
    <row r="57335" spans="7:16" s="1634" customFormat="1">
      <c r="G57335" s="3336"/>
      <c r="P57335" s="3337"/>
    </row>
    <row r="57336" spans="7:16" s="1634" customFormat="1">
      <c r="G57336" s="3336"/>
      <c r="P57336" s="3337"/>
    </row>
    <row r="57337" spans="7:16" s="1634" customFormat="1">
      <c r="G57337" s="3336"/>
      <c r="P57337" s="3337"/>
    </row>
    <row r="57338" spans="7:16" s="1634" customFormat="1">
      <c r="G57338" s="3336"/>
      <c r="P57338" s="3337"/>
    </row>
    <row r="57339" spans="7:16" s="1634" customFormat="1">
      <c r="G57339" s="3336"/>
      <c r="P57339" s="3337"/>
    </row>
    <row r="57340" spans="7:16" s="1634" customFormat="1">
      <c r="G57340" s="3336"/>
      <c r="P57340" s="3337"/>
    </row>
    <row r="57341" spans="7:16" s="1634" customFormat="1">
      <c r="G57341" s="3336"/>
      <c r="P57341" s="3337"/>
    </row>
    <row r="57342" spans="7:16" s="1634" customFormat="1">
      <c r="G57342" s="3336"/>
      <c r="P57342" s="3337"/>
    </row>
    <row r="57343" spans="7:16" s="1634" customFormat="1">
      <c r="G57343" s="3336"/>
      <c r="P57343" s="3337"/>
    </row>
    <row r="57344" spans="7:16" s="1634" customFormat="1">
      <c r="G57344" s="3336"/>
      <c r="P57344" s="3337"/>
    </row>
    <row r="57345" spans="7:16" s="1634" customFormat="1">
      <c r="G57345" s="3336"/>
      <c r="P57345" s="3337"/>
    </row>
    <row r="57346" spans="7:16" s="1634" customFormat="1">
      <c r="G57346" s="3336"/>
      <c r="P57346" s="3337"/>
    </row>
    <row r="57347" spans="7:16" s="1634" customFormat="1">
      <c r="G57347" s="3336"/>
      <c r="P57347" s="3337"/>
    </row>
    <row r="57348" spans="7:16" s="1634" customFormat="1">
      <c r="G57348" s="3336"/>
      <c r="P57348" s="3337"/>
    </row>
    <row r="57349" spans="7:16" s="1634" customFormat="1">
      <c r="G57349" s="3336"/>
      <c r="P57349" s="3337"/>
    </row>
    <row r="57350" spans="7:16" s="1634" customFormat="1">
      <c r="G57350" s="3336"/>
      <c r="P57350" s="3337"/>
    </row>
    <row r="57351" spans="7:16" s="1634" customFormat="1">
      <c r="G57351" s="3336"/>
      <c r="P57351" s="3337"/>
    </row>
    <row r="57352" spans="7:16" s="1634" customFormat="1">
      <c r="G57352" s="3336"/>
      <c r="P57352" s="3337"/>
    </row>
    <row r="57353" spans="7:16" s="1634" customFormat="1">
      <c r="G57353" s="3336"/>
      <c r="P57353" s="3337"/>
    </row>
    <row r="57354" spans="7:16" s="1634" customFormat="1">
      <c r="G57354" s="3336"/>
      <c r="P57354" s="3337"/>
    </row>
    <row r="57355" spans="7:16" s="1634" customFormat="1">
      <c r="G57355" s="3336"/>
      <c r="P57355" s="3337"/>
    </row>
    <row r="57356" spans="7:16" s="1634" customFormat="1">
      <c r="G57356" s="3336"/>
      <c r="P57356" s="3337"/>
    </row>
    <row r="57357" spans="7:16" s="1634" customFormat="1">
      <c r="G57357" s="3336"/>
      <c r="P57357" s="3337"/>
    </row>
    <row r="57358" spans="7:16" s="1634" customFormat="1">
      <c r="G57358" s="3336"/>
      <c r="P57358" s="3337"/>
    </row>
    <row r="57359" spans="7:16" s="1634" customFormat="1">
      <c r="G57359" s="3336"/>
      <c r="P57359" s="3337"/>
    </row>
    <row r="57360" spans="7:16" s="1634" customFormat="1">
      <c r="G57360" s="3336"/>
      <c r="P57360" s="3337"/>
    </row>
    <row r="57361" spans="7:16" s="1634" customFormat="1">
      <c r="G57361" s="3336"/>
      <c r="P57361" s="3337"/>
    </row>
    <row r="57362" spans="7:16" s="1634" customFormat="1">
      <c r="G57362" s="3336"/>
      <c r="P57362" s="3337"/>
    </row>
    <row r="57363" spans="7:16" s="1634" customFormat="1">
      <c r="G57363" s="3336"/>
      <c r="P57363" s="3337"/>
    </row>
    <row r="57364" spans="7:16" s="1634" customFormat="1">
      <c r="G57364" s="3336"/>
      <c r="P57364" s="3337"/>
    </row>
    <row r="57365" spans="7:16" s="1634" customFormat="1">
      <c r="G57365" s="3336"/>
      <c r="P57365" s="3337"/>
    </row>
    <row r="57366" spans="7:16" s="1634" customFormat="1">
      <c r="G57366" s="3336"/>
      <c r="P57366" s="3337"/>
    </row>
    <row r="57367" spans="7:16" s="1634" customFormat="1">
      <c r="G57367" s="3336"/>
      <c r="P57367" s="3337"/>
    </row>
    <row r="57368" spans="7:16" s="1634" customFormat="1">
      <c r="G57368" s="3336"/>
      <c r="P57368" s="3337"/>
    </row>
    <row r="57369" spans="7:16" s="1634" customFormat="1">
      <c r="G57369" s="3336"/>
      <c r="P57369" s="3337"/>
    </row>
    <row r="57370" spans="7:16" s="1634" customFormat="1">
      <c r="G57370" s="3336"/>
      <c r="P57370" s="3337"/>
    </row>
    <row r="57371" spans="7:16" s="1634" customFormat="1">
      <c r="G57371" s="3336"/>
      <c r="P57371" s="3337"/>
    </row>
    <row r="57372" spans="7:16" s="1634" customFormat="1">
      <c r="G57372" s="3336"/>
      <c r="P57372" s="3337"/>
    </row>
    <row r="57373" spans="7:16" s="1634" customFormat="1">
      <c r="G57373" s="3336"/>
      <c r="P57373" s="3337"/>
    </row>
    <row r="57374" spans="7:16" s="1634" customFormat="1">
      <c r="G57374" s="3336"/>
      <c r="P57374" s="3337"/>
    </row>
    <row r="57375" spans="7:16" s="1634" customFormat="1">
      <c r="G57375" s="3336"/>
      <c r="P57375" s="3337"/>
    </row>
    <row r="57376" spans="7:16" s="1634" customFormat="1">
      <c r="G57376" s="3336"/>
      <c r="P57376" s="3337"/>
    </row>
    <row r="57377" spans="7:16" s="1634" customFormat="1">
      <c r="G57377" s="3336"/>
      <c r="P57377" s="3337"/>
    </row>
    <row r="57378" spans="7:16" s="1634" customFormat="1">
      <c r="G57378" s="3336"/>
      <c r="P57378" s="3337"/>
    </row>
    <row r="57379" spans="7:16" s="1634" customFormat="1">
      <c r="G57379" s="3336"/>
      <c r="P57379" s="3337"/>
    </row>
    <row r="57380" spans="7:16" s="1634" customFormat="1">
      <c r="G57380" s="3336"/>
      <c r="P57380" s="3337"/>
    </row>
    <row r="57381" spans="7:16" s="1634" customFormat="1">
      <c r="G57381" s="3336"/>
      <c r="P57381" s="3337"/>
    </row>
    <row r="57382" spans="7:16" s="1634" customFormat="1">
      <c r="G57382" s="3336"/>
      <c r="P57382" s="3337"/>
    </row>
    <row r="57383" spans="7:16" s="1634" customFormat="1">
      <c r="G57383" s="3336"/>
      <c r="P57383" s="3337"/>
    </row>
    <row r="57384" spans="7:16" s="1634" customFormat="1">
      <c r="G57384" s="3336"/>
      <c r="P57384" s="3337"/>
    </row>
    <row r="57385" spans="7:16" s="1634" customFormat="1">
      <c r="G57385" s="3336"/>
      <c r="P57385" s="3337"/>
    </row>
    <row r="57386" spans="7:16" s="1634" customFormat="1">
      <c r="G57386" s="3336"/>
      <c r="P57386" s="3337"/>
    </row>
    <row r="57387" spans="7:16" s="1634" customFormat="1">
      <c r="G57387" s="3336"/>
      <c r="P57387" s="3337"/>
    </row>
    <row r="57388" spans="7:16" s="1634" customFormat="1">
      <c r="G57388" s="3336"/>
      <c r="P57388" s="3337"/>
    </row>
    <row r="57389" spans="7:16" s="1634" customFormat="1">
      <c r="G57389" s="3336"/>
      <c r="P57389" s="3337"/>
    </row>
    <row r="57390" spans="7:16" s="1634" customFormat="1">
      <c r="G57390" s="3336"/>
      <c r="P57390" s="3337"/>
    </row>
    <row r="57391" spans="7:16" s="1634" customFormat="1">
      <c r="G57391" s="3336"/>
      <c r="P57391" s="3337"/>
    </row>
    <row r="57392" spans="7:16" s="1634" customFormat="1">
      <c r="G57392" s="3336"/>
      <c r="P57392" s="3337"/>
    </row>
    <row r="57393" spans="7:16" s="1634" customFormat="1">
      <c r="G57393" s="3336"/>
      <c r="P57393" s="3337"/>
    </row>
    <row r="57394" spans="7:16" s="1634" customFormat="1">
      <c r="G57394" s="3336"/>
      <c r="P57394" s="3337"/>
    </row>
    <row r="57395" spans="7:16" s="1634" customFormat="1">
      <c r="G57395" s="3336"/>
      <c r="P57395" s="3337"/>
    </row>
    <row r="57396" spans="7:16" s="1634" customFormat="1">
      <c r="G57396" s="3336"/>
      <c r="P57396" s="3337"/>
    </row>
    <row r="57397" spans="7:16" s="1634" customFormat="1">
      <c r="G57397" s="3336"/>
      <c r="P57397" s="3337"/>
    </row>
    <row r="57398" spans="7:16" s="1634" customFormat="1">
      <c r="G57398" s="3336"/>
      <c r="P57398" s="3337"/>
    </row>
    <row r="57399" spans="7:16" s="1634" customFormat="1">
      <c r="G57399" s="3336"/>
      <c r="P57399" s="3337"/>
    </row>
    <row r="57400" spans="7:16" s="1634" customFormat="1">
      <c r="G57400" s="3336"/>
      <c r="P57400" s="3337"/>
    </row>
    <row r="57401" spans="7:16" s="1634" customFormat="1">
      <c r="G57401" s="3336"/>
      <c r="P57401" s="3337"/>
    </row>
    <row r="57402" spans="7:16" s="1634" customFormat="1">
      <c r="G57402" s="3336"/>
      <c r="P57402" s="3337"/>
    </row>
    <row r="57403" spans="7:16" s="1634" customFormat="1">
      <c r="G57403" s="3336"/>
      <c r="P57403" s="3337"/>
    </row>
    <row r="57404" spans="7:16" s="1634" customFormat="1">
      <c r="G57404" s="3336"/>
      <c r="P57404" s="3337"/>
    </row>
    <row r="57405" spans="7:16" s="1634" customFormat="1">
      <c r="G57405" s="3336"/>
      <c r="P57405" s="3337"/>
    </row>
    <row r="57406" spans="7:16" s="1634" customFormat="1">
      <c r="G57406" s="3336"/>
      <c r="P57406" s="3337"/>
    </row>
    <row r="57407" spans="7:16" s="1634" customFormat="1">
      <c r="G57407" s="3336"/>
      <c r="P57407" s="3337"/>
    </row>
    <row r="57408" spans="7:16" s="1634" customFormat="1">
      <c r="G57408" s="3336"/>
      <c r="P57408" s="3337"/>
    </row>
    <row r="57409" spans="7:16" s="1634" customFormat="1">
      <c r="G57409" s="3336"/>
      <c r="P57409" s="3337"/>
    </row>
    <row r="57410" spans="7:16" s="1634" customFormat="1">
      <c r="G57410" s="3336"/>
      <c r="P57410" s="3337"/>
    </row>
    <row r="57411" spans="7:16" s="1634" customFormat="1">
      <c r="G57411" s="3336"/>
      <c r="P57411" s="3337"/>
    </row>
    <row r="57412" spans="7:16" s="1634" customFormat="1">
      <c r="G57412" s="3336"/>
      <c r="P57412" s="3337"/>
    </row>
    <row r="57413" spans="7:16" s="1634" customFormat="1">
      <c r="G57413" s="3336"/>
      <c r="P57413" s="3337"/>
    </row>
    <row r="57414" spans="7:16" s="1634" customFormat="1">
      <c r="G57414" s="3336"/>
      <c r="P57414" s="3337"/>
    </row>
    <row r="57415" spans="7:16" s="1634" customFormat="1">
      <c r="G57415" s="3336"/>
      <c r="P57415" s="3337"/>
    </row>
    <row r="57416" spans="7:16" s="1634" customFormat="1">
      <c r="G57416" s="3336"/>
      <c r="P57416" s="3337"/>
    </row>
    <row r="57417" spans="7:16" s="1634" customFormat="1">
      <c r="G57417" s="3336"/>
      <c r="P57417" s="3337"/>
    </row>
    <row r="57418" spans="7:16" s="1634" customFormat="1">
      <c r="G57418" s="3336"/>
      <c r="P57418" s="3337"/>
    </row>
    <row r="57419" spans="7:16" s="1634" customFormat="1">
      <c r="G57419" s="3336"/>
      <c r="P57419" s="3337"/>
    </row>
    <row r="57420" spans="7:16" s="1634" customFormat="1">
      <c r="G57420" s="3336"/>
      <c r="P57420" s="3337"/>
    </row>
    <row r="57421" spans="7:16" s="1634" customFormat="1">
      <c r="G57421" s="3336"/>
      <c r="P57421" s="3337"/>
    </row>
    <row r="57422" spans="7:16" s="1634" customFormat="1">
      <c r="G57422" s="3336"/>
      <c r="P57422" s="3337"/>
    </row>
    <row r="57423" spans="7:16" s="1634" customFormat="1">
      <c r="G57423" s="3336"/>
      <c r="P57423" s="3337"/>
    </row>
    <row r="57424" spans="7:16" s="1634" customFormat="1">
      <c r="G57424" s="3336"/>
      <c r="P57424" s="3337"/>
    </row>
    <row r="57425" spans="7:16" s="1634" customFormat="1">
      <c r="G57425" s="3336"/>
      <c r="P57425" s="3337"/>
    </row>
    <row r="57426" spans="7:16" s="1634" customFormat="1">
      <c r="G57426" s="3336"/>
      <c r="P57426" s="3337"/>
    </row>
    <row r="57427" spans="7:16" s="1634" customFormat="1">
      <c r="G57427" s="3336"/>
      <c r="P57427" s="3337"/>
    </row>
    <row r="57428" spans="7:16" s="1634" customFormat="1">
      <c r="G57428" s="3336"/>
      <c r="P57428" s="3337"/>
    </row>
    <row r="57429" spans="7:16" s="1634" customFormat="1">
      <c r="G57429" s="3336"/>
      <c r="P57429" s="3337"/>
    </row>
    <row r="57430" spans="7:16" s="1634" customFormat="1">
      <c r="G57430" s="3336"/>
      <c r="P57430" s="3337"/>
    </row>
    <row r="57431" spans="7:16" s="1634" customFormat="1">
      <c r="G57431" s="3336"/>
      <c r="P57431" s="3337"/>
    </row>
    <row r="57432" spans="7:16" s="1634" customFormat="1">
      <c r="G57432" s="3336"/>
      <c r="P57432" s="3337"/>
    </row>
    <row r="57433" spans="7:16" s="1634" customFormat="1">
      <c r="G57433" s="3336"/>
      <c r="P57433" s="3337"/>
    </row>
    <row r="57434" spans="7:16" s="1634" customFormat="1">
      <c r="G57434" s="3336"/>
      <c r="P57434" s="3337"/>
    </row>
    <row r="57435" spans="7:16" s="1634" customFormat="1">
      <c r="G57435" s="3336"/>
      <c r="P57435" s="3337"/>
    </row>
    <row r="57436" spans="7:16" s="1634" customFormat="1">
      <c r="G57436" s="3336"/>
      <c r="P57436" s="3337"/>
    </row>
    <row r="57437" spans="7:16" s="1634" customFormat="1">
      <c r="G57437" s="3336"/>
      <c r="P57437" s="3337"/>
    </row>
    <row r="57438" spans="7:16" s="1634" customFormat="1">
      <c r="G57438" s="3336"/>
      <c r="P57438" s="3337"/>
    </row>
    <row r="57439" spans="7:16" s="1634" customFormat="1">
      <c r="G57439" s="3336"/>
      <c r="P57439" s="3337"/>
    </row>
    <row r="57440" spans="7:16" s="1634" customFormat="1">
      <c r="G57440" s="3336"/>
      <c r="P57440" s="3337"/>
    </row>
    <row r="57441" spans="7:16" s="1634" customFormat="1">
      <c r="G57441" s="3336"/>
      <c r="P57441" s="3337"/>
    </row>
    <row r="57442" spans="7:16" s="1634" customFormat="1">
      <c r="G57442" s="3336"/>
      <c r="P57442" s="3337"/>
    </row>
    <row r="57443" spans="7:16" s="1634" customFormat="1">
      <c r="G57443" s="3336"/>
      <c r="P57443" s="3337"/>
    </row>
    <row r="57444" spans="7:16" s="1634" customFormat="1">
      <c r="G57444" s="3336"/>
      <c r="P57444" s="3337"/>
    </row>
    <row r="57445" spans="7:16" s="1634" customFormat="1">
      <c r="G57445" s="3336"/>
      <c r="P57445" s="3337"/>
    </row>
    <row r="57446" spans="7:16" s="1634" customFormat="1">
      <c r="G57446" s="3336"/>
      <c r="P57446" s="3337"/>
    </row>
    <row r="57447" spans="7:16" s="1634" customFormat="1">
      <c r="G57447" s="3336"/>
      <c r="P57447" s="3337"/>
    </row>
    <row r="57448" spans="7:16" s="1634" customFormat="1">
      <c r="G57448" s="3336"/>
      <c r="P57448" s="3337"/>
    </row>
    <row r="57449" spans="7:16" s="1634" customFormat="1">
      <c r="G57449" s="3336"/>
      <c r="P57449" s="3337"/>
    </row>
    <row r="57450" spans="7:16" s="1634" customFormat="1">
      <c r="G57450" s="3336"/>
      <c r="P57450" s="3337"/>
    </row>
    <row r="57451" spans="7:16" s="1634" customFormat="1">
      <c r="G57451" s="3336"/>
      <c r="P57451" s="3337"/>
    </row>
    <row r="57452" spans="7:16" s="1634" customFormat="1">
      <c r="G57452" s="3336"/>
      <c r="P57452" s="3337"/>
    </row>
    <row r="57453" spans="7:16" s="1634" customFormat="1">
      <c r="G57453" s="3336"/>
      <c r="P57453" s="3337"/>
    </row>
    <row r="57454" spans="7:16" s="1634" customFormat="1">
      <c r="G57454" s="3336"/>
      <c r="P57454" s="3337"/>
    </row>
    <row r="57455" spans="7:16" s="1634" customFormat="1">
      <c r="G57455" s="3336"/>
      <c r="P57455" s="3337"/>
    </row>
    <row r="57456" spans="7:16" s="1634" customFormat="1">
      <c r="G57456" s="3336"/>
      <c r="P57456" s="3337"/>
    </row>
    <row r="57457" spans="7:16" s="1634" customFormat="1">
      <c r="G57457" s="3336"/>
      <c r="P57457" s="3337"/>
    </row>
    <row r="57458" spans="7:16" s="1634" customFormat="1">
      <c r="G57458" s="3336"/>
      <c r="P57458" s="3337"/>
    </row>
    <row r="57459" spans="7:16" s="1634" customFormat="1">
      <c r="G57459" s="3336"/>
      <c r="P57459" s="3337"/>
    </row>
    <row r="57460" spans="7:16" s="1634" customFormat="1">
      <c r="G57460" s="3336"/>
      <c r="P57460" s="3337"/>
    </row>
    <row r="57461" spans="7:16" s="1634" customFormat="1">
      <c r="G57461" s="3336"/>
      <c r="P57461" s="3337"/>
    </row>
    <row r="57462" spans="7:16" s="1634" customFormat="1">
      <c r="G57462" s="3336"/>
      <c r="P57462" s="3337"/>
    </row>
    <row r="57463" spans="7:16" s="1634" customFormat="1">
      <c r="G57463" s="3336"/>
      <c r="P57463" s="3337"/>
    </row>
    <row r="57464" spans="7:16" s="1634" customFormat="1">
      <c r="G57464" s="3336"/>
      <c r="P57464" s="3337"/>
    </row>
    <row r="57465" spans="7:16" s="1634" customFormat="1">
      <c r="G57465" s="3336"/>
      <c r="P57465" s="3337"/>
    </row>
    <row r="57466" spans="7:16" s="1634" customFormat="1">
      <c r="G57466" s="3336"/>
      <c r="P57466" s="3337"/>
    </row>
    <row r="57467" spans="7:16" s="1634" customFormat="1">
      <c r="G57467" s="3336"/>
      <c r="P57467" s="3337"/>
    </row>
    <row r="57468" spans="7:16" s="1634" customFormat="1">
      <c r="G57468" s="3336"/>
      <c r="P57468" s="3337"/>
    </row>
    <row r="57469" spans="7:16" s="1634" customFormat="1">
      <c r="G57469" s="3336"/>
      <c r="P57469" s="3337"/>
    </row>
    <row r="57470" spans="7:16" s="1634" customFormat="1">
      <c r="G57470" s="3336"/>
      <c r="P57470" s="3337"/>
    </row>
    <row r="57471" spans="7:16" s="1634" customFormat="1">
      <c r="G57471" s="3336"/>
      <c r="P57471" s="3337"/>
    </row>
    <row r="57472" spans="7:16" s="1634" customFormat="1">
      <c r="G57472" s="3336"/>
      <c r="P57472" s="3337"/>
    </row>
    <row r="57473" spans="7:16" s="1634" customFormat="1">
      <c r="G57473" s="3336"/>
      <c r="P57473" s="3337"/>
    </row>
    <row r="57474" spans="7:16" s="1634" customFormat="1">
      <c r="G57474" s="3336"/>
      <c r="P57474" s="3337"/>
    </row>
    <row r="57475" spans="7:16" s="1634" customFormat="1">
      <c r="G57475" s="3336"/>
      <c r="P57475" s="3337"/>
    </row>
    <row r="57476" spans="7:16" s="1634" customFormat="1">
      <c r="G57476" s="3336"/>
      <c r="P57476" s="3337"/>
    </row>
    <row r="57477" spans="7:16" s="1634" customFormat="1">
      <c r="G57477" s="3336"/>
      <c r="P57477" s="3337"/>
    </row>
    <row r="57478" spans="7:16" s="1634" customFormat="1">
      <c r="G57478" s="3336"/>
      <c r="P57478" s="3337"/>
    </row>
    <row r="57479" spans="7:16" s="1634" customFormat="1">
      <c r="G57479" s="3336"/>
      <c r="P57479" s="3337"/>
    </row>
    <row r="57480" spans="7:16" s="1634" customFormat="1">
      <c r="G57480" s="3336"/>
      <c r="P57480" s="3337"/>
    </row>
    <row r="57481" spans="7:16" s="1634" customFormat="1">
      <c r="G57481" s="3336"/>
      <c r="P57481" s="3337"/>
    </row>
    <row r="57482" spans="7:16" s="1634" customFormat="1">
      <c r="G57482" s="3336"/>
      <c r="P57482" s="3337"/>
    </row>
    <row r="57483" spans="7:16" s="1634" customFormat="1">
      <c r="G57483" s="3336"/>
      <c r="P57483" s="3337"/>
    </row>
    <row r="57484" spans="7:16" s="1634" customFormat="1">
      <c r="G57484" s="3336"/>
      <c r="P57484" s="3337"/>
    </row>
    <row r="57485" spans="7:16" s="1634" customFormat="1">
      <c r="G57485" s="3336"/>
      <c r="P57485" s="3337"/>
    </row>
    <row r="57486" spans="7:16" s="1634" customFormat="1">
      <c r="G57486" s="3336"/>
      <c r="P57486" s="3337"/>
    </row>
    <row r="57487" spans="7:16" s="1634" customFormat="1">
      <c r="G57487" s="3336"/>
      <c r="P57487" s="3337"/>
    </row>
    <row r="57488" spans="7:16" s="1634" customFormat="1">
      <c r="G57488" s="3336"/>
      <c r="P57488" s="3337"/>
    </row>
    <row r="57489" spans="7:16" s="1634" customFormat="1">
      <c r="G57489" s="3336"/>
      <c r="P57489" s="3337"/>
    </row>
    <row r="57490" spans="7:16" s="1634" customFormat="1">
      <c r="G57490" s="3336"/>
      <c r="P57490" s="3337"/>
    </row>
    <row r="57491" spans="7:16" s="1634" customFormat="1">
      <c r="G57491" s="3336"/>
      <c r="P57491" s="3337"/>
    </row>
    <row r="57492" spans="7:16" s="1634" customFormat="1">
      <c r="G57492" s="3336"/>
      <c r="P57492" s="3337"/>
    </row>
    <row r="57493" spans="7:16" s="1634" customFormat="1">
      <c r="G57493" s="3336"/>
      <c r="P57493" s="3337"/>
    </row>
    <row r="57494" spans="7:16" s="1634" customFormat="1">
      <c r="G57494" s="3336"/>
      <c r="P57494" s="3337"/>
    </row>
    <row r="57495" spans="7:16" s="1634" customFormat="1">
      <c r="G57495" s="3336"/>
      <c r="P57495" s="3337"/>
    </row>
    <row r="57496" spans="7:16" s="1634" customFormat="1">
      <c r="G57496" s="3336"/>
      <c r="P57496" s="3337"/>
    </row>
    <row r="57497" spans="7:16" s="1634" customFormat="1">
      <c r="G57497" s="3336"/>
      <c r="P57497" s="3337"/>
    </row>
    <row r="57498" spans="7:16" s="1634" customFormat="1">
      <c r="G57498" s="3336"/>
      <c r="P57498" s="3337"/>
    </row>
    <row r="57499" spans="7:16" s="1634" customFormat="1">
      <c r="G57499" s="3336"/>
      <c r="P57499" s="3337"/>
    </row>
    <row r="57500" spans="7:16" s="1634" customFormat="1">
      <c r="G57500" s="3336"/>
      <c r="P57500" s="3337"/>
    </row>
    <row r="57501" spans="7:16" s="1634" customFormat="1">
      <c r="G57501" s="3336"/>
      <c r="P57501" s="3337"/>
    </row>
    <row r="57502" spans="7:16" s="1634" customFormat="1">
      <c r="G57502" s="3336"/>
      <c r="P57502" s="3337"/>
    </row>
    <row r="57503" spans="7:16" s="1634" customFormat="1">
      <c r="G57503" s="3336"/>
      <c r="P57503" s="3337"/>
    </row>
    <row r="57504" spans="7:16" s="1634" customFormat="1">
      <c r="G57504" s="3336"/>
      <c r="P57504" s="3337"/>
    </row>
    <row r="57505" spans="7:16" s="1634" customFormat="1">
      <c r="G57505" s="3336"/>
      <c r="P57505" s="3337"/>
    </row>
    <row r="57506" spans="7:16" s="1634" customFormat="1">
      <c r="G57506" s="3336"/>
      <c r="P57506" s="3337"/>
    </row>
    <row r="57507" spans="7:16" s="1634" customFormat="1">
      <c r="G57507" s="3336"/>
      <c r="P57507" s="3337"/>
    </row>
    <row r="57508" spans="7:16" s="1634" customFormat="1">
      <c r="G57508" s="3336"/>
      <c r="P57508" s="3337"/>
    </row>
    <row r="57509" spans="7:16" s="1634" customFormat="1">
      <c r="G57509" s="3336"/>
      <c r="P57509" s="3337"/>
    </row>
    <row r="57510" spans="7:16" s="1634" customFormat="1">
      <c r="G57510" s="3336"/>
      <c r="P57510" s="3337"/>
    </row>
    <row r="57511" spans="7:16" s="1634" customFormat="1">
      <c r="G57511" s="3336"/>
      <c r="P57511" s="3337"/>
    </row>
    <row r="57512" spans="7:16" s="1634" customFormat="1">
      <c r="G57512" s="3336"/>
      <c r="P57512" s="3337"/>
    </row>
    <row r="57513" spans="7:16" s="1634" customFormat="1">
      <c r="G57513" s="3336"/>
      <c r="P57513" s="3337"/>
    </row>
    <row r="57514" spans="7:16" s="1634" customFormat="1">
      <c r="G57514" s="3336"/>
      <c r="P57514" s="3337"/>
    </row>
    <row r="57515" spans="7:16" s="1634" customFormat="1">
      <c r="G57515" s="3336"/>
      <c r="P57515" s="3337"/>
    </row>
    <row r="57516" spans="7:16" s="1634" customFormat="1">
      <c r="G57516" s="3336"/>
      <c r="P57516" s="3337"/>
    </row>
    <row r="57517" spans="7:16" s="1634" customFormat="1">
      <c r="G57517" s="3336"/>
      <c r="P57517" s="3337"/>
    </row>
    <row r="57518" spans="7:16" s="1634" customFormat="1">
      <c r="G57518" s="3336"/>
      <c r="P57518" s="3337"/>
    </row>
    <row r="57519" spans="7:16" s="1634" customFormat="1">
      <c r="G57519" s="3336"/>
      <c r="P57519" s="3337"/>
    </row>
    <row r="57520" spans="7:16" s="1634" customFormat="1">
      <c r="G57520" s="3336"/>
      <c r="P57520" s="3337"/>
    </row>
    <row r="57521" spans="7:16" s="1634" customFormat="1">
      <c r="G57521" s="3336"/>
      <c r="P57521" s="3337"/>
    </row>
    <row r="57522" spans="7:16" s="1634" customFormat="1">
      <c r="G57522" s="3336"/>
      <c r="P57522" s="3337"/>
    </row>
    <row r="57523" spans="7:16" s="1634" customFormat="1">
      <c r="G57523" s="3336"/>
      <c r="P57523" s="3337"/>
    </row>
    <row r="57524" spans="7:16" s="1634" customFormat="1">
      <c r="G57524" s="3336"/>
      <c r="P57524" s="3337"/>
    </row>
    <row r="57525" spans="7:16" s="1634" customFormat="1">
      <c r="G57525" s="3336"/>
      <c r="P57525" s="3337"/>
    </row>
    <row r="57526" spans="7:16" s="1634" customFormat="1">
      <c r="G57526" s="3336"/>
      <c r="P57526" s="3337"/>
    </row>
    <row r="57527" spans="7:16" s="1634" customFormat="1">
      <c r="G57527" s="3336"/>
      <c r="P57527" s="3337"/>
    </row>
    <row r="57528" spans="7:16" s="1634" customFormat="1">
      <c r="G57528" s="3336"/>
      <c r="P57528" s="3337"/>
    </row>
    <row r="57529" spans="7:16" s="1634" customFormat="1">
      <c r="G57529" s="3336"/>
      <c r="P57529" s="3337"/>
    </row>
    <row r="57530" spans="7:16" s="1634" customFormat="1">
      <c r="G57530" s="3336"/>
      <c r="P57530" s="3337"/>
    </row>
    <row r="57531" spans="7:16" s="1634" customFormat="1">
      <c r="G57531" s="3336"/>
      <c r="P57531" s="3337"/>
    </row>
    <row r="57532" spans="7:16" s="1634" customFormat="1">
      <c r="G57532" s="3336"/>
      <c r="P57532" s="3337"/>
    </row>
    <row r="57533" spans="7:16" s="1634" customFormat="1">
      <c r="G57533" s="3336"/>
      <c r="P57533" s="3337"/>
    </row>
    <row r="57534" spans="7:16" s="1634" customFormat="1">
      <c r="G57534" s="3336"/>
      <c r="P57534" s="3337"/>
    </row>
    <row r="57535" spans="7:16" s="1634" customFormat="1">
      <c r="G57535" s="3336"/>
      <c r="P57535" s="3337"/>
    </row>
    <row r="57536" spans="7:16" s="1634" customFormat="1">
      <c r="G57536" s="3336"/>
      <c r="P57536" s="3337"/>
    </row>
    <row r="57537" spans="7:16" s="1634" customFormat="1">
      <c r="G57537" s="3336"/>
      <c r="P57537" s="3337"/>
    </row>
    <row r="57538" spans="7:16" s="1634" customFormat="1">
      <c r="G57538" s="3336"/>
      <c r="P57538" s="3337"/>
    </row>
    <row r="57539" spans="7:16" s="1634" customFormat="1">
      <c r="G57539" s="3336"/>
      <c r="P57539" s="3337"/>
    </row>
    <row r="57540" spans="7:16" s="1634" customFormat="1">
      <c r="G57540" s="3336"/>
      <c r="P57540" s="3337"/>
    </row>
    <row r="57541" spans="7:16" s="1634" customFormat="1">
      <c r="G57541" s="3336"/>
      <c r="P57541" s="3337"/>
    </row>
    <row r="57542" spans="7:16" s="1634" customFormat="1">
      <c r="G57542" s="3336"/>
      <c r="P57542" s="3337"/>
    </row>
    <row r="57543" spans="7:16" s="1634" customFormat="1">
      <c r="G57543" s="3336"/>
      <c r="P57543" s="3337"/>
    </row>
    <row r="57544" spans="7:16" s="1634" customFormat="1">
      <c r="G57544" s="3336"/>
      <c r="P57544" s="3337"/>
    </row>
    <row r="57545" spans="7:16" s="1634" customFormat="1">
      <c r="G57545" s="3336"/>
      <c r="P57545" s="3337"/>
    </row>
    <row r="57546" spans="7:16" s="1634" customFormat="1">
      <c r="G57546" s="3336"/>
      <c r="P57546" s="3337"/>
    </row>
    <row r="57547" spans="7:16" s="1634" customFormat="1">
      <c r="G57547" s="3336"/>
      <c r="P57547" s="3337"/>
    </row>
    <row r="57548" spans="7:16" s="1634" customFormat="1">
      <c r="G57548" s="3336"/>
      <c r="P57548" s="3337"/>
    </row>
    <row r="57549" spans="7:16" s="1634" customFormat="1">
      <c r="G57549" s="3336"/>
      <c r="P57549" s="3337"/>
    </row>
    <row r="57550" spans="7:16" s="1634" customFormat="1">
      <c r="G57550" s="3336"/>
      <c r="P57550" s="3337"/>
    </row>
    <row r="57551" spans="7:16" s="1634" customFormat="1">
      <c r="G57551" s="3336"/>
      <c r="P57551" s="3337"/>
    </row>
    <row r="57552" spans="7:16" s="1634" customFormat="1">
      <c r="G57552" s="3336"/>
      <c r="P57552" s="3337"/>
    </row>
    <row r="57553" spans="7:16" s="1634" customFormat="1">
      <c r="G57553" s="3336"/>
      <c r="P57553" s="3337"/>
    </row>
    <row r="57554" spans="7:16" s="1634" customFormat="1">
      <c r="G57554" s="3336"/>
      <c r="P57554" s="3337"/>
    </row>
    <row r="57555" spans="7:16" s="1634" customFormat="1">
      <c r="G57555" s="3336"/>
      <c r="P57555" s="3337"/>
    </row>
    <row r="57556" spans="7:16" s="1634" customFormat="1">
      <c r="G57556" s="3336"/>
      <c r="P57556" s="3337"/>
    </row>
    <row r="57557" spans="7:16" s="1634" customFormat="1">
      <c r="G57557" s="3336"/>
      <c r="P57557" s="3337"/>
    </row>
    <row r="57558" spans="7:16" s="1634" customFormat="1">
      <c r="G57558" s="3336"/>
      <c r="P57558" s="3337"/>
    </row>
    <row r="57559" spans="7:16" s="1634" customFormat="1">
      <c r="G57559" s="3336"/>
      <c r="P57559" s="3337"/>
    </row>
    <row r="57560" spans="7:16" s="1634" customFormat="1">
      <c r="G57560" s="3336"/>
      <c r="P57560" s="3337"/>
    </row>
    <row r="57561" spans="7:16" s="1634" customFormat="1">
      <c r="G57561" s="3336"/>
      <c r="P57561" s="3337"/>
    </row>
    <row r="57562" spans="7:16" s="1634" customFormat="1">
      <c r="G57562" s="3336"/>
      <c r="P57562" s="3337"/>
    </row>
    <row r="57563" spans="7:16" s="1634" customFormat="1">
      <c r="G57563" s="3336"/>
      <c r="P57563" s="3337"/>
    </row>
    <row r="57564" spans="7:16" s="1634" customFormat="1">
      <c r="G57564" s="3336"/>
      <c r="P57564" s="3337"/>
    </row>
    <row r="57565" spans="7:16" s="1634" customFormat="1">
      <c r="G57565" s="3336"/>
      <c r="P57565" s="3337"/>
    </row>
    <row r="57566" spans="7:16" s="1634" customFormat="1">
      <c r="G57566" s="3336"/>
      <c r="P57566" s="3337"/>
    </row>
    <row r="57567" spans="7:16" s="1634" customFormat="1">
      <c r="G57567" s="3336"/>
      <c r="P57567" s="3337"/>
    </row>
    <row r="57568" spans="7:16" s="1634" customFormat="1">
      <c r="G57568" s="3336"/>
      <c r="P57568" s="3337"/>
    </row>
    <row r="57569" spans="7:16" s="1634" customFormat="1">
      <c r="G57569" s="3336"/>
      <c r="P57569" s="3337"/>
    </row>
    <row r="57570" spans="7:16" s="1634" customFormat="1">
      <c r="G57570" s="3336"/>
      <c r="P57570" s="3337"/>
    </row>
    <row r="57571" spans="7:16" s="1634" customFormat="1">
      <c r="G57571" s="3336"/>
      <c r="P57571" s="3337"/>
    </row>
    <row r="57572" spans="7:16" s="1634" customFormat="1">
      <c r="G57572" s="3336"/>
      <c r="P57572" s="3337"/>
    </row>
    <row r="57573" spans="7:16" s="1634" customFormat="1">
      <c r="G57573" s="3336"/>
      <c r="P57573" s="3337"/>
    </row>
    <row r="57574" spans="7:16" s="1634" customFormat="1">
      <c r="G57574" s="3336"/>
      <c r="P57574" s="3337"/>
    </row>
    <row r="57575" spans="7:16" s="1634" customFormat="1">
      <c r="G57575" s="3336"/>
      <c r="P57575" s="3337"/>
    </row>
    <row r="57576" spans="7:16" s="1634" customFormat="1">
      <c r="G57576" s="3336"/>
      <c r="P57576" s="3337"/>
    </row>
    <row r="57577" spans="7:16" s="1634" customFormat="1">
      <c r="G57577" s="3336"/>
      <c r="P57577" s="3337"/>
    </row>
    <row r="57578" spans="7:16" s="1634" customFormat="1">
      <c r="G57578" s="3336"/>
      <c r="P57578" s="3337"/>
    </row>
    <row r="57579" spans="7:16" s="1634" customFormat="1">
      <c r="G57579" s="3336"/>
      <c r="P57579" s="3337"/>
    </row>
    <row r="57580" spans="7:16" s="1634" customFormat="1">
      <c r="G57580" s="3336"/>
      <c r="P57580" s="3337"/>
    </row>
    <row r="57581" spans="7:16" s="1634" customFormat="1">
      <c r="G57581" s="3336"/>
      <c r="P57581" s="3337"/>
    </row>
    <row r="57582" spans="7:16" s="1634" customFormat="1">
      <c r="G57582" s="3336"/>
      <c r="P57582" s="3337"/>
    </row>
    <row r="57583" spans="7:16" s="1634" customFormat="1">
      <c r="G57583" s="3336"/>
      <c r="P57583" s="3337"/>
    </row>
    <row r="57584" spans="7:16" s="1634" customFormat="1">
      <c r="G57584" s="3336"/>
      <c r="P57584" s="3337"/>
    </row>
    <row r="57585" spans="7:16" s="1634" customFormat="1">
      <c r="G57585" s="3336"/>
      <c r="P57585" s="3337"/>
    </row>
    <row r="57586" spans="7:16" s="1634" customFormat="1">
      <c r="G57586" s="3336"/>
      <c r="P57586" s="3337"/>
    </row>
    <row r="57587" spans="7:16" s="1634" customFormat="1">
      <c r="G57587" s="3336"/>
      <c r="P57587" s="3337"/>
    </row>
    <row r="57588" spans="7:16" s="1634" customFormat="1">
      <c r="G57588" s="3336"/>
      <c r="P57588" s="3337"/>
    </row>
    <row r="57589" spans="7:16" s="1634" customFormat="1">
      <c r="G57589" s="3336"/>
      <c r="P57589" s="3337"/>
    </row>
    <row r="57590" spans="7:16" s="1634" customFormat="1">
      <c r="G57590" s="3336"/>
      <c r="P57590" s="3337"/>
    </row>
    <row r="57591" spans="7:16" s="1634" customFormat="1">
      <c r="G57591" s="3336"/>
      <c r="P57591" s="3337"/>
    </row>
    <row r="57592" spans="7:16" s="1634" customFormat="1">
      <c r="G57592" s="3336"/>
      <c r="P57592" s="3337"/>
    </row>
    <row r="57593" spans="7:16" s="1634" customFormat="1">
      <c r="G57593" s="3336"/>
      <c r="P57593" s="3337"/>
    </row>
    <row r="57594" spans="7:16" s="1634" customFormat="1">
      <c r="G57594" s="3336"/>
      <c r="P57594" s="3337"/>
    </row>
    <row r="57595" spans="7:16" s="1634" customFormat="1">
      <c r="G57595" s="3336"/>
      <c r="P57595" s="3337"/>
    </row>
    <row r="57596" spans="7:16" s="1634" customFormat="1">
      <c r="G57596" s="3336"/>
      <c r="P57596" s="3337"/>
    </row>
    <row r="57597" spans="7:16" s="1634" customFormat="1">
      <c r="G57597" s="3336"/>
      <c r="P57597" s="3337"/>
    </row>
    <row r="57598" spans="7:16" s="1634" customFormat="1">
      <c r="G57598" s="3336"/>
      <c r="P57598" s="3337"/>
    </row>
    <row r="57599" spans="7:16" s="1634" customFormat="1">
      <c r="G57599" s="3336"/>
      <c r="P57599" s="3337"/>
    </row>
    <row r="57600" spans="7:16" s="1634" customFormat="1">
      <c r="G57600" s="3336"/>
      <c r="P57600" s="3337"/>
    </row>
    <row r="57601" spans="7:16" s="1634" customFormat="1">
      <c r="G57601" s="3336"/>
      <c r="P57601" s="3337"/>
    </row>
    <row r="57602" spans="7:16" s="1634" customFormat="1">
      <c r="G57602" s="3336"/>
      <c r="P57602" s="3337"/>
    </row>
    <row r="57603" spans="7:16" s="1634" customFormat="1">
      <c r="G57603" s="3336"/>
      <c r="P57603" s="3337"/>
    </row>
    <row r="57604" spans="7:16" s="1634" customFormat="1">
      <c r="G57604" s="3336"/>
      <c r="P57604" s="3337"/>
    </row>
    <row r="57605" spans="7:16" s="1634" customFormat="1">
      <c r="G57605" s="3336"/>
      <c r="P57605" s="3337"/>
    </row>
    <row r="57606" spans="7:16" s="1634" customFormat="1">
      <c r="G57606" s="3336"/>
      <c r="P57606" s="3337"/>
    </row>
    <row r="57607" spans="7:16" s="1634" customFormat="1">
      <c r="G57607" s="3336"/>
      <c r="P57607" s="3337"/>
    </row>
    <row r="57608" spans="7:16" s="1634" customFormat="1">
      <c r="G57608" s="3336"/>
      <c r="P57608" s="3337"/>
    </row>
    <row r="57609" spans="7:16" s="1634" customFormat="1">
      <c r="G57609" s="3336"/>
      <c r="P57609" s="3337"/>
    </row>
    <row r="57610" spans="7:16" s="1634" customFormat="1">
      <c r="G57610" s="3336"/>
      <c r="P57610" s="3337"/>
    </row>
    <row r="57611" spans="7:16" s="1634" customFormat="1">
      <c r="G57611" s="3336"/>
      <c r="P57611" s="3337"/>
    </row>
    <row r="57612" spans="7:16" s="1634" customFormat="1">
      <c r="G57612" s="3336"/>
      <c r="P57612" s="3337"/>
    </row>
    <row r="57613" spans="7:16" s="1634" customFormat="1">
      <c r="G57613" s="3336"/>
      <c r="P57613" s="3337"/>
    </row>
    <row r="57614" spans="7:16" s="1634" customFormat="1">
      <c r="G57614" s="3336"/>
      <c r="P57614" s="3337"/>
    </row>
    <row r="57615" spans="7:16" s="1634" customFormat="1">
      <c r="G57615" s="3336"/>
      <c r="P57615" s="3337"/>
    </row>
    <row r="57616" spans="7:16" s="1634" customFormat="1">
      <c r="G57616" s="3336"/>
      <c r="P57616" s="3337"/>
    </row>
    <row r="57617" spans="7:16" s="1634" customFormat="1">
      <c r="G57617" s="3336"/>
      <c r="P57617" s="3337"/>
    </row>
    <row r="57618" spans="7:16" s="1634" customFormat="1">
      <c r="G57618" s="3336"/>
      <c r="P57618" s="3337"/>
    </row>
    <row r="57619" spans="7:16" s="1634" customFormat="1">
      <c r="G57619" s="3336"/>
      <c r="P57619" s="3337"/>
    </row>
    <row r="57620" spans="7:16" s="1634" customFormat="1">
      <c r="G57620" s="3336"/>
      <c r="P57620" s="3337"/>
    </row>
    <row r="57621" spans="7:16" s="1634" customFormat="1">
      <c r="G57621" s="3336"/>
      <c r="P57621" s="3337"/>
    </row>
    <row r="57622" spans="7:16" s="1634" customFormat="1">
      <c r="G57622" s="3336"/>
      <c r="P57622" s="3337"/>
    </row>
    <row r="57623" spans="7:16" s="1634" customFormat="1">
      <c r="G57623" s="3336"/>
      <c r="P57623" s="3337"/>
    </row>
    <row r="57624" spans="7:16" s="1634" customFormat="1">
      <c r="G57624" s="3336"/>
      <c r="P57624" s="3337"/>
    </row>
    <row r="57625" spans="7:16" s="1634" customFormat="1">
      <c r="G57625" s="3336"/>
      <c r="P57625" s="3337"/>
    </row>
    <row r="57626" spans="7:16" s="1634" customFormat="1">
      <c r="G57626" s="3336"/>
      <c r="P57626" s="3337"/>
    </row>
    <row r="57627" spans="7:16" s="1634" customFormat="1">
      <c r="G57627" s="3336"/>
      <c r="P57627" s="3337"/>
    </row>
    <row r="57628" spans="7:16" s="1634" customFormat="1">
      <c r="G57628" s="3336"/>
      <c r="P57628" s="3337"/>
    </row>
    <row r="57629" spans="7:16" s="1634" customFormat="1">
      <c r="G57629" s="3336"/>
      <c r="P57629" s="3337"/>
    </row>
    <row r="57630" spans="7:16" s="1634" customFormat="1">
      <c r="G57630" s="3336"/>
      <c r="P57630" s="3337"/>
    </row>
    <row r="57631" spans="7:16" s="1634" customFormat="1">
      <c r="G57631" s="3336"/>
      <c r="P57631" s="3337"/>
    </row>
    <row r="57632" spans="7:16" s="1634" customFormat="1">
      <c r="G57632" s="3336"/>
      <c r="P57632" s="3337"/>
    </row>
    <row r="57633" spans="7:16" s="1634" customFormat="1">
      <c r="G57633" s="3336"/>
      <c r="P57633" s="3337"/>
    </row>
    <row r="57634" spans="7:16" s="1634" customFormat="1">
      <c r="G57634" s="3336"/>
      <c r="P57634" s="3337"/>
    </row>
    <row r="57635" spans="7:16" s="1634" customFormat="1">
      <c r="G57635" s="3336"/>
      <c r="P57635" s="3337"/>
    </row>
    <row r="57636" spans="7:16" s="1634" customFormat="1">
      <c r="G57636" s="3336"/>
      <c r="P57636" s="3337"/>
    </row>
    <row r="57637" spans="7:16" s="1634" customFormat="1">
      <c r="G57637" s="3336"/>
      <c r="P57637" s="3337"/>
    </row>
    <row r="57638" spans="7:16" s="1634" customFormat="1">
      <c r="G57638" s="3336"/>
      <c r="P57638" s="3337"/>
    </row>
    <row r="57639" spans="7:16" s="1634" customFormat="1">
      <c r="G57639" s="3336"/>
      <c r="P57639" s="3337"/>
    </row>
    <row r="57640" spans="7:16" s="1634" customFormat="1">
      <c r="G57640" s="3336"/>
      <c r="P57640" s="3337"/>
    </row>
    <row r="57641" spans="7:16" s="1634" customFormat="1">
      <c r="G57641" s="3336"/>
      <c r="P57641" s="3337"/>
    </row>
    <row r="57642" spans="7:16" s="1634" customFormat="1">
      <c r="G57642" s="3336"/>
      <c r="P57642" s="3337"/>
    </row>
    <row r="57643" spans="7:16" s="1634" customFormat="1">
      <c r="G57643" s="3336"/>
      <c r="P57643" s="3337"/>
    </row>
    <row r="57644" spans="7:16" s="1634" customFormat="1">
      <c r="G57644" s="3336"/>
      <c r="P57644" s="3337"/>
    </row>
    <row r="57645" spans="7:16" s="1634" customFormat="1">
      <c r="G57645" s="3336"/>
      <c r="P57645" s="3337"/>
    </row>
    <row r="57646" spans="7:16" s="1634" customFormat="1">
      <c r="G57646" s="3336"/>
      <c r="P57646" s="3337"/>
    </row>
    <row r="57647" spans="7:16" s="1634" customFormat="1">
      <c r="G57647" s="3336"/>
      <c r="P57647" s="3337"/>
    </row>
    <row r="57648" spans="7:16" s="1634" customFormat="1">
      <c r="G57648" s="3336"/>
      <c r="P57648" s="3337"/>
    </row>
    <row r="57649" spans="7:16" s="1634" customFormat="1">
      <c r="G57649" s="3336"/>
      <c r="P57649" s="3337"/>
    </row>
    <row r="57650" spans="7:16" s="1634" customFormat="1">
      <c r="G57650" s="3336"/>
      <c r="P57650" s="3337"/>
    </row>
    <row r="57651" spans="7:16" s="1634" customFormat="1">
      <c r="G57651" s="3336"/>
      <c r="P57651" s="3337"/>
    </row>
    <row r="57652" spans="7:16" s="1634" customFormat="1">
      <c r="G57652" s="3336"/>
      <c r="P57652" s="3337"/>
    </row>
    <row r="57653" spans="7:16" s="1634" customFormat="1">
      <c r="G57653" s="3336"/>
      <c r="P57653" s="3337"/>
    </row>
    <row r="57654" spans="7:16" s="1634" customFormat="1">
      <c r="G57654" s="3336"/>
      <c r="P57654" s="3337"/>
    </row>
    <row r="57655" spans="7:16" s="1634" customFormat="1">
      <c r="G57655" s="3336"/>
      <c r="P57655" s="3337"/>
    </row>
    <row r="57656" spans="7:16" s="1634" customFormat="1">
      <c r="G57656" s="3336"/>
      <c r="P57656" s="3337"/>
    </row>
    <row r="57657" spans="7:16" s="1634" customFormat="1">
      <c r="G57657" s="3336"/>
      <c r="P57657" s="3337"/>
    </row>
    <row r="57658" spans="7:16" s="1634" customFormat="1">
      <c r="G57658" s="3336"/>
      <c r="P57658" s="3337"/>
    </row>
    <row r="57659" spans="7:16" s="1634" customFormat="1">
      <c r="G57659" s="3336"/>
      <c r="P57659" s="3337"/>
    </row>
    <row r="57660" spans="7:16" s="1634" customFormat="1">
      <c r="G57660" s="3336"/>
      <c r="P57660" s="3337"/>
    </row>
    <row r="57661" spans="7:16" s="1634" customFormat="1">
      <c r="G57661" s="3336"/>
      <c r="P57661" s="3337"/>
    </row>
    <row r="57662" spans="7:16" s="1634" customFormat="1">
      <c r="G57662" s="3336"/>
      <c r="P57662" s="3337"/>
    </row>
    <row r="57663" spans="7:16" s="1634" customFormat="1">
      <c r="G57663" s="3336"/>
      <c r="P57663" s="3337"/>
    </row>
    <row r="57664" spans="7:16" s="1634" customFormat="1">
      <c r="G57664" s="3336"/>
      <c r="P57664" s="3337"/>
    </row>
    <row r="57665" spans="7:16" s="1634" customFormat="1">
      <c r="G57665" s="3336"/>
      <c r="P57665" s="3337"/>
    </row>
    <row r="57666" spans="7:16" s="1634" customFormat="1">
      <c r="G57666" s="3336"/>
      <c r="P57666" s="3337"/>
    </row>
    <row r="57667" spans="7:16" s="1634" customFormat="1">
      <c r="G57667" s="3336"/>
      <c r="P57667" s="3337"/>
    </row>
    <row r="57668" spans="7:16" s="1634" customFormat="1">
      <c r="G57668" s="3336"/>
      <c r="P57668" s="3337"/>
    </row>
    <row r="57669" spans="7:16" s="1634" customFormat="1">
      <c r="G57669" s="3336"/>
      <c r="P57669" s="3337"/>
    </row>
    <row r="57670" spans="7:16" s="1634" customFormat="1">
      <c r="G57670" s="3336"/>
      <c r="P57670" s="3337"/>
    </row>
    <row r="57671" spans="7:16" s="1634" customFormat="1">
      <c r="G57671" s="3336"/>
      <c r="P57671" s="3337"/>
    </row>
    <row r="57672" spans="7:16" s="1634" customFormat="1">
      <c r="G57672" s="3336"/>
      <c r="P57672" s="3337"/>
    </row>
    <row r="57673" spans="7:16" s="1634" customFormat="1">
      <c r="G57673" s="3336"/>
      <c r="P57673" s="3337"/>
    </row>
    <row r="57674" spans="7:16" s="1634" customFormat="1">
      <c r="G57674" s="3336"/>
      <c r="P57674" s="3337"/>
    </row>
    <row r="57675" spans="7:16" s="1634" customFormat="1">
      <c r="G57675" s="3336"/>
      <c r="P57675" s="3337"/>
    </row>
    <row r="57676" spans="7:16" s="1634" customFormat="1">
      <c r="G57676" s="3336"/>
      <c r="P57676" s="3337"/>
    </row>
    <row r="57677" spans="7:16" s="1634" customFormat="1">
      <c r="G57677" s="3336"/>
      <c r="P57677" s="3337"/>
    </row>
    <row r="57678" spans="7:16" s="1634" customFormat="1">
      <c r="G57678" s="3336"/>
      <c r="P57678" s="3337"/>
    </row>
    <row r="57679" spans="7:16" s="1634" customFormat="1">
      <c r="G57679" s="3336"/>
      <c r="P57679" s="3337"/>
    </row>
    <row r="57680" spans="7:16" s="1634" customFormat="1">
      <c r="G57680" s="3336"/>
      <c r="P57680" s="3337"/>
    </row>
    <row r="57681" spans="7:16" s="1634" customFormat="1">
      <c r="G57681" s="3336"/>
      <c r="P57681" s="3337"/>
    </row>
    <row r="57682" spans="7:16" s="1634" customFormat="1">
      <c r="G57682" s="3336"/>
      <c r="P57682" s="3337"/>
    </row>
    <row r="57683" spans="7:16" s="1634" customFormat="1">
      <c r="G57683" s="3336"/>
      <c r="P57683" s="3337"/>
    </row>
    <row r="57684" spans="7:16" s="1634" customFormat="1">
      <c r="G57684" s="3336"/>
      <c r="P57684" s="3337"/>
    </row>
    <row r="57685" spans="7:16" s="1634" customFormat="1">
      <c r="G57685" s="3336"/>
      <c r="P57685" s="3337"/>
    </row>
    <row r="57686" spans="7:16" s="1634" customFormat="1">
      <c r="G57686" s="3336"/>
      <c r="P57686" s="3337"/>
    </row>
    <row r="57687" spans="7:16" s="1634" customFormat="1">
      <c r="G57687" s="3336"/>
      <c r="P57687" s="3337"/>
    </row>
    <row r="57688" spans="7:16" s="1634" customFormat="1">
      <c r="G57688" s="3336"/>
      <c r="P57688" s="3337"/>
    </row>
    <row r="57689" spans="7:16" s="1634" customFormat="1">
      <c r="G57689" s="3336"/>
      <c r="P57689" s="3337"/>
    </row>
    <row r="57690" spans="7:16" s="1634" customFormat="1">
      <c r="G57690" s="3336"/>
      <c r="P57690" s="3337"/>
    </row>
    <row r="57691" spans="7:16" s="1634" customFormat="1">
      <c r="G57691" s="3336"/>
      <c r="P57691" s="3337"/>
    </row>
    <row r="57692" spans="7:16" s="1634" customFormat="1">
      <c r="G57692" s="3336"/>
      <c r="P57692" s="3337"/>
    </row>
    <row r="57693" spans="7:16" s="1634" customFormat="1">
      <c r="G57693" s="3336"/>
      <c r="P57693" s="3337"/>
    </row>
    <row r="57694" spans="7:16" s="1634" customFormat="1">
      <c r="G57694" s="3336"/>
      <c r="P57694" s="3337"/>
    </row>
    <row r="57695" spans="7:16" s="1634" customFormat="1">
      <c r="G57695" s="3336"/>
      <c r="P57695" s="3337"/>
    </row>
    <row r="57696" spans="7:16" s="1634" customFormat="1">
      <c r="G57696" s="3336"/>
      <c r="P57696" s="3337"/>
    </row>
    <row r="57697" spans="7:16" s="1634" customFormat="1">
      <c r="G57697" s="3336"/>
      <c r="P57697" s="3337"/>
    </row>
    <row r="57698" spans="7:16" s="1634" customFormat="1">
      <c r="G57698" s="3336"/>
      <c r="P57698" s="3337"/>
    </row>
    <row r="57699" spans="7:16" s="1634" customFormat="1">
      <c r="G57699" s="3336"/>
      <c r="P57699" s="3337"/>
    </row>
    <row r="57700" spans="7:16" s="1634" customFormat="1">
      <c r="G57700" s="3336"/>
      <c r="P57700" s="3337"/>
    </row>
    <row r="57701" spans="7:16" s="1634" customFormat="1">
      <c r="G57701" s="3336"/>
      <c r="P57701" s="3337"/>
    </row>
    <row r="57702" spans="7:16" s="1634" customFormat="1">
      <c r="G57702" s="3336"/>
      <c r="P57702" s="3337"/>
    </row>
    <row r="57703" spans="7:16" s="1634" customFormat="1">
      <c r="G57703" s="3336"/>
      <c r="P57703" s="3337"/>
    </row>
    <row r="57704" spans="7:16" s="1634" customFormat="1">
      <c r="G57704" s="3336"/>
      <c r="P57704" s="3337"/>
    </row>
    <row r="57705" spans="7:16" s="1634" customFormat="1">
      <c r="G57705" s="3336"/>
      <c r="P57705" s="3337"/>
    </row>
    <row r="57706" spans="7:16" s="1634" customFormat="1">
      <c r="G57706" s="3336"/>
      <c r="P57706" s="3337"/>
    </row>
    <row r="57707" spans="7:16" s="1634" customFormat="1">
      <c r="G57707" s="3336"/>
      <c r="P57707" s="3337"/>
    </row>
    <row r="57708" spans="7:16" s="1634" customFormat="1">
      <c r="G57708" s="3336"/>
      <c r="P57708" s="3337"/>
    </row>
    <row r="57709" spans="7:16" s="1634" customFormat="1">
      <c r="G57709" s="3336"/>
      <c r="P57709" s="3337"/>
    </row>
    <row r="57710" spans="7:16" s="1634" customFormat="1">
      <c r="G57710" s="3336"/>
      <c r="P57710" s="3337"/>
    </row>
    <row r="57711" spans="7:16" s="1634" customFormat="1">
      <c r="G57711" s="3336"/>
      <c r="P57711" s="3337"/>
    </row>
    <row r="57712" spans="7:16" s="1634" customFormat="1">
      <c r="G57712" s="3336"/>
      <c r="P57712" s="3337"/>
    </row>
    <row r="57713" spans="7:16" s="1634" customFormat="1">
      <c r="G57713" s="3336"/>
      <c r="P57713" s="3337"/>
    </row>
    <row r="57714" spans="7:16" s="1634" customFormat="1">
      <c r="G57714" s="3336"/>
      <c r="P57714" s="3337"/>
    </row>
    <row r="57715" spans="7:16" s="1634" customFormat="1">
      <c r="G57715" s="3336"/>
      <c r="P57715" s="3337"/>
    </row>
    <row r="57716" spans="7:16" s="1634" customFormat="1">
      <c r="G57716" s="3336"/>
      <c r="P57716" s="3337"/>
    </row>
    <row r="57717" spans="7:16" s="1634" customFormat="1">
      <c r="G57717" s="3336"/>
      <c r="P57717" s="3337"/>
    </row>
    <row r="57718" spans="7:16" s="1634" customFormat="1">
      <c r="G57718" s="3336"/>
      <c r="P57718" s="3337"/>
    </row>
    <row r="57719" spans="7:16" s="1634" customFormat="1">
      <c r="G57719" s="3336"/>
      <c r="P57719" s="3337"/>
    </row>
    <row r="57720" spans="7:16" s="1634" customFormat="1">
      <c r="G57720" s="3336"/>
      <c r="P57720" s="3337"/>
    </row>
    <row r="57721" spans="7:16" s="1634" customFormat="1">
      <c r="G57721" s="3336"/>
      <c r="P57721" s="3337"/>
    </row>
    <row r="57722" spans="7:16" s="1634" customFormat="1">
      <c r="G57722" s="3336"/>
      <c r="P57722" s="3337"/>
    </row>
    <row r="57723" spans="7:16" s="1634" customFormat="1">
      <c r="G57723" s="3336"/>
      <c r="P57723" s="3337"/>
    </row>
    <row r="57724" spans="7:16" s="1634" customFormat="1">
      <c r="G57724" s="3336"/>
      <c r="P57724" s="3337"/>
    </row>
    <row r="57725" spans="7:16" s="1634" customFormat="1">
      <c r="G57725" s="3336"/>
      <c r="P57725" s="3337"/>
    </row>
    <row r="57726" spans="7:16" s="1634" customFormat="1">
      <c r="G57726" s="3336"/>
      <c r="P57726" s="3337"/>
    </row>
    <row r="57727" spans="7:16" s="1634" customFormat="1">
      <c r="G57727" s="3336"/>
      <c r="P57727" s="3337"/>
    </row>
    <row r="57728" spans="7:16" s="1634" customFormat="1">
      <c r="G57728" s="3336"/>
      <c r="P57728" s="3337"/>
    </row>
    <row r="57729" spans="7:16" s="1634" customFormat="1">
      <c r="G57729" s="3336"/>
      <c r="P57729" s="3337"/>
    </row>
    <row r="57730" spans="7:16" s="1634" customFormat="1">
      <c r="G57730" s="3336"/>
      <c r="P57730" s="3337"/>
    </row>
    <row r="57731" spans="7:16" s="1634" customFormat="1">
      <c r="G57731" s="3336"/>
      <c r="P57731" s="3337"/>
    </row>
    <row r="57732" spans="7:16" s="1634" customFormat="1">
      <c r="G57732" s="3336"/>
      <c r="P57732" s="3337"/>
    </row>
    <row r="57733" spans="7:16" s="1634" customFormat="1">
      <c r="G57733" s="3336"/>
      <c r="P57733" s="3337"/>
    </row>
    <row r="57734" spans="7:16" s="1634" customFormat="1">
      <c r="G57734" s="3336"/>
      <c r="P57734" s="3337"/>
    </row>
    <row r="57735" spans="7:16" s="1634" customFormat="1">
      <c r="G57735" s="3336"/>
      <c r="P57735" s="3337"/>
    </row>
    <row r="57736" spans="7:16" s="1634" customFormat="1">
      <c r="G57736" s="3336"/>
      <c r="P57736" s="3337"/>
    </row>
    <row r="57737" spans="7:16" s="1634" customFormat="1">
      <c r="G57737" s="3336"/>
      <c r="P57737" s="3337"/>
    </row>
    <row r="57738" spans="7:16" s="1634" customFormat="1">
      <c r="G57738" s="3336"/>
      <c r="P57738" s="3337"/>
    </row>
    <row r="57739" spans="7:16" s="1634" customFormat="1">
      <c r="G57739" s="3336"/>
      <c r="P57739" s="3337"/>
    </row>
    <row r="57740" spans="7:16" s="1634" customFormat="1">
      <c r="G57740" s="3336"/>
      <c r="P57740" s="3337"/>
    </row>
    <row r="57741" spans="7:16" s="1634" customFormat="1">
      <c r="G57741" s="3336"/>
      <c r="P57741" s="3337"/>
    </row>
    <row r="57742" spans="7:16" s="1634" customFormat="1">
      <c r="G57742" s="3336"/>
      <c r="P57742" s="3337"/>
    </row>
    <row r="57743" spans="7:16" s="1634" customFormat="1">
      <c r="G57743" s="3336"/>
      <c r="P57743" s="3337"/>
    </row>
    <row r="57744" spans="7:16" s="1634" customFormat="1">
      <c r="G57744" s="3336"/>
      <c r="P57744" s="3337"/>
    </row>
    <row r="57745" spans="7:16" s="1634" customFormat="1">
      <c r="G57745" s="3336"/>
      <c r="P57745" s="3337"/>
    </row>
    <row r="57746" spans="7:16" s="1634" customFormat="1">
      <c r="G57746" s="3336"/>
      <c r="P57746" s="3337"/>
    </row>
    <row r="57747" spans="7:16" s="1634" customFormat="1">
      <c r="G57747" s="3336"/>
      <c r="P57747" s="3337"/>
    </row>
    <row r="57748" spans="7:16" s="1634" customFormat="1">
      <c r="G57748" s="3336"/>
      <c r="P57748" s="3337"/>
    </row>
    <row r="57749" spans="7:16" s="1634" customFormat="1">
      <c r="G57749" s="3336"/>
      <c r="P57749" s="3337"/>
    </row>
    <row r="57750" spans="7:16" s="1634" customFormat="1">
      <c r="G57750" s="3336"/>
      <c r="P57750" s="3337"/>
    </row>
    <row r="57751" spans="7:16" s="1634" customFormat="1">
      <c r="G57751" s="3336"/>
      <c r="P57751" s="3337"/>
    </row>
    <row r="57752" spans="7:16" s="1634" customFormat="1">
      <c r="G57752" s="3336"/>
      <c r="P57752" s="3337"/>
    </row>
    <row r="57753" spans="7:16" s="1634" customFormat="1">
      <c r="G57753" s="3336"/>
      <c r="P57753" s="3337"/>
    </row>
    <row r="57754" spans="7:16" s="1634" customFormat="1">
      <c r="G57754" s="3336"/>
      <c r="P57754" s="3337"/>
    </row>
    <row r="57755" spans="7:16" s="1634" customFormat="1">
      <c r="G57755" s="3336"/>
      <c r="P57755" s="3337"/>
    </row>
    <row r="57756" spans="7:16" s="1634" customFormat="1">
      <c r="G57756" s="3336"/>
      <c r="P57756" s="3337"/>
    </row>
    <row r="57757" spans="7:16" s="1634" customFormat="1">
      <c r="G57757" s="3336"/>
      <c r="P57757" s="3337"/>
    </row>
    <row r="57758" spans="7:16" s="1634" customFormat="1">
      <c r="G57758" s="3336"/>
      <c r="P57758" s="3337"/>
    </row>
    <row r="57759" spans="7:16" s="1634" customFormat="1">
      <c r="G57759" s="3336"/>
      <c r="P57759" s="3337"/>
    </row>
    <row r="57760" spans="7:16" s="1634" customFormat="1">
      <c r="G57760" s="3336"/>
      <c r="P57760" s="3337"/>
    </row>
    <row r="57761" spans="7:16" s="1634" customFormat="1">
      <c r="G57761" s="3336"/>
      <c r="P57761" s="3337"/>
    </row>
    <row r="57762" spans="7:16" s="1634" customFormat="1">
      <c r="G57762" s="3336"/>
      <c r="P57762" s="3337"/>
    </row>
    <row r="57763" spans="7:16" s="1634" customFormat="1">
      <c r="G57763" s="3336"/>
      <c r="P57763" s="3337"/>
    </row>
    <row r="57764" spans="7:16" s="1634" customFormat="1">
      <c r="G57764" s="3336"/>
      <c r="P57764" s="3337"/>
    </row>
    <row r="57765" spans="7:16" s="1634" customFormat="1">
      <c r="G57765" s="3336"/>
      <c r="P57765" s="3337"/>
    </row>
    <row r="57766" spans="7:16" s="1634" customFormat="1">
      <c r="G57766" s="3336"/>
      <c r="P57766" s="3337"/>
    </row>
    <row r="57767" spans="7:16" s="1634" customFormat="1">
      <c r="G57767" s="3336"/>
      <c r="P57767" s="3337"/>
    </row>
    <row r="57768" spans="7:16" s="1634" customFormat="1">
      <c r="G57768" s="3336"/>
      <c r="P57768" s="3337"/>
    </row>
    <row r="57769" spans="7:16" s="1634" customFormat="1">
      <c r="G57769" s="3336"/>
      <c r="P57769" s="3337"/>
    </row>
    <row r="57770" spans="7:16" s="1634" customFormat="1">
      <c r="G57770" s="3336"/>
      <c r="P57770" s="3337"/>
    </row>
    <row r="57771" spans="7:16" s="1634" customFormat="1">
      <c r="G57771" s="3336"/>
      <c r="P57771" s="3337"/>
    </row>
    <row r="57772" spans="7:16" s="1634" customFormat="1">
      <c r="G57772" s="3336"/>
      <c r="P57772" s="3337"/>
    </row>
    <row r="57773" spans="7:16" s="1634" customFormat="1">
      <c r="G57773" s="3336"/>
      <c r="P57773" s="3337"/>
    </row>
    <row r="57774" spans="7:16" s="1634" customFormat="1">
      <c r="G57774" s="3336"/>
      <c r="P57774" s="3337"/>
    </row>
    <row r="57775" spans="7:16" s="1634" customFormat="1">
      <c r="G57775" s="3336"/>
      <c r="P57775" s="3337"/>
    </row>
    <row r="57776" spans="7:16" s="1634" customFormat="1">
      <c r="G57776" s="3336"/>
      <c r="P57776" s="3337"/>
    </row>
    <row r="57777" spans="7:16" s="1634" customFormat="1">
      <c r="G57777" s="3336"/>
      <c r="P57777" s="3337"/>
    </row>
    <row r="57778" spans="7:16" s="1634" customFormat="1">
      <c r="G57778" s="3336"/>
      <c r="P57778" s="3337"/>
    </row>
    <row r="57779" spans="7:16" s="1634" customFormat="1">
      <c r="G57779" s="3336"/>
      <c r="P57779" s="3337"/>
    </row>
    <row r="57780" spans="7:16" s="1634" customFormat="1">
      <c r="G57780" s="3336"/>
      <c r="P57780" s="3337"/>
    </row>
    <row r="57781" spans="7:16" s="1634" customFormat="1">
      <c r="G57781" s="3336"/>
      <c r="P57781" s="3337"/>
    </row>
    <row r="57782" spans="7:16" s="1634" customFormat="1">
      <c r="G57782" s="3336"/>
      <c r="P57782" s="3337"/>
    </row>
    <row r="57783" spans="7:16" s="1634" customFormat="1">
      <c r="G57783" s="3336"/>
      <c r="P57783" s="3337"/>
    </row>
    <row r="57784" spans="7:16" s="1634" customFormat="1">
      <c r="G57784" s="3336"/>
      <c r="P57784" s="3337"/>
    </row>
    <row r="57785" spans="7:16" s="1634" customFormat="1">
      <c r="G57785" s="3336"/>
      <c r="P57785" s="3337"/>
    </row>
    <row r="57786" spans="7:16" s="1634" customFormat="1">
      <c r="G57786" s="3336"/>
      <c r="P57786" s="3337"/>
    </row>
    <row r="57787" spans="7:16" s="1634" customFormat="1">
      <c r="G57787" s="3336"/>
      <c r="P57787" s="3337"/>
    </row>
    <row r="57788" spans="7:16" s="1634" customFormat="1">
      <c r="G57788" s="3336"/>
      <c r="P57788" s="3337"/>
    </row>
    <row r="57789" spans="7:16" s="1634" customFormat="1">
      <c r="G57789" s="3336"/>
      <c r="P57789" s="3337"/>
    </row>
    <row r="57790" spans="7:16" s="1634" customFormat="1">
      <c r="G57790" s="3336"/>
      <c r="P57790" s="3337"/>
    </row>
    <row r="57791" spans="7:16" s="1634" customFormat="1">
      <c r="G57791" s="3336"/>
      <c r="P57791" s="3337"/>
    </row>
    <row r="57792" spans="7:16" s="1634" customFormat="1">
      <c r="G57792" s="3336"/>
      <c r="P57792" s="3337"/>
    </row>
    <row r="57793" spans="7:16" s="1634" customFormat="1">
      <c r="G57793" s="3336"/>
      <c r="P57793" s="3337"/>
    </row>
    <row r="57794" spans="7:16" s="1634" customFormat="1">
      <c r="G57794" s="3336"/>
      <c r="P57794" s="3337"/>
    </row>
    <row r="57795" spans="7:16" s="1634" customFormat="1">
      <c r="G57795" s="3336"/>
      <c r="P57795" s="3337"/>
    </row>
    <row r="57796" spans="7:16" s="1634" customFormat="1">
      <c r="G57796" s="3336"/>
      <c r="P57796" s="3337"/>
    </row>
    <row r="57797" spans="7:16" s="1634" customFormat="1">
      <c r="G57797" s="3336"/>
      <c r="P57797" s="3337"/>
    </row>
    <row r="57798" spans="7:16" s="1634" customFormat="1">
      <c r="G57798" s="3336"/>
      <c r="P57798" s="3337"/>
    </row>
    <row r="57799" spans="7:16" s="1634" customFormat="1">
      <c r="G57799" s="3336"/>
      <c r="P57799" s="3337"/>
    </row>
    <row r="57800" spans="7:16" s="1634" customFormat="1">
      <c r="G57800" s="3336"/>
      <c r="P57800" s="3337"/>
    </row>
    <row r="57801" spans="7:16" s="1634" customFormat="1">
      <c r="G57801" s="3336"/>
      <c r="P57801" s="3337"/>
    </row>
    <row r="57802" spans="7:16" s="1634" customFormat="1">
      <c r="G57802" s="3336"/>
      <c r="P57802" s="3337"/>
    </row>
    <row r="57803" spans="7:16" s="1634" customFormat="1">
      <c r="G57803" s="3336"/>
      <c r="P57803" s="3337"/>
    </row>
    <row r="57804" spans="7:16" s="1634" customFormat="1">
      <c r="G57804" s="3336"/>
      <c r="P57804" s="3337"/>
    </row>
    <row r="57805" spans="7:16" s="1634" customFormat="1">
      <c r="G57805" s="3336"/>
      <c r="P57805" s="3337"/>
    </row>
    <row r="57806" spans="7:16" s="1634" customFormat="1">
      <c r="G57806" s="3336"/>
      <c r="P57806" s="3337"/>
    </row>
    <row r="57807" spans="7:16" s="1634" customFormat="1">
      <c r="G57807" s="3336"/>
      <c r="P57807" s="3337"/>
    </row>
    <row r="57808" spans="7:16" s="1634" customFormat="1">
      <c r="G57808" s="3336"/>
      <c r="P57808" s="3337"/>
    </row>
    <row r="57809" spans="7:16" s="1634" customFormat="1">
      <c r="G57809" s="3336"/>
      <c r="P57809" s="3337"/>
    </row>
    <row r="57810" spans="7:16" s="1634" customFormat="1">
      <c r="G57810" s="3336"/>
      <c r="P57810" s="3337"/>
    </row>
    <row r="57811" spans="7:16" s="1634" customFormat="1">
      <c r="G57811" s="3336"/>
      <c r="P57811" s="3337"/>
    </row>
    <row r="57812" spans="7:16" s="1634" customFormat="1">
      <c r="G57812" s="3336"/>
      <c r="P57812" s="3337"/>
    </row>
    <row r="57813" spans="7:16" s="1634" customFormat="1">
      <c r="G57813" s="3336"/>
      <c r="P57813" s="3337"/>
    </row>
    <row r="57814" spans="7:16" s="1634" customFormat="1">
      <c r="G57814" s="3336"/>
      <c r="P57814" s="3337"/>
    </row>
    <row r="57815" spans="7:16" s="1634" customFormat="1">
      <c r="G57815" s="3336"/>
      <c r="P57815" s="3337"/>
    </row>
    <row r="57816" spans="7:16" s="1634" customFormat="1">
      <c r="G57816" s="3336"/>
      <c r="P57816" s="3337"/>
    </row>
    <row r="57817" spans="7:16" s="1634" customFormat="1">
      <c r="G57817" s="3336"/>
      <c r="P57817" s="3337"/>
    </row>
    <row r="57818" spans="7:16" s="1634" customFormat="1">
      <c r="G57818" s="3336"/>
      <c r="P57818" s="3337"/>
    </row>
    <row r="57819" spans="7:16" s="1634" customFormat="1">
      <c r="G57819" s="3336"/>
      <c r="P57819" s="3337"/>
    </row>
    <row r="57820" spans="7:16" s="1634" customFormat="1">
      <c r="G57820" s="3336"/>
      <c r="P57820" s="3337"/>
    </row>
    <row r="57821" spans="7:16" s="1634" customFormat="1">
      <c r="G57821" s="3336"/>
      <c r="P57821" s="3337"/>
    </row>
    <row r="57822" spans="7:16" s="1634" customFormat="1">
      <c r="G57822" s="3336"/>
      <c r="P57822" s="3337"/>
    </row>
    <row r="57823" spans="7:16" s="1634" customFormat="1">
      <c r="G57823" s="3336"/>
      <c r="P57823" s="3337"/>
    </row>
    <row r="57824" spans="7:16" s="1634" customFormat="1">
      <c r="G57824" s="3336"/>
      <c r="P57824" s="3337"/>
    </row>
    <row r="57825" spans="7:16" s="1634" customFormat="1">
      <c r="G57825" s="3336"/>
      <c r="P57825" s="3337"/>
    </row>
    <row r="57826" spans="7:16" s="1634" customFormat="1">
      <c r="G57826" s="3336"/>
      <c r="P57826" s="3337"/>
    </row>
    <row r="57827" spans="7:16" s="1634" customFormat="1">
      <c r="G57827" s="3336"/>
      <c r="P57827" s="3337"/>
    </row>
    <row r="57828" spans="7:16" s="1634" customFormat="1">
      <c r="G57828" s="3336"/>
      <c r="P57828" s="3337"/>
    </row>
    <row r="57829" spans="7:16" s="1634" customFormat="1">
      <c r="G57829" s="3336"/>
      <c r="P57829" s="3337"/>
    </row>
    <row r="57830" spans="7:16" s="1634" customFormat="1">
      <c r="G57830" s="3336"/>
      <c r="P57830" s="3337"/>
    </row>
    <row r="57831" spans="7:16" s="1634" customFormat="1">
      <c r="G57831" s="3336"/>
      <c r="P57831" s="3337"/>
    </row>
    <row r="57832" spans="7:16" s="1634" customFormat="1">
      <c r="G57832" s="3336"/>
      <c r="P57832" s="3337"/>
    </row>
    <row r="57833" spans="7:16" s="1634" customFormat="1">
      <c r="G57833" s="3336"/>
      <c r="P57833" s="3337"/>
    </row>
    <row r="57834" spans="7:16" s="1634" customFormat="1">
      <c r="G57834" s="3336"/>
      <c r="P57834" s="3337"/>
    </row>
    <row r="57835" spans="7:16" s="1634" customFormat="1">
      <c r="G57835" s="3336"/>
      <c r="P57835" s="3337"/>
    </row>
    <row r="57836" spans="7:16" s="1634" customFormat="1">
      <c r="G57836" s="3336"/>
      <c r="P57836" s="3337"/>
    </row>
    <row r="57837" spans="7:16" s="1634" customFormat="1">
      <c r="G57837" s="3336"/>
      <c r="P57837" s="3337"/>
    </row>
    <row r="57838" spans="7:16" s="1634" customFormat="1">
      <c r="G57838" s="3336"/>
      <c r="P57838" s="3337"/>
    </row>
    <row r="57839" spans="7:16" s="1634" customFormat="1">
      <c r="G57839" s="3336"/>
      <c r="P57839" s="3337"/>
    </row>
    <row r="57840" spans="7:16" s="1634" customFormat="1">
      <c r="G57840" s="3336"/>
      <c r="P57840" s="3337"/>
    </row>
    <row r="57841" spans="7:16" s="1634" customFormat="1">
      <c r="G57841" s="3336"/>
      <c r="P57841" s="3337"/>
    </row>
    <row r="57842" spans="7:16" s="1634" customFormat="1">
      <c r="G57842" s="3336"/>
      <c r="P57842" s="3337"/>
    </row>
    <row r="57843" spans="7:16" s="1634" customFormat="1">
      <c r="G57843" s="3336"/>
      <c r="P57843" s="3337"/>
    </row>
    <row r="57844" spans="7:16" s="1634" customFormat="1">
      <c r="G57844" s="3336"/>
      <c r="P57844" s="3337"/>
    </row>
    <row r="57845" spans="7:16" s="1634" customFormat="1">
      <c r="G57845" s="3336"/>
      <c r="P57845" s="3337"/>
    </row>
    <row r="57846" spans="7:16" s="1634" customFormat="1">
      <c r="G57846" s="3336"/>
      <c r="P57846" s="3337"/>
    </row>
    <row r="57847" spans="7:16" s="1634" customFormat="1">
      <c r="G57847" s="3336"/>
      <c r="P57847" s="3337"/>
    </row>
    <row r="57848" spans="7:16" s="1634" customFormat="1">
      <c r="G57848" s="3336"/>
      <c r="P57848" s="3337"/>
    </row>
    <row r="57849" spans="7:16" s="1634" customFormat="1">
      <c r="G57849" s="3336"/>
      <c r="P57849" s="3337"/>
    </row>
    <row r="57850" spans="7:16" s="1634" customFormat="1">
      <c r="G57850" s="3336"/>
      <c r="P57850" s="3337"/>
    </row>
    <row r="57851" spans="7:16" s="1634" customFormat="1">
      <c r="G57851" s="3336"/>
      <c r="P57851" s="3337"/>
    </row>
    <row r="57852" spans="7:16" s="1634" customFormat="1">
      <c r="G57852" s="3336"/>
      <c r="P57852" s="3337"/>
    </row>
    <row r="57853" spans="7:16" s="1634" customFormat="1">
      <c r="G57853" s="3336"/>
      <c r="P57853" s="3337"/>
    </row>
    <row r="57854" spans="7:16" s="1634" customFormat="1">
      <c r="G57854" s="3336"/>
      <c r="P57854" s="3337"/>
    </row>
    <row r="57855" spans="7:16" s="1634" customFormat="1">
      <c r="G57855" s="3336"/>
      <c r="P57855" s="3337"/>
    </row>
    <row r="57856" spans="7:16" s="1634" customFormat="1">
      <c r="G57856" s="3336"/>
      <c r="P57856" s="3337"/>
    </row>
    <row r="57857" spans="7:16" s="1634" customFormat="1">
      <c r="G57857" s="3336"/>
      <c r="P57857" s="3337"/>
    </row>
    <row r="57858" spans="7:16" s="1634" customFormat="1">
      <c r="G57858" s="3336"/>
      <c r="P57858" s="3337"/>
    </row>
    <row r="57859" spans="7:16" s="1634" customFormat="1">
      <c r="G57859" s="3336"/>
      <c r="P57859" s="3337"/>
    </row>
    <row r="57860" spans="7:16" s="1634" customFormat="1">
      <c r="G57860" s="3336"/>
      <c r="P57860" s="3337"/>
    </row>
    <row r="57861" spans="7:16" s="1634" customFormat="1">
      <c r="G57861" s="3336"/>
      <c r="P57861" s="3337"/>
    </row>
    <row r="57862" spans="7:16" s="1634" customFormat="1">
      <c r="G57862" s="3336"/>
      <c r="P57862" s="3337"/>
    </row>
    <row r="57863" spans="7:16" s="1634" customFormat="1">
      <c r="G57863" s="3336"/>
      <c r="P57863" s="3337"/>
    </row>
    <row r="57864" spans="7:16" s="1634" customFormat="1">
      <c r="G57864" s="3336"/>
      <c r="P57864" s="3337"/>
    </row>
    <row r="57865" spans="7:16" s="1634" customFormat="1">
      <c r="G57865" s="3336"/>
      <c r="P57865" s="3337"/>
    </row>
    <row r="57866" spans="7:16" s="1634" customFormat="1">
      <c r="G57866" s="3336"/>
      <c r="P57866" s="3337"/>
    </row>
    <row r="57867" spans="7:16" s="1634" customFormat="1">
      <c r="G57867" s="3336"/>
      <c r="P57867" s="3337"/>
    </row>
    <row r="57868" spans="7:16" s="1634" customFormat="1">
      <c r="G57868" s="3336"/>
      <c r="P57868" s="3337"/>
    </row>
    <row r="57869" spans="7:16" s="1634" customFormat="1">
      <c r="G57869" s="3336"/>
      <c r="P57869" s="3337"/>
    </row>
    <row r="57870" spans="7:16" s="1634" customFormat="1">
      <c r="G57870" s="3336"/>
      <c r="P57870" s="3337"/>
    </row>
    <row r="57871" spans="7:16" s="1634" customFormat="1">
      <c r="G57871" s="3336"/>
      <c r="P57871" s="3337"/>
    </row>
    <row r="57872" spans="7:16" s="1634" customFormat="1">
      <c r="G57872" s="3336"/>
      <c r="P57872" s="3337"/>
    </row>
    <row r="57873" spans="7:16" s="1634" customFormat="1">
      <c r="G57873" s="3336"/>
      <c r="P57873" s="3337"/>
    </row>
    <row r="57874" spans="7:16" s="1634" customFormat="1">
      <c r="G57874" s="3336"/>
      <c r="P57874" s="3337"/>
    </row>
    <row r="57875" spans="7:16" s="1634" customFormat="1">
      <c r="G57875" s="3336"/>
      <c r="P57875" s="3337"/>
    </row>
    <row r="57876" spans="7:16" s="1634" customFormat="1">
      <c r="G57876" s="3336"/>
      <c r="P57876" s="3337"/>
    </row>
    <row r="57877" spans="7:16" s="1634" customFormat="1">
      <c r="G57877" s="3336"/>
      <c r="P57877" s="3337"/>
    </row>
    <row r="57878" spans="7:16" s="1634" customFormat="1">
      <c r="G57878" s="3336"/>
      <c r="P57878" s="3337"/>
    </row>
    <row r="57879" spans="7:16" s="1634" customFormat="1">
      <c r="G57879" s="3336"/>
      <c r="P57879" s="3337"/>
    </row>
    <row r="57880" spans="7:16" s="1634" customFormat="1">
      <c r="G57880" s="3336"/>
      <c r="P57880" s="3337"/>
    </row>
    <row r="57881" spans="7:16" s="1634" customFormat="1">
      <c r="G57881" s="3336"/>
      <c r="P57881" s="3337"/>
    </row>
    <row r="57882" spans="7:16" s="1634" customFormat="1">
      <c r="G57882" s="3336"/>
      <c r="P57882" s="3337"/>
    </row>
    <row r="57883" spans="7:16" s="1634" customFormat="1">
      <c r="G57883" s="3336"/>
      <c r="P57883" s="3337"/>
    </row>
    <row r="57884" spans="7:16" s="1634" customFormat="1">
      <c r="G57884" s="3336"/>
      <c r="P57884" s="3337"/>
    </row>
    <row r="57885" spans="7:16" s="1634" customFormat="1">
      <c r="G57885" s="3336"/>
      <c r="P57885" s="3337"/>
    </row>
    <row r="57886" spans="7:16" s="1634" customFormat="1">
      <c r="G57886" s="3336"/>
      <c r="P57886" s="3337"/>
    </row>
    <row r="57887" spans="7:16" s="1634" customFormat="1">
      <c r="G57887" s="3336"/>
      <c r="P57887" s="3337"/>
    </row>
    <row r="57888" spans="7:16" s="1634" customFormat="1">
      <c r="G57888" s="3336"/>
      <c r="P57888" s="3337"/>
    </row>
    <row r="57889" spans="7:16" s="1634" customFormat="1">
      <c r="G57889" s="3336"/>
      <c r="P57889" s="3337"/>
    </row>
    <row r="57890" spans="7:16" s="1634" customFormat="1">
      <c r="G57890" s="3336"/>
      <c r="P57890" s="3337"/>
    </row>
    <row r="57891" spans="7:16" s="1634" customFormat="1">
      <c r="G57891" s="3336"/>
      <c r="P57891" s="3337"/>
    </row>
    <row r="57892" spans="7:16" s="1634" customFormat="1">
      <c r="G57892" s="3336"/>
      <c r="P57892" s="3337"/>
    </row>
    <row r="57893" spans="7:16" s="1634" customFormat="1">
      <c r="G57893" s="3336"/>
      <c r="P57893" s="3337"/>
    </row>
    <row r="57894" spans="7:16" s="1634" customFormat="1">
      <c r="G57894" s="3336"/>
      <c r="P57894" s="3337"/>
    </row>
    <row r="57895" spans="7:16" s="1634" customFormat="1">
      <c r="G57895" s="3336"/>
      <c r="P57895" s="3337"/>
    </row>
    <row r="57896" spans="7:16" s="1634" customFormat="1">
      <c r="G57896" s="3336"/>
      <c r="P57896" s="3337"/>
    </row>
    <row r="57897" spans="7:16" s="1634" customFormat="1">
      <c r="G57897" s="3336"/>
      <c r="P57897" s="3337"/>
    </row>
    <row r="57898" spans="7:16" s="1634" customFormat="1">
      <c r="G57898" s="3336"/>
      <c r="P57898" s="3337"/>
    </row>
    <row r="57899" spans="7:16" s="1634" customFormat="1">
      <c r="G57899" s="3336"/>
      <c r="P57899" s="3337"/>
    </row>
    <row r="57900" spans="7:16" s="1634" customFormat="1">
      <c r="G57900" s="3336"/>
      <c r="P57900" s="3337"/>
    </row>
    <row r="57901" spans="7:16" s="1634" customFormat="1">
      <c r="G57901" s="3336"/>
      <c r="P57901" s="3337"/>
    </row>
    <row r="57902" spans="7:16" s="1634" customFormat="1">
      <c r="G57902" s="3336"/>
      <c r="P57902" s="3337"/>
    </row>
    <row r="57903" spans="7:16" s="1634" customFormat="1">
      <c r="G57903" s="3336"/>
      <c r="P57903" s="3337"/>
    </row>
    <row r="57904" spans="7:16" s="1634" customFormat="1">
      <c r="G57904" s="3336"/>
      <c r="P57904" s="3337"/>
    </row>
    <row r="57905" spans="7:16" s="1634" customFormat="1">
      <c r="G57905" s="3336"/>
      <c r="P57905" s="3337"/>
    </row>
    <row r="57906" spans="7:16" s="1634" customFormat="1">
      <c r="G57906" s="3336"/>
      <c r="P57906" s="3337"/>
    </row>
    <row r="57907" spans="7:16" s="1634" customFormat="1">
      <c r="G57907" s="3336"/>
      <c r="P57907" s="3337"/>
    </row>
    <row r="57908" spans="7:16" s="1634" customFormat="1">
      <c r="G57908" s="3336"/>
      <c r="P57908" s="3337"/>
    </row>
    <row r="57909" spans="7:16" s="1634" customFormat="1">
      <c r="G57909" s="3336"/>
      <c r="P57909" s="3337"/>
    </row>
    <row r="57910" spans="7:16" s="1634" customFormat="1">
      <c r="G57910" s="3336"/>
      <c r="P57910" s="3337"/>
    </row>
    <row r="57911" spans="7:16" s="1634" customFormat="1">
      <c r="G57911" s="3336"/>
      <c r="P57911" s="3337"/>
    </row>
    <row r="57912" spans="7:16" s="1634" customFormat="1">
      <c r="G57912" s="3336"/>
      <c r="P57912" s="3337"/>
    </row>
    <row r="57913" spans="7:16" s="1634" customFormat="1">
      <c r="G57913" s="3336"/>
      <c r="P57913" s="3337"/>
    </row>
    <row r="57914" spans="7:16" s="1634" customFormat="1">
      <c r="G57914" s="3336"/>
      <c r="P57914" s="3337"/>
    </row>
    <row r="57915" spans="7:16" s="1634" customFormat="1">
      <c r="G57915" s="3336"/>
      <c r="P57915" s="3337"/>
    </row>
    <row r="57916" spans="7:16" s="1634" customFormat="1">
      <c r="G57916" s="3336"/>
      <c r="P57916" s="3337"/>
    </row>
    <row r="57917" spans="7:16" s="1634" customFormat="1">
      <c r="G57917" s="3336"/>
      <c r="P57917" s="3337"/>
    </row>
    <row r="57918" spans="7:16" s="1634" customFormat="1">
      <c r="G57918" s="3336"/>
      <c r="P57918" s="3337"/>
    </row>
    <row r="57919" spans="7:16" s="1634" customFormat="1">
      <c r="G57919" s="3336"/>
      <c r="P57919" s="3337"/>
    </row>
    <row r="57920" spans="7:16" s="1634" customFormat="1">
      <c r="G57920" s="3336"/>
      <c r="P57920" s="3337"/>
    </row>
    <row r="57921" spans="7:16" s="1634" customFormat="1">
      <c r="G57921" s="3336"/>
      <c r="P57921" s="3337"/>
    </row>
    <row r="57922" spans="7:16" s="1634" customFormat="1">
      <c r="G57922" s="3336"/>
      <c r="P57922" s="3337"/>
    </row>
    <row r="57923" spans="7:16" s="1634" customFormat="1">
      <c r="G57923" s="3336"/>
      <c r="P57923" s="3337"/>
    </row>
    <row r="57924" spans="7:16" s="1634" customFormat="1">
      <c r="G57924" s="3336"/>
      <c r="P57924" s="3337"/>
    </row>
    <row r="57925" spans="7:16" s="1634" customFormat="1">
      <c r="G57925" s="3336"/>
      <c r="P57925" s="3337"/>
    </row>
    <row r="57926" spans="7:16" s="1634" customFormat="1">
      <c r="G57926" s="3336"/>
      <c r="P57926" s="3337"/>
    </row>
    <row r="57927" spans="7:16" s="1634" customFormat="1">
      <c r="G57927" s="3336"/>
      <c r="P57927" s="3337"/>
    </row>
    <row r="57928" spans="7:16" s="1634" customFormat="1">
      <c r="G57928" s="3336"/>
      <c r="P57928" s="3337"/>
    </row>
    <row r="57929" spans="7:16" s="1634" customFormat="1">
      <c r="G57929" s="3336"/>
      <c r="P57929" s="3337"/>
    </row>
    <row r="57930" spans="7:16" s="1634" customFormat="1">
      <c r="G57930" s="3336"/>
      <c r="P57930" s="3337"/>
    </row>
    <row r="57931" spans="7:16" s="1634" customFormat="1">
      <c r="G57931" s="3336"/>
      <c r="P57931" s="3337"/>
    </row>
    <row r="57932" spans="7:16" s="1634" customFormat="1">
      <c r="G57932" s="3336"/>
      <c r="P57932" s="3337"/>
    </row>
    <row r="57933" spans="7:16" s="1634" customFormat="1">
      <c r="G57933" s="3336"/>
      <c r="P57933" s="3337"/>
    </row>
    <row r="57934" spans="7:16" s="1634" customFormat="1">
      <c r="G57934" s="3336"/>
      <c r="P57934" s="3337"/>
    </row>
    <row r="57935" spans="7:16" s="1634" customFormat="1">
      <c r="G57935" s="3336"/>
      <c r="P57935" s="3337"/>
    </row>
    <row r="57936" spans="7:16" s="1634" customFormat="1">
      <c r="G57936" s="3336"/>
      <c r="P57936" s="3337"/>
    </row>
    <row r="57937" spans="7:16" s="1634" customFormat="1">
      <c r="G57937" s="3336"/>
      <c r="P57937" s="3337"/>
    </row>
    <row r="57938" spans="7:16" s="1634" customFormat="1">
      <c r="G57938" s="3336"/>
      <c r="P57938" s="3337"/>
    </row>
    <row r="57939" spans="7:16" s="1634" customFormat="1">
      <c r="G57939" s="3336"/>
      <c r="P57939" s="3337"/>
    </row>
    <row r="57940" spans="7:16" s="1634" customFormat="1">
      <c r="G57940" s="3336"/>
      <c r="P57940" s="3337"/>
    </row>
    <row r="57941" spans="7:16" s="1634" customFormat="1">
      <c r="G57941" s="3336"/>
      <c r="P57941" s="3337"/>
    </row>
    <row r="57942" spans="7:16" s="1634" customFormat="1">
      <c r="G57942" s="3336"/>
      <c r="P57942" s="3337"/>
    </row>
    <row r="57943" spans="7:16" s="1634" customFormat="1">
      <c r="G57943" s="3336"/>
      <c r="P57943" s="3337"/>
    </row>
    <row r="57944" spans="7:16" s="1634" customFormat="1">
      <c r="G57944" s="3336"/>
      <c r="P57944" s="3337"/>
    </row>
    <row r="57945" spans="7:16" s="1634" customFormat="1">
      <c r="G57945" s="3336"/>
      <c r="P57945" s="3337"/>
    </row>
    <row r="57946" spans="7:16" s="1634" customFormat="1">
      <c r="G57946" s="3336"/>
      <c r="P57946" s="3337"/>
    </row>
    <row r="57947" spans="7:16" s="1634" customFormat="1">
      <c r="G57947" s="3336"/>
      <c r="P57947" s="3337"/>
    </row>
    <row r="57948" spans="7:16" s="1634" customFormat="1">
      <c r="G57948" s="3336"/>
      <c r="P57948" s="3337"/>
    </row>
    <row r="57949" spans="7:16" s="1634" customFormat="1">
      <c r="G57949" s="3336"/>
      <c r="P57949" s="3337"/>
    </row>
    <row r="57950" spans="7:16" s="1634" customFormat="1">
      <c r="G57950" s="3336"/>
      <c r="P57950" s="3337"/>
    </row>
    <row r="57951" spans="7:16" s="1634" customFormat="1">
      <c r="G57951" s="3336"/>
      <c r="P57951" s="3337"/>
    </row>
    <row r="57952" spans="7:16" s="1634" customFormat="1">
      <c r="G57952" s="3336"/>
      <c r="P57952" s="3337"/>
    </row>
    <row r="57953" spans="7:16" s="1634" customFormat="1">
      <c r="G57953" s="3336"/>
      <c r="P57953" s="3337"/>
    </row>
    <row r="57954" spans="7:16" s="1634" customFormat="1">
      <c r="G57954" s="3336"/>
      <c r="P57954" s="3337"/>
    </row>
    <row r="57955" spans="7:16" s="1634" customFormat="1">
      <c r="G57955" s="3336"/>
      <c r="P57955" s="3337"/>
    </row>
    <row r="57956" spans="7:16" s="1634" customFormat="1">
      <c r="G57956" s="3336"/>
      <c r="P57956" s="3337"/>
    </row>
    <row r="57957" spans="7:16" s="1634" customFormat="1">
      <c r="G57957" s="3336"/>
      <c r="P57957" s="3337"/>
    </row>
    <row r="57958" spans="7:16" s="1634" customFormat="1">
      <c r="G57958" s="3336"/>
      <c r="P57958" s="3337"/>
    </row>
    <row r="57959" spans="7:16" s="1634" customFormat="1">
      <c r="G57959" s="3336"/>
      <c r="P57959" s="3337"/>
    </row>
    <row r="57960" spans="7:16" s="1634" customFormat="1">
      <c r="G57960" s="3336"/>
      <c r="P57960" s="3337"/>
    </row>
    <row r="57961" spans="7:16" s="1634" customFormat="1">
      <c r="G57961" s="3336"/>
      <c r="P57961" s="3337"/>
    </row>
    <row r="57962" spans="7:16" s="1634" customFormat="1">
      <c r="G57962" s="3336"/>
      <c r="P57962" s="3337"/>
    </row>
    <row r="57963" spans="7:16" s="1634" customFormat="1">
      <c r="G57963" s="3336"/>
      <c r="P57963" s="3337"/>
    </row>
    <row r="57964" spans="7:16" s="1634" customFormat="1">
      <c r="G57964" s="3336"/>
      <c r="P57964" s="3337"/>
    </row>
    <row r="57965" spans="7:16" s="1634" customFormat="1">
      <c r="G57965" s="3336"/>
      <c r="P57965" s="3337"/>
    </row>
    <row r="57966" spans="7:16" s="1634" customFormat="1">
      <c r="G57966" s="3336"/>
      <c r="P57966" s="3337"/>
    </row>
    <row r="57967" spans="7:16" s="1634" customFormat="1">
      <c r="G57967" s="3336"/>
      <c r="P57967" s="3337"/>
    </row>
    <row r="57968" spans="7:16" s="1634" customFormat="1">
      <c r="G57968" s="3336"/>
      <c r="P57968" s="3337"/>
    </row>
    <row r="57969" spans="7:16" s="1634" customFormat="1">
      <c r="G57969" s="3336"/>
      <c r="P57969" s="3337"/>
    </row>
    <row r="57970" spans="7:16" s="1634" customFormat="1">
      <c r="G57970" s="3336"/>
      <c r="P57970" s="3337"/>
    </row>
    <row r="57971" spans="7:16" s="1634" customFormat="1">
      <c r="G57971" s="3336"/>
      <c r="P57971" s="3337"/>
    </row>
    <row r="57972" spans="7:16" s="1634" customFormat="1">
      <c r="G57972" s="3336"/>
      <c r="P57972" s="3337"/>
    </row>
    <row r="57973" spans="7:16" s="1634" customFormat="1">
      <c r="G57973" s="3336"/>
      <c r="P57973" s="3337"/>
    </row>
    <row r="57974" spans="7:16" s="1634" customFormat="1">
      <c r="G57974" s="3336"/>
      <c r="P57974" s="3337"/>
    </row>
    <row r="57975" spans="7:16" s="1634" customFormat="1">
      <c r="G57975" s="3336"/>
      <c r="P57975" s="3337"/>
    </row>
    <row r="57976" spans="7:16" s="1634" customFormat="1">
      <c r="G57976" s="3336"/>
      <c r="P57976" s="3337"/>
    </row>
    <row r="57977" spans="7:16" s="1634" customFormat="1">
      <c r="G57977" s="3336"/>
      <c r="P57977" s="3337"/>
    </row>
    <row r="57978" spans="7:16" s="1634" customFormat="1">
      <c r="G57978" s="3336"/>
      <c r="P57978" s="3337"/>
    </row>
    <row r="57979" spans="7:16" s="1634" customFormat="1">
      <c r="G57979" s="3336"/>
      <c r="P57979" s="3337"/>
    </row>
    <row r="57980" spans="7:16" s="1634" customFormat="1">
      <c r="G57980" s="3336"/>
      <c r="P57980" s="3337"/>
    </row>
    <row r="57981" spans="7:16" s="1634" customFormat="1">
      <c r="G57981" s="3336"/>
      <c r="P57981" s="3337"/>
    </row>
    <row r="57982" spans="7:16" s="1634" customFormat="1">
      <c r="G57982" s="3336"/>
      <c r="P57982" s="3337"/>
    </row>
    <row r="57983" spans="7:16" s="1634" customFormat="1">
      <c r="G57983" s="3336"/>
      <c r="P57983" s="3337"/>
    </row>
    <row r="57984" spans="7:16" s="1634" customFormat="1">
      <c r="G57984" s="3336"/>
      <c r="P57984" s="3337"/>
    </row>
    <row r="57985" spans="7:16" s="1634" customFormat="1">
      <c r="G57985" s="3336"/>
      <c r="P57985" s="3337"/>
    </row>
    <row r="57986" spans="7:16" s="1634" customFormat="1">
      <c r="G57986" s="3336"/>
      <c r="P57986" s="3337"/>
    </row>
    <row r="57987" spans="7:16" s="1634" customFormat="1">
      <c r="G57987" s="3336"/>
      <c r="P57987" s="3337"/>
    </row>
    <row r="57988" spans="7:16" s="1634" customFormat="1">
      <c r="G57988" s="3336"/>
      <c r="P57988" s="3337"/>
    </row>
    <row r="57989" spans="7:16" s="1634" customFormat="1">
      <c r="G57989" s="3336"/>
      <c r="P57989" s="3337"/>
    </row>
    <row r="57990" spans="7:16" s="1634" customFormat="1">
      <c r="G57990" s="3336"/>
      <c r="P57990" s="3337"/>
    </row>
    <row r="57991" spans="7:16" s="1634" customFormat="1">
      <c r="G57991" s="3336"/>
      <c r="P57991" s="3337"/>
    </row>
    <row r="57992" spans="7:16" s="1634" customFormat="1">
      <c r="G57992" s="3336"/>
      <c r="P57992" s="3337"/>
    </row>
    <row r="57993" spans="7:16" s="1634" customFormat="1">
      <c r="G57993" s="3336"/>
      <c r="P57993" s="3337"/>
    </row>
    <row r="57994" spans="7:16" s="1634" customFormat="1">
      <c r="G57994" s="3336"/>
      <c r="P57994" s="3337"/>
    </row>
    <row r="57995" spans="7:16" s="1634" customFormat="1">
      <c r="G57995" s="3336"/>
      <c r="P57995" s="3337"/>
    </row>
    <row r="57996" spans="7:16" s="1634" customFormat="1">
      <c r="G57996" s="3336"/>
      <c r="P57996" s="3337"/>
    </row>
    <row r="57997" spans="7:16" s="1634" customFormat="1">
      <c r="G57997" s="3336"/>
      <c r="P57997" s="3337"/>
    </row>
    <row r="57998" spans="7:16" s="1634" customFormat="1">
      <c r="G57998" s="3336"/>
      <c r="P57998" s="3337"/>
    </row>
    <row r="57999" spans="7:16" s="1634" customFormat="1">
      <c r="G57999" s="3336"/>
      <c r="P57999" s="3337"/>
    </row>
    <row r="58000" spans="7:16" s="1634" customFormat="1">
      <c r="G58000" s="3336"/>
      <c r="P58000" s="3337"/>
    </row>
    <row r="58001" spans="7:16" s="1634" customFormat="1">
      <c r="G58001" s="3336"/>
      <c r="P58001" s="3337"/>
    </row>
    <row r="58002" spans="7:16" s="1634" customFormat="1">
      <c r="G58002" s="3336"/>
      <c r="P58002" s="3337"/>
    </row>
    <row r="58003" spans="7:16" s="1634" customFormat="1">
      <c r="G58003" s="3336"/>
      <c r="P58003" s="3337"/>
    </row>
    <row r="58004" spans="7:16" s="1634" customFormat="1">
      <c r="G58004" s="3336"/>
      <c r="P58004" s="3337"/>
    </row>
    <row r="58005" spans="7:16" s="1634" customFormat="1">
      <c r="G58005" s="3336"/>
      <c r="P58005" s="3337"/>
    </row>
    <row r="58006" spans="7:16" s="1634" customFormat="1">
      <c r="G58006" s="3336"/>
      <c r="P58006" s="3337"/>
    </row>
    <row r="58007" spans="7:16" s="1634" customFormat="1">
      <c r="G58007" s="3336"/>
      <c r="P58007" s="3337"/>
    </row>
    <row r="58008" spans="7:16" s="1634" customFormat="1">
      <c r="G58008" s="3336"/>
      <c r="P58008" s="3337"/>
    </row>
    <row r="58009" spans="7:16" s="1634" customFormat="1">
      <c r="G58009" s="3336"/>
      <c r="P58009" s="3337"/>
    </row>
    <row r="58010" spans="7:16" s="1634" customFormat="1">
      <c r="G58010" s="3336"/>
      <c r="P58010" s="3337"/>
    </row>
    <row r="58011" spans="7:16" s="1634" customFormat="1">
      <c r="G58011" s="3336"/>
      <c r="P58011" s="3337"/>
    </row>
    <row r="58012" spans="7:16" s="1634" customFormat="1">
      <c r="G58012" s="3336"/>
      <c r="P58012" s="3337"/>
    </row>
    <row r="58013" spans="7:16" s="1634" customFormat="1">
      <c r="G58013" s="3336"/>
      <c r="P58013" s="3337"/>
    </row>
    <row r="58014" spans="7:16" s="1634" customFormat="1">
      <c r="G58014" s="3336"/>
      <c r="P58014" s="3337"/>
    </row>
    <row r="58015" spans="7:16" s="1634" customFormat="1">
      <c r="G58015" s="3336"/>
      <c r="P58015" s="3337"/>
    </row>
    <row r="58016" spans="7:16" s="1634" customFormat="1">
      <c r="G58016" s="3336"/>
      <c r="P58016" s="3337"/>
    </row>
    <row r="58017" spans="7:16" s="1634" customFormat="1">
      <c r="G58017" s="3336"/>
      <c r="P58017" s="3337"/>
    </row>
    <row r="58018" spans="7:16" s="1634" customFormat="1">
      <c r="G58018" s="3336"/>
      <c r="P58018" s="3337"/>
    </row>
    <row r="58019" spans="7:16" s="1634" customFormat="1">
      <c r="G58019" s="3336"/>
      <c r="P58019" s="3337"/>
    </row>
    <row r="58020" spans="7:16" s="1634" customFormat="1">
      <c r="G58020" s="3336"/>
      <c r="P58020" s="3337"/>
    </row>
    <row r="58021" spans="7:16" s="1634" customFormat="1">
      <c r="G58021" s="3336"/>
      <c r="P58021" s="3337"/>
    </row>
    <row r="58022" spans="7:16" s="1634" customFormat="1">
      <c r="G58022" s="3336"/>
      <c r="P58022" s="3337"/>
    </row>
    <row r="58023" spans="7:16" s="1634" customFormat="1">
      <c r="G58023" s="3336"/>
      <c r="P58023" s="3337"/>
    </row>
    <row r="58024" spans="7:16" s="1634" customFormat="1">
      <c r="G58024" s="3336"/>
      <c r="P58024" s="3337"/>
    </row>
    <row r="58025" spans="7:16" s="1634" customFormat="1">
      <c r="G58025" s="3336"/>
      <c r="P58025" s="3337"/>
    </row>
    <row r="58026" spans="7:16" s="1634" customFormat="1">
      <c r="G58026" s="3336"/>
      <c r="P58026" s="3337"/>
    </row>
    <row r="58027" spans="7:16" s="1634" customFormat="1">
      <c r="G58027" s="3336"/>
      <c r="P58027" s="3337"/>
    </row>
    <row r="58028" spans="7:16" s="1634" customFormat="1">
      <c r="G58028" s="3336"/>
      <c r="P58028" s="3337"/>
    </row>
    <row r="58029" spans="7:16" s="1634" customFormat="1">
      <c r="G58029" s="3336"/>
      <c r="P58029" s="3337"/>
    </row>
    <row r="58030" spans="7:16" s="1634" customFormat="1">
      <c r="G58030" s="3336"/>
      <c r="P58030" s="3337"/>
    </row>
    <row r="58031" spans="7:16" s="1634" customFormat="1">
      <c r="G58031" s="3336"/>
      <c r="P58031" s="3337"/>
    </row>
    <row r="58032" spans="7:16" s="1634" customFormat="1">
      <c r="G58032" s="3336"/>
      <c r="P58032" s="3337"/>
    </row>
    <row r="58033" spans="7:16" s="1634" customFormat="1">
      <c r="G58033" s="3336"/>
      <c r="P58033" s="3337"/>
    </row>
    <row r="58034" spans="7:16" s="1634" customFormat="1">
      <c r="G58034" s="3336"/>
      <c r="P58034" s="3337"/>
    </row>
    <row r="58035" spans="7:16" s="1634" customFormat="1">
      <c r="G58035" s="3336"/>
      <c r="P58035" s="3337"/>
    </row>
    <row r="58036" spans="7:16" s="1634" customFormat="1">
      <c r="G58036" s="3336"/>
      <c r="P58036" s="3337"/>
    </row>
    <row r="58037" spans="7:16" s="1634" customFormat="1">
      <c r="G58037" s="3336"/>
      <c r="P58037" s="3337"/>
    </row>
    <row r="58038" spans="7:16" s="1634" customFormat="1">
      <c r="G58038" s="3336"/>
      <c r="P58038" s="3337"/>
    </row>
    <row r="58039" spans="7:16" s="1634" customFormat="1">
      <c r="G58039" s="3336"/>
      <c r="P58039" s="3337"/>
    </row>
    <row r="58040" spans="7:16" s="1634" customFormat="1">
      <c r="G58040" s="3336"/>
      <c r="P58040" s="3337"/>
    </row>
    <row r="58041" spans="7:16" s="1634" customFormat="1">
      <c r="G58041" s="3336"/>
      <c r="P58041" s="3337"/>
    </row>
    <row r="58042" spans="7:16" s="1634" customFormat="1">
      <c r="G58042" s="3336"/>
      <c r="P58042" s="3337"/>
    </row>
    <row r="58043" spans="7:16" s="1634" customFormat="1">
      <c r="G58043" s="3336"/>
      <c r="P58043" s="3337"/>
    </row>
    <row r="58044" spans="7:16" s="1634" customFormat="1">
      <c r="G58044" s="3336"/>
      <c r="P58044" s="3337"/>
    </row>
    <row r="58045" spans="7:16" s="1634" customFormat="1">
      <c r="G58045" s="3336"/>
      <c r="P58045" s="3337"/>
    </row>
    <row r="58046" spans="7:16" s="1634" customFormat="1">
      <c r="G58046" s="3336"/>
      <c r="P58046" s="3337"/>
    </row>
    <row r="58047" spans="7:16" s="1634" customFormat="1">
      <c r="G58047" s="3336"/>
      <c r="P58047" s="3337"/>
    </row>
    <row r="58048" spans="7:16" s="1634" customFormat="1">
      <c r="G58048" s="3336"/>
      <c r="P58048" s="3337"/>
    </row>
    <row r="58049" spans="7:16" s="1634" customFormat="1">
      <c r="G58049" s="3336"/>
      <c r="P58049" s="3337"/>
    </row>
    <row r="58050" spans="7:16" s="1634" customFormat="1">
      <c r="G58050" s="3336"/>
      <c r="P58050" s="3337"/>
    </row>
    <row r="58051" spans="7:16" s="1634" customFormat="1">
      <c r="G58051" s="3336"/>
      <c r="P58051" s="3337"/>
    </row>
    <row r="58052" spans="7:16" s="1634" customFormat="1">
      <c r="G58052" s="3336"/>
      <c r="P58052" s="3337"/>
    </row>
    <row r="58053" spans="7:16" s="1634" customFormat="1">
      <c r="G58053" s="3336"/>
      <c r="P58053" s="3337"/>
    </row>
    <row r="58054" spans="7:16" s="1634" customFormat="1">
      <c r="G58054" s="3336"/>
      <c r="P58054" s="3337"/>
    </row>
    <row r="58055" spans="7:16" s="1634" customFormat="1">
      <c r="G58055" s="3336"/>
      <c r="P58055" s="3337"/>
    </row>
    <row r="58056" spans="7:16" s="1634" customFormat="1">
      <c r="G58056" s="3336"/>
      <c r="P58056" s="3337"/>
    </row>
    <row r="58057" spans="7:16" s="1634" customFormat="1">
      <c r="G58057" s="3336"/>
      <c r="P58057" s="3337"/>
    </row>
    <row r="58058" spans="7:16" s="1634" customFormat="1">
      <c r="G58058" s="3336"/>
      <c r="P58058" s="3337"/>
    </row>
    <row r="58059" spans="7:16" s="1634" customFormat="1">
      <c r="G58059" s="3336"/>
      <c r="P58059" s="3337"/>
    </row>
    <row r="58060" spans="7:16" s="1634" customFormat="1">
      <c r="G58060" s="3336"/>
      <c r="P58060" s="3337"/>
    </row>
    <row r="58061" spans="7:16" s="1634" customFormat="1">
      <c r="G58061" s="3336"/>
      <c r="P58061" s="3337"/>
    </row>
    <row r="58062" spans="7:16" s="1634" customFormat="1">
      <c r="G58062" s="3336"/>
      <c r="P58062" s="3337"/>
    </row>
    <row r="58063" spans="7:16" s="1634" customFormat="1">
      <c r="G58063" s="3336"/>
      <c r="P58063" s="3337"/>
    </row>
    <row r="58064" spans="7:16" s="1634" customFormat="1">
      <c r="G58064" s="3336"/>
      <c r="P58064" s="3337"/>
    </row>
    <row r="58065" spans="7:16" s="1634" customFormat="1">
      <c r="G58065" s="3336"/>
      <c r="P58065" s="3337"/>
    </row>
    <row r="58066" spans="7:16" s="1634" customFormat="1">
      <c r="G58066" s="3336"/>
      <c r="P58066" s="3337"/>
    </row>
    <row r="58067" spans="7:16" s="1634" customFormat="1">
      <c r="G58067" s="3336"/>
      <c r="P58067" s="3337"/>
    </row>
    <row r="58068" spans="7:16" s="1634" customFormat="1">
      <c r="G58068" s="3336"/>
      <c r="P58068" s="3337"/>
    </row>
    <row r="58069" spans="7:16" s="1634" customFormat="1">
      <c r="G58069" s="3336"/>
      <c r="P58069" s="3337"/>
    </row>
    <row r="58070" spans="7:16" s="1634" customFormat="1">
      <c r="G58070" s="3336"/>
      <c r="P58070" s="3337"/>
    </row>
    <row r="58071" spans="7:16" s="1634" customFormat="1">
      <c r="G58071" s="3336"/>
      <c r="P58071" s="3337"/>
    </row>
    <row r="58072" spans="7:16" s="1634" customFormat="1">
      <c r="G58072" s="3336"/>
      <c r="P58072" s="3337"/>
    </row>
    <row r="58073" spans="7:16" s="1634" customFormat="1">
      <c r="G58073" s="3336"/>
      <c r="P58073" s="3337"/>
    </row>
    <row r="58074" spans="7:16" s="1634" customFormat="1">
      <c r="G58074" s="3336"/>
      <c r="P58074" s="3337"/>
    </row>
    <row r="58075" spans="7:16" s="1634" customFormat="1">
      <c r="G58075" s="3336"/>
      <c r="P58075" s="3337"/>
    </row>
    <row r="58076" spans="7:16" s="1634" customFormat="1">
      <c r="G58076" s="3336"/>
      <c r="P58076" s="3337"/>
    </row>
    <row r="58077" spans="7:16" s="1634" customFormat="1">
      <c r="G58077" s="3336"/>
      <c r="P58077" s="3337"/>
    </row>
    <row r="58078" spans="7:16" s="1634" customFormat="1">
      <c r="G58078" s="3336"/>
      <c r="P58078" s="3337"/>
    </row>
    <row r="58079" spans="7:16" s="1634" customFormat="1">
      <c r="G58079" s="3336"/>
      <c r="P58079" s="3337"/>
    </row>
    <row r="58080" spans="7:16" s="1634" customFormat="1">
      <c r="G58080" s="3336"/>
      <c r="P58080" s="3337"/>
    </row>
    <row r="58081" spans="7:16" s="1634" customFormat="1">
      <c r="G58081" s="3336"/>
      <c r="P58081" s="3337"/>
    </row>
    <row r="58082" spans="7:16" s="1634" customFormat="1">
      <c r="G58082" s="3336"/>
      <c r="P58082" s="3337"/>
    </row>
    <row r="58083" spans="7:16" s="1634" customFormat="1">
      <c r="G58083" s="3336"/>
      <c r="P58083" s="3337"/>
    </row>
    <row r="58084" spans="7:16" s="1634" customFormat="1">
      <c r="G58084" s="3336"/>
      <c r="P58084" s="3337"/>
    </row>
    <row r="58085" spans="7:16" s="1634" customFormat="1">
      <c r="G58085" s="3336"/>
      <c r="P58085" s="3337"/>
    </row>
    <row r="58086" spans="7:16" s="1634" customFormat="1">
      <c r="G58086" s="3336"/>
      <c r="P58086" s="3337"/>
    </row>
    <row r="58087" spans="7:16" s="1634" customFormat="1">
      <c r="G58087" s="3336"/>
      <c r="P58087" s="3337"/>
    </row>
    <row r="58088" spans="7:16" s="1634" customFormat="1">
      <c r="G58088" s="3336"/>
      <c r="P58088" s="3337"/>
    </row>
    <row r="58089" spans="7:16" s="1634" customFormat="1">
      <c r="G58089" s="3336"/>
      <c r="P58089" s="3337"/>
    </row>
    <row r="58090" spans="7:16" s="1634" customFormat="1">
      <c r="G58090" s="3336"/>
      <c r="P58090" s="3337"/>
    </row>
    <row r="58091" spans="7:16" s="1634" customFormat="1">
      <c r="G58091" s="3336"/>
      <c r="P58091" s="3337"/>
    </row>
    <row r="58092" spans="7:16" s="1634" customFormat="1">
      <c r="G58092" s="3336"/>
      <c r="P58092" s="3337"/>
    </row>
    <row r="58093" spans="7:16" s="1634" customFormat="1">
      <c r="G58093" s="3336"/>
      <c r="P58093" s="3337"/>
    </row>
    <row r="58094" spans="7:16" s="1634" customFormat="1">
      <c r="G58094" s="3336"/>
      <c r="P58094" s="3337"/>
    </row>
    <row r="58095" spans="7:16" s="1634" customFormat="1">
      <c r="G58095" s="3336"/>
      <c r="P58095" s="3337"/>
    </row>
    <row r="58096" spans="7:16" s="1634" customFormat="1">
      <c r="G58096" s="3336"/>
      <c r="P58096" s="3337"/>
    </row>
    <row r="58097" spans="7:16" s="1634" customFormat="1">
      <c r="G58097" s="3336"/>
      <c r="P58097" s="3337"/>
    </row>
    <row r="58098" spans="7:16" s="1634" customFormat="1">
      <c r="G58098" s="3336"/>
      <c r="P58098" s="3337"/>
    </row>
    <row r="58099" spans="7:16" s="1634" customFormat="1">
      <c r="G58099" s="3336"/>
      <c r="P58099" s="3337"/>
    </row>
    <row r="58100" spans="7:16" s="1634" customFormat="1">
      <c r="G58100" s="3336"/>
      <c r="P58100" s="3337"/>
    </row>
    <row r="58101" spans="7:16" s="1634" customFormat="1">
      <c r="G58101" s="3336"/>
      <c r="P58101" s="3337"/>
    </row>
    <row r="58102" spans="7:16" s="1634" customFormat="1">
      <c r="G58102" s="3336"/>
      <c r="P58102" s="3337"/>
    </row>
    <row r="58103" spans="7:16" s="1634" customFormat="1">
      <c r="G58103" s="3336"/>
      <c r="P58103" s="3337"/>
    </row>
    <row r="58104" spans="7:16" s="1634" customFormat="1">
      <c r="G58104" s="3336"/>
      <c r="P58104" s="3337"/>
    </row>
    <row r="58105" spans="7:16" s="1634" customFormat="1">
      <c r="G58105" s="3336"/>
      <c r="P58105" s="3337"/>
    </row>
    <row r="58106" spans="7:16" s="1634" customFormat="1">
      <c r="G58106" s="3336"/>
      <c r="P58106" s="3337"/>
    </row>
    <row r="58107" spans="7:16" s="1634" customFormat="1">
      <c r="G58107" s="3336"/>
      <c r="P58107" s="3337"/>
    </row>
    <row r="58108" spans="7:16" s="1634" customFormat="1">
      <c r="G58108" s="3336"/>
      <c r="P58108" s="3337"/>
    </row>
    <row r="58109" spans="7:16" s="1634" customFormat="1">
      <c r="G58109" s="3336"/>
      <c r="P58109" s="3337"/>
    </row>
    <row r="58110" spans="7:16" s="1634" customFormat="1">
      <c r="G58110" s="3336"/>
      <c r="P58110" s="3337"/>
    </row>
    <row r="58111" spans="7:16" s="1634" customFormat="1">
      <c r="G58111" s="3336"/>
      <c r="P58111" s="3337"/>
    </row>
    <row r="58112" spans="7:16" s="1634" customFormat="1">
      <c r="G58112" s="3336"/>
      <c r="P58112" s="3337"/>
    </row>
    <row r="58113" spans="7:16" s="1634" customFormat="1">
      <c r="G58113" s="3336"/>
      <c r="P58113" s="3337"/>
    </row>
    <row r="58114" spans="7:16" s="1634" customFormat="1">
      <c r="G58114" s="3336"/>
      <c r="P58114" s="3337"/>
    </row>
    <row r="58115" spans="7:16" s="1634" customFormat="1">
      <c r="G58115" s="3336"/>
      <c r="P58115" s="3337"/>
    </row>
    <row r="58116" spans="7:16" s="1634" customFormat="1">
      <c r="G58116" s="3336"/>
      <c r="P58116" s="3337"/>
    </row>
    <row r="58117" spans="7:16" s="1634" customFormat="1">
      <c r="G58117" s="3336"/>
      <c r="P58117" s="3337"/>
    </row>
    <row r="58118" spans="7:16" s="1634" customFormat="1">
      <c r="G58118" s="3336"/>
      <c r="P58118" s="3337"/>
    </row>
    <row r="58119" spans="7:16" s="1634" customFormat="1">
      <c r="G58119" s="3336"/>
      <c r="P58119" s="3337"/>
    </row>
    <row r="58120" spans="7:16" s="1634" customFormat="1">
      <c r="G58120" s="3336"/>
      <c r="P58120" s="3337"/>
    </row>
    <row r="58121" spans="7:16" s="1634" customFormat="1">
      <c r="G58121" s="3336"/>
      <c r="P58121" s="3337"/>
    </row>
    <row r="58122" spans="7:16" s="1634" customFormat="1">
      <c r="G58122" s="3336"/>
      <c r="P58122" s="3337"/>
    </row>
    <row r="58123" spans="7:16" s="1634" customFormat="1">
      <c r="G58123" s="3336"/>
      <c r="P58123" s="3337"/>
    </row>
    <row r="58124" spans="7:16" s="1634" customFormat="1">
      <c r="G58124" s="3336"/>
      <c r="P58124" s="3337"/>
    </row>
    <row r="58125" spans="7:16" s="1634" customFormat="1">
      <c r="G58125" s="3336"/>
      <c r="P58125" s="3337"/>
    </row>
    <row r="58126" spans="7:16" s="1634" customFormat="1">
      <c r="G58126" s="3336"/>
      <c r="P58126" s="3337"/>
    </row>
    <row r="58127" spans="7:16" s="1634" customFormat="1">
      <c r="G58127" s="3336"/>
      <c r="P58127" s="3337"/>
    </row>
    <row r="58128" spans="7:16" s="1634" customFormat="1">
      <c r="G58128" s="3336"/>
      <c r="P58128" s="3337"/>
    </row>
    <row r="58129" spans="7:16" s="1634" customFormat="1">
      <c r="G58129" s="3336"/>
      <c r="P58129" s="3337"/>
    </row>
    <row r="58130" spans="7:16" s="1634" customFormat="1">
      <c r="G58130" s="3336"/>
      <c r="P58130" s="3337"/>
    </row>
    <row r="58131" spans="7:16" s="1634" customFormat="1">
      <c r="G58131" s="3336"/>
      <c r="P58131" s="3337"/>
    </row>
    <row r="58132" spans="7:16" s="1634" customFormat="1">
      <c r="G58132" s="3336"/>
      <c r="P58132" s="3337"/>
    </row>
    <row r="58133" spans="7:16" s="1634" customFormat="1">
      <c r="G58133" s="3336"/>
      <c r="P58133" s="3337"/>
    </row>
    <row r="58134" spans="7:16" s="1634" customFormat="1">
      <c r="G58134" s="3336"/>
      <c r="P58134" s="3337"/>
    </row>
    <row r="58135" spans="7:16" s="1634" customFormat="1">
      <c r="G58135" s="3336"/>
      <c r="P58135" s="3337"/>
    </row>
    <row r="58136" spans="7:16" s="1634" customFormat="1">
      <c r="G58136" s="3336"/>
      <c r="P58136" s="3337"/>
    </row>
    <row r="58137" spans="7:16" s="1634" customFormat="1">
      <c r="G58137" s="3336"/>
      <c r="P58137" s="3337"/>
    </row>
    <row r="58138" spans="7:16" s="1634" customFormat="1">
      <c r="G58138" s="3336"/>
      <c r="P58138" s="3337"/>
    </row>
    <row r="58139" spans="7:16" s="1634" customFormat="1">
      <c r="G58139" s="3336"/>
      <c r="P58139" s="3337"/>
    </row>
    <row r="58140" spans="7:16" s="1634" customFormat="1">
      <c r="G58140" s="3336"/>
      <c r="P58140" s="3337"/>
    </row>
    <row r="58141" spans="7:16" s="1634" customFormat="1">
      <c r="G58141" s="3336"/>
      <c r="P58141" s="3337"/>
    </row>
    <row r="58142" spans="7:16" s="1634" customFormat="1">
      <c r="G58142" s="3336"/>
      <c r="P58142" s="3337"/>
    </row>
    <row r="58143" spans="7:16" s="1634" customFormat="1">
      <c r="G58143" s="3336"/>
      <c r="P58143" s="3337"/>
    </row>
    <row r="58144" spans="7:16" s="1634" customFormat="1">
      <c r="G58144" s="3336"/>
      <c r="P58144" s="3337"/>
    </row>
    <row r="58145" spans="7:16" s="1634" customFormat="1">
      <c r="G58145" s="3336"/>
      <c r="P58145" s="3337"/>
    </row>
    <row r="58146" spans="7:16" s="1634" customFormat="1">
      <c r="G58146" s="3336"/>
      <c r="P58146" s="3337"/>
    </row>
    <row r="58147" spans="7:16" s="1634" customFormat="1">
      <c r="G58147" s="3336"/>
      <c r="P58147" s="3337"/>
    </row>
    <row r="58148" spans="7:16" s="1634" customFormat="1">
      <c r="G58148" s="3336"/>
      <c r="P58148" s="3337"/>
    </row>
    <row r="58149" spans="7:16" s="1634" customFormat="1">
      <c r="G58149" s="3336"/>
      <c r="P58149" s="3337"/>
    </row>
    <row r="58150" spans="7:16" s="1634" customFormat="1">
      <c r="G58150" s="3336"/>
      <c r="P58150" s="3337"/>
    </row>
    <row r="58151" spans="7:16" s="1634" customFormat="1">
      <c r="G58151" s="3336"/>
      <c r="P58151" s="3337"/>
    </row>
    <row r="58152" spans="7:16" s="1634" customFormat="1">
      <c r="G58152" s="3336"/>
      <c r="P58152" s="3337"/>
    </row>
    <row r="58153" spans="7:16" s="1634" customFormat="1">
      <c r="G58153" s="3336"/>
      <c r="P58153" s="3337"/>
    </row>
    <row r="58154" spans="7:16" s="1634" customFormat="1">
      <c r="G58154" s="3336"/>
      <c r="P58154" s="3337"/>
    </row>
    <row r="58155" spans="7:16" s="1634" customFormat="1">
      <c r="G58155" s="3336"/>
      <c r="P58155" s="3337"/>
    </row>
    <row r="58156" spans="7:16" s="1634" customFormat="1">
      <c r="G58156" s="3336"/>
      <c r="P58156" s="3337"/>
    </row>
    <row r="58157" spans="7:16" s="1634" customFormat="1">
      <c r="G58157" s="3336"/>
      <c r="P58157" s="3337"/>
    </row>
    <row r="58158" spans="7:16" s="1634" customFormat="1">
      <c r="G58158" s="3336"/>
      <c r="P58158" s="3337"/>
    </row>
    <row r="58159" spans="7:16" s="1634" customFormat="1">
      <c r="G58159" s="3336"/>
      <c r="P58159" s="3337"/>
    </row>
    <row r="58160" spans="7:16" s="1634" customFormat="1">
      <c r="G58160" s="3336"/>
      <c r="P58160" s="3337"/>
    </row>
    <row r="58161" spans="7:16" s="1634" customFormat="1">
      <c r="G58161" s="3336"/>
      <c r="P58161" s="3337"/>
    </row>
    <row r="58162" spans="7:16" s="1634" customFormat="1">
      <c r="G58162" s="3336"/>
      <c r="P58162" s="3337"/>
    </row>
    <row r="58163" spans="7:16" s="1634" customFormat="1">
      <c r="G58163" s="3336"/>
      <c r="P58163" s="3337"/>
    </row>
    <row r="58164" spans="7:16" s="1634" customFormat="1">
      <c r="G58164" s="3336"/>
      <c r="P58164" s="3337"/>
    </row>
    <row r="58165" spans="7:16" s="1634" customFormat="1">
      <c r="G58165" s="3336"/>
      <c r="P58165" s="3337"/>
    </row>
    <row r="58166" spans="7:16" s="1634" customFormat="1">
      <c r="G58166" s="3336"/>
      <c r="P58166" s="3337"/>
    </row>
    <row r="58167" spans="7:16" s="1634" customFormat="1">
      <c r="G58167" s="3336"/>
      <c r="P58167" s="3337"/>
    </row>
    <row r="58168" spans="7:16" s="1634" customFormat="1">
      <c r="G58168" s="3336"/>
      <c r="P58168" s="3337"/>
    </row>
    <row r="58169" spans="7:16" s="1634" customFormat="1">
      <c r="G58169" s="3336"/>
      <c r="P58169" s="3337"/>
    </row>
    <row r="58170" spans="7:16" s="1634" customFormat="1">
      <c r="G58170" s="3336"/>
      <c r="P58170" s="3337"/>
    </row>
    <row r="58171" spans="7:16" s="1634" customFormat="1">
      <c r="G58171" s="3336"/>
      <c r="P58171" s="3337"/>
    </row>
    <row r="58172" spans="7:16" s="1634" customFormat="1">
      <c r="G58172" s="3336"/>
      <c r="P58172" s="3337"/>
    </row>
    <row r="58173" spans="7:16" s="1634" customFormat="1">
      <c r="G58173" s="3336"/>
      <c r="P58173" s="3337"/>
    </row>
    <row r="58174" spans="7:16" s="1634" customFormat="1">
      <c r="G58174" s="3336"/>
      <c r="P58174" s="3337"/>
    </row>
    <row r="58175" spans="7:16" s="1634" customFormat="1">
      <c r="G58175" s="3336"/>
      <c r="P58175" s="3337"/>
    </row>
    <row r="58176" spans="7:16" s="1634" customFormat="1">
      <c r="G58176" s="3336"/>
      <c r="P58176" s="3337"/>
    </row>
    <row r="58177" spans="7:16" s="1634" customFormat="1">
      <c r="G58177" s="3336"/>
      <c r="P58177" s="3337"/>
    </row>
    <row r="58178" spans="7:16" s="1634" customFormat="1">
      <c r="G58178" s="3336"/>
      <c r="P58178" s="3337"/>
    </row>
    <row r="58179" spans="7:16" s="1634" customFormat="1">
      <c r="G58179" s="3336"/>
      <c r="P58179" s="3337"/>
    </row>
    <row r="58180" spans="7:16" s="1634" customFormat="1">
      <c r="G58180" s="3336"/>
      <c r="P58180" s="3337"/>
    </row>
    <row r="58181" spans="7:16" s="1634" customFormat="1">
      <c r="G58181" s="3336"/>
      <c r="P58181" s="3337"/>
    </row>
    <row r="58182" spans="7:16" s="1634" customFormat="1">
      <c r="G58182" s="3336"/>
      <c r="P58182" s="3337"/>
    </row>
    <row r="58183" spans="7:16" s="1634" customFormat="1">
      <c r="G58183" s="3336"/>
      <c r="P58183" s="3337"/>
    </row>
    <row r="58184" spans="7:16" s="1634" customFormat="1">
      <c r="G58184" s="3336"/>
      <c r="P58184" s="3337"/>
    </row>
    <row r="58185" spans="7:16" s="1634" customFormat="1">
      <c r="G58185" s="3336"/>
      <c r="P58185" s="3337"/>
    </row>
    <row r="58186" spans="7:16" s="1634" customFormat="1">
      <c r="G58186" s="3336"/>
      <c r="P58186" s="3337"/>
    </row>
    <row r="58187" spans="7:16" s="1634" customFormat="1">
      <c r="G58187" s="3336"/>
      <c r="P58187" s="3337"/>
    </row>
    <row r="58188" spans="7:16" s="1634" customFormat="1">
      <c r="G58188" s="3336"/>
      <c r="P58188" s="3337"/>
    </row>
    <row r="58189" spans="7:16" s="1634" customFormat="1">
      <c r="G58189" s="3336"/>
      <c r="P58189" s="3337"/>
    </row>
    <row r="58190" spans="7:16" s="1634" customFormat="1">
      <c r="G58190" s="3336"/>
      <c r="P58190" s="3337"/>
    </row>
    <row r="58191" spans="7:16" s="1634" customFormat="1">
      <c r="G58191" s="3336"/>
      <c r="P58191" s="3337"/>
    </row>
    <row r="58192" spans="7:16" s="1634" customFormat="1">
      <c r="G58192" s="3336"/>
      <c r="P58192" s="3337"/>
    </row>
    <row r="58193" spans="7:16" s="1634" customFormat="1">
      <c r="G58193" s="3336"/>
      <c r="P58193" s="3337"/>
    </row>
    <row r="58194" spans="7:16" s="1634" customFormat="1">
      <c r="G58194" s="3336"/>
      <c r="P58194" s="3337"/>
    </row>
    <row r="58195" spans="7:16" s="1634" customFormat="1">
      <c r="G58195" s="3336"/>
      <c r="P58195" s="3337"/>
    </row>
    <row r="58196" spans="7:16" s="1634" customFormat="1">
      <c r="G58196" s="3336"/>
      <c r="P58196" s="3337"/>
    </row>
    <row r="58197" spans="7:16" s="1634" customFormat="1">
      <c r="G58197" s="3336"/>
      <c r="P58197" s="3337"/>
    </row>
    <row r="58198" spans="7:16" s="1634" customFormat="1">
      <c r="G58198" s="3336"/>
      <c r="P58198" s="3337"/>
    </row>
    <row r="58199" spans="7:16" s="1634" customFormat="1">
      <c r="G58199" s="3336"/>
      <c r="P58199" s="3337"/>
    </row>
    <row r="58200" spans="7:16" s="1634" customFormat="1">
      <c r="G58200" s="3336"/>
      <c r="P58200" s="3337"/>
    </row>
    <row r="58201" spans="7:16" s="1634" customFormat="1">
      <c r="G58201" s="3336"/>
      <c r="P58201" s="3337"/>
    </row>
    <row r="58202" spans="7:16" s="1634" customFormat="1">
      <c r="G58202" s="3336"/>
      <c r="P58202" s="3337"/>
    </row>
    <row r="58203" spans="7:16" s="1634" customFormat="1">
      <c r="G58203" s="3336"/>
      <c r="P58203" s="3337"/>
    </row>
    <row r="58204" spans="7:16" s="1634" customFormat="1">
      <c r="G58204" s="3336"/>
      <c r="P58204" s="3337"/>
    </row>
    <row r="58205" spans="7:16" s="1634" customFormat="1">
      <c r="G58205" s="3336"/>
      <c r="P58205" s="3337"/>
    </row>
    <row r="58206" spans="7:16" s="1634" customFormat="1">
      <c r="G58206" s="3336"/>
      <c r="P58206" s="3337"/>
    </row>
    <row r="58207" spans="7:16" s="1634" customFormat="1">
      <c r="G58207" s="3336"/>
      <c r="P58207" s="3337"/>
    </row>
    <row r="58208" spans="7:16" s="1634" customFormat="1">
      <c r="G58208" s="3336"/>
      <c r="P58208" s="3337"/>
    </row>
    <row r="58209" spans="7:16" s="1634" customFormat="1">
      <c r="G58209" s="3336"/>
      <c r="P58209" s="3337"/>
    </row>
    <row r="58210" spans="7:16" s="1634" customFormat="1">
      <c r="G58210" s="3336"/>
      <c r="P58210" s="3337"/>
    </row>
    <row r="58211" spans="7:16" s="1634" customFormat="1">
      <c r="G58211" s="3336"/>
      <c r="P58211" s="3337"/>
    </row>
    <row r="58212" spans="7:16" s="1634" customFormat="1">
      <c r="G58212" s="3336"/>
      <c r="P58212" s="3337"/>
    </row>
    <row r="58213" spans="7:16" s="1634" customFormat="1">
      <c r="G58213" s="3336"/>
      <c r="P58213" s="3337"/>
    </row>
    <row r="58214" spans="7:16" s="1634" customFormat="1">
      <c r="G58214" s="3336"/>
      <c r="P58214" s="3337"/>
    </row>
    <row r="58215" spans="7:16" s="1634" customFormat="1">
      <c r="G58215" s="3336"/>
      <c r="P58215" s="3337"/>
    </row>
    <row r="58216" spans="7:16" s="1634" customFormat="1">
      <c r="G58216" s="3336"/>
      <c r="P58216" s="3337"/>
    </row>
    <row r="58217" spans="7:16" s="1634" customFormat="1">
      <c r="G58217" s="3336"/>
      <c r="P58217" s="3337"/>
    </row>
    <row r="58218" spans="7:16" s="1634" customFormat="1">
      <c r="G58218" s="3336"/>
      <c r="P58218" s="3337"/>
    </row>
    <row r="58219" spans="7:16" s="1634" customFormat="1">
      <c r="G58219" s="3336"/>
      <c r="P58219" s="3337"/>
    </row>
    <row r="58220" spans="7:16" s="1634" customFormat="1">
      <c r="G58220" s="3336"/>
      <c r="P58220" s="3337"/>
    </row>
    <row r="58221" spans="7:16" s="1634" customFormat="1">
      <c r="G58221" s="3336"/>
      <c r="P58221" s="3337"/>
    </row>
    <row r="58222" spans="7:16" s="1634" customFormat="1">
      <c r="G58222" s="3336"/>
      <c r="P58222" s="3337"/>
    </row>
    <row r="58223" spans="7:16" s="1634" customFormat="1">
      <c r="G58223" s="3336"/>
      <c r="P58223" s="3337"/>
    </row>
    <row r="58224" spans="7:16" s="1634" customFormat="1">
      <c r="G58224" s="3336"/>
      <c r="P58224" s="3337"/>
    </row>
    <row r="58225" spans="7:16" s="1634" customFormat="1">
      <c r="G58225" s="3336"/>
      <c r="P58225" s="3337"/>
    </row>
    <row r="58226" spans="7:16" s="1634" customFormat="1">
      <c r="G58226" s="3336"/>
      <c r="P58226" s="3337"/>
    </row>
    <row r="58227" spans="7:16" s="1634" customFormat="1">
      <c r="G58227" s="3336"/>
      <c r="P58227" s="3337"/>
    </row>
    <row r="58228" spans="7:16" s="1634" customFormat="1">
      <c r="G58228" s="3336"/>
      <c r="P58228" s="3337"/>
    </row>
    <row r="58229" spans="7:16" s="1634" customFormat="1">
      <c r="G58229" s="3336"/>
      <c r="P58229" s="3337"/>
    </row>
    <row r="58230" spans="7:16" s="1634" customFormat="1">
      <c r="G58230" s="3336"/>
      <c r="P58230" s="3337"/>
    </row>
    <row r="58231" spans="7:16" s="1634" customFormat="1">
      <c r="G58231" s="3336"/>
      <c r="P58231" s="3337"/>
    </row>
    <row r="58232" spans="7:16" s="1634" customFormat="1">
      <c r="G58232" s="3336"/>
      <c r="P58232" s="3337"/>
    </row>
    <row r="58233" spans="7:16" s="1634" customFormat="1">
      <c r="G58233" s="3336"/>
      <c r="P58233" s="3337"/>
    </row>
    <row r="58234" spans="7:16" s="1634" customFormat="1">
      <c r="G58234" s="3336"/>
      <c r="P58234" s="3337"/>
    </row>
    <row r="58235" spans="7:16" s="1634" customFormat="1">
      <c r="G58235" s="3336"/>
      <c r="P58235" s="3337"/>
    </row>
    <row r="58236" spans="7:16" s="1634" customFormat="1">
      <c r="G58236" s="3336"/>
      <c r="P58236" s="3337"/>
    </row>
    <row r="58237" spans="7:16" s="1634" customFormat="1">
      <c r="G58237" s="3336"/>
      <c r="P58237" s="3337"/>
    </row>
    <row r="58238" spans="7:16" s="1634" customFormat="1">
      <c r="G58238" s="3336"/>
      <c r="P58238" s="3337"/>
    </row>
    <row r="58239" spans="7:16" s="1634" customFormat="1">
      <c r="G58239" s="3336"/>
      <c r="P58239" s="3337"/>
    </row>
    <row r="58240" spans="7:16" s="1634" customFormat="1">
      <c r="G58240" s="3336"/>
      <c r="P58240" s="3337"/>
    </row>
    <row r="58241" spans="7:16" s="1634" customFormat="1">
      <c r="G58241" s="3336"/>
      <c r="P58241" s="3337"/>
    </row>
    <row r="58242" spans="7:16" s="1634" customFormat="1">
      <c r="G58242" s="3336"/>
      <c r="P58242" s="3337"/>
    </row>
    <row r="58243" spans="7:16" s="1634" customFormat="1">
      <c r="G58243" s="3336"/>
      <c r="P58243" s="3337"/>
    </row>
    <row r="58244" spans="7:16" s="1634" customFormat="1">
      <c r="G58244" s="3336"/>
      <c r="P58244" s="3337"/>
    </row>
    <row r="58245" spans="7:16" s="1634" customFormat="1">
      <c r="G58245" s="3336"/>
      <c r="P58245" s="3337"/>
    </row>
    <row r="58246" spans="7:16" s="1634" customFormat="1">
      <c r="G58246" s="3336"/>
      <c r="P58246" s="3337"/>
    </row>
    <row r="58247" spans="7:16" s="1634" customFormat="1">
      <c r="G58247" s="3336"/>
      <c r="P58247" s="3337"/>
    </row>
    <row r="58248" spans="7:16" s="1634" customFormat="1">
      <c r="G58248" s="3336"/>
      <c r="P58248" s="3337"/>
    </row>
    <row r="58249" spans="7:16" s="1634" customFormat="1">
      <c r="G58249" s="3336"/>
      <c r="P58249" s="3337"/>
    </row>
    <row r="58250" spans="7:16" s="1634" customFormat="1">
      <c r="G58250" s="3336"/>
      <c r="P58250" s="3337"/>
    </row>
    <row r="58251" spans="7:16" s="1634" customFormat="1">
      <c r="G58251" s="3336"/>
      <c r="P58251" s="3337"/>
    </row>
    <row r="58252" spans="7:16" s="1634" customFormat="1">
      <c r="G58252" s="3336"/>
      <c r="P58252" s="3337"/>
    </row>
    <row r="58253" spans="7:16" s="1634" customFormat="1">
      <c r="G58253" s="3336"/>
      <c r="P58253" s="3337"/>
    </row>
    <row r="58254" spans="7:16" s="1634" customFormat="1">
      <c r="G58254" s="3336"/>
      <c r="P58254" s="3337"/>
    </row>
    <row r="58255" spans="7:16" s="1634" customFormat="1">
      <c r="G58255" s="3336"/>
      <c r="P58255" s="3337"/>
    </row>
    <row r="58256" spans="7:16" s="1634" customFormat="1">
      <c r="G58256" s="3336"/>
      <c r="P58256" s="3337"/>
    </row>
    <row r="58257" spans="7:16" s="1634" customFormat="1">
      <c r="G58257" s="3336"/>
      <c r="P58257" s="3337"/>
    </row>
    <row r="58258" spans="7:16" s="1634" customFormat="1">
      <c r="G58258" s="3336"/>
      <c r="P58258" s="3337"/>
    </row>
    <row r="58259" spans="7:16" s="1634" customFormat="1">
      <c r="G58259" s="3336"/>
      <c r="P58259" s="3337"/>
    </row>
    <row r="58260" spans="7:16" s="1634" customFormat="1">
      <c r="G58260" s="3336"/>
      <c r="P58260" s="3337"/>
    </row>
    <row r="58261" spans="7:16" s="1634" customFormat="1">
      <c r="G58261" s="3336"/>
      <c r="P58261" s="3337"/>
    </row>
    <row r="58262" spans="7:16" s="1634" customFormat="1">
      <c r="G58262" s="3336"/>
      <c r="P58262" s="3337"/>
    </row>
    <row r="58263" spans="7:16" s="1634" customFormat="1">
      <c r="G58263" s="3336"/>
      <c r="P58263" s="3337"/>
    </row>
    <row r="58264" spans="7:16" s="1634" customFormat="1">
      <c r="G58264" s="3336"/>
      <c r="P58264" s="3337"/>
    </row>
    <row r="58265" spans="7:16" s="1634" customFormat="1">
      <c r="G58265" s="3336"/>
      <c r="P58265" s="3337"/>
    </row>
    <row r="58266" spans="7:16" s="1634" customFormat="1">
      <c r="G58266" s="3336"/>
      <c r="P58266" s="3337"/>
    </row>
    <row r="58267" spans="7:16" s="1634" customFormat="1">
      <c r="G58267" s="3336"/>
      <c r="P58267" s="3337"/>
    </row>
    <row r="58268" spans="7:16" s="1634" customFormat="1">
      <c r="G58268" s="3336"/>
      <c r="P58268" s="3337"/>
    </row>
    <row r="58269" spans="7:16" s="1634" customFormat="1">
      <c r="G58269" s="3336"/>
      <c r="P58269" s="3337"/>
    </row>
    <row r="58270" spans="7:16" s="1634" customFormat="1">
      <c r="G58270" s="3336"/>
      <c r="P58270" s="3337"/>
    </row>
    <row r="58271" spans="7:16" s="1634" customFormat="1">
      <c r="G58271" s="3336"/>
      <c r="P58271" s="3337"/>
    </row>
    <row r="58272" spans="7:16" s="1634" customFormat="1">
      <c r="G58272" s="3336"/>
      <c r="P58272" s="3337"/>
    </row>
    <row r="58273" spans="7:16" s="1634" customFormat="1">
      <c r="G58273" s="3336"/>
      <c r="P58273" s="3337"/>
    </row>
    <row r="58274" spans="7:16" s="1634" customFormat="1">
      <c r="G58274" s="3336"/>
      <c r="P58274" s="3337"/>
    </row>
    <row r="58275" spans="7:16" s="1634" customFormat="1">
      <c r="G58275" s="3336"/>
      <c r="P58275" s="3337"/>
    </row>
    <row r="58276" spans="7:16" s="1634" customFormat="1">
      <c r="G58276" s="3336"/>
      <c r="P58276" s="3337"/>
    </row>
    <row r="58277" spans="7:16" s="1634" customFormat="1">
      <c r="G58277" s="3336"/>
      <c r="P58277" s="3337"/>
    </row>
    <row r="58278" spans="7:16" s="1634" customFormat="1">
      <c r="G58278" s="3336"/>
      <c r="P58278" s="3337"/>
    </row>
    <row r="58279" spans="7:16" s="1634" customFormat="1">
      <c r="G58279" s="3336"/>
      <c r="P58279" s="3337"/>
    </row>
    <row r="58280" spans="7:16" s="1634" customFormat="1">
      <c r="G58280" s="3336"/>
      <c r="P58280" s="3337"/>
    </row>
    <row r="58281" spans="7:16" s="1634" customFormat="1">
      <c r="G58281" s="3336"/>
      <c r="P58281" s="3337"/>
    </row>
    <row r="58282" spans="7:16" s="1634" customFormat="1">
      <c r="G58282" s="3336"/>
      <c r="P58282" s="3337"/>
    </row>
    <row r="58283" spans="7:16" s="1634" customFormat="1">
      <c r="G58283" s="3336"/>
      <c r="P58283" s="3337"/>
    </row>
    <row r="58284" spans="7:16" s="1634" customFormat="1">
      <c r="G58284" s="3336"/>
      <c r="P58284" s="3337"/>
    </row>
    <row r="58285" spans="7:16" s="1634" customFormat="1">
      <c r="G58285" s="3336"/>
      <c r="P58285" s="3337"/>
    </row>
    <row r="58286" spans="7:16" s="1634" customFormat="1">
      <c r="G58286" s="3336"/>
      <c r="P58286" s="3337"/>
    </row>
    <row r="58287" spans="7:16" s="1634" customFormat="1">
      <c r="G58287" s="3336"/>
      <c r="P58287" s="3337"/>
    </row>
    <row r="58288" spans="7:16" s="1634" customFormat="1">
      <c r="G58288" s="3336"/>
      <c r="P58288" s="3337"/>
    </row>
    <row r="58289" spans="7:16" s="1634" customFormat="1">
      <c r="G58289" s="3336"/>
      <c r="P58289" s="3337"/>
    </row>
    <row r="58290" spans="7:16" s="1634" customFormat="1">
      <c r="G58290" s="3336"/>
      <c r="P58290" s="3337"/>
    </row>
    <row r="58291" spans="7:16" s="1634" customFormat="1">
      <c r="G58291" s="3336"/>
      <c r="P58291" s="3337"/>
    </row>
    <row r="58292" spans="7:16" s="1634" customFormat="1">
      <c r="G58292" s="3336"/>
      <c r="P58292" s="3337"/>
    </row>
    <row r="58293" spans="7:16" s="1634" customFormat="1">
      <c r="G58293" s="3336"/>
      <c r="P58293" s="3337"/>
    </row>
    <row r="58294" spans="7:16" s="1634" customFormat="1">
      <c r="G58294" s="3336"/>
      <c r="P58294" s="3337"/>
    </row>
    <row r="58295" spans="7:16" s="1634" customFormat="1">
      <c r="G58295" s="3336"/>
      <c r="P58295" s="3337"/>
    </row>
    <row r="58296" spans="7:16" s="1634" customFormat="1">
      <c r="G58296" s="3336"/>
      <c r="P58296" s="3337"/>
    </row>
    <row r="58297" spans="7:16" s="1634" customFormat="1">
      <c r="G58297" s="3336"/>
      <c r="P58297" s="3337"/>
    </row>
    <row r="58298" spans="7:16" s="1634" customFormat="1">
      <c r="G58298" s="3336"/>
      <c r="P58298" s="3337"/>
    </row>
    <row r="58299" spans="7:16" s="1634" customFormat="1">
      <c r="G58299" s="3336"/>
      <c r="P58299" s="3337"/>
    </row>
    <row r="58300" spans="7:16" s="1634" customFormat="1">
      <c r="G58300" s="3336"/>
      <c r="P58300" s="3337"/>
    </row>
    <row r="58301" spans="7:16" s="1634" customFormat="1">
      <c r="G58301" s="3336"/>
      <c r="P58301" s="3337"/>
    </row>
    <row r="58302" spans="7:16" s="1634" customFormat="1">
      <c r="G58302" s="3336"/>
      <c r="P58302" s="3337"/>
    </row>
    <row r="58303" spans="7:16" s="1634" customFormat="1">
      <c r="G58303" s="3336"/>
      <c r="P58303" s="3337"/>
    </row>
    <row r="58304" spans="7:16" s="1634" customFormat="1">
      <c r="G58304" s="3336"/>
      <c r="P58304" s="3337"/>
    </row>
    <row r="58305" spans="7:16" s="1634" customFormat="1">
      <c r="G58305" s="3336"/>
      <c r="P58305" s="3337"/>
    </row>
    <row r="58306" spans="7:16" s="1634" customFormat="1">
      <c r="G58306" s="3336"/>
      <c r="P58306" s="3337"/>
    </row>
    <row r="58307" spans="7:16" s="1634" customFormat="1">
      <c r="G58307" s="3336"/>
      <c r="P58307" s="3337"/>
    </row>
    <row r="58308" spans="7:16" s="1634" customFormat="1">
      <c r="G58308" s="3336"/>
      <c r="P58308" s="3337"/>
    </row>
    <row r="58309" spans="7:16" s="1634" customFormat="1">
      <c r="G58309" s="3336"/>
      <c r="P58309" s="3337"/>
    </row>
    <row r="58310" spans="7:16" s="1634" customFormat="1">
      <c r="G58310" s="3336"/>
      <c r="P58310" s="3337"/>
    </row>
    <row r="58311" spans="7:16" s="1634" customFormat="1">
      <c r="G58311" s="3336"/>
      <c r="P58311" s="3337"/>
    </row>
    <row r="58312" spans="7:16" s="1634" customFormat="1">
      <c r="G58312" s="3336"/>
      <c r="P58312" s="3337"/>
    </row>
    <row r="58313" spans="7:16" s="1634" customFormat="1">
      <c r="G58313" s="3336"/>
      <c r="P58313" s="3337"/>
    </row>
    <row r="58314" spans="7:16" s="1634" customFormat="1">
      <c r="G58314" s="3336"/>
      <c r="P58314" s="3337"/>
    </row>
    <row r="58315" spans="7:16" s="1634" customFormat="1">
      <c r="G58315" s="3336"/>
      <c r="P58315" s="3337"/>
    </row>
    <row r="58316" spans="7:16" s="1634" customFormat="1">
      <c r="G58316" s="3336"/>
      <c r="P58316" s="3337"/>
    </row>
    <row r="58317" spans="7:16" s="1634" customFormat="1">
      <c r="G58317" s="3336"/>
      <c r="P58317" s="3337"/>
    </row>
    <row r="58318" spans="7:16" s="1634" customFormat="1">
      <c r="G58318" s="3336"/>
      <c r="P58318" s="3337"/>
    </row>
    <row r="58319" spans="7:16" s="1634" customFormat="1">
      <c r="G58319" s="3336"/>
      <c r="P58319" s="3337"/>
    </row>
    <row r="58320" spans="7:16" s="1634" customFormat="1">
      <c r="G58320" s="3336"/>
      <c r="P58320" s="3337"/>
    </row>
    <row r="58321" spans="7:16" s="1634" customFormat="1">
      <c r="G58321" s="3336"/>
      <c r="P58321" s="3337"/>
    </row>
    <row r="58322" spans="7:16" s="1634" customFormat="1">
      <c r="G58322" s="3336"/>
      <c r="P58322" s="3337"/>
    </row>
    <row r="58323" spans="7:16" s="1634" customFormat="1">
      <c r="G58323" s="3336"/>
      <c r="P58323" s="3337"/>
    </row>
    <row r="58324" spans="7:16" s="1634" customFormat="1">
      <c r="G58324" s="3336"/>
      <c r="P58324" s="3337"/>
    </row>
    <row r="58325" spans="7:16" s="1634" customFormat="1">
      <c r="G58325" s="3336"/>
      <c r="P58325" s="3337"/>
    </row>
    <row r="58326" spans="7:16" s="1634" customFormat="1">
      <c r="G58326" s="3336"/>
      <c r="P58326" s="3337"/>
    </row>
    <row r="58327" spans="7:16" s="1634" customFormat="1">
      <c r="G58327" s="3336"/>
      <c r="P58327" s="3337"/>
    </row>
    <row r="58328" spans="7:16" s="1634" customFormat="1">
      <c r="G58328" s="3336"/>
      <c r="P58328" s="3337"/>
    </row>
    <row r="58329" spans="7:16" s="1634" customFormat="1">
      <c r="G58329" s="3336"/>
      <c r="P58329" s="3337"/>
    </row>
    <row r="58330" spans="7:16" s="1634" customFormat="1">
      <c r="G58330" s="3336"/>
      <c r="P58330" s="3337"/>
    </row>
    <row r="58331" spans="7:16" s="1634" customFormat="1">
      <c r="G58331" s="3336"/>
      <c r="P58331" s="3337"/>
    </row>
    <row r="58332" spans="7:16" s="1634" customFormat="1">
      <c r="G58332" s="3336"/>
      <c r="P58332" s="3337"/>
    </row>
    <row r="58333" spans="7:16" s="1634" customFormat="1">
      <c r="G58333" s="3336"/>
      <c r="P58333" s="3337"/>
    </row>
    <row r="58334" spans="7:16" s="1634" customFormat="1">
      <c r="G58334" s="3336"/>
      <c r="P58334" s="3337"/>
    </row>
    <row r="58335" spans="7:16" s="1634" customFormat="1">
      <c r="G58335" s="3336"/>
      <c r="P58335" s="3337"/>
    </row>
    <row r="58336" spans="7:16" s="1634" customFormat="1">
      <c r="G58336" s="3336"/>
      <c r="P58336" s="3337"/>
    </row>
    <row r="58337" spans="7:16" s="1634" customFormat="1">
      <c r="G58337" s="3336"/>
      <c r="P58337" s="3337"/>
    </row>
    <row r="58338" spans="7:16" s="1634" customFormat="1">
      <c r="G58338" s="3336"/>
      <c r="P58338" s="3337"/>
    </row>
    <row r="58339" spans="7:16" s="1634" customFormat="1">
      <c r="G58339" s="3336"/>
      <c r="P58339" s="3337"/>
    </row>
    <row r="58340" spans="7:16" s="1634" customFormat="1">
      <c r="G58340" s="3336"/>
      <c r="P58340" s="3337"/>
    </row>
    <row r="58341" spans="7:16" s="1634" customFormat="1">
      <c r="G58341" s="3336"/>
      <c r="P58341" s="3337"/>
    </row>
    <row r="58342" spans="7:16" s="1634" customFormat="1">
      <c r="G58342" s="3336"/>
      <c r="P58342" s="3337"/>
    </row>
    <row r="58343" spans="7:16" s="1634" customFormat="1">
      <c r="G58343" s="3336"/>
      <c r="P58343" s="3337"/>
    </row>
    <row r="58344" spans="7:16" s="1634" customFormat="1">
      <c r="G58344" s="3336"/>
      <c r="P58344" s="3337"/>
    </row>
    <row r="58345" spans="7:16" s="1634" customFormat="1">
      <c r="G58345" s="3336"/>
      <c r="P58345" s="3337"/>
    </row>
    <row r="58346" spans="7:16" s="1634" customFormat="1">
      <c r="G58346" s="3336"/>
      <c r="P58346" s="3337"/>
    </row>
    <row r="58347" spans="7:16" s="1634" customFormat="1">
      <c r="G58347" s="3336"/>
      <c r="P58347" s="3337"/>
    </row>
    <row r="58348" spans="7:16" s="1634" customFormat="1">
      <c r="G58348" s="3336"/>
      <c r="P58348" s="3337"/>
    </row>
    <row r="58349" spans="7:16" s="1634" customFormat="1">
      <c r="G58349" s="3336"/>
      <c r="P58349" s="3337"/>
    </row>
    <row r="58350" spans="7:16" s="1634" customFormat="1">
      <c r="G58350" s="3336"/>
      <c r="P58350" s="3337"/>
    </row>
    <row r="58351" spans="7:16" s="1634" customFormat="1">
      <c r="G58351" s="3336"/>
      <c r="P58351" s="3337"/>
    </row>
    <row r="58352" spans="7:16" s="1634" customFormat="1">
      <c r="G58352" s="3336"/>
      <c r="P58352" s="3337"/>
    </row>
    <row r="58353" spans="7:16" s="1634" customFormat="1">
      <c r="G58353" s="3336"/>
      <c r="P58353" s="3337"/>
    </row>
    <row r="58354" spans="7:16" s="1634" customFormat="1">
      <c r="G58354" s="3336"/>
      <c r="P58354" s="3337"/>
    </row>
    <row r="58355" spans="7:16" s="1634" customFormat="1">
      <c r="G58355" s="3336"/>
      <c r="P58355" s="3337"/>
    </row>
    <row r="58356" spans="7:16" s="1634" customFormat="1">
      <c r="G58356" s="3336"/>
      <c r="P58356" s="3337"/>
    </row>
    <row r="58357" spans="7:16" s="1634" customFormat="1">
      <c r="G58357" s="3336"/>
      <c r="P58357" s="3337"/>
    </row>
    <row r="58358" spans="7:16" s="1634" customFormat="1">
      <c r="G58358" s="3336"/>
      <c r="P58358" s="3337"/>
    </row>
    <row r="58359" spans="7:16" s="1634" customFormat="1">
      <c r="G58359" s="3336"/>
      <c r="P58359" s="3337"/>
    </row>
    <row r="58360" spans="7:16" s="1634" customFormat="1">
      <c r="G58360" s="3336"/>
      <c r="P58360" s="3337"/>
    </row>
    <row r="58361" spans="7:16" s="1634" customFormat="1">
      <c r="G58361" s="3336"/>
      <c r="P58361" s="3337"/>
    </row>
    <row r="58362" spans="7:16" s="1634" customFormat="1">
      <c r="G58362" s="3336"/>
      <c r="P58362" s="3337"/>
    </row>
    <row r="58363" spans="7:16" s="1634" customFormat="1">
      <c r="G58363" s="3336"/>
      <c r="P58363" s="3337"/>
    </row>
    <row r="58364" spans="7:16" s="1634" customFormat="1">
      <c r="G58364" s="3336"/>
      <c r="P58364" s="3337"/>
    </row>
    <row r="58365" spans="7:16" s="1634" customFormat="1">
      <c r="G58365" s="3336"/>
      <c r="P58365" s="3337"/>
    </row>
    <row r="58366" spans="7:16" s="1634" customFormat="1">
      <c r="G58366" s="3336"/>
      <c r="P58366" s="3337"/>
    </row>
    <row r="58367" spans="7:16" s="1634" customFormat="1">
      <c r="G58367" s="3336"/>
      <c r="P58367" s="3337"/>
    </row>
    <row r="58368" spans="7:16" s="1634" customFormat="1">
      <c r="G58368" s="3336"/>
      <c r="P58368" s="3337"/>
    </row>
    <row r="58369" spans="7:16" s="1634" customFormat="1">
      <c r="G58369" s="3336"/>
      <c r="P58369" s="3337"/>
    </row>
    <row r="58370" spans="7:16" s="1634" customFormat="1">
      <c r="G58370" s="3336"/>
      <c r="P58370" s="3337"/>
    </row>
    <row r="58371" spans="7:16" s="1634" customFormat="1">
      <c r="G58371" s="3336"/>
      <c r="P58371" s="3337"/>
    </row>
    <row r="58372" spans="7:16" s="1634" customFormat="1">
      <c r="G58372" s="3336"/>
      <c r="P58372" s="3337"/>
    </row>
    <row r="58373" spans="7:16" s="1634" customFormat="1">
      <c r="G58373" s="3336"/>
      <c r="P58373" s="3337"/>
    </row>
    <row r="58374" spans="7:16" s="1634" customFormat="1">
      <c r="G58374" s="3336"/>
      <c r="P58374" s="3337"/>
    </row>
    <row r="58375" spans="7:16" s="1634" customFormat="1">
      <c r="G58375" s="3336"/>
      <c r="P58375" s="3337"/>
    </row>
    <row r="58376" spans="7:16" s="1634" customFormat="1">
      <c r="G58376" s="3336"/>
      <c r="P58376" s="3337"/>
    </row>
    <row r="58377" spans="7:16" s="1634" customFormat="1">
      <c r="G58377" s="3336"/>
      <c r="P58377" s="3337"/>
    </row>
    <row r="58378" spans="7:16" s="1634" customFormat="1">
      <c r="G58378" s="3336"/>
      <c r="P58378" s="3337"/>
    </row>
    <row r="58379" spans="7:16" s="1634" customFormat="1">
      <c r="G58379" s="3336"/>
      <c r="P58379" s="3337"/>
    </row>
    <row r="58380" spans="7:16" s="1634" customFormat="1">
      <c r="G58380" s="3336"/>
      <c r="P58380" s="3337"/>
    </row>
    <row r="58381" spans="7:16" s="1634" customFormat="1">
      <c r="G58381" s="3336"/>
      <c r="P58381" s="3337"/>
    </row>
    <row r="58382" spans="7:16" s="1634" customFormat="1">
      <c r="G58382" s="3336"/>
      <c r="P58382" s="3337"/>
    </row>
    <row r="58383" spans="7:16" s="1634" customFormat="1">
      <c r="G58383" s="3336"/>
      <c r="P58383" s="3337"/>
    </row>
    <row r="58384" spans="7:16" s="1634" customFormat="1">
      <c r="G58384" s="3336"/>
      <c r="P58384" s="3337"/>
    </row>
    <row r="58385" spans="7:16" s="1634" customFormat="1">
      <c r="G58385" s="3336"/>
      <c r="P58385" s="3337"/>
    </row>
    <row r="58386" spans="7:16" s="1634" customFormat="1">
      <c r="G58386" s="3336"/>
      <c r="P58386" s="3337"/>
    </row>
    <row r="58387" spans="7:16" s="1634" customFormat="1">
      <c r="G58387" s="3336"/>
      <c r="P58387" s="3337"/>
    </row>
    <row r="58388" spans="7:16" s="1634" customFormat="1">
      <c r="G58388" s="3336"/>
      <c r="P58388" s="3337"/>
    </row>
    <row r="58389" spans="7:16" s="1634" customFormat="1">
      <c r="G58389" s="3336"/>
      <c r="P58389" s="3337"/>
    </row>
    <row r="58390" spans="7:16" s="1634" customFormat="1">
      <c r="G58390" s="3336"/>
      <c r="P58390" s="3337"/>
    </row>
    <row r="58391" spans="7:16" s="1634" customFormat="1">
      <c r="G58391" s="3336"/>
      <c r="P58391" s="3337"/>
    </row>
    <row r="58392" spans="7:16" s="1634" customFormat="1">
      <c r="G58392" s="3336"/>
      <c r="P58392" s="3337"/>
    </row>
    <row r="58393" spans="7:16" s="1634" customFormat="1">
      <c r="G58393" s="3336"/>
      <c r="P58393" s="3337"/>
    </row>
    <row r="58394" spans="7:16" s="1634" customFormat="1">
      <c r="G58394" s="3336"/>
      <c r="P58394" s="3337"/>
    </row>
    <row r="58395" spans="7:16" s="1634" customFormat="1">
      <c r="G58395" s="3336"/>
      <c r="P58395" s="3337"/>
    </row>
    <row r="58396" spans="7:16" s="1634" customFormat="1">
      <c r="G58396" s="3336"/>
      <c r="P58396" s="3337"/>
    </row>
    <row r="58397" spans="7:16" s="1634" customFormat="1">
      <c r="G58397" s="3336"/>
      <c r="P58397" s="3337"/>
    </row>
    <row r="58398" spans="7:16" s="1634" customFormat="1">
      <c r="G58398" s="3336"/>
      <c r="P58398" s="3337"/>
    </row>
    <row r="58399" spans="7:16" s="1634" customFormat="1">
      <c r="G58399" s="3336"/>
      <c r="P58399" s="3337"/>
    </row>
    <row r="58400" spans="7:16" s="1634" customFormat="1">
      <c r="G58400" s="3336"/>
      <c r="P58400" s="3337"/>
    </row>
    <row r="58401" spans="7:16" s="1634" customFormat="1">
      <c r="G58401" s="3336"/>
      <c r="P58401" s="3337"/>
    </row>
    <row r="58402" spans="7:16" s="1634" customFormat="1">
      <c r="G58402" s="3336"/>
      <c r="P58402" s="3337"/>
    </row>
    <row r="58403" spans="7:16" s="1634" customFormat="1">
      <c r="G58403" s="3336"/>
      <c r="P58403" s="3337"/>
    </row>
    <row r="58404" spans="7:16" s="1634" customFormat="1">
      <c r="G58404" s="3336"/>
      <c r="P58404" s="3337"/>
    </row>
    <row r="58405" spans="7:16" s="1634" customFormat="1">
      <c r="G58405" s="3336"/>
      <c r="P58405" s="3337"/>
    </row>
    <row r="58406" spans="7:16" s="1634" customFormat="1">
      <c r="G58406" s="3336"/>
      <c r="P58406" s="3337"/>
    </row>
    <row r="58407" spans="7:16" s="1634" customFormat="1">
      <c r="G58407" s="3336"/>
      <c r="P58407" s="3337"/>
    </row>
    <row r="58408" spans="7:16" s="1634" customFormat="1">
      <c r="G58408" s="3336"/>
      <c r="P58408" s="3337"/>
    </row>
    <row r="58409" spans="7:16" s="1634" customFormat="1">
      <c r="G58409" s="3336"/>
      <c r="P58409" s="3337"/>
    </row>
    <row r="58410" spans="7:16" s="1634" customFormat="1">
      <c r="G58410" s="3336"/>
      <c r="P58410" s="3337"/>
    </row>
    <row r="58411" spans="7:16" s="1634" customFormat="1">
      <c r="G58411" s="3336"/>
      <c r="P58411" s="3337"/>
    </row>
    <row r="58412" spans="7:16" s="1634" customFormat="1">
      <c r="G58412" s="3336"/>
      <c r="P58412" s="3337"/>
    </row>
    <row r="58413" spans="7:16" s="1634" customFormat="1">
      <c r="G58413" s="3336"/>
      <c r="P58413" s="3337"/>
    </row>
    <row r="58414" spans="7:16" s="1634" customFormat="1">
      <c r="G58414" s="3336"/>
      <c r="P58414" s="3337"/>
    </row>
    <row r="58415" spans="7:16" s="1634" customFormat="1">
      <c r="G58415" s="3336"/>
      <c r="P58415" s="3337"/>
    </row>
    <row r="58416" spans="7:16" s="1634" customFormat="1">
      <c r="G58416" s="3336"/>
      <c r="P58416" s="3337"/>
    </row>
    <row r="58417" spans="7:16" s="1634" customFormat="1">
      <c r="G58417" s="3336"/>
      <c r="P58417" s="3337"/>
    </row>
    <row r="58418" spans="7:16" s="1634" customFormat="1">
      <c r="G58418" s="3336"/>
      <c r="P58418" s="3337"/>
    </row>
    <row r="58419" spans="7:16" s="1634" customFormat="1">
      <c r="G58419" s="3336"/>
      <c r="P58419" s="3337"/>
    </row>
    <row r="58420" spans="7:16" s="1634" customFormat="1">
      <c r="G58420" s="3336"/>
      <c r="P58420" s="3337"/>
    </row>
    <row r="58421" spans="7:16" s="1634" customFormat="1">
      <c r="G58421" s="3336"/>
      <c r="P58421" s="3337"/>
    </row>
    <row r="58422" spans="7:16" s="1634" customFormat="1">
      <c r="G58422" s="3336"/>
      <c r="P58422" s="3337"/>
    </row>
    <row r="58423" spans="7:16" s="1634" customFormat="1">
      <c r="G58423" s="3336"/>
      <c r="P58423" s="3337"/>
    </row>
    <row r="58424" spans="7:16" s="1634" customFormat="1">
      <c r="G58424" s="3336"/>
      <c r="P58424" s="3337"/>
    </row>
    <row r="58425" spans="7:16" s="1634" customFormat="1">
      <c r="G58425" s="3336"/>
      <c r="P58425" s="3337"/>
    </row>
    <row r="58426" spans="7:16" s="1634" customFormat="1">
      <c r="G58426" s="3336"/>
      <c r="P58426" s="3337"/>
    </row>
    <row r="58427" spans="7:16" s="1634" customFormat="1">
      <c r="G58427" s="3336"/>
      <c r="P58427" s="3337"/>
    </row>
    <row r="58428" spans="7:16" s="1634" customFormat="1">
      <c r="G58428" s="3336"/>
      <c r="P58428" s="3337"/>
    </row>
    <row r="58429" spans="7:16" s="1634" customFormat="1">
      <c r="G58429" s="3336"/>
      <c r="P58429" s="3337"/>
    </row>
    <row r="58430" spans="7:16" s="1634" customFormat="1">
      <c r="G58430" s="3336"/>
      <c r="P58430" s="3337"/>
    </row>
    <row r="58431" spans="7:16" s="1634" customFormat="1">
      <c r="G58431" s="3336"/>
      <c r="P58431" s="3337"/>
    </row>
    <row r="58432" spans="7:16" s="1634" customFormat="1">
      <c r="G58432" s="3336"/>
      <c r="P58432" s="3337"/>
    </row>
    <row r="58433" spans="7:16" s="1634" customFormat="1">
      <c r="G58433" s="3336"/>
      <c r="P58433" s="3337"/>
    </row>
    <row r="58434" spans="7:16" s="1634" customFormat="1">
      <c r="G58434" s="3336"/>
      <c r="P58434" s="3337"/>
    </row>
    <row r="58435" spans="7:16" s="1634" customFormat="1">
      <c r="G58435" s="3336"/>
      <c r="P58435" s="3337"/>
    </row>
    <row r="58436" spans="7:16" s="1634" customFormat="1">
      <c r="G58436" s="3336"/>
      <c r="P58436" s="3337"/>
    </row>
    <row r="58437" spans="7:16" s="1634" customFormat="1">
      <c r="G58437" s="3336"/>
      <c r="P58437" s="3337"/>
    </row>
    <row r="58438" spans="7:16" s="1634" customFormat="1">
      <c r="G58438" s="3336"/>
      <c r="P58438" s="3337"/>
    </row>
    <row r="58439" spans="7:16" s="1634" customFormat="1">
      <c r="G58439" s="3336"/>
      <c r="P58439" s="3337"/>
    </row>
    <row r="58440" spans="7:16" s="1634" customFormat="1">
      <c r="G58440" s="3336"/>
      <c r="P58440" s="3337"/>
    </row>
    <row r="58441" spans="7:16" s="1634" customFormat="1">
      <c r="G58441" s="3336"/>
      <c r="P58441" s="3337"/>
    </row>
    <row r="58442" spans="7:16" s="1634" customFormat="1">
      <c r="G58442" s="3336"/>
      <c r="P58442" s="3337"/>
    </row>
    <row r="58443" spans="7:16" s="1634" customFormat="1">
      <c r="G58443" s="3336"/>
      <c r="P58443" s="3337"/>
    </row>
    <row r="58444" spans="7:16" s="1634" customFormat="1">
      <c r="G58444" s="3336"/>
      <c r="P58444" s="3337"/>
    </row>
    <row r="58445" spans="7:16" s="1634" customFormat="1">
      <c r="G58445" s="3336"/>
      <c r="P58445" s="3337"/>
    </row>
    <row r="58446" spans="7:16" s="1634" customFormat="1">
      <c r="G58446" s="3336"/>
      <c r="P58446" s="3337"/>
    </row>
    <row r="58447" spans="7:16" s="1634" customFormat="1">
      <c r="G58447" s="3336"/>
      <c r="P58447" s="3337"/>
    </row>
    <row r="58448" spans="7:16" s="1634" customFormat="1">
      <c r="G58448" s="3336"/>
      <c r="P58448" s="3337"/>
    </row>
    <row r="58449" spans="7:16" s="1634" customFormat="1">
      <c r="G58449" s="3336"/>
      <c r="P58449" s="3337"/>
    </row>
    <row r="58450" spans="7:16" s="1634" customFormat="1">
      <c r="G58450" s="3336"/>
      <c r="P58450" s="3337"/>
    </row>
    <row r="58451" spans="7:16" s="1634" customFormat="1">
      <c r="G58451" s="3336"/>
      <c r="P58451" s="3337"/>
    </row>
    <row r="58452" spans="7:16" s="1634" customFormat="1">
      <c r="G58452" s="3336"/>
      <c r="P58452" s="3337"/>
    </row>
    <row r="58453" spans="7:16" s="1634" customFormat="1">
      <c r="G58453" s="3336"/>
      <c r="P58453" s="3337"/>
    </row>
    <row r="58454" spans="7:16" s="1634" customFormat="1">
      <c r="G58454" s="3336"/>
      <c r="P58454" s="3337"/>
    </row>
    <row r="58455" spans="7:16" s="1634" customFormat="1">
      <c r="G58455" s="3336"/>
      <c r="P58455" s="3337"/>
    </row>
    <row r="58456" spans="7:16" s="1634" customFormat="1">
      <c r="G58456" s="3336"/>
      <c r="P58456" s="3337"/>
    </row>
    <row r="58457" spans="7:16" s="1634" customFormat="1">
      <c r="G58457" s="3336"/>
      <c r="P58457" s="3337"/>
    </row>
    <row r="58458" spans="7:16" s="1634" customFormat="1">
      <c r="G58458" s="3336"/>
      <c r="P58458" s="3337"/>
    </row>
    <row r="58459" spans="7:16" s="1634" customFormat="1">
      <c r="G58459" s="3336"/>
      <c r="P58459" s="3337"/>
    </row>
    <row r="58460" spans="7:16" s="1634" customFormat="1">
      <c r="G58460" s="3336"/>
      <c r="P58460" s="3337"/>
    </row>
    <row r="58461" spans="7:16" s="1634" customFormat="1">
      <c r="G58461" s="3336"/>
      <c r="P58461" s="3337"/>
    </row>
    <row r="58462" spans="7:16" s="1634" customFormat="1">
      <c r="G58462" s="3336"/>
      <c r="P58462" s="3337"/>
    </row>
    <row r="58463" spans="7:16" s="1634" customFormat="1">
      <c r="G58463" s="3336"/>
      <c r="P58463" s="3337"/>
    </row>
    <row r="58464" spans="7:16" s="1634" customFormat="1">
      <c r="G58464" s="3336"/>
      <c r="P58464" s="3337"/>
    </row>
    <row r="58465" spans="7:16" s="1634" customFormat="1">
      <c r="G58465" s="3336"/>
      <c r="P58465" s="3337"/>
    </row>
    <row r="58466" spans="7:16" s="1634" customFormat="1">
      <c r="G58466" s="3336"/>
      <c r="P58466" s="3337"/>
    </row>
    <row r="58467" spans="7:16" s="1634" customFormat="1">
      <c r="G58467" s="3336"/>
      <c r="P58467" s="3337"/>
    </row>
    <row r="58468" spans="7:16" s="1634" customFormat="1">
      <c r="G58468" s="3336"/>
      <c r="P58468" s="3337"/>
    </row>
    <row r="58469" spans="7:16" s="1634" customFormat="1">
      <c r="G58469" s="3336"/>
      <c r="P58469" s="3337"/>
    </row>
    <row r="58470" spans="7:16" s="1634" customFormat="1">
      <c r="G58470" s="3336"/>
      <c r="P58470" s="3337"/>
    </row>
    <row r="58471" spans="7:16" s="1634" customFormat="1">
      <c r="G58471" s="3336"/>
      <c r="P58471" s="3337"/>
    </row>
    <row r="58472" spans="7:16" s="1634" customFormat="1">
      <c r="G58472" s="3336"/>
      <c r="P58472" s="3337"/>
    </row>
    <row r="58473" spans="7:16" s="1634" customFormat="1">
      <c r="G58473" s="3336"/>
      <c r="P58473" s="3337"/>
    </row>
    <row r="58474" spans="7:16" s="1634" customFormat="1">
      <c r="G58474" s="3336"/>
      <c r="P58474" s="3337"/>
    </row>
    <row r="58475" spans="7:16" s="1634" customFormat="1">
      <c r="G58475" s="3336"/>
      <c r="P58475" s="3337"/>
    </row>
    <row r="58476" spans="7:16" s="1634" customFormat="1">
      <c r="G58476" s="3336"/>
      <c r="P58476" s="3337"/>
    </row>
    <row r="58477" spans="7:16" s="1634" customFormat="1">
      <c r="G58477" s="3336"/>
      <c r="P58477" s="3337"/>
    </row>
    <row r="58478" spans="7:16" s="1634" customFormat="1">
      <c r="G58478" s="3336"/>
      <c r="P58478" s="3337"/>
    </row>
    <row r="58479" spans="7:16" s="1634" customFormat="1">
      <c r="G58479" s="3336"/>
      <c r="P58479" s="3337"/>
    </row>
    <row r="58480" spans="7:16" s="1634" customFormat="1">
      <c r="G58480" s="3336"/>
      <c r="P58480" s="3337"/>
    </row>
    <row r="58481" spans="7:16" s="1634" customFormat="1">
      <c r="G58481" s="3336"/>
      <c r="P58481" s="3337"/>
    </row>
    <row r="58482" spans="7:16" s="1634" customFormat="1">
      <c r="G58482" s="3336"/>
      <c r="P58482" s="3337"/>
    </row>
    <row r="58483" spans="7:16" s="1634" customFormat="1">
      <c r="G58483" s="3336"/>
      <c r="P58483" s="3337"/>
    </row>
    <row r="58484" spans="7:16" s="1634" customFormat="1">
      <c r="G58484" s="3336"/>
      <c r="P58484" s="3337"/>
    </row>
    <row r="58485" spans="7:16" s="1634" customFormat="1">
      <c r="G58485" s="3336"/>
      <c r="P58485" s="3337"/>
    </row>
    <row r="58486" spans="7:16" s="1634" customFormat="1">
      <c r="G58486" s="3336"/>
      <c r="P58486" s="3337"/>
    </row>
    <row r="58487" spans="7:16" s="1634" customFormat="1">
      <c r="G58487" s="3336"/>
      <c r="P58487" s="3337"/>
    </row>
    <row r="58488" spans="7:16" s="1634" customFormat="1">
      <c r="G58488" s="3336"/>
      <c r="P58488" s="3337"/>
    </row>
    <row r="58489" spans="7:16" s="1634" customFormat="1">
      <c r="G58489" s="3336"/>
      <c r="P58489" s="3337"/>
    </row>
    <row r="58490" spans="7:16" s="1634" customFormat="1">
      <c r="G58490" s="3336"/>
      <c r="P58490" s="3337"/>
    </row>
    <row r="58491" spans="7:16" s="1634" customFormat="1">
      <c r="G58491" s="3336"/>
      <c r="P58491" s="3337"/>
    </row>
    <row r="58492" spans="7:16" s="1634" customFormat="1">
      <c r="G58492" s="3336"/>
      <c r="P58492" s="3337"/>
    </row>
    <row r="58493" spans="7:16" s="1634" customFormat="1">
      <c r="G58493" s="3336"/>
      <c r="P58493" s="3337"/>
    </row>
    <row r="58494" spans="7:16" s="1634" customFormat="1">
      <c r="G58494" s="3336"/>
      <c r="P58494" s="3337"/>
    </row>
    <row r="58495" spans="7:16" s="1634" customFormat="1">
      <c r="G58495" s="3336"/>
      <c r="P58495" s="3337"/>
    </row>
    <row r="58496" spans="7:16" s="1634" customFormat="1">
      <c r="G58496" s="3336"/>
      <c r="P58496" s="3337"/>
    </row>
    <row r="58497" spans="7:16" s="1634" customFormat="1">
      <c r="G58497" s="3336"/>
      <c r="P58497" s="3337"/>
    </row>
    <row r="58498" spans="7:16" s="1634" customFormat="1">
      <c r="G58498" s="3336"/>
      <c r="P58498" s="3337"/>
    </row>
    <row r="58499" spans="7:16" s="1634" customFormat="1">
      <c r="G58499" s="3336"/>
      <c r="P58499" s="3337"/>
    </row>
    <row r="58500" spans="7:16" s="1634" customFormat="1">
      <c r="G58500" s="3336"/>
      <c r="P58500" s="3337"/>
    </row>
    <row r="58501" spans="7:16" s="1634" customFormat="1">
      <c r="G58501" s="3336"/>
      <c r="P58501" s="3337"/>
    </row>
    <row r="58502" spans="7:16" s="1634" customFormat="1">
      <c r="G58502" s="3336"/>
      <c r="P58502" s="3337"/>
    </row>
    <row r="58503" spans="7:16" s="1634" customFormat="1">
      <c r="G58503" s="3336"/>
      <c r="P58503" s="3337"/>
    </row>
    <row r="58504" spans="7:16" s="1634" customFormat="1">
      <c r="G58504" s="3336"/>
      <c r="P58504" s="3337"/>
    </row>
    <row r="58505" spans="7:16" s="1634" customFormat="1">
      <c r="G58505" s="3336"/>
      <c r="P58505" s="3337"/>
    </row>
    <row r="58506" spans="7:16" s="1634" customFormat="1">
      <c r="G58506" s="3336"/>
      <c r="P58506" s="3337"/>
    </row>
    <row r="58507" spans="7:16" s="1634" customFormat="1">
      <c r="G58507" s="3336"/>
      <c r="P58507" s="3337"/>
    </row>
    <row r="58508" spans="7:16" s="1634" customFormat="1">
      <c r="G58508" s="3336"/>
      <c r="P58508" s="3337"/>
    </row>
    <row r="58509" spans="7:16" s="1634" customFormat="1">
      <c r="G58509" s="3336"/>
      <c r="P58509" s="3337"/>
    </row>
    <row r="58510" spans="7:16" s="1634" customFormat="1">
      <c r="G58510" s="3336"/>
      <c r="P58510" s="3337"/>
    </row>
    <row r="58511" spans="7:16" s="1634" customFormat="1">
      <c r="G58511" s="3336"/>
      <c r="P58511" s="3337"/>
    </row>
    <row r="58512" spans="7:16" s="1634" customFormat="1">
      <c r="G58512" s="3336"/>
      <c r="P58512" s="3337"/>
    </row>
    <row r="58513" spans="7:16" s="1634" customFormat="1">
      <c r="G58513" s="3336"/>
      <c r="P58513" s="3337"/>
    </row>
    <row r="58514" spans="7:16" s="1634" customFormat="1">
      <c r="G58514" s="3336"/>
      <c r="P58514" s="3337"/>
    </row>
    <row r="58515" spans="7:16" s="1634" customFormat="1">
      <c r="G58515" s="3336"/>
      <c r="P58515" s="3337"/>
    </row>
    <row r="58516" spans="7:16" s="1634" customFormat="1">
      <c r="G58516" s="3336"/>
      <c r="P58516" s="3337"/>
    </row>
    <row r="58517" spans="7:16" s="1634" customFormat="1">
      <c r="G58517" s="3336"/>
      <c r="P58517" s="3337"/>
    </row>
    <row r="58518" spans="7:16" s="1634" customFormat="1">
      <c r="G58518" s="3336"/>
      <c r="P58518" s="3337"/>
    </row>
    <row r="58519" spans="7:16" s="1634" customFormat="1">
      <c r="G58519" s="3336"/>
      <c r="P58519" s="3337"/>
    </row>
    <row r="58520" spans="7:16" s="1634" customFormat="1">
      <c r="G58520" s="3336"/>
      <c r="P58520" s="3337"/>
    </row>
    <row r="58521" spans="7:16" s="1634" customFormat="1">
      <c r="G58521" s="3336"/>
      <c r="P58521" s="3337"/>
    </row>
    <row r="58522" spans="7:16" s="1634" customFormat="1">
      <c r="G58522" s="3336"/>
      <c r="P58522" s="3337"/>
    </row>
    <row r="58523" spans="7:16" s="1634" customFormat="1">
      <c r="G58523" s="3336"/>
      <c r="P58523" s="3337"/>
    </row>
    <row r="58524" spans="7:16" s="1634" customFormat="1">
      <c r="G58524" s="3336"/>
      <c r="P58524" s="3337"/>
    </row>
    <row r="58525" spans="7:16" s="1634" customFormat="1">
      <c r="G58525" s="3336"/>
      <c r="P58525" s="3337"/>
    </row>
    <row r="58526" spans="7:16" s="1634" customFormat="1">
      <c r="G58526" s="3336"/>
      <c r="P58526" s="3337"/>
    </row>
    <row r="58527" spans="7:16" s="1634" customFormat="1">
      <c r="G58527" s="3336"/>
      <c r="P58527" s="3337"/>
    </row>
    <row r="58528" spans="7:16" s="1634" customFormat="1">
      <c r="G58528" s="3336"/>
      <c r="P58528" s="3337"/>
    </row>
    <row r="58529" spans="7:16" s="1634" customFormat="1">
      <c r="G58529" s="3336"/>
      <c r="P58529" s="3337"/>
    </row>
    <row r="58530" spans="7:16" s="1634" customFormat="1">
      <c r="G58530" s="3336"/>
      <c r="P58530" s="3337"/>
    </row>
    <row r="58531" spans="7:16" s="1634" customFormat="1">
      <c r="G58531" s="3336"/>
      <c r="P58531" s="3337"/>
    </row>
    <row r="58532" spans="7:16" s="1634" customFormat="1">
      <c r="G58532" s="3336"/>
      <c r="P58532" s="3337"/>
    </row>
    <row r="58533" spans="7:16" s="1634" customFormat="1">
      <c r="G58533" s="3336"/>
      <c r="P58533" s="3337"/>
    </row>
    <row r="58534" spans="7:16" s="1634" customFormat="1">
      <c r="G58534" s="3336"/>
      <c r="P58534" s="3337"/>
    </row>
    <row r="58535" spans="7:16" s="1634" customFormat="1">
      <c r="G58535" s="3336"/>
      <c r="P58535" s="3337"/>
    </row>
    <row r="58536" spans="7:16" s="1634" customFormat="1">
      <c r="G58536" s="3336"/>
      <c r="P58536" s="3337"/>
    </row>
    <row r="58537" spans="7:16" s="1634" customFormat="1">
      <c r="G58537" s="3336"/>
      <c r="P58537" s="3337"/>
    </row>
    <row r="58538" spans="7:16" s="1634" customFormat="1">
      <c r="G58538" s="3336"/>
      <c r="P58538" s="3337"/>
    </row>
    <row r="58539" spans="7:16" s="1634" customFormat="1">
      <c r="G58539" s="3336"/>
      <c r="P58539" s="3337"/>
    </row>
    <row r="58540" spans="7:16" s="1634" customFormat="1">
      <c r="G58540" s="3336"/>
      <c r="P58540" s="3337"/>
    </row>
    <row r="58541" spans="7:16" s="1634" customFormat="1">
      <c r="G58541" s="3336"/>
      <c r="P58541" s="3337"/>
    </row>
    <row r="58542" spans="7:16" s="1634" customFormat="1">
      <c r="G58542" s="3336"/>
      <c r="P58542" s="3337"/>
    </row>
    <row r="58543" spans="7:16" s="1634" customFormat="1">
      <c r="G58543" s="3336"/>
      <c r="P58543" s="3337"/>
    </row>
    <row r="58544" spans="7:16" s="1634" customFormat="1">
      <c r="G58544" s="3336"/>
      <c r="P58544" s="3337"/>
    </row>
    <row r="58545" spans="7:16" s="1634" customFormat="1">
      <c r="G58545" s="3336"/>
      <c r="P58545" s="3337"/>
    </row>
    <row r="58546" spans="7:16" s="1634" customFormat="1">
      <c r="G58546" s="3336"/>
      <c r="P58546" s="3337"/>
    </row>
    <row r="58547" spans="7:16" s="1634" customFormat="1">
      <c r="G58547" s="3336"/>
      <c r="P58547" s="3337"/>
    </row>
    <row r="58548" spans="7:16" s="1634" customFormat="1">
      <c r="G58548" s="3336"/>
      <c r="P58548" s="3337"/>
    </row>
    <row r="58549" spans="7:16" s="1634" customFormat="1">
      <c r="G58549" s="3336"/>
      <c r="P58549" s="3337"/>
    </row>
    <row r="58550" spans="7:16" s="1634" customFormat="1">
      <c r="G58550" s="3336"/>
      <c r="P58550" s="3337"/>
    </row>
    <row r="58551" spans="7:16" s="1634" customFormat="1">
      <c r="G58551" s="3336"/>
      <c r="P58551" s="3337"/>
    </row>
    <row r="58552" spans="7:16" s="1634" customFormat="1">
      <c r="G58552" s="3336"/>
      <c r="P58552" s="3337"/>
    </row>
    <row r="58553" spans="7:16" s="1634" customFormat="1">
      <c r="G58553" s="3336"/>
      <c r="P58553" s="3337"/>
    </row>
    <row r="58554" spans="7:16" s="1634" customFormat="1">
      <c r="G58554" s="3336"/>
      <c r="P58554" s="3337"/>
    </row>
    <row r="58555" spans="7:16" s="1634" customFormat="1">
      <c r="G58555" s="3336"/>
      <c r="P58555" s="3337"/>
    </row>
    <row r="58556" spans="7:16" s="1634" customFormat="1">
      <c r="G58556" s="3336"/>
      <c r="P58556" s="3337"/>
    </row>
    <row r="58557" spans="7:16" s="1634" customFormat="1">
      <c r="G58557" s="3336"/>
      <c r="P58557" s="3337"/>
    </row>
    <row r="58558" spans="7:16" s="1634" customFormat="1">
      <c r="G58558" s="3336"/>
      <c r="P58558" s="3337"/>
    </row>
    <row r="58559" spans="7:16" s="1634" customFormat="1">
      <c r="G58559" s="3336"/>
      <c r="P58559" s="3337"/>
    </row>
    <row r="58560" spans="7:16" s="1634" customFormat="1">
      <c r="G58560" s="3336"/>
      <c r="P58560" s="3337"/>
    </row>
    <row r="58561" spans="7:16" s="1634" customFormat="1">
      <c r="G58561" s="3336"/>
      <c r="P58561" s="3337"/>
    </row>
    <row r="58562" spans="7:16" s="1634" customFormat="1">
      <c r="G58562" s="3336"/>
      <c r="P58562" s="3337"/>
    </row>
    <row r="58563" spans="7:16" s="1634" customFormat="1">
      <c r="G58563" s="3336"/>
      <c r="P58563" s="3337"/>
    </row>
    <row r="58564" spans="7:16" s="1634" customFormat="1">
      <c r="G58564" s="3336"/>
      <c r="P58564" s="3337"/>
    </row>
    <row r="58565" spans="7:16" s="1634" customFormat="1">
      <c r="G58565" s="3336"/>
      <c r="P58565" s="3337"/>
    </row>
    <row r="58566" spans="7:16" s="1634" customFormat="1">
      <c r="G58566" s="3336"/>
      <c r="P58566" s="3337"/>
    </row>
    <row r="58567" spans="7:16" s="1634" customFormat="1">
      <c r="G58567" s="3336"/>
      <c r="P58567" s="3337"/>
    </row>
    <row r="58568" spans="7:16" s="1634" customFormat="1">
      <c r="G58568" s="3336"/>
      <c r="P58568" s="3337"/>
    </row>
    <row r="58569" spans="7:16" s="1634" customFormat="1">
      <c r="G58569" s="3336"/>
      <c r="P58569" s="3337"/>
    </row>
    <row r="58570" spans="7:16" s="1634" customFormat="1">
      <c r="G58570" s="3336"/>
      <c r="P58570" s="3337"/>
    </row>
    <row r="58571" spans="7:16" s="1634" customFormat="1">
      <c r="G58571" s="3336"/>
      <c r="P58571" s="3337"/>
    </row>
    <row r="58572" spans="7:16" s="1634" customFormat="1">
      <c r="G58572" s="3336"/>
      <c r="P58572" s="3337"/>
    </row>
    <row r="58573" spans="7:16" s="1634" customFormat="1">
      <c r="G58573" s="3336"/>
      <c r="P58573" s="3337"/>
    </row>
    <row r="58574" spans="7:16" s="1634" customFormat="1">
      <c r="G58574" s="3336"/>
      <c r="P58574" s="3337"/>
    </row>
    <row r="58575" spans="7:16" s="1634" customFormat="1">
      <c r="G58575" s="3336"/>
      <c r="P58575" s="3337"/>
    </row>
    <row r="58576" spans="7:16" s="1634" customFormat="1">
      <c r="G58576" s="3336"/>
      <c r="P58576" s="3337"/>
    </row>
    <row r="58577" spans="7:16" s="1634" customFormat="1">
      <c r="G58577" s="3336"/>
      <c r="P58577" s="3337"/>
    </row>
    <row r="58578" spans="7:16" s="1634" customFormat="1">
      <c r="G58578" s="3336"/>
      <c r="P58578" s="3337"/>
    </row>
    <row r="58579" spans="7:16" s="1634" customFormat="1">
      <c r="G58579" s="3336"/>
      <c r="P58579" s="3337"/>
    </row>
    <row r="58580" spans="7:16" s="1634" customFormat="1">
      <c r="G58580" s="3336"/>
      <c r="P58580" s="3337"/>
    </row>
    <row r="58581" spans="7:16" s="1634" customFormat="1">
      <c r="G58581" s="3336"/>
      <c r="P58581" s="3337"/>
    </row>
    <row r="58582" spans="7:16" s="1634" customFormat="1">
      <c r="G58582" s="3336"/>
      <c r="P58582" s="3337"/>
    </row>
    <row r="58583" spans="7:16" s="1634" customFormat="1">
      <c r="G58583" s="3336"/>
      <c r="P58583" s="3337"/>
    </row>
    <row r="58584" spans="7:16" s="1634" customFormat="1">
      <c r="G58584" s="3336"/>
      <c r="P58584" s="3337"/>
    </row>
    <row r="58585" spans="7:16" s="1634" customFormat="1">
      <c r="G58585" s="3336"/>
      <c r="P58585" s="3337"/>
    </row>
    <row r="58586" spans="7:16" s="1634" customFormat="1">
      <c r="G58586" s="3336"/>
      <c r="P58586" s="3337"/>
    </row>
    <row r="58587" spans="7:16" s="1634" customFormat="1">
      <c r="G58587" s="3336"/>
      <c r="P58587" s="3337"/>
    </row>
    <row r="58588" spans="7:16" s="1634" customFormat="1">
      <c r="G58588" s="3336"/>
      <c r="P58588" s="3337"/>
    </row>
    <row r="58589" spans="7:16" s="1634" customFormat="1">
      <c r="G58589" s="3336"/>
      <c r="P58589" s="3337"/>
    </row>
    <row r="58590" spans="7:16" s="1634" customFormat="1">
      <c r="G58590" s="3336"/>
      <c r="P58590" s="3337"/>
    </row>
    <row r="58591" spans="7:16" s="1634" customFormat="1">
      <c r="G58591" s="3336"/>
      <c r="P58591" s="3337"/>
    </row>
    <row r="58592" spans="7:16" s="1634" customFormat="1">
      <c r="G58592" s="3336"/>
      <c r="P58592" s="3337"/>
    </row>
    <row r="58593" spans="7:16" s="1634" customFormat="1">
      <c r="G58593" s="3336"/>
      <c r="P58593" s="3337"/>
    </row>
    <row r="58594" spans="7:16" s="1634" customFormat="1">
      <c r="G58594" s="3336"/>
      <c r="P58594" s="3337"/>
    </row>
    <row r="58595" spans="7:16" s="1634" customFormat="1">
      <c r="G58595" s="3336"/>
      <c r="P58595" s="3337"/>
    </row>
    <row r="58596" spans="7:16" s="1634" customFormat="1">
      <c r="G58596" s="3336"/>
      <c r="P58596" s="3337"/>
    </row>
    <row r="58597" spans="7:16" s="1634" customFormat="1">
      <c r="G58597" s="3336"/>
      <c r="P58597" s="3337"/>
    </row>
    <row r="58598" spans="7:16" s="1634" customFormat="1">
      <c r="G58598" s="3336"/>
      <c r="P58598" s="3337"/>
    </row>
    <row r="58599" spans="7:16" s="1634" customFormat="1">
      <c r="G58599" s="3336"/>
      <c r="P58599" s="3337"/>
    </row>
    <row r="58600" spans="7:16" s="1634" customFormat="1">
      <c r="G58600" s="3336"/>
      <c r="P58600" s="3337"/>
    </row>
    <row r="58601" spans="7:16" s="1634" customFormat="1">
      <c r="G58601" s="3336"/>
      <c r="P58601" s="3337"/>
    </row>
    <row r="58602" spans="7:16" s="1634" customFormat="1">
      <c r="G58602" s="3336"/>
      <c r="P58602" s="3337"/>
    </row>
    <row r="58603" spans="7:16" s="1634" customFormat="1">
      <c r="G58603" s="3336"/>
      <c r="P58603" s="3337"/>
    </row>
    <row r="58604" spans="7:16" s="1634" customFormat="1">
      <c r="G58604" s="3336"/>
      <c r="P58604" s="3337"/>
    </row>
    <row r="58605" spans="7:16" s="1634" customFormat="1">
      <c r="G58605" s="3336"/>
      <c r="P58605" s="3337"/>
    </row>
    <row r="58606" spans="7:16" s="1634" customFormat="1">
      <c r="G58606" s="3336"/>
      <c r="P58606" s="3337"/>
    </row>
    <row r="58607" spans="7:16" s="1634" customFormat="1">
      <c r="G58607" s="3336"/>
      <c r="P58607" s="3337"/>
    </row>
    <row r="58608" spans="7:16" s="1634" customFormat="1">
      <c r="G58608" s="3336"/>
      <c r="P58608" s="3337"/>
    </row>
    <row r="58609" spans="7:16" s="1634" customFormat="1">
      <c r="G58609" s="3336"/>
      <c r="P58609" s="3337"/>
    </row>
    <row r="58610" spans="7:16" s="1634" customFormat="1">
      <c r="G58610" s="3336"/>
      <c r="P58610" s="3337"/>
    </row>
    <row r="58611" spans="7:16" s="1634" customFormat="1">
      <c r="G58611" s="3336"/>
      <c r="P58611" s="3337"/>
    </row>
    <row r="58612" spans="7:16" s="1634" customFormat="1">
      <c r="G58612" s="3336"/>
      <c r="P58612" s="3337"/>
    </row>
    <row r="58613" spans="7:16" s="1634" customFormat="1">
      <c r="G58613" s="3336"/>
      <c r="P58613" s="3337"/>
    </row>
    <row r="58614" spans="7:16" s="1634" customFormat="1">
      <c r="G58614" s="3336"/>
      <c r="P58614" s="3337"/>
    </row>
    <row r="58615" spans="7:16" s="1634" customFormat="1">
      <c r="G58615" s="3336"/>
      <c r="P58615" s="3337"/>
    </row>
    <row r="58616" spans="7:16" s="1634" customFormat="1">
      <c r="G58616" s="3336"/>
      <c r="P58616" s="3337"/>
    </row>
    <row r="58617" spans="7:16" s="1634" customFormat="1">
      <c r="G58617" s="3336"/>
      <c r="P58617" s="3337"/>
    </row>
    <row r="58618" spans="7:16" s="1634" customFormat="1">
      <c r="G58618" s="3336"/>
      <c r="P58618" s="3337"/>
    </row>
    <row r="58619" spans="7:16" s="1634" customFormat="1">
      <c r="G58619" s="3336"/>
      <c r="P58619" s="3337"/>
    </row>
    <row r="58620" spans="7:16" s="1634" customFormat="1">
      <c r="G58620" s="3336"/>
      <c r="P58620" s="3337"/>
    </row>
    <row r="58621" spans="7:16" s="1634" customFormat="1">
      <c r="G58621" s="3336"/>
      <c r="P58621" s="3337"/>
    </row>
    <row r="58622" spans="7:16" s="1634" customFormat="1">
      <c r="G58622" s="3336"/>
      <c r="P58622" s="3337"/>
    </row>
    <row r="58623" spans="7:16" s="1634" customFormat="1">
      <c r="G58623" s="3336"/>
      <c r="P58623" s="3337"/>
    </row>
    <row r="58624" spans="7:16" s="1634" customFormat="1">
      <c r="G58624" s="3336"/>
      <c r="P58624" s="3337"/>
    </row>
    <row r="58625" spans="7:16" s="1634" customFormat="1">
      <c r="G58625" s="3336"/>
      <c r="P58625" s="3337"/>
    </row>
    <row r="58626" spans="7:16" s="1634" customFormat="1">
      <c r="G58626" s="3336"/>
      <c r="P58626" s="3337"/>
    </row>
    <row r="58627" spans="7:16" s="1634" customFormat="1">
      <c r="G58627" s="3336"/>
      <c r="P58627" s="3337"/>
    </row>
    <row r="58628" spans="7:16" s="1634" customFormat="1">
      <c r="G58628" s="3336"/>
      <c r="P58628" s="3337"/>
    </row>
    <row r="58629" spans="7:16" s="1634" customFormat="1">
      <c r="G58629" s="3336"/>
      <c r="P58629" s="3337"/>
    </row>
    <row r="58630" spans="7:16" s="1634" customFormat="1">
      <c r="G58630" s="3336"/>
      <c r="P58630" s="3337"/>
    </row>
    <row r="58631" spans="7:16" s="1634" customFormat="1">
      <c r="G58631" s="3336"/>
      <c r="P58631" s="3337"/>
    </row>
    <row r="58632" spans="7:16" s="1634" customFormat="1">
      <c r="G58632" s="3336"/>
      <c r="P58632" s="3337"/>
    </row>
    <row r="58633" spans="7:16" s="1634" customFormat="1">
      <c r="G58633" s="3336"/>
      <c r="P58633" s="3337"/>
    </row>
    <row r="58634" spans="7:16" s="1634" customFormat="1">
      <c r="G58634" s="3336"/>
      <c r="P58634" s="3337"/>
    </row>
    <row r="58635" spans="7:16" s="1634" customFormat="1">
      <c r="G58635" s="3336"/>
      <c r="P58635" s="3337"/>
    </row>
    <row r="58636" spans="7:16" s="1634" customFormat="1">
      <c r="G58636" s="3336"/>
      <c r="P58636" s="3337"/>
    </row>
    <row r="58637" spans="7:16" s="1634" customFormat="1">
      <c r="G58637" s="3336"/>
      <c r="P58637" s="3337"/>
    </row>
    <row r="58638" spans="7:16" s="1634" customFormat="1">
      <c r="G58638" s="3336"/>
      <c r="P58638" s="3337"/>
    </row>
    <row r="58639" spans="7:16" s="1634" customFormat="1">
      <c r="G58639" s="3336"/>
      <c r="P58639" s="3337"/>
    </row>
    <row r="58640" spans="7:16" s="1634" customFormat="1">
      <c r="G58640" s="3336"/>
      <c r="P58640" s="3337"/>
    </row>
    <row r="58641" spans="7:16" s="1634" customFormat="1">
      <c r="G58641" s="3336"/>
      <c r="P58641" s="3337"/>
    </row>
    <row r="58642" spans="7:16" s="1634" customFormat="1">
      <c r="G58642" s="3336"/>
      <c r="P58642" s="3337"/>
    </row>
    <row r="58643" spans="7:16" s="1634" customFormat="1">
      <c r="G58643" s="3336"/>
      <c r="P58643" s="3337"/>
    </row>
    <row r="58644" spans="7:16" s="1634" customFormat="1">
      <c r="G58644" s="3336"/>
      <c r="P58644" s="3337"/>
    </row>
    <row r="58645" spans="7:16" s="1634" customFormat="1">
      <c r="G58645" s="3336"/>
      <c r="P58645" s="3337"/>
    </row>
    <row r="58646" spans="7:16" s="1634" customFormat="1">
      <c r="G58646" s="3336"/>
      <c r="P58646" s="3337"/>
    </row>
    <row r="58647" spans="7:16" s="1634" customFormat="1">
      <c r="G58647" s="3336"/>
      <c r="P58647" s="3337"/>
    </row>
    <row r="58648" spans="7:16" s="1634" customFormat="1">
      <c r="G58648" s="3336"/>
      <c r="P58648" s="3337"/>
    </row>
    <row r="58649" spans="7:16" s="1634" customFormat="1">
      <c r="G58649" s="3336"/>
      <c r="P58649" s="3337"/>
    </row>
    <row r="58650" spans="7:16" s="1634" customFormat="1">
      <c r="G58650" s="3336"/>
      <c r="P58650" s="3337"/>
    </row>
    <row r="58651" spans="7:16" s="1634" customFormat="1">
      <c r="G58651" s="3336"/>
      <c r="P58651" s="3337"/>
    </row>
    <row r="58652" spans="7:16" s="1634" customFormat="1">
      <c r="G58652" s="3336"/>
      <c r="P58652" s="3337"/>
    </row>
    <row r="58653" spans="7:16" s="1634" customFormat="1">
      <c r="G58653" s="3336"/>
      <c r="P58653" s="3337"/>
    </row>
    <row r="58654" spans="7:16" s="1634" customFormat="1">
      <c r="G58654" s="3336"/>
      <c r="P58654" s="3337"/>
    </row>
    <row r="58655" spans="7:16" s="1634" customFormat="1">
      <c r="G58655" s="3336"/>
      <c r="P58655" s="3337"/>
    </row>
    <row r="58656" spans="7:16" s="1634" customFormat="1">
      <c r="G58656" s="3336"/>
      <c r="P58656" s="3337"/>
    </row>
    <row r="58657" spans="7:16" s="1634" customFormat="1">
      <c r="G58657" s="3336"/>
      <c r="P58657" s="3337"/>
    </row>
    <row r="58658" spans="7:16" s="1634" customFormat="1">
      <c r="G58658" s="3336"/>
      <c r="P58658" s="3337"/>
    </row>
    <row r="58659" spans="7:16" s="1634" customFormat="1">
      <c r="G58659" s="3336"/>
      <c r="P58659" s="3337"/>
    </row>
    <row r="58660" spans="7:16" s="1634" customFormat="1">
      <c r="G58660" s="3336"/>
      <c r="P58660" s="3337"/>
    </row>
    <row r="58661" spans="7:16" s="1634" customFormat="1">
      <c r="G58661" s="3336"/>
      <c r="P58661" s="3337"/>
    </row>
    <row r="58662" spans="7:16" s="1634" customFormat="1">
      <c r="G58662" s="3336"/>
      <c r="P58662" s="3337"/>
    </row>
    <row r="58663" spans="7:16" s="1634" customFormat="1">
      <c r="G58663" s="3336"/>
      <c r="P58663" s="3337"/>
    </row>
    <row r="58664" spans="7:16" s="1634" customFormat="1">
      <c r="G58664" s="3336"/>
      <c r="P58664" s="3337"/>
    </row>
    <row r="58665" spans="7:16" s="1634" customFormat="1">
      <c r="G58665" s="3336"/>
      <c r="P58665" s="3337"/>
    </row>
    <row r="58666" spans="7:16" s="1634" customFormat="1">
      <c r="G58666" s="3336"/>
      <c r="P58666" s="3337"/>
    </row>
    <row r="58667" spans="7:16" s="1634" customFormat="1">
      <c r="G58667" s="3336"/>
      <c r="P58667" s="3337"/>
    </row>
    <row r="58668" spans="7:16" s="1634" customFormat="1">
      <c r="G58668" s="3336"/>
      <c r="P58668" s="3337"/>
    </row>
    <row r="58669" spans="7:16" s="1634" customFormat="1">
      <c r="G58669" s="3336"/>
      <c r="P58669" s="3337"/>
    </row>
    <row r="58670" spans="7:16" s="1634" customFormat="1">
      <c r="G58670" s="3336"/>
      <c r="P58670" s="3337"/>
    </row>
    <row r="58671" spans="7:16" s="1634" customFormat="1">
      <c r="G58671" s="3336"/>
      <c r="P58671" s="3337"/>
    </row>
    <row r="58672" spans="7:16" s="1634" customFormat="1">
      <c r="G58672" s="3336"/>
      <c r="P58672" s="3337"/>
    </row>
    <row r="58673" spans="7:16" s="1634" customFormat="1">
      <c r="G58673" s="3336"/>
      <c r="P58673" s="3337"/>
    </row>
    <row r="58674" spans="7:16" s="1634" customFormat="1">
      <c r="G58674" s="3336"/>
      <c r="P58674" s="3337"/>
    </row>
    <row r="58675" spans="7:16" s="1634" customFormat="1">
      <c r="G58675" s="3336"/>
      <c r="P58675" s="3337"/>
    </row>
    <row r="58676" spans="7:16" s="1634" customFormat="1">
      <c r="G58676" s="3336"/>
      <c r="P58676" s="3337"/>
    </row>
    <row r="58677" spans="7:16" s="1634" customFormat="1">
      <c r="G58677" s="3336"/>
      <c r="P58677" s="3337"/>
    </row>
    <row r="58678" spans="7:16" s="1634" customFormat="1">
      <c r="G58678" s="3336"/>
      <c r="P58678" s="3337"/>
    </row>
    <row r="58679" spans="7:16" s="1634" customFormat="1">
      <c r="G58679" s="3336"/>
      <c r="P58679" s="3337"/>
    </row>
    <row r="58680" spans="7:16" s="1634" customFormat="1">
      <c r="G58680" s="3336"/>
      <c r="P58680" s="3337"/>
    </row>
    <row r="58681" spans="7:16" s="1634" customFormat="1">
      <c r="G58681" s="3336"/>
      <c r="P58681" s="3337"/>
    </row>
    <row r="58682" spans="7:16" s="1634" customFormat="1">
      <c r="G58682" s="3336"/>
      <c r="P58682" s="3337"/>
    </row>
    <row r="58683" spans="7:16" s="1634" customFormat="1">
      <c r="G58683" s="3336"/>
      <c r="P58683" s="3337"/>
    </row>
    <row r="58684" spans="7:16" s="1634" customFormat="1">
      <c r="G58684" s="3336"/>
      <c r="P58684" s="3337"/>
    </row>
    <row r="58685" spans="7:16" s="1634" customFormat="1">
      <c r="G58685" s="3336"/>
      <c r="P58685" s="3337"/>
    </row>
    <row r="58686" spans="7:16" s="1634" customFormat="1">
      <c r="G58686" s="3336"/>
      <c r="P58686" s="3337"/>
    </row>
    <row r="58687" spans="7:16" s="1634" customFormat="1">
      <c r="G58687" s="3336"/>
      <c r="P58687" s="3337"/>
    </row>
    <row r="58688" spans="7:16" s="1634" customFormat="1">
      <c r="G58688" s="3336"/>
      <c r="P58688" s="3337"/>
    </row>
    <row r="58689" spans="7:16" s="1634" customFormat="1">
      <c r="G58689" s="3336"/>
      <c r="P58689" s="3337"/>
    </row>
    <row r="58690" spans="7:16" s="1634" customFormat="1">
      <c r="G58690" s="3336"/>
      <c r="P58690" s="3337"/>
    </row>
    <row r="58691" spans="7:16" s="1634" customFormat="1">
      <c r="G58691" s="3336"/>
      <c r="P58691" s="3337"/>
    </row>
    <row r="58692" spans="7:16" s="1634" customFormat="1">
      <c r="G58692" s="3336"/>
      <c r="P58692" s="3337"/>
    </row>
    <row r="58693" spans="7:16" s="1634" customFormat="1">
      <c r="G58693" s="3336"/>
      <c r="P58693" s="3337"/>
    </row>
    <row r="58694" spans="7:16" s="1634" customFormat="1">
      <c r="G58694" s="3336"/>
      <c r="P58694" s="3337"/>
    </row>
    <row r="58695" spans="7:16" s="1634" customFormat="1">
      <c r="G58695" s="3336"/>
      <c r="P58695" s="3337"/>
    </row>
    <row r="58696" spans="7:16" s="1634" customFormat="1">
      <c r="G58696" s="3336"/>
      <c r="P58696" s="3337"/>
    </row>
    <row r="58697" spans="7:16" s="1634" customFormat="1">
      <c r="G58697" s="3336"/>
      <c r="P58697" s="3337"/>
    </row>
    <row r="58698" spans="7:16" s="1634" customFormat="1">
      <c r="G58698" s="3336"/>
      <c r="P58698" s="3337"/>
    </row>
    <row r="58699" spans="7:16" s="1634" customFormat="1">
      <c r="G58699" s="3336"/>
      <c r="P58699" s="3337"/>
    </row>
    <row r="58700" spans="7:16" s="1634" customFormat="1">
      <c r="G58700" s="3336"/>
      <c r="P58700" s="3337"/>
    </row>
    <row r="58701" spans="7:16" s="1634" customFormat="1">
      <c r="G58701" s="3336"/>
      <c r="P58701" s="3337"/>
    </row>
    <row r="58702" spans="7:16" s="1634" customFormat="1">
      <c r="G58702" s="3336"/>
      <c r="P58702" s="3337"/>
    </row>
    <row r="58703" spans="7:16" s="1634" customFormat="1">
      <c r="G58703" s="3336"/>
      <c r="P58703" s="3337"/>
    </row>
    <row r="58704" spans="7:16" s="1634" customFormat="1">
      <c r="G58704" s="3336"/>
      <c r="P58704" s="3337"/>
    </row>
    <row r="58705" spans="7:16" s="1634" customFormat="1">
      <c r="G58705" s="3336"/>
      <c r="P58705" s="3337"/>
    </row>
    <row r="58706" spans="7:16" s="1634" customFormat="1">
      <c r="G58706" s="3336"/>
      <c r="P58706" s="3337"/>
    </row>
    <row r="58707" spans="7:16" s="1634" customFormat="1">
      <c r="G58707" s="3336"/>
      <c r="P58707" s="3337"/>
    </row>
    <row r="58708" spans="7:16" s="1634" customFormat="1">
      <c r="G58708" s="3336"/>
      <c r="P58708" s="3337"/>
    </row>
    <row r="58709" spans="7:16" s="1634" customFormat="1">
      <c r="G58709" s="3336"/>
      <c r="P58709" s="3337"/>
    </row>
    <row r="58710" spans="7:16" s="1634" customFormat="1">
      <c r="G58710" s="3336"/>
      <c r="P58710" s="3337"/>
    </row>
    <row r="58711" spans="7:16" s="1634" customFormat="1">
      <c r="G58711" s="3336"/>
      <c r="P58711" s="3337"/>
    </row>
    <row r="58712" spans="7:16" s="1634" customFormat="1">
      <c r="G58712" s="3336"/>
      <c r="P58712" s="3337"/>
    </row>
    <row r="58713" spans="7:16" s="1634" customFormat="1">
      <c r="G58713" s="3336"/>
      <c r="P58713" s="3337"/>
    </row>
    <row r="58714" spans="7:16" s="1634" customFormat="1">
      <c r="G58714" s="3336"/>
      <c r="P58714" s="3337"/>
    </row>
    <row r="58715" spans="7:16" s="1634" customFormat="1">
      <c r="G58715" s="3336"/>
      <c r="P58715" s="3337"/>
    </row>
    <row r="58716" spans="7:16" s="1634" customFormat="1">
      <c r="G58716" s="3336"/>
      <c r="P58716" s="3337"/>
    </row>
    <row r="58717" spans="7:16" s="1634" customFormat="1">
      <c r="G58717" s="3336"/>
      <c r="P58717" s="3337"/>
    </row>
    <row r="58718" spans="7:16" s="1634" customFormat="1">
      <c r="G58718" s="3336"/>
      <c r="P58718" s="3337"/>
    </row>
    <row r="58719" spans="7:16" s="1634" customFormat="1">
      <c r="G58719" s="3336"/>
      <c r="P58719" s="3337"/>
    </row>
    <row r="58720" spans="7:16" s="1634" customFormat="1">
      <c r="G58720" s="3336"/>
      <c r="P58720" s="3337"/>
    </row>
    <row r="58721" spans="7:16" s="1634" customFormat="1">
      <c r="G58721" s="3336"/>
      <c r="P58721" s="3337"/>
    </row>
    <row r="58722" spans="7:16" s="1634" customFormat="1">
      <c r="G58722" s="3336"/>
      <c r="P58722" s="3337"/>
    </row>
    <row r="58723" spans="7:16" s="1634" customFormat="1">
      <c r="G58723" s="3336"/>
      <c r="P58723" s="3337"/>
    </row>
    <row r="58724" spans="7:16" s="1634" customFormat="1">
      <c r="G58724" s="3336"/>
      <c r="P58724" s="3337"/>
    </row>
    <row r="58725" spans="7:16" s="1634" customFormat="1">
      <c r="G58725" s="3336"/>
      <c r="P58725" s="3337"/>
    </row>
    <row r="58726" spans="7:16" s="1634" customFormat="1">
      <c r="G58726" s="3336"/>
      <c r="P58726" s="3337"/>
    </row>
    <row r="58727" spans="7:16" s="1634" customFormat="1">
      <c r="G58727" s="3336"/>
      <c r="P58727" s="3337"/>
    </row>
    <row r="58728" spans="7:16" s="1634" customFormat="1">
      <c r="G58728" s="3336"/>
      <c r="P58728" s="3337"/>
    </row>
    <row r="58729" spans="7:16" s="1634" customFormat="1">
      <c r="G58729" s="3336"/>
      <c r="P58729" s="3337"/>
    </row>
    <row r="58730" spans="7:16" s="1634" customFormat="1">
      <c r="G58730" s="3336"/>
      <c r="P58730" s="3337"/>
    </row>
    <row r="58731" spans="7:16" s="1634" customFormat="1">
      <c r="G58731" s="3336"/>
      <c r="P58731" s="3337"/>
    </row>
    <row r="58732" spans="7:16" s="1634" customFormat="1">
      <c r="G58732" s="3336"/>
      <c r="P58732" s="3337"/>
    </row>
    <row r="58733" spans="7:16" s="1634" customFormat="1">
      <c r="G58733" s="3336"/>
      <c r="P58733" s="3337"/>
    </row>
    <row r="58734" spans="7:16" s="1634" customFormat="1">
      <c r="G58734" s="3336"/>
      <c r="P58734" s="3337"/>
    </row>
    <row r="58735" spans="7:16" s="1634" customFormat="1">
      <c r="G58735" s="3336"/>
      <c r="P58735" s="3337"/>
    </row>
    <row r="58736" spans="7:16" s="1634" customFormat="1">
      <c r="G58736" s="3336"/>
      <c r="P58736" s="3337"/>
    </row>
    <row r="58737" spans="7:16" s="1634" customFormat="1">
      <c r="G58737" s="3336"/>
      <c r="P58737" s="3337"/>
    </row>
    <row r="58738" spans="7:16" s="1634" customFormat="1">
      <c r="G58738" s="3336"/>
      <c r="P58738" s="3337"/>
    </row>
    <row r="58739" spans="7:16" s="1634" customFormat="1">
      <c r="G58739" s="3336"/>
      <c r="P58739" s="3337"/>
    </row>
    <row r="58740" spans="7:16" s="1634" customFormat="1">
      <c r="G58740" s="3336"/>
      <c r="P58740" s="3337"/>
    </row>
    <row r="58741" spans="7:16" s="1634" customFormat="1">
      <c r="G58741" s="3336"/>
      <c r="P58741" s="3337"/>
    </row>
    <row r="58742" spans="7:16" s="1634" customFormat="1">
      <c r="G58742" s="3336"/>
      <c r="P58742" s="3337"/>
    </row>
    <row r="58743" spans="7:16" s="1634" customFormat="1">
      <c r="G58743" s="3336"/>
      <c r="P58743" s="3337"/>
    </row>
    <row r="58744" spans="7:16" s="1634" customFormat="1">
      <c r="G58744" s="3336"/>
      <c r="P58744" s="3337"/>
    </row>
    <row r="58745" spans="7:16" s="1634" customFormat="1">
      <c r="G58745" s="3336"/>
      <c r="P58745" s="3337"/>
    </row>
    <row r="58746" spans="7:16" s="1634" customFormat="1">
      <c r="G58746" s="3336"/>
      <c r="P58746" s="3337"/>
    </row>
    <row r="58747" spans="7:16" s="1634" customFormat="1">
      <c r="G58747" s="3336"/>
      <c r="P58747" s="3337"/>
    </row>
    <row r="58748" spans="7:16" s="1634" customFormat="1">
      <c r="G58748" s="3336"/>
      <c r="P58748" s="3337"/>
    </row>
    <row r="58749" spans="7:16" s="1634" customFormat="1">
      <c r="G58749" s="3336"/>
      <c r="P58749" s="3337"/>
    </row>
    <row r="58750" spans="7:16" s="1634" customFormat="1">
      <c r="G58750" s="3336"/>
      <c r="P58750" s="3337"/>
    </row>
    <row r="58751" spans="7:16" s="1634" customFormat="1">
      <c r="G58751" s="3336"/>
      <c r="P58751" s="3337"/>
    </row>
    <row r="58752" spans="7:16" s="1634" customFormat="1">
      <c r="G58752" s="3336"/>
      <c r="P58752" s="3337"/>
    </row>
    <row r="58753" spans="7:16" s="1634" customFormat="1">
      <c r="G58753" s="3336"/>
      <c r="P58753" s="3337"/>
    </row>
    <row r="58754" spans="7:16" s="1634" customFormat="1">
      <c r="G58754" s="3336"/>
      <c r="P58754" s="3337"/>
    </row>
    <row r="58755" spans="7:16" s="1634" customFormat="1">
      <c r="G58755" s="3336"/>
      <c r="P58755" s="3337"/>
    </row>
    <row r="58756" spans="7:16" s="1634" customFormat="1">
      <c r="G58756" s="3336"/>
      <c r="P58756" s="3337"/>
    </row>
    <row r="58757" spans="7:16" s="1634" customFormat="1">
      <c r="G58757" s="3336"/>
      <c r="P58757" s="3337"/>
    </row>
    <row r="58758" spans="7:16" s="1634" customFormat="1">
      <c r="G58758" s="3336"/>
      <c r="P58758" s="3337"/>
    </row>
    <row r="58759" spans="7:16" s="1634" customFormat="1">
      <c r="G58759" s="3336"/>
      <c r="P58759" s="3337"/>
    </row>
    <row r="58760" spans="7:16" s="1634" customFormat="1">
      <c r="G58760" s="3336"/>
      <c r="P58760" s="3337"/>
    </row>
    <row r="58761" spans="7:16" s="1634" customFormat="1">
      <c r="G58761" s="3336"/>
      <c r="P58761" s="3337"/>
    </row>
    <row r="58762" spans="7:16" s="1634" customFormat="1">
      <c r="G58762" s="3336"/>
      <c r="P58762" s="3337"/>
    </row>
    <row r="58763" spans="7:16" s="1634" customFormat="1">
      <c r="G58763" s="3336"/>
      <c r="P58763" s="3337"/>
    </row>
    <row r="58764" spans="7:16" s="1634" customFormat="1">
      <c r="G58764" s="3336"/>
      <c r="P58764" s="3337"/>
    </row>
    <row r="58765" spans="7:16" s="1634" customFormat="1">
      <c r="G58765" s="3336"/>
      <c r="P58765" s="3337"/>
    </row>
    <row r="58766" spans="7:16" s="1634" customFormat="1">
      <c r="G58766" s="3336"/>
      <c r="P58766" s="3337"/>
    </row>
    <row r="58767" spans="7:16" s="1634" customFormat="1">
      <c r="G58767" s="3336"/>
      <c r="P58767" s="3337"/>
    </row>
    <row r="58768" spans="7:16" s="1634" customFormat="1">
      <c r="G58768" s="3336"/>
      <c r="P58768" s="3337"/>
    </row>
    <row r="58769" spans="7:16" s="1634" customFormat="1">
      <c r="G58769" s="3336"/>
      <c r="P58769" s="3337"/>
    </row>
    <row r="58770" spans="7:16" s="1634" customFormat="1">
      <c r="G58770" s="3336"/>
      <c r="P58770" s="3337"/>
    </row>
    <row r="58771" spans="7:16" s="1634" customFormat="1">
      <c r="G58771" s="3336"/>
      <c r="P58771" s="3337"/>
    </row>
    <row r="58772" spans="7:16" s="1634" customFormat="1">
      <c r="G58772" s="3336"/>
      <c r="P58772" s="3337"/>
    </row>
    <row r="58773" spans="7:16" s="1634" customFormat="1">
      <c r="G58773" s="3336"/>
      <c r="P58773" s="3337"/>
    </row>
    <row r="58774" spans="7:16" s="1634" customFormat="1">
      <c r="G58774" s="3336"/>
      <c r="P58774" s="3337"/>
    </row>
    <row r="58775" spans="7:16" s="1634" customFormat="1">
      <c r="G58775" s="3336"/>
      <c r="P58775" s="3337"/>
    </row>
    <row r="58776" spans="7:16" s="1634" customFormat="1">
      <c r="G58776" s="3336"/>
      <c r="P58776" s="3337"/>
    </row>
    <row r="58777" spans="7:16" s="1634" customFormat="1">
      <c r="G58777" s="3336"/>
      <c r="P58777" s="3337"/>
    </row>
    <row r="58778" spans="7:16" s="1634" customFormat="1">
      <c r="G58778" s="3336"/>
      <c r="P58778" s="3337"/>
    </row>
    <row r="58779" spans="7:16" s="1634" customFormat="1">
      <c r="G58779" s="3336"/>
      <c r="P58779" s="3337"/>
    </row>
    <row r="58780" spans="7:16" s="1634" customFormat="1">
      <c r="G58780" s="3336"/>
      <c r="P58780" s="3337"/>
    </row>
    <row r="58781" spans="7:16" s="1634" customFormat="1">
      <c r="G58781" s="3336"/>
      <c r="P58781" s="3337"/>
    </row>
    <row r="58782" spans="7:16" s="1634" customFormat="1">
      <c r="G58782" s="3336"/>
      <c r="P58782" s="3337"/>
    </row>
    <row r="58783" spans="7:16" s="1634" customFormat="1">
      <c r="G58783" s="3336"/>
      <c r="P58783" s="3337"/>
    </row>
    <row r="58784" spans="7:16" s="1634" customFormat="1">
      <c r="G58784" s="3336"/>
      <c r="P58784" s="3337"/>
    </row>
    <row r="58785" spans="7:16" s="1634" customFormat="1">
      <c r="G58785" s="3336"/>
      <c r="P58785" s="3337"/>
    </row>
    <row r="58786" spans="7:16" s="1634" customFormat="1">
      <c r="G58786" s="3336"/>
      <c r="P58786" s="3337"/>
    </row>
    <row r="58787" spans="7:16" s="1634" customFormat="1">
      <c r="G58787" s="3336"/>
      <c r="P58787" s="3337"/>
    </row>
    <row r="58788" spans="7:16" s="1634" customFormat="1">
      <c r="G58788" s="3336"/>
      <c r="P58788" s="3337"/>
    </row>
    <row r="58789" spans="7:16" s="1634" customFormat="1">
      <c r="G58789" s="3336"/>
      <c r="P58789" s="3337"/>
    </row>
    <row r="58790" spans="7:16" s="1634" customFormat="1">
      <c r="G58790" s="3336"/>
      <c r="P58790" s="3337"/>
    </row>
    <row r="58791" spans="7:16" s="1634" customFormat="1">
      <c r="G58791" s="3336"/>
      <c r="P58791" s="3337"/>
    </row>
    <row r="58792" spans="7:16" s="1634" customFormat="1">
      <c r="G58792" s="3336"/>
      <c r="P58792" s="3337"/>
    </row>
    <row r="58793" spans="7:16" s="1634" customFormat="1">
      <c r="G58793" s="3336"/>
      <c r="P58793" s="3337"/>
    </row>
    <row r="58794" spans="7:16" s="1634" customFormat="1">
      <c r="G58794" s="3336"/>
      <c r="P58794" s="3337"/>
    </row>
    <row r="58795" spans="7:16" s="1634" customFormat="1">
      <c r="G58795" s="3336"/>
      <c r="P58795" s="3337"/>
    </row>
    <row r="58796" spans="7:16" s="1634" customFormat="1">
      <c r="G58796" s="3336"/>
      <c r="P58796" s="3337"/>
    </row>
    <row r="58797" spans="7:16" s="1634" customFormat="1">
      <c r="G58797" s="3336"/>
      <c r="P58797" s="3337"/>
    </row>
    <row r="58798" spans="7:16" s="1634" customFormat="1">
      <c r="G58798" s="3336"/>
      <c r="P58798" s="3337"/>
    </row>
    <row r="58799" spans="7:16" s="1634" customFormat="1">
      <c r="G58799" s="3336"/>
      <c r="P58799" s="3337"/>
    </row>
    <row r="58800" spans="7:16" s="1634" customFormat="1">
      <c r="G58800" s="3336"/>
      <c r="P58800" s="3337"/>
    </row>
    <row r="58801" spans="7:16" s="1634" customFormat="1">
      <c r="G58801" s="3336"/>
      <c r="P58801" s="3337"/>
    </row>
    <row r="58802" spans="7:16" s="1634" customFormat="1">
      <c r="G58802" s="3336"/>
      <c r="P58802" s="3337"/>
    </row>
    <row r="58803" spans="7:16" s="1634" customFormat="1">
      <c r="G58803" s="3336"/>
      <c r="P58803" s="3337"/>
    </row>
    <row r="58804" spans="7:16" s="1634" customFormat="1">
      <c r="G58804" s="3336"/>
      <c r="P58804" s="3337"/>
    </row>
    <row r="58805" spans="7:16" s="1634" customFormat="1">
      <c r="G58805" s="3336"/>
      <c r="P58805" s="3337"/>
    </row>
    <row r="58806" spans="7:16" s="1634" customFormat="1">
      <c r="G58806" s="3336"/>
      <c r="P58806" s="3337"/>
    </row>
    <row r="58807" spans="7:16" s="1634" customFormat="1">
      <c r="G58807" s="3336"/>
      <c r="P58807" s="3337"/>
    </row>
    <row r="58808" spans="7:16" s="1634" customFormat="1">
      <c r="G58808" s="3336"/>
      <c r="P58808" s="3337"/>
    </row>
    <row r="58809" spans="7:16" s="1634" customFormat="1">
      <c r="G58809" s="3336"/>
      <c r="P58809" s="3337"/>
    </row>
    <row r="58810" spans="7:16" s="1634" customFormat="1">
      <c r="G58810" s="3336"/>
      <c r="P58810" s="3337"/>
    </row>
    <row r="58811" spans="7:16" s="1634" customFormat="1">
      <c r="G58811" s="3336"/>
      <c r="P58811" s="3337"/>
    </row>
    <row r="58812" spans="7:16" s="1634" customFormat="1">
      <c r="G58812" s="3336"/>
      <c r="P58812" s="3337"/>
    </row>
    <row r="58813" spans="7:16" s="1634" customFormat="1">
      <c r="G58813" s="3336"/>
      <c r="P58813" s="3337"/>
    </row>
    <row r="58814" spans="7:16" s="1634" customFormat="1">
      <c r="G58814" s="3336"/>
      <c r="P58814" s="3337"/>
    </row>
    <row r="58815" spans="7:16" s="1634" customFormat="1">
      <c r="G58815" s="3336"/>
      <c r="P58815" s="3337"/>
    </row>
    <row r="58816" spans="7:16" s="1634" customFormat="1">
      <c r="G58816" s="3336"/>
      <c r="P58816" s="3337"/>
    </row>
    <row r="58817" spans="7:16" s="1634" customFormat="1">
      <c r="G58817" s="3336"/>
      <c r="P58817" s="3337"/>
    </row>
    <row r="58818" spans="7:16" s="1634" customFormat="1">
      <c r="G58818" s="3336"/>
      <c r="P58818" s="3337"/>
    </row>
    <row r="58819" spans="7:16" s="1634" customFormat="1">
      <c r="G58819" s="3336"/>
      <c r="P58819" s="3337"/>
    </row>
    <row r="58820" spans="7:16" s="1634" customFormat="1">
      <c r="G58820" s="3336"/>
      <c r="P58820" s="3337"/>
    </row>
    <row r="58821" spans="7:16" s="1634" customFormat="1">
      <c r="G58821" s="3336"/>
      <c r="P58821" s="3337"/>
    </row>
    <row r="58822" spans="7:16" s="1634" customFormat="1">
      <c r="G58822" s="3336"/>
      <c r="P58822" s="3337"/>
    </row>
    <row r="58823" spans="7:16" s="1634" customFormat="1">
      <c r="G58823" s="3336"/>
      <c r="P58823" s="3337"/>
    </row>
    <row r="58824" spans="7:16" s="1634" customFormat="1">
      <c r="G58824" s="3336"/>
      <c r="P58824" s="3337"/>
    </row>
    <row r="58825" spans="7:16" s="1634" customFormat="1">
      <c r="G58825" s="3336"/>
      <c r="P58825" s="3337"/>
    </row>
    <row r="58826" spans="7:16" s="1634" customFormat="1">
      <c r="G58826" s="3336"/>
      <c r="P58826" s="3337"/>
    </row>
    <row r="58827" spans="7:16" s="1634" customFormat="1">
      <c r="G58827" s="3336"/>
      <c r="P58827" s="3337"/>
    </row>
    <row r="58828" spans="7:16" s="1634" customFormat="1">
      <c r="G58828" s="3336"/>
      <c r="P58828" s="3337"/>
    </row>
    <row r="58829" spans="7:16" s="1634" customFormat="1">
      <c r="G58829" s="3336"/>
      <c r="P58829" s="3337"/>
    </row>
    <row r="58830" spans="7:16" s="1634" customFormat="1">
      <c r="G58830" s="3336"/>
      <c r="P58830" s="3337"/>
    </row>
    <row r="58831" spans="7:16" s="1634" customFormat="1">
      <c r="G58831" s="3336"/>
      <c r="P58831" s="3337"/>
    </row>
    <row r="58832" spans="7:16" s="1634" customFormat="1">
      <c r="G58832" s="3336"/>
      <c r="P58832" s="3337"/>
    </row>
    <row r="58833" spans="7:16" s="1634" customFormat="1">
      <c r="G58833" s="3336"/>
      <c r="P58833" s="3337"/>
    </row>
    <row r="58834" spans="7:16" s="1634" customFormat="1">
      <c r="G58834" s="3336"/>
      <c r="P58834" s="3337"/>
    </row>
    <row r="58835" spans="7:16" s="1634" customFormat="1">
      <c r="G58835" s="3336"/>
      <c r="P58835" s="3337"/>
    </row>
    <row r="58836" spans="7:16" s="1634" customFormat="1">
      <c r="G58836" s="3336"/>
      <c r="P58836" s="3337"/>
    </row>
    <row r="58837" spans="7:16" s="1634" customFormat="1">
      <c r="G58837" s="3336"/>
      <c r="P58837" s="3337"/>
    </row>
    <row r="58838" spans="7:16" s="1634" customFormat="1">
      <c r="G58838" s="3336"/>
      <c r="P58838" s="3337"/>
    </row>
    <row r="58839" spans="7:16" s="1634" customFormat="1">
      <c r="G58839" s="3336"/>
      <c r="P58839" s="3337"/>
    </row>
    <row r="58840" spans="7:16" s="1634" customFormat="1">
      <c r="G58840" s="3336"/>
      <c r="P58840" s="3337"/>
    </row>
    <row r="58841" spans="7:16" s="1634" customFormat="1">
      <c r="G58841" s="3336"/>
      <c r="P58841" s="3337"/>
    </row>
    <row r="58842" spans="7:16" s="1634" customFormat="1">
      <c r="G58842" s="3336"/>
      <c r="P58842" s="3337"/>
    </row>
    <row r="58843" spans="7:16" s="1634" customFormat="1">
      <c r="G58843" s="3336"/>
      <c r="P58843" s="3337"/>
    </row>
    <row r="58844" spans="7:16" s="1634" customFormat="1">
      <c r="G58844" s="3336"/>
      <c r="P58844" s="3337"/>
    </row>
    <row r="58845" spans="7:16" s="1634" customFormat="1">
      <c r="G58845" s="3336"/>
      <c r="P58845" s="3337"/>
    </row>
    <row r="58846" spans="7:16" s="1634" customFormat="1">
      <c r="G58846" s="3336"/>
      <c r="P58846" s="3337"/>
    </row>
    <row r="58847" spans="7:16" s="1634" customFormat="1">
      <c r="G58847" s="3336"/>
      <c r="P58847" s="3337"/>
    </row>
    <row r="58848" spans="7:16" s="1634" customFormat="1">
      <c r="G58848" s="3336"/>
      <c r="P58848" s="3337"/>
    </row>
    <row r="58849" spans="7:16" s="1634" customFormat="1">
      <c r="G58849" s="3336"/>
      <c r="P58849" s="3337"/>
    </row>
    <row r="58850" spans="7:16" s="1634" customFormat="1">
      <c r="G58850" s="3336"/>
      <c r="P58850" s="3337"/>
    </row>
    <row r="58851" spans="7:16" s="1634" customFormat="1">
      <c r="G58851" s="3336"/>
      <c r="P58851" s="3337"/>
    </row>
    <row r="58852" spans="7:16" s="1634" customFormat="1">
      <c r="G58852" s="3336"/>
      <c r="P58852" s="3337"/>
    </row>
    <row r="58853" spans="7:16" s="1634" customFormat="1">
      <c r="G58853" s="3336"/>
      <c r="P58853" s="3337"/>
    </row>
    <row r="58854" spans="7:16" s="1634" customFormat="1">
      <c r="G58854" s="3336"/>
      <c r="P58854" s="3337"/>
    </row>
    <row r="58855" spans="7:16" s="1634" customFormat="1">
      <c r="G58855" s="3336"/>
      <c r="P58855" s="3337"/>
    </row>
    <row r="58856" spans="7:16" s="1634" customFormat="1">
      <c r="G58856" s="3336"/>
      <c r="P58856" s="3337"/>
    </row>
    <row r="58857" spans="7:16" s="1634" customFormat="1">
      <c r="G58857" s="3336"/>
      <c r="P58857" s="3337"/>
    </row>
    <row r="58858" spans="7:16" s="1634" customFormat="1">
      <c r="G58858" s="3336"/>
      <c r="P58858" s="3337"/>
    </row>
    <row r="58859" spans="7:16" s="1634" customFormat="1">
      <c r="G58859" s="3336"/>
      <c r="P58859" s="3337"/>
    </row>
    <row r="58860" spans="7:16" s="1634" customFormat="1">
      <c r="G58860" s="3336"/>
      <c r="P58860" s="3337"/>
    </row>
    <row r="58861" spans="7:16" s="1634" customFormat="1">
      <c r="G58861" s="3336"/>
      <c r="P58861" s="3337"/>
    </row>
    <row r="58862" spans="7:16" s="1634" customFormat="1">
      <c r="G58862" s="3336"/>
      <c r="P58862" s="3337"/>
    </row>
    <row r="58863" spans="7:16" s="1634" customFormat="1">
      <c r="G58863" s="3336"/>
      <c r="P58863" s="3337"/>
    </row>
    <row r="58864" spans="7:16" s="1634" customFormat="1">
      <c r="G58864" s="3336"/>
      <c r="P58864" s="3337"/>
    </row>
    <row r="58865" spans="7:16" s="1634" customFormat="1">
      <c r="G58865" s="3336"/>
      <c r="P58865" s="3337"/>
    </row>
    <row r="58866" spans="7:16" s="1634" customFormat="1">
      <c r="G58866" s="3336"/>
      <c r="P58866" s="3337"/>
    </row>
    <row r="58867" spans="7:16" s="1634" customFormat="1">
      <c r="G58867" s="3336"/>
      <c r="P58867" s="3337"/>
    </row>
    <row r="58868" spans="7:16" s="1634" customFormat="1">
      <c r="G58868" s="3336"/>
      <c r="P58868" s="3337"/>
    </row>
    <row r="58869" spans="7:16" s="1634" customFormat="1">
      <c r="G58869" s="3336"/>
      <c r="P58869" s="3337"/>
    </row>
    <row r="58870" spans="7:16" s="1634" customFormat="1">
      <c r="G58870" s="3336"/>
      <c r="P58870" s="3337"/>
    </row>
    <row r="58871" spans="7:16" s="1634" customFormat="1">
      <c r="G58871" s="3336"/>
      <c r="P58871" s="3337"/>
    </row>
    <row r="58872" spans="7:16" s="1634" customFormat="1">
      <c r="G58872" s="3336"/>
      <c r="P58872" s="3337"/>
    </row>
    <row r="58873" spans="7:16" s="1634" customFormat="1">
      <c r="G58873" s="3336"/>
      <c r="P58873" s="3337"/>
    </row>
    <row r="58874" spans="7:16" s="1634" customFormat="1">
      <c r="G58874" s="3336"/>
      <c r="P58874" s="3337"/>
    </row>
    <row r="58875" spans="7:16" s="1634" customFormat="1">
      <c r="G58875" s="3336"/>
      <c r="P58875" s="3337"/>
    </row>
    <row r="58876" spans="7:16" s="1634" customFormat="1">
      <c r="G58876" s="3336"/>
      <c r="P58876" s="3337"/>
    </row>
    <row r="58877" spans="7:16" s="1634" customFormat="1">
      <c r="G58877" s="3336"/>
      <c r="P58877" s="3337"/>
    </row>
    <row r="58878" spans="7:16" s="1634" customFormat="1">
      <c r="G58878" s="3336"/>
      <c r="P58878" s="3337"/>
    </row>
    <row r="58879" spans="7:16" s="1634" customFormat="1">
      <c r="G58879" s="3336"/>
      <c r="P58879" s="3337"/>
    </row>
    <row r="58880" spans="7:16" s="1634" customFormat="1">
      <c r="G58880" s="3336"/>
      <c r="P58880" s="3337"/>
    </row>
    <row r="58881" spans="7:16" s="1634" customFormat="1">
      <c r="G58881" s="3336"/>
      <c r="P58881" s="3337"/>
    </row>
    <row r="58882" spans="7:16" s="1634" customFormat="1">
      <c r="G58882" s="3336"/>
      <c r="P58882" s="3337"/>
    </row>
    <row r="58883" spans="7:16" s="1634" customFormat="1">
      <c r="G58883" s="3336"/>
      <c r="P58883" s="3337"/>
    </row>
    <row r="58884" spans="7:16" s="1634" customFormat="1">
      <c r="G58884" s="3336"/>
      <c r="P58884" s="3337"/>
    </row>
    <row r="58885" spans="7:16" s="1634" customFormat="1">
      <c r="G58885" s="3336"/>
      <c r="P58885" s="3337"/>
    </row>
    <row r="58886" spans="7:16" s="1634" customFormat="1">
      <c r="G58886" s="3336"/>
      <c r="P58886" s="3337"/>
    </row>
    <row r="58887" spans="7:16" s="1634" customFormat="1">
      <c r="G58887" s="3336"/>
      <c r="P58887" s="3337"/>
    </row>
    <row r="58888" spans="7:16" s="1634" customFormat="1">
      <c r="G58888" s="3336"/>
      <c r="P58888" s="3337"/>
    </row>
    <row r="58889" spans="7:16" s="1634" customFormat="1">
      <c r="G58889" s="3336"/>
      <c r="P58889" s="3337"/>
    </row>
    <row r="58890" spans="7:16" s="1634" customFormat="1">
      <c r="G58890" s="3336"/>
      <c r="P58890" s="3337"/>
    </row>
    <row r="58891" spans="7:16" s="1634" customFormat="1">
      <c r="G58891" s="3336"/>
      <c r="P58891" s="3337"/>
    </row>
    <row r="58892" spans="7:16" s="1634" customFormat="1">
      <c r="G58892" s="3336"/>
      <c r="P58892" s="3337"/>
    </row>
    <row r="58893" spans="7:16" s="1634" customFormat="1">
      <c r="G58893" s="3336"/>
      <c r="P58893" s="3337"/>
    </row>
    <row r="58894" spans="7:16" s="1634" customFormat="1">
      <c r="G58894" s="3336"/>
      <c r="P58894" s="3337"/>
    </row>
    <row r="58895" spans="7:16" s="1634" customFormat="1">
      <c r="G58895" s="3336"/>
      <c r="P58895" s="3337"/>
    </row>
    <row r="58896" spans="7:16" s="1634" customFormat="1">
      <c r="G58896" s="3336"/>
      <c r="P58896" s="3337"/>
    </row>
    <row r="58897" spans="7:16" s="1634" customFormat="1">
      <c r="G58897" s="3336"/>
      <c r="P58897" s="3337"/>
    </row>
    <row r="58898" spans="7:16" s="1634" customFormat="1">
      <c r="G58898" s="3336"/>
      <c r="P58898" s="3337"/>
    </row>
    <row r="58899" spans="7:16" s="1634" customFormat="1">
      <c r="G58899" s="3336"/>
      <c r="P58899" s="3337"/>
    </row>
    <row r="58900" spans="7:16" s="1634" customFormat="1">
      <c r="G58900" s="3336"/>
      <c r="P58900" s="3337"/>
    </row>
    <row r="58901" spans="7:16" s="1634" customFormat="1">
      <c r="G58901" s="3336"/>
      <c r="P58901" s="3337"/>
    </row>
    <row r="58902" spans="7:16" s="1634" customFormat="1">
      <c r="G58902" s="3336"/>
      <c r="P58902" s="3337"/>
    </row>
    <row r="58903" spans="7:16" s="1634" customFormat="1">
      <c r="G58903" s="3336"/>
      <c r="P58903" s="3337"/>
    </row>
    <row r="58904" spans="7:16" s="1634" customFormat="1">
      <c r="G58904" s="3336"/>
      <c r="P58904" s="3337"/>
    </row>
    <row r="58905" spans="7:16" s="1634" customFormat="1">
      <c r="G58905" s="3336"/>
      <c r="P58905" s="3337"/>
    </row>
    <row r="58906" spans="7:16" s="1634" customFormat="1">
      <c r="G58906" s="3336"/>
      <c r="P58906" s="3337"/>
    </row>
    <row r="58907" spans="7:16" s="1634" customFormat="1">
      <c r="G58907" s="3336"/>
      <c r="P58907" s="3337"/>
    </row>
    <row r="58908" spans="7:16" s="1634" customFormat="1">
      <c r="G58908" s="3336"/>
      <c r="P58908" s="3337"/>
    </row>
    <row r="58909" spans="7:16" s="1634" customFormat="1">
      <c r="G58909" s="3336"/>
      <c r="P58909" s="3337"/>
    </row>
    <row r="58910" spans="7:16" s="1634" customFormat="1">
      <c r="G58910" s="3336"/>
      <c r="P58910" s="3337"/>
    </row>
    <row r="58911" spans="7:16" s="1634" customFormat="1">
      <c r="G58911" s="3336"/>
      <c r="P58911" s="3337"/>
    </row>
    <row r="58912" spans="7:16" s="1634" customFormat="1">
      <c r="G58912" s="3336"/>
      <c r="P58912" s="3337"/>
    </row>
    <row r="58913" spans="7:16" s="1634" customFormat="1">
      <c r="G58913" s="3336"/>
      <c r="P58913" s="3337"/>
    </row>
    <row r="58914" spans="7:16" s="1634" customFormat="1">
      <c r="G58914" s="3336"/>
      <c r="P58914" s="3337"/>
    </row>
    <row r="58915" spans="7:16" s="1634" customFormat="1">
      <c r="G58915" s="3336"/>
      <c r="P58915" s="3337"/>
    </row>
    <row r="58916" spans="7:16" s="1634" customFormat="1">
      <c r="G58916" s="3336"/>
      <c r="P58916" s="3337"/>
    </row>
    <row r="58917" spans="7:16" s="1634" customFormat="1">
      <c r="G58917" s="3336"/>
      <c r="P58917" s="3337"/>
    </row>
    <row r="58918" spans="7:16" s="1634" customFormat="1">
      <c r="G58918" s="3336"/>
      <c r="P58918" s="3337"/>
    </row>
    <row r="58919" spans="7:16" s="1634" customFormat="1">
      <c r="G58919" s="3336"/>
      <c r="P58919" s="3337"/>
    </row>
    <row r="58920" spans="7:16" s="1634" customFormat="1">
      <c r="G58920" s="3336"/>
      <c r="P58920" s="3337"/>
    </row>
    <row r="58921" spans="7:16" s="1634" customFormat="1">
      <c r="G58921" s="3336"/>
      <c r="P58921" s="3337"/>
    </row>
    <row r="58922" spans="7:16" s="1634" customFormat="1">
      <c r="G58922" s="3336"/>
      <c r="P58922" s="3337"/>
    </row>
    <row r="58923" spans="7:16" s="1634" customFormat="1">
      <c r="G58923" s="3336"/>
      <c r="P58923" s="3337"/>
    </row>
    <row r="58924" spans="7:16" s="1634" customFormat="1">
      <c r="G58924" s="3336"/>
      <c r="P58924" s="3337"/>
    </row>
    <row r="58925" spans="7:16" s="1634" customFormat="1">
      <c r="G58925" s="3336"/>
      <c r="P58925" s="3337"/>
    </row>
    <row r="58926" spans="7:16" s="1634" customFormat="1">
      <c r="G58926" s="3336"/>
      <c r="P58926" s="3337"/>
    </row>
    <row r="58927" spans="7:16" s="1634" customFormat="1">
      <c r="G58927" s="3336"/>
      <c r="P58927" s="3337"/>
    </row>
    <row r="58928" spans="7:16" s="1634" customFormat="1">
      <c r="G58928" s="3336"/>
      <c r="P58928" s="3337"/>
    </row>
    <row r="58929" spans="7:16" s="1634" customFormat="1">
      <c r="G58929" s="3336"/>
      <c r="P58929" s="3337"/>
    </row>
    <row r="58930" spans="7:16" s="1634" customFormat="1">
      <c r="G58930" s="3336"/>
      <c r="P58930" s="3337"/>
    </row>
    <row r="58931" spans="7:16" s="1634" customFormat="1">
      <c r="G58931" s="3336"/>
      <c r="P58931" s="3337"/>
    </row>
    <row r="58932" spans="7:16" s="1634" customFormat="1">
      <c r="G58932" s="3336"/>
      <c r="P58932" s="3337"/>
    </row>
    <row r="58933" spans="7:16" s="1634" customFormat="1">
      <c r="G58933" s="3336"/>
      <c r="P58933" s="3337"/>
    </row>
    <row r="58934" spans="7:16" s="1634" customFormat="1">
      <c r="G58934" s="3336"/>
      <c r="P58934" s="3337"/>
    </row>
    <row r="58935" spans="7:16" s="1634" customFormat="1">
      <c r="G58935" s="3336"/>
      <c r="P58935" s="3337"/>
    </row>
    <row r="58936" spans="7:16" s="1634" customFormat="1">
      <c r="G58936" s="3336"/>
      <c r="P58936" s="3337"/>
    </row>
    <row r="58937" spans="7:16" s="1634" customFormat="1">
      <c r="G58937" s="3336"/>
      <c r="P58937" s="3337"/>
    </row>
    <row r="58938" spans="7:16" s="1634" customFormat="1">
      <c r="G58938" s="3336"/>
      <c r="P58938" s="3337"/>
    </row>
    <row r="58939" spans="7:16" s="1634" customFormat="1">
      <c r="G58939" s="3336"/>
      <c r="P58939" s="3337"/>
    </row>
    <row r="58940" spans="7:16" s="1634" customFormat="1">
      <c r="G58940" s="3336"/>
      <c r="P58940" s="3337"/>
    </row>
    <row r="58941" spans="7:16" s="1634" customFormat="1">
      <c r="G58941" s="3336"/>
      <c r="P58941" s="3337"/>
    </row>
    <row r="58942" spans="7:16" s="1634" customFormat="1">
      <c r="G58942" s="3336"/>
      <c r="P58942" s="3337"/>
    </row>
    <row r="58943" spans="7:16" s="1634" customFormat="1">
      <c r="G58943" s="3336"/>
      <c r="P58943" s="3337"/>
    </row>
    <row r="58944" spans="7:16" s="1634" customFormat="1">
      <c r="G58944" s="3336"/>
      <c r="P58944" s="3337"/>
    </row>
    <row r="58945" spans="7:16" s="1634" customFormat="1">
      <c r="G58945" s="3336"/>
      <c r="P58945" s="3337"/>
    </row>
    <row r="58946" spans="7:16" s="1634" customFormat="1">
      <c r="G58946" s="3336"/>
      <c r="P58946" s="3337"/>
    </row>
    <row r="58947" spans="7:16" s="1634" customFormat="1">
      <c r="G58947" s="3336"/>
      <c r="P58947" s="3337"/>
    </row>
    <row r="58948" spans="7:16" s="1634" customFormat="1">
      <c r="G58948" s="3336"/>
      <c r="P58948" s="3337"/>
    </row>
    <row r="58949" spans="7:16" s="1634" customFormat="1">
      <c r="G58949" s="3336"/>
      <c r="P58949" s="3337"/>
    </row>
    <row r="58950" spans="7:16" s="1634" customFormat="1">
      <c r="G58950" s="3336"/>
      <c r="P58950" s="3337"/>
    </row>
    <row r="58951" spans="7:16" s="1634" customFormat="1">
      <c r="G58951" s="3336"/>
      <c r="P58951" s="3337"/>
    </row>
    <row r="58952" spans="7:16" s="1634" customFormat="1">
      <c r="G58952" s="3336"/>
      <c r="P58952" s="3337"/>
    </row>
    <row r="58953" spans="7:16" s="1634" customFormat="1">
      <c r="G58953" s="3336"/>
      <c r="P58953" s="3337"/>
    </row>
    <row r="58954" spans="7:16" s="1634" customFormat="1">
      <c r="G58954" s="3336"/>
      <c r="P58954" s="3337"/>
    </row>
    <row r="58955" spans="7:16" s="1634" customFormat="1">
      <c r="G58955" s="3336"/>
      <c r="P58955" s="3337"/>
    </row>
    <row r="58956" spans="7:16" s="1634" customFormat="1">
      <c r="G58956" s="3336"/>
      <c r="P58956" s="3337"/>
    </row>
    <row r="58957" spans="7:16" s="1634" customFormat="1">
      <c r="G58957" s="3336"/>
      <c r="P58957" s="3337"/>
    </row>
    <row r="58958" spans="7:16" s="1634" customFormat="1">
      <c r="G58958" s="3336"/>
      <c r="P58958" s="3337"/>
    </row>
    <row r="58959" spans="7:16" s="1634" customFormat="1">
      <c r="G58959" s="3336"/>
      <c r="P58959" s="3337"/>
    </row>
    <row r="58960" spans="7:16" s="1634" customFormat="1">
      <c r="G58960" s="3336"/>
      <c r="P58960" s="3337"/>
    </row>
    <row r="58961" spans="7:16" s="1634" customFormat="1">
      <c r="G58961" s="3336"/>
      <c r="P58961" s="3337"/>
    </row>
    <row r="58962" spans="7:16" s="1634" customFormat="1">
      <c r="G58962" s="3336"/>
      <c r="P58962" s="3337"/>
    </row>
    <row r="58963" spans="7:16" s="1634" customFormat="1">
      <c r="G58963" s="3336"/>
      <c r="P58963" s="3337"/>
    </row>
    <row r="58964" spans="7:16" s="1634" customFormat="1">
      <c r="G58964" s="3336"/>
      <c r="P58964" s="3337"/>
    </row>
    <row r="58965" spans="7:16" s="1634" customFormat="1">
      <c r="G58965" s="3336"/>
      <c r="P58965" s="3337"/>
    </row>
    <row r="58966" spans="7:16" s="1634" customFormat="1">
      <c r="G58966" s="3336"/>
      <c r="P58966" s="3337"/>
    </row>
    <row r="58967" spans="7:16" s="1634" customFormat="1">
      <c r="G58967" s="3336"/>
      <c r="P58967" s="3337"/>
    </row>
    <row r="58968" spans="7:16" s="1634" customFormat="1">
      <c r="G58968" s="3336"/>
      <c r="P58968" s="3337"/>
    </row>
    <row r="58969" spans="7:16" s="1634" customFormat="1">
      <c r="G58969" s="3336"/>
      <c r="P58969" s="3337"/>
    </row>
    <row r="58970" spans="7:16" s="1634" customFormat="1">
      <c r="G58970" s="3336"/>
      <c r="P58970" s="3337"/>
    </row>
    <row r="58971" spans="7:16" s="1634" customFormat="1">
      <c r="G58971" s="3336"/>
      <c r="P58971" s="3337"/>
    </row>
    <row r="58972" spans="7:16" s="1634" customFormat="1">
      <c r="G58972" s="3336"/>
      <c r="P58972" s="3337"/>
    </row>
    <row r="58973" spans="7:16" s="1634" customFormat="1">
      <c r="G58973" s="3336"/>
      <c r="P58973" s="3337"/>
    </row>
    <row r="58974" spans="7:16" s="1634" customFormat="1">
      <c r="G58974" s="3336"/>
      <c r="P58974" s="3337"/>
    </row>
    <row r="58975" spans="7:16" s="1634" customFormat="1">
      <c r="G58975" s="3336"/>
      <c r="P58975" s="3337"/>
    </row>
    <row r="58976" spans="7:16" s="1634" customFormat="1">
      <c r="G58976" s="3336"/>
      <c r="P58976" s="3337"/>
    </row>
    <row r="58977" spans="7:16" s="1634" customFormat="1">
      <c r="G58977" s="3336"/>
      <c r="P58977" s="3337"/>
    </row>
    <row r="58978" spans="7:16" s="1634" customFormat="1">
      <c r="G58978" s="3336"/>
      <c r="P58978" s="3337"/>
    </row>
    <row r="58979" spans="7:16" s="1634" customFormat="1">
      <c r="G58979" s="3336"/>
      <c r="P58979" s="3337"/>
    </row>
    <row r="58980" spans="7:16" s="1634" customFormat="1">
      <c r="G58980" s="3336"/>
      <c r="P58980" s="3337"/>
    </row>
    <row r="58981" spans="7:16" s="1634" customFormat="1">
      <c r="G58981" s="3336"/>
      <c r="P58981" s="3337"/>
    </row>
    <row r="58982" spans="7:16" s="1634" customFormat="1">
      <c r="G58982" s="3336"/>
      <c r="P58982" s="3337"/>
    </row>
    <row r="58983" spans="7:16" s="1634" customFormat="1">
      <c r="G58983" s="3336"/>
      <c r="P58983" s="3337"/>
    </row>
    <row r="58984" spans="7:16" s="1634" customFormat="1">
      <c r="G58984" s="3336"/>
      <c r="P58984" s="3337"/>
    </row>
    <row r="58985" spans="7:16" s="1634" customFormat="1">
      <c r="G58985" s="3336"/>
      <c r="P58985" s="3337"/>
    </row>
    <row r="58986" spans="7:16" s="1634" customFormat="1">
      <c r="G58986" s="3336"/>
      <c r="P58986" s="3337"/>
    </row>
    <row r="58987" spans="7:16" s="1634" customFormat="1">
      <c r="G58987" s="3336"/>
      <c r="P58987" s="3337"/>
    </row>
    <row r="58988" spans="7:16" s="1634" customFormat="1">
      <c r="G58988" s="3336"/>
      <c r="P58988" s="3337"/>
    </row>
    <row r="58989" spans="7:16" s="1634" customFormat="1">
      <c r="G58989" s="3336"/>
      <c r="P58989" s="3337"/>
    </row>
    <row r="58990" spans="7:16" s="1634" customFormat="1">
      <c r="G58990" s="3336"/>
      <c r="P58990" s="3337"/>
    </row>
    <row r="58991" spans="7:16" s="1634" customFormat="1">
      <c r="G58991" s="3336"/>
      <c r="P58991" s="3337"/>
    </row>
    <row r="58992" spans="7:16" s="1634" customFormat="1">
      <c r="G58992" s="3336"/>
      <c r="P58992" s="3337"/>
    </row>
    <row r="58993" spans="7:16" s="1634" customFormat="1">
      <c r="G58993" s="3336"/>
      <c r="P58993" s="3337"/>
    </row>
    <row r="58994" spans="7:16" s="1634" customFormat="1">
      <c r="G58994" s="3336"/>
      <c r="P58994" s="3337"/>
    </row>
    <row r="58995" spans="7:16" s="1634" customFormat="1">
      <c r="G58995" s="3336"/>
      <c r="P58995" s="3337"/>
    </row>
    <row r="58996" spans="7:16" s="1634" customFormat="1">
      <c r="G58996" s="3336"/>
      <c r="P58996" s="3337"/>
    </row>
    <row r="58997" spans="7:16" s="1634" customFormat="1">
      <c r="G58997" s="3336"/>
      <c r="P58997" s="3337"/>
    </row>
    <row r="58998" spans="7:16" s="1634" customFormat="1">
      <c r="G58998" s="3336"/>
      <c r="P58998" s="3337"/>
    </row>
    <row r="58999" spans="7:16" s="1634" customFormat="1">
      <c r="G58999" s="3336"/>
      <c r="P58999" s="3337"/>
    </row>
    <row r="59000" spans="7:16" s="1634" customFormat="1">
      <c r="G59000" s="3336"/>
      <c r="P59000" s="3337"/>
    </row>
    <row r="59001" spans="7:16" s="1634" customFormat="1">
      <c r="G59001" s="3336"/>
      <c r="P59001" s="3337"/>
    </row>
    <row r="59002" spans="7:16" s="1634" customFormat="1">
      <c r="G59002" s="3336"/>
      <c r="P59002" s="3337"/>
    </row>
    <row r="59003" spans="7:16" s="1634" customFormat="1">
      <c r="G59003" s="3336"/>
      <c r="P59003" s="3337"/>
    </row>
    <row r="59004" spans="7:16" s="1634" customFormat="1">
      <c r="G59004" s="3336"/>
      <c r="P59004" s="3337"/>
    </row>
    <row r="59005" spans="7:16" s="1634" customFormat="1">
      <c r="G59005" s="3336"/>
      <c r="P59005" s="3337"/>
    </row>
    <row r="59006" spans="7:16" s="1634" customFormat="1">
      <c r="G59006" s="3336"/>
      <c r="P59006" s="3337"/>
    </row>
    <row r="59007" spans="7:16" s="1634" customFormat="1">
      <c r="G59007" s="3336"/>
      <c r="P59007" s="3337"/>
    </row>
    <row r="59008" spans="7:16" s="1634" customFormat="1">
      <c r="G59008" s="3336"/>
      <c r="P59008" s="3337"/>
    </row>
    <row r="59009" spans="7:16" s="1634" customFormat="1">
      <c r="G59009" s="3336"/>
      <c r="P59009" s="3337"/>
    </row>
    <row r="59010" spans="7:16" s="1634" customFormat="1">
      <c r="G59010" s="3336"/>
      <c r="P59010" s="3337"/>
    </row>
    <row r="59011" spans="7:16" s="1634" customFormat="1">
      <c r="G59011" s="3336"/>
      <c r="P59011" s="3337"/>
    </row>
    <row r="59012" spans="7:16" s="1634" customFormat="1">
      <c r="G59012" s="3336"/>
      <c r="P59012" s="3337"/>
    </row>
    <row r="59013" spans="7:16" s="1634" customFormat="1">
      <c r="G59013" s="3336"/>
      <c r="P59013" s="3337"/>
    </row>
    <row r="59014" spans="7:16" s="1634" customFormat="1">
      <c r="G59014" s="3336"/>
      <c r="P59014" s="3337"/>
    </row>
    <row r="59015" spans="7:16" s="1634" customFormat="1">
      <c r="G59015" s="3336"/>
      <c r="P59015" s="3337"/>
    </row>
    <row r="59016" spans="7:16" s="1634" customFormat="1">
      <c r="G59016" s="3336"/>
      <c r="P59016" s="3337"/>
    </row>
    <row r="59017" spans="7:16" s="1634" customFormat="1">
      <c r="G59017" s="3336"/>
      <c r="P59017" s="3337"/>
    </row>
    <row r="59018" spans="7:16" s="1634" customFormat="1">
      <c r="G59018" s="3336"/>
      <c r="P59018" s="3337"/>
    </row>
    <row r="59019" spans="7:16" s="1634" customFormat="1">
      <c r="G59019" s="3336"/>
      <c r="P59019" s="3337"/>
    </row>
    <row r="59020" spans="7:16" s="1634" customFormat="1">
      <c r="G59020" s="3336"/>
      <c r="P59020" s="3337"/>
    </row>
    <row r="59021" spans="7:16" s="1634" customFormat="1">
      <c r="G59021" s="3336"/>
      <c r="P59021" s="3337"/>
    </row>
    <row r="59022" spans="7:16" s="1634" customFormat="1">
      <c r="G59022" s="3336"/>
      <c r="P59022" s="3337"/>
    </row>
    <row r="59023" spans="7:16" s="1634" customFormat="1">
      <c r="G59023" s="3336"/>
      <c r="P59023" s="3337"/>
    </row>
    <row r="59024" spans="7:16" s="1634" customFormat="1">
      <c r="G59024" s="3336"/>
      <c r="P59024" s="3337"/>
    </row>
    <row r="59025" spans="7:16" s="1634" customFormat="1">
      <c r="G59025" s="3336"/>
      <c r="P59025" s="3337"/>
    </row>
    <row r="59026" spans="7:16" s="1634" customFormat="1">
      <c r="G59026" s="3336"/>
      <c r="P59026" s="3337"/>
    </row>
    <row r="59027" spans="7:16" s="1634" customFormat="1">
      <c r="G59027" s="3336"/>
      <c r="P59027" s="3337"/>
    </row>
    <row r="59028" spans="7:16" s="1634" customFormat="1">
      <c r="G59028" s="3336"/>
      <c r="P59028" s="3337"/>
    </row>
    <row r="59029" spans="7:16" s="1634" customFormat="1">
      <c r="G59029" s="3336"/>
      <c r="P59029" s="3337"/>
    </row>
    <row r="59030" spans="7:16" s="1634" customFormat="1">
      <c r="G59030" s="3336"/>
      <c r="P59030" s="3337"/>
    </row>
    <row r="59031" spans="7:16" s="1634" customFormat="1">
      <c r="G59031" s="3336"/>
      <c r="P59031" s="3337"/>
    </row>
    <row r="59032" spans="7:16" s="1634" customFormat="1">
      <c r="G59032" s="3336"/>
      <c r="P59032" s="3337"/>
    </row>
    <row r="59033" spans="7:16" s="1634" customFormat="1">
      <c r="G59033" s="3336"/>
      <c r="P59033" s="3337"/>
    </row>
    <row r="59034" spans="7:16" s="1634" customFormat="1">
      <c r="G59034" s="3336"/>
      <c r="P59034" s="3337"/>
    </row>
    <row r="59035" spans="7:16" s="1634" customFormat="1">
      <c r="G59035" s="3336"/>
      <c r="P59035" s="3337"/>
    </row>
    <row r="59036" spans="7:16" s="1634" customFormat="1">
      <c r="G59036" s="3336"/>
      <c r="P59036" s="3337"/>
    </row>
    <row r="59037" spans="7:16" s="1634" customFormat="1">
      <c r="G59037" s="3336"/>
      <c r="P59037" s="3337"/>
    </row>
    <row r="59038" spans="7:16" s="1634" customFormat="1">
      <c r="G59038" s="3336"/>
      <c r="P59038" s="3337"/>
    </row>
    <row r="59039" spans="7:16" s="1634" customFormat="1">
      <c r="G59039" s="3336"/>
      <c r="P59039" s="3337"/>
    </row>
    <row r="59040" spans="7:16" s="1634" customFormat="1">
      <c r="G59040" s="3336"/>
      <c r="P59040" s="3337"/>
    </row>
    <row r="59041" spans="7:16" s="1634" customFormat="1">
      <c r="G59041" s="3336"/>
      <c r="P59041" s="3337"/>
    </row>
    <row r="59042" spans="7:16" s="1634" customFormat="1">
      <c r="G59042" s="3336"/>
      <c r="P59042" s="3337"/>
    </row>
    <row r="59043" spans="7:16" s="1634" customFormat="1">
      <c r="G59043" s="3336"/>
      <c r="P59043" s="3337"/>
    </row>
    <row r="59044" spans="7:16" s="1634" customFormat="1">
      <c r="G59044" s="3336"/>
      <c r="P59044" s="3337"/>
    </row>
    <row r="59045" spans="7:16" s="1634" customFormat="1">
      <c r="G59045" s="3336"/>
      <c r="P59045" s="3337"/>
    </row>
    <row r="59046" spans="7:16" s="1634" customFormat="1">
      <c r="G59046" s="3336"/>
      <c r="P59046" s="3337"/>
    </row>
    <row r="59047" spans="7:16" s="1634" customFormat="1">
      <c r="G59047" s="3336"/>
      <c r="P59047" s="3337"/>
    </row>
    <row r="59048" spans="7:16" s="1634" customFormat="1">
      <c r="G59048" s="3336"/>
      <c r="P59048" s="3337"/>
    </row>
    <row r="59049" spans="7:16" s="1634" customFormat="1">
      <c r="G59049" s="3336"/>
      <c r="P59049" s="3337"/>
    </row>
    <row r="59050" spans="7:16" s="1634" customFormat="1">
      <c r="G59050" s="3336"/>
      <c r="P59050" s="3337"/>
    </row>
    <row r="59051" spans="7:16" s="1634" customFormat="1">
      <c r="G59051" s="3336"/>
      <c r="P59051" s="3337"/>
    </row>
    <row r="59052" spans="7:16" s="1634" customFormat="1">
      <c r="G59052" s="3336"/>
      <c r="P59052" s="3337"/>
    </row>
    <row r="59053" spans="7:16" s="1634" customFormat="1">
      <c r="G59053" s="3336"/>
      <c r="P59053" s="3337"/>
    </row>
    <row r="59054" spans="7:16" s="1634" customFormat="1">
      <c r="G59054" s="3336"/>
      <c r="P59054" s="3337"/>
    </row>
    <row r="59055" spans="7:16" s="1634" customFormat="1">
      <c r="G59055" s="3336"/>
      <c r="P59055" s="3337"/>
    </row>
    <row r="59056" spans="7:16" s="1634" customFormat="1">
      <c r="G59056" s="3336"/>
      <c r="P59056" s="3337"/>
    </row>
    <row r="59057" spans="7:16" s="1634" customFormat="1">
      <c r="G59057" s="3336"/>
      <c r="P59057" s="3337"/>
    </row>
    <row r="59058" spans="7:16" s="1634" customFormat="1">
      <c r="G59058" s="3336"/>
      <c r="P59058" s="3337"/>
    </row>
    <row r="59059" spans="7:16" s="1634" customFormat="1">
      <c r="G59059" s="3336"/>
      <c r="P59059" s="3337"/>
    </row>
    <row r="59060" spans="7:16" s="1634" customFormat="1">
      <c r="G59060" s="3336"/>
      <c r="P59060" s="3337"/>
    </row>
    <row r="59061" spans="7:16" s="1634" customFormat="1">
      <c r="G59061" s="3336"/>
      <c r="P59061" s="3337"/>
    </row>
    <row r="59062" spans="7:16" s="1634" customFormat="1">
      <c r="G59062" s="3336"/>
      <c r="P59062" s="3337"/>
    </row>
    <row r="59063" spans="7:16" s="1634" customFormat="1">
      <c r="G59063" s="3336"/>
      <c r="P59063" s="3337"/>
    </row>
    <row r="59064" spans="7:16" s="1634" customFormat="1">
      <c r="G59064" s="3336"/>
      <c r="P59064" s="3337"/>
    </row>
    <row r="59065" spans="7:16" s="1634" customFormat="1">
      <c r="G59065" s="3336"/>
      <c r="P59065" s="3337"/>
    </row>
    <row r="59066" spans="7:16" s="1634" customFormat="1">
      <c r="G59066" s="3336"/>
      <c r="P59066" s="3337"/>
    </row>
    <row r="59067" spans="7:16" s="1634" customFormat="1">
      <c r="G59067" s="3336"/>
      <c r="P59067" s="3337"/>
    </row>
    <row r="59068" spans="7:16" s="1634" customFormat="1">
      <c r="G59068" s="3336"/>
      <c r="P59068" s="3337"/>
    </row>
    <row r="59069" spans="7:16" s="1634" customFormat="1">
      <c r="G59069" s="3336"/>
      <c r="P59069" s="3337"/>
    </row>
    <row r="59070" spans="7:16" s="1634" customFormat="1">
      <c r="G59070" s="3336"/>
      <c r="P59070" s="3337"/>
    </row>
    <row r="59071" spans="7:16" s="1634" customFormat="1">
      <c r="G59071" s="3336"/>
      <c r="P59071" s="3337"/>
    </row>
    <row r="59072" spans="7:16" s="1634" customFormat="1">
      <c r="G59072" s="3336"/>
      <c r="P59072" s="3337"/>
    </row>
    <row r="59073" spans="7:16" s="1634" customFormat="1">
      <c r="G59073" s="3336"/>
      <c r="P59073" s="3337"/>
    </row>
    <row r="59074" spans="7:16" s="1634" customFormat="1">
      <c r="G59074" s="3336"/>
      <c r="P59074" s="3337"/>
    </row>
    <row r="59075" spans="7:16" s="1634" customFormat="1">
      <c r="G59075" s="3336"/>
      <c r="P59075" s="3337"/>
    </row>
    <row r="59076" spans="7:16" s="1634" customFormat="1">
      <c r="G59076" s="3336"/>
      <c r="P59076" s="3337"/>
    </row>
    <row r="59077" spans="7:16" s="1634" customFormat="1">
      <c r="G59077" s="3336"/>
      <c r="P59077" s="3337"/>
    </row>
    <row r="59078" spans="7:16" s="1634" customFormat="1">
      <c r="G59078" s="3336"/>
      <c r="P59078" s="3337"/>
    </row>
    <row r="59079" spans="7:16" s="1634" customFormat="1">
      <c r="G59079" s="3336"/>
      <c r="P59079" s="3337"/>
    </row>
    <row r="59080" spans="7:16" s="1634" customFormat="1">
      <c r="G59080" s="3336"/>
      <c r="P59080" s="3337"/>
    </row>
    <row r="59081" spans="7:16" s="1634" customFormat="1">
      <c r="G59081" s="3336"/>
      <c r="P59081" s="3337"/>
    </row>
    <row r="59082" spans="7:16" s="1634" customFormat="1">
      <c r="G59082" s="3336"/>
      <c r="P59082" s="3337"/>
    </row>
    <row r="59083" spans="7:16" s="1634" customFormat="1">
      <c r="G59083" s="3336"/>
      <c r="P59083" s="3337"/>
    </row>
    <row r="59084" spans="7:16" s="1634" customFormat="1">
      <c r="G59084" s="3336"/>
      <c r="P59084" s="3337"/>
    </row>
    <row r="59085" spans="7:16" s="1634" customFormat="1">
      <c r="G59085" s="3336"/>
      <c r="P59085" s="3337"/>
    </row>
    <row r="59086" spans="7:16" s="1634" customFormat="1">
      <c r="G59086" s="3336"/>
      <c r="P59086" s="3337"/>
    </row>
    <row r="59087" spans="7:16" s="1634" customFormat="1">
      <c r="G59087" s="3336"/>
      <c r="P59087" s="3337"/>
    </row>
    <row r="59088" spans="7:16" s="1634" customFormat="1">
      <c r="G59088" s="3336"/>
      <c r="P59088" s="3337"/>
    </row>
    <row r="59089" spans="7:16" s="1634" customFormat="1">
      <c r="G59089" s="3336"/>
      <c r="P59089" s="3337"/>
    </row>
    <row r="59090" spans="7:16" s="1634" customFormat="1">
      <c r="G59090" s="3336"/>
      <c r="P59090" s="3337"/>
    </row>
    <row r="59091" spans="7:16" s="1634" customFormat="1">
      <c r="G59091" s="3336"/>
      <c r="P59091" s="3337"/>
    </row>
    <row r="59092" spans="7:16" s="1634" customFormat="1">
      <c r="G59092" s="3336"/>
      <c r="P59092" s="3337"/>
    </row>
    <row r="59093" spans="7:16" s="1634" customFormat="1">
      <c r="G59093" s="3336"/>
      <c r="P59093" s="3337"/>
    </row>
    <row r="59094" spans="7:16" s="1634" customFormat="1">
      <c r="G59094" s="3336"/>
      <c r="P59094" s="3337"/>
    </row>
    <row r="59095" spans="7:16" s="1634" customFormat="1">
      <c r="G59095" s="3336"/>
      <c r="P59095" s="3337"/>
    </row>
    <row r="59096" spans="7:16" s="1634" customFormat="1">
      <c r="G59096" s="3336"/>
      <c r="P59096" s="3337"/>
    </row>
    <row r="59097" spans="7:16" s="1634" customFormat="1">
      <c r="G59097" s="3336"/>
      <c r="P59097" s="3337"/>
    </row>
    <row r="59098" spans="7:16" s="1634" customFormat="1">
      <c r="G59098" s="3336"/>
      <c r="P59098" s="3337"/>
    </row>
    <row r="59099" spans="7:16" s="1634" customFormat="1">
      <c r="G59099" s="3336"/>
      <c r="P59099" s="3337"/>
    </row>
    <row r="59100" spans="7:16" s="1634" customFormat="1">
      <c r="G59100" s="3336"/>
      <c r="P59100" s="3337"/>
    </row>
    <row r="59101" spans="7:16" s="1634" customFormat="1">
      <c r="G59101" s="3336"/>
      <c r="P59101" s="3337"/>
    </row>
    <row r="59102" spans="7:16" s="1634" customFormat="1">
      <c r="G59102" s="3336"/>
      <c r="P59102" s="3337"/>
    </row>
    <row r="59103" spans="7:16" s="1634" customFormat="1">
      <c r="G59103" s="3336"/>
      <c r="P59103" s="3337"/>
    </row>
    <row r="59104" spans="7:16" s="1634" customFormat="1">
      <c r="G59104" s="3336"/>
      <c r="P59104" s="3337"/>
    </row>
    <row r="59105" spans="7:16" s="1634" customFormat="1">
      <c r="G59105" s="3336"/>
      <c r="P59105" s="3337"/>
    </row>
    <row r="59106" spans="7:16" s="1634" customFormat="1">
      <c r="G59106" s="3336"/>
      <c r="P59106" s="3337"/>
    </row>
    <row r="59107" spans="7:16" s="1634" customFormat="1">
      <c r="G59107" s="3336"/>
      <c r="P59107" s="3337"/>
    </row>
    <row r="59108" spans="7:16" s="1634" customFormat="1">
      <c r="G59108" s="3336"/>
      <c r="P59108" s="3337"/>
    </row>
    <row r="59109" spans="7:16" s="1634" customFormat="1">
      <c r="G59109" s="3336"/>
      <c r="P59109" s="3337"/>
    </row>
    <row r="59110" spans="7:16" s="1634" customFormat="1">
      <c r="G59110" s="3336"/>
      <c r="P59110" s="3337"/>
    </row>
    <row r="59111" spans="7:16" s="1634" customFormat="1">
      <c r="G59111" s="3336"/>
      <c r="P59111" s="3337"/>
    </row>
    <row r="59112" spans="7:16" s="1634" customFormat="1">
      <c r="G59112" s="3336"/>
      <c r="P59112" s="3337"/>
    </row>
    <row r="59113" spans="7:16" s="1634" customFormat="1">
      <c r="G59113" s="3336"/>
      <c r="P59113" s="3337"/>
    </row>
    <row r="59114" spans="7:16" s="1634" customFormat="1">
      <c r="G59114" s="3336"/>
      <c r="P59114" s="3337"/>
    </row>
    <row r="59115" spans="7:16" s="1634" customFormat="1">
      <c r="G59115" s="3336"/>
      <c r="P59115" s="3337"/>
    </row>
    <row r="59116" spans="7:16" s="1634" customFormat="1">
      <c r="G59116" s="3336"/>
      <c r="P59116" s="3337"/>
    </row>
    <row r="59117" spans="7:16" s="1634" customFormat="1">
      <c r="G59117" s="3336"/>
      <c r="P59117" s="3337"/>
    </row>
    <row r="59118" spans="7:16" s="1634" customFormat="1">
      <c r="G59118" s="3336"/>
      <c r="P59118" s="3337"/>
    </row>
    <row r="59119" spans="7:16" s="1634" customFormat="1">
      <c r="G59119" s="3336"/>
      <c r="P59119" s="3337"/>
    </row>
    <row r="59120" spans="7:16" s="1634" customFormat="1">
      <c r="G59120" s="3336"/>
      <c r="P59120" s="3337"/>
    </row>
    <row r="59121" spans="7:16" s="1634" customFormat="1">
      <c r="G59121" s="3336"/>
      <c r="P59121" s="3337"/>
    </row>
    <row r="59122" spans="7:16" s="1634" customFormat="1">
      <c r="G59122" s="3336"/>
      <c r="P59122" s="3337"/>
    </row>
    <row r="59123" spans="7:16" s="1634" customFormat="1">
      <c r="G59123" s="3336"/>
      <c r="P59123" s="3337"/>
    </row>
    <row r="59124" spans="7:16" s="1634" customFormat="1">
      <c r="G59124" s="3336"/>
      <c r="P59124" s="3337"/>
    </row>
    <row r="59125" spans="7:16" s="1634" customFormat="1">
      <c r="G59125" s="3336"/>
      <c r="P59125" s="3337"/>
    </row>
    <row r="59126" spans="7:16" s="1634" customFormat="1">
      <c r="G59126" s="3336"/>
      <c r="P59126" s="3337"/>
    </row>
    <row r="59127" spans="7:16" s="1634" customFormat="1">
      <c r="G59127" s="3336"/>
      <c r="P59127" s="3337"/>
    </row>
    <row r="59128" spans="7:16" s="1634" customFormat="1">
      <c r="G59128" s="3336"/>
      <c r="P59128" s="3337"/>
    </row>
    <row r="59129" spans="7:16" s="1634" customFormat="1">
      <c r="G59129" s="3336"/>
      <c r="P59129" s="3337"/>
    </row>
    <row r="59130" spans="7:16" s="1634" customFormat="1">
      <c r="G59130" s="3336"/>
      <c r="P59130" s="3337"/>
    </row>
    <row r="59131" spans="7:16" s="1634" customFormat="1">
      <c r="G59131" s="3336"/>
      <c r="P59131" s="3337"/>
    </row>
    <row r="59132" spans="7:16" s="1634" customFormat="1">
      <c r="G59132" s="3336"/>
      <c r="P59132" s="3337"/>
    </row>
    <row r="59133" spans="7:16" s="1634" customFormat="1">
      <c r="G59133" s="3336"/>
      <c r="P59133" s="3337"/>
    </row>
    <row r="59134" spans="7:16" s="1634" customFormat="1">
      <c r="G59134" s="3336"/>
      <c r="P59134" s="3337"/>
    </row>
    <row r="59135" spans="7:16" s="1634" customFormat="1">
      <c r="G59135" s="3336"/>
      <c r="P59135" s="3337"/>
    </row>
    <row r="59136" spans="7:16" s="1634" customFormat="1">
      <c r="G59136" s="3336"/>
      <c r="P59136" s="3337"/>
    </row>
    <row r="59137" spans="7:16" s="1634" customFormat="1">
      <c r="G59137" s="3336"/>
      <c r="P59137" s="3337"/>
    </row>
    <row r="59138" spans="7:16" s="1634" customFormat="1">
      <c r="G59138" s="3336"/>
      <c r="P59138" s="3337"/>
    </row>
    <row r="59139" spans="7:16" s="1634" customFormat="1">
      <c r="G59139" s="3336"/>
      <c r="P59139" s="3337"/>
    </row>
    <row r="59140" spans="7:16" s="1634" customFormat="1">
      <c r="G59140" s="3336"/>
      <c r="P59140" s="3337"/>
    </row>
    <row r="59141" spans="7:16" s="1634" customFormat="1">
      <c r="G59141" s="3336"/>
      <c r="P59141" s="3337"/>
    </row>
    <row r="59142" spans="7:16" s="1634" customFormat="1">
      <c r="G59142" s="3336"/>
      <c r="P59142" s="3337"/>
    </row>
    <row r="59143" spans="7:16" s="1634" customFormat="1">
      <c r="G59143" s="3336"/>
      <c r="P59143" s="3337"/>
    </row>
    <row r="59144" spans="7:16" s="1634" customFormat="1">
      <c r="G59144" s="3336"/>
      <c r="P59144" s="3337"/>
    </row>
    <row r="59145" spans="7:16" s="1634" customFormat="1">
      <c r="G59145" s="3336"/>
      <c r="P59145" s="3337"/>
    </row>
    <row r="59146" spans="7:16" s="1634" customFormat="1">
      <c r="G59146" s="3336"/>
      <c r="P59146" s="3337"/>
    </row>
    <row r="59147" spans="7:16" s="1634" customFormat="1">
      <c r="G59147" s="3336"/>
      <c r="P59147" s="3337"/>
    </row>
    <row r="59148" spans="7:16" s="1634" customFormat="1">
      <c r="G59148" s="3336"/>
      <c r="P59148" s="3337"/>
    </row>
    <row r="59149" spans="7:16" s="1634" customFormat="1">
      <c r="G59149" s="3336"/>
      <c r="P59149" s="3337"/>
    </row>
    <row r="59150" spans="7:16" s="1634" customFormat="1">
      <c r="G59150" s="3336"/>
      <c r="P59150" s="3337"/>
    </row>
    <row r="59151" spans="7:16" s="1634" customFormat="1">
      <c r="G59151" s="3336"/>
      <c r="P59151" s="3337"/>
    </row>
    <row r="59152" spans="7:16" s="1634" customFormat="1">
      <c r="G59152" s="3336"/>
      <c r="P59152" s="3337"/>
    </row>
    <row r="59153" spans="7:16" s="1634" customFormat="1">
      <c r="G59153" s="3336"/>
      <c r="P59153" s="3337"/>
    </row>
    <row r="59154" spans="7:16" s="1634" customFormat="1">
      <c r="G59154" s="3336"/>
      <c r="P59154" s="3337"/>
    </row>
    <row r="59155" spans="7:16" s="1634" customFormat="1">
      <c r="G59155" s="3336"/>
      <c r="P59155" s="3337"/>
    </row>
    <row r="59156" spans="7:16" s="1634" customFormat="1">
      <c r="G59156" s="3336"/>
      <c r="P59156" s="3337"/>
    </row>
    <row r="59157" spans="7:16" s="1634" customFormat="1">
      <c r="G59157" s="3336"/>
      <c r="P59157" s="3337"/>
    </row>
    <row r="59158" spans="7:16" s="1634" customFormat="1">
      <c r="G59158" s="3336"/>
      <c r="P59158" s="3337"/>
    </row>
    <row r="59159" spans="7:16" s="1634" customFormat="1">
      <c r="G59159" s="3336"/>
      <c r="P59159" s="3337"/>
    </row>
    <row r="59160" spans="7:16" s="1634" customFormat="1">
      <c r="G59160" s="3336"/>
      <c r="P59160" s="3337"/>
    </row>
    <row r="59161" spans="7:16" s="1634" customFormat="1">
      <c r="G59161" s="3336"/>
      <c r="P59161" s="3337"/>
    </row>
    <row r="59162" spans="7:16" s="1634" customFormat="1">
      <c r="G59162" s="3336"/>
      <c r="P59162" s="3337"/>
    </row>
    <row r="59163" spans="7:16" s="1634" customFormat="1">
      <c r="G59163" s="3336"/>
      <c r="P59163" s="3337"/>
    </row>
    <row r="59164" spans="7:16" s="1634" customFormat="1">
      <c r="G59164" s="3336"/>
      <c r="P59164" s="3337"/>
    </row>
    <row r="59165" spans="7:16" s="1634" customFormat="1">
      <c r="G59165" s="3336"/>
      <c r="P59165" s="3337"/>
    </row>
    <row r="59166" spans="7:16" s="1634" customFormat="1">
      <c r="G59166" s="3336"/>
      <c r="P59166" s="3337"/>
    </row>
    <row r="59167" spans="7:16" s="1634" customFormat="1">
      <c r="G59167" s="3336"/>
      <c r="P59167" s="3337"/>
    </row>
    <row r="59168" spans="7:16" s="1634" customFormat="1">
      <c r="G59168" s="3336"/>
      <c r="P59168" s="3337"/>
    </row>
    <row r="59169" spans="7:16" s="1634" customFormat="1">
      <c r="G59169" s="3336"/>
      <c r="P59169" s="3337"/>
    </row>
    <row r="59170" spans="7:16" s="1634" customFormat="1">
      <c r="G59170" s="3336"/>
      <c r="P59170" s="3337"/>
    </row>
    <row r="59171" spans="7:16" s="1634" customFormat="1">
      <c r="G59171" s="3336"/>
      <c r="P59171" s="3337"/>
    </row>
    <row r="59172" spans="7:16" s="1634" customFormat="1">
      <c r="G59172" s="3336"/>
      <c r="P59172" s="3337"/>
    </row>
    <row r="59173" spans="7:16" s="1634" customFormat="1">
      <c r="G59173" s="3336"/>
      <c r="P59173" s="3337"/>
    </row>
    <row r="59174" spans="7:16" s="1634" customFormat="1">
      <c r="G59174" s="3336"/>
      <c r="P59174" s="3337"/>
    </row>
    <row r="59175" spans="7:16" s="1634" customFormat="1">
      <c r="G59175" s="3336"/>
      <c r="P59175" s="3337"/>
    </row>
    <row r="59176" spans="7:16" s="1634" customFormat="1">
      <c r="G59176" s="3336"/>
      <c r="P59176" s="3337"/>
    </row>
    <row r="59177" spans="7:16" s="1634" customFormat="1">
      <c r="G59177" s="3336"/>
      <c r="P59177" s="3337"/>
    </row>
    <row r="59178" spans="7:16" s="1634" customFormat="1">
      <c r="G59178" s="3336"/>
      <c r="P59178" s="3337"/>
    </row>
    <row r="59179" spans="7:16" s="1634" customFormat="1">
      <c r="G59179" s="3336"/>
      <c r="P59179" s="3337"/>
    </row>
    <row r="59180" spans="7:16" s="1634" customFormat="1">
      <c r="G59180" s="3336"/>
      <c r="P59180" s="3337"/>
    </row>
    <row r="59181" spans="7:16" s="1634" customFormat="1">
      <c r="G59181" s="3336"/>
      <c r="P59181" s="3337"/>
    </row>
    <row r="59182" spans="7:16" s="1634" customFormat="1">
      <c r="G59182" s="3336"/>
      <c r="P59182" s="3337"/>
    </row>
    <row r="59183" spans="7:16" s="1634" customFormat="1">
      <c r="G59183" s="3336"/>
      <c r="P59183" s="3337"/>
    </row>
    <row r="59184" spans="7:16" s="1634" customFormat="1">
      <c r="G59184" s="3336"/>
      <c r="P59184" s="3337"/>
    </row>
    <row r="59185" spans="7:16" s="1634" customFormat="1">
      <c r="G59185" s="3336"/>
      <c r="P59185" s="3337"/>
    </row>
    <row r="59186" spans="7:16" s="1634" customFormat="1">
      <c r="G59186" s="3336"/>
      <c r="P59186" s="3337"/>
    </row>
    <row r="59187" spans="7:16" s="1634" customFormat="1">
      <c r="G59187" s="3336"/>
      <c r="P59187" s="3337"/>
    </row>
    <row r="59188" spans="7:16" s="1634" customFormat="1">
      <c r="G59188" s="3336"/>
      <c r="P59188" s="3337"/>
    </row>
    <row r="59189" spans="7:16" s="1634" customFormat="1">
      <c r="G59189" s="3336"/>
      <c r="P59189" s="3337"/>
    </row>
    <row r="59190" spans="7:16" s="1634" customFormat="1">
      <c r="G59190" s="3336"/>
      <c r="P59190" s="3337"/>
    </row>
    <row r="59191" spans="7:16" s="1634" customFormat="1">
      <c r="G59191" s="3336"/>
      <c r="P59191" s="3337"/>
    </row>
    <row r="59192" spans="7:16" s="1634" customFormat="1">
      <c r="G59192" s="3336"/>
      <c r="P59192" s="3337"/>
    </row>
    <row r="59193" spans="7:16" s="1634" customFormat="1">
      <c r="G59193" s="3336"/>
      <c r="P59193" s="3337"/>
    </row>
    <row r="59194" spans="7:16" s="1634" customFormat="1">
      <c r="G59194" s="3336"/>
      <c r="P59194" s="3337"/>
    </row>
    <row r="59195" spans="7:16" s="1634" customFormat="1">
      <c r="G59195" s="3336"/>
      <c r="P59195" s="3337"/>
    </row>
    <row r="59196" spans="7:16" s="1634" customFormat="1">
      <c r="G59196" s="3336"/>
      <c r="P59196" s="3337"/>
    </row>
    <row r="59197" spans="7:16" s="1634" customFormat="1">
      <c r="G59197" s="3336"/>
      <c r="P59197" s="3337"/>
    </row>
    <row r="59198" spans="7:16" s="1634" customFormat="1">
      <c r="G59198" s="3336"/>
      <c r="P59198" s="3337"/>
    </row>
    <row r="59199" spans="7:16" s="1634" customFormat="1">
      <c r="G59199" s="3336"/>
      <c r="P59199" s="3337"/>
    </row>
    <row r="59200" spans="7:16" s="1634" customFormat="1">
      <c r="G59200" s="3336"/>
      <c r="P59200" s="3337"/>
    </row>
    <row r="59201" spans="7:16" s="1634" customFormat="1">
      <c r="G59201" s="3336"/>
      <c r="P59201" s="3337"/>
    </row>
    <row r="59202" spans="7:16" s="1634" customFormat="1">
      <c r="G59202" s="3336"/>
      <c r="P59202" s="3337"/>
    </row>
    <row r="59203" spans="7:16" s="1634" customFormat="1">
      <c r="G59203" s="3336"/>
      <c r="P59203" s="3337"/>
    </row>
    <row r="59204" spans="7:16" s="1634" customFormat="1">
      <c r="G59204" s="3336"/>
      <c r="P59204" s="3337"/>
    </row>
    <row r="59205" spans="7:16" s="1634" customFormat="1">
      <c r="G59205" s="3336"/>
      <c r="P59205" s="3337"/>
    </row>
    <row r="59206" spans="7:16" s="1634" customFormat="1">
      <c r="G59206" s="3336"/>
      <c r="P59206" s="3337"/>
    </row>
    <row r="59207" spans="7:16" s="1634" customFormat="1">
      <c r="G59207" s="3336"/>
      <c r="P59207" s="3337"/>
    </row>
    <row r="59208" spans="7:16" s="1634" customFormat="1">
      <c r="G59208" s="3336"/>
      <c r="P59208" s="3337"/>
    </row>
    <row r="59209" spans="7:16" s="1634" customFormat="1">
      <c r="G59209" s="3336"/>
      <c r="P59209" s="3337"/>
    </row>
    <row r="59210" spans="7:16" s="1634" customFormat="1">
      <c r="G59210" s="3336"/>
      <c r="P59210" s="3337"/>
    </row>
    <row r="59211" spans="7:16" s="1634" customFormat="1">
      <c r="G59211" s="3336"/>
      <c r="P59211" s="3337"/>
    </row>
    <row r="59212" spans="7:16" s="1634" customFormat="1">
      <c r="G59212" s="3336"/>
      <c r="P59212" s="3337"/>
    </row>
    <row r="59213" spans="7:16" s="1634" customFormat="1">
      <c r="G59213" s="3336"/>
      <c r="P59213" s="3337"/>
    </row>
    <row r="59214" spans="7:16" s="1634" customFormat="1">
      <c r="G59214" s="3336"/>
      <c r="P59214" s="3337"/>
    </row>
    <row r="59215" spans="7:16" s="1634" customFormat="1">
      <c r="G59215" s="3336"/>
      <c r="P59215" s="3337"/>
    </row>
    <row r="59216" spans="7:16" s="1634" customFormat="1">
      <c r="G59216" s="3336"/>
      <c r="P59216" s="3337"/>
    </row>
    <row r="59217" spans="7:16" s="1634" customFormat="1">
      <c r="G59217" s="3336"/>
      <c r="P59217" s="3337"/>
    </row>
    <row r="59218" spans="7:16" s="1634" customFormat="1">
      <c r="G59218" s="3336"/>
      <c r="P59218" s="3337"/>
    </row>
    <row r="59219" spans="7:16" s="1634" customFormat="1">
      <c r="G59219" s="3336"/>
      <c r="P59219" s="3337"/>
    </row>
    <row r="59220" spans="7:16" s="1634" customFormat="1">
      <c r="G59220" s="3336"/>
      <c r="P59220" s="3337"/>
    </row>
    <row r="59221" spans="7:16" s="1634" customFormat="1">
      <c r="G59221" s="3336"/>
      <c r="P59221" s="3337"/>
    </row>
    <row r="59222" spans="7:16" s="1634" customFormat="1">
      <c r="G59222" s="3336"/>
      <c r="P59222" s="3337"/>
    </row>
    <row r="59223" spans="7:16" s="1634" customFormat="1">
      <c r="G59223" s="3336"/>
      <c r="P59223" s="3337"/>
    </row>
    <row r="59224" spans="7:16" s="1634" customFormat="1">
      <c r="G59224" s="3336"/>
      <c r="P59224" s="3337"/>
    </row>
    <row r="59225" spans="7:16" s="1634" customFormat="1">
      <c r="G59225" s="3336"/>
      <c r="P59225" s="3337"/>
    </row>
    <row r="59226" spans="7:16" s="1634" customFormat="1">
      <c r="G59226" s="3336"/>
      <c r="P59226" s="3337"/>
    </row>
    <row r="59227" spans="7:16" s="1634" customFormat="1">
      <c r="G59227" s="3336"/>
      <c r="P59227" s="3337"/>
    </row>
    <row r="59228" spans="7:16" s="1634" customFormat="1">
      <c r="G59228" s="3336"/>
      <c r="P59228" s="3337"/>
    </row>
    <row r="59229" spans="7:16" s="1634" customFormat="1">
      <c r="G59229" s="3336"/>
      <c r="P59229" s="3337"/>
    </row>
    <row r="59230" spans="7:16" s="1634" customFormat="1">
      <c r="G59230" s="3336"/>
      <c r="P59230" s="3337"/>
    </row>
    <row r="59231" spans="7:16" s="1634" customFormat="1">
      <c r="G59231" s="3336"/>
      <c r="P59231" s="3337"/>
    </row>
    <row r="59232" spans="7:16" s="1634" customFormat="1">
      <c r="G59232" s="3336"/>
      <c r="P59232" s="3337"/>
    </row>
    <row r="59233" spans="7:16" s="1634" customFormat="1">
      <c r="G59233" s="3336"/>
      <c r="P59233" s="3337"/>
    </row>
    <row r="59234" spans="7:16" s="1634" customFormat="1">
      <c r="G59234" s="3336"/>
      <c r="P59234" s="3337"/>
    </row>
    <row r="59235" spans="7:16" s="1634" customFormat="1">
      <c r="G59235" s="3336"/>
      <c r="P59235" s="3337"/>
    </row>
    <row r="59236" spans="7:16" s="1634" customFormat="1">
      <c r="G59236" s="3336"/>
      <c r="P59236" s="3337"/>
    </row>
    <row r="59237" spans="7:16" s="1634" customFormat="1">
      <c r="G59237" s="3336"/>
      <c r="P59237" s="3337"/>
    </row>
    <row r="59238" spans="7:16" s="1634" customFormat="1">
      <c r="G59238" s="3336"/>
      <c r="P59238" s="3337"/>
    </row>
    <row r="59239" spans="7:16" s="1634" customFormat="1">
      <c r="G59239" s="3336"/>
      <c r="P59239" s="3337"/>
    </row>
    <row r="59240" spans="7:16" s="1634" customFormat="1">
      <c r="G59240" s="3336"/>
      <c r="P59240" s="3337"/>
    </row>
    <row r="59241" spans="7:16" s="1634" customFormat="1">
      <c r="G59241" s="3336"/>
      <c r="P59241" s="3337"/>
    </row>
    <row r="59242" spans="7:16" s="1634" customFormat="1">
      <c r="G59242" s="3336"/>
      <c r="P59242" s="3337"/>
    </row>
    <row r="59243" spans="7:16" s="1634" customFormat="1">
      <c r="G59243" s="3336"/>
      <c r="P59243" s="3337"/>
    </row>
    <row r="59244" spans="7:16" s="1634" customFormat="1">
      <c r="G59244" s="3336"/>
      <c r="P59244" s="3337"/>
    </row>
    <row r="59245" spans="7:16" s="1634" customFormat="1">
      <c r="G59245" s="3336"/>
      <c r="P59245" s="3337"/>
    </row>
    <row r="59246" spans="7:16" s="1634" customFormat="1">
      <c r="G59246" s="3336"/>
      <c r="P59246" s="3337"/>
    </row>
    <row r="59247" spans="7:16" s="1634" customFormat="1">
      <c r="G59247" s="3336"/>
      <c r="P59247" s="3337"/>
    </row>
    <row r="59248" spans="7:16" s="1634" customFormat="1">
      <c r="G59248" s="3336"/>
      <c r="P59248" s="3337"/>
    </row>
    <row r="59249" spans="7:16" s="1634" customFormat="1">
      <c r="G59249" s="3336"/>
      <c r="P59249" s="3337"/>
    </row>
    <row r="59250" spans="7:16" s="1634" customFormat="1">
      <c r="G59250" s="3336"/>
      <c r="P59250" s="3337"/>
    </row>
    <row r="59251" spans="7:16" s="1634" customFormat="1">
      <c r="G59251" s="3336"/>
      <c r="P59251" s="3337"/>
    </row>
    <row r="59252" spans="7:16" s="1634" customFormat="1">
      <c r="G59252" s="3336"/>
      <c r="P59252" s="3337"/>
    </row>
    <row r="59253" spans="7:16" s="1634" customFormat="1">
      <c r="G59253" s="3336"/>
      <c r="P59253" s="3337"/>
    </row>
    <row r="59254" spans="7:16" s="1634" customFormat="1">
      <c r="G59254" s="3336"/>
      <c r="P59254" s="3337"/>
    </row>
    <row r="59255" spans="7:16" s="1634" customFormat="1">
      <c r="G59255" s="3336"/>
      <c r="P59255" s="3337"/>
    </row>
    <row r="59256" spans="7:16" s="1634" customFormat="1">
      <c r="G59256" s="3336"/>
      <c r="P59256" s="3337"/>
    </row>
    <row r="59257" spans="7:16" s="1634" customFormat="1">
      <c r="G59257" s="3336"/>
      <c r="P59257" s="3337"/>
    </row>
    <row r="59258" spans="7:16" s="1634" customFormat="1">
      <c r="G59258" s="3336"/>
      <c r="P59258" s="3337"/>
    </row>
    <row r="59259" spans="7:16" s="1634" customFormat="1">
      <c r="G59259" s="3336"/>
      <c r="P59259" s="3337"/>
    </row>
    <row r="59260" spans="7:16" s="1634" customFormat="1">
      <c r="G59260" s="3336"/>
      <c r="P59260" s="3337"/>
    </row>
    <row r="59261" spans="7:16" s="1634" customFormat="1">
      <c r="G59261" s="3336"/>
      <c r="P59261" s="3337"/>
    </row>
    <row r="59262" spans="7:16" s="1634" customFormat="1">
      <c r="G59262" s="3336"/>
      <c r="P59262" s="3337"/>
    </row>
    <row r="59263" spans="7:16" s="1634" customFormat="1">
      <c r="G59263" s="3336"/>
      <c r="P59263" s="3337"/>
    </row>
    <row r="59264" spans="7:16" s="1634" customFormat="1">
      <c r="G59264" s="3336"/>
      <c r="P59264" s="3337"/>
    </row>
    <row r="59265" spans="7:16" s="1634" customFormat="1">
      <c r="G59265" s="3336"/>
      <c r="P59265" s="3337"/>
    </row>
    <row r="59266" spans="7:16" s="1634" customFormat="1">
      <c r="G59266" s="3336"/>
      <c r="P59266" s="3337"/>
    </row>
    <row r="59267" spans="7:16" s="1634" customFormat="1">
      <c r="G59267" s="3336"/>
      <c r="P59267" s="3337"/>
    </row>
    <row r="59268" spans="7:16" s="1634" customFormat="1">
      <c r="G59268" s="3336"/>
      <c r="P59268" s="3337"/>
    </row>
    <row r="59269" spans="7:16" s="1634" customFormat="1">
      <c r="G59269" s="3336"/>
      <c r="P59269" s="3337"/>
    </row>
    <row r="59270" spans="7:16" s="1634" customFormat="1">
      <c r="G59270" s="3336"/>
      <c r="P59270" s="3337"/>
    </row>
    <row r="59271" spans="7:16" s="1634" customFormat="1">
      <c r="G59271" s="3336"/>
      <c r="P59271" s="3337"/>
    </row>
    <row r="59272" spans="7:16" s="1634" customFormat="1">
      <c r="G59272" s="3336"/>
      <c r="P59272" s="3337"/>
    </row>
    <row r="59273" spans="7:16" s="1634" customFormat="1">
      <c r="G59273" s="3336"/>
      <c r="P59273" s="3337"/>
    </row>
    <row r="59274" spans="7:16" s="1634" customFormat="1">
      <c r="G59274" s="3336"/>
      <c r="P59274" s="3337"/>
    </row>
    <row r="59275" spans="7:16" s="1634" customFormat="1">
      <c r="G59275" s="3336"/>
      <c r="P59275" s="3337"/>
    </row>
    <row r="59276" spans="7:16" s="1634" customFormat="1">
      <c r="G59276" s="3336"/>
      <c r="P59276" s="3337"/>
    </row>
    <row r="59277" spans="7:16" s="1634" customFormat="1">
      <c r="G59277" s="3336"/>
      <c r="P59277" s="3337"/>
    </row>
    <row r="59278" spans="7:16" s="1634" customFormat="1">
      <c r="G59278" s="3336"/>
      <c r="P59278" s="3337"/>
    </row>
    <row r="59279" spans="7:16" s="1634" customFormat="1">
      <c r="G59279" s="3336"/>
      <c r="P59279" s="3337"/>
    </row>
    <row r="59280" spans="7:16" s="1634" customFormat="1">
      <c r="G59280" s="3336"/>
      <c r="P59280" s="3337"/>
    </row>
    <row r="59281" spans="7:16" s="1634" customFormat="1">
      <c r="G59281" s="3336"/>
      <c r="P59281" s="3337"/>
    </row>
    <row r="59282" spans="7:16" s="1634" customFormat="1">
      <c r="G59282" s="3336"/>
      <c r="P59282" s="3337"/>
    </row>
    <row r="59283" spans="7:16" s="1634" customFormat="1">
      <c r="G59283" s="3336"/>
      <c r="P59283" s="3337"/>
    </row>
    <row r="59284" spans="7:16" s="1634" customFormat="1">
      <c r="G59284" s="3336"/>
      <c r="P59284" s="3337"/>
    </row>
    <row r="59285" spans="7:16" s="1634" customFormat="1">
      <c r="G59285" s="3336"/>
      <c r="P59285" s="3337"/>
    </row>
    <row r="59286" spans="7:16" s="1634" customFormat="1">
      <c r="G59286" s="3336"/>
      <c r="P59286" s="3337"/>
    </row>
    <row r="59287" spans="7:16" s="1634" customFormat="1">
      <c r="G59287" s="3336"/>
      <c r="P59287" s="3337"/>
    </row>
    <row r="59288" spans="7:16" s="1634" customFormat="1">
      <c r="G59288" s="3336"/>
      <c r="P59288" s="3337"/>
    </row>
    <row r="59289" spans="7:16" s="1634" customFormat="1">
      <c r="G59289" s="3336"/>
      <c r="P59289" s="3337"/>
    </row>
    <row r="59290" spans="7:16" s="1634" customFormat="1">
      <c r="G59290" s="3336"/>
      <c r="P59290" s="3337"/>
    </row>
    <row r="59291" spans="7:16" s="1634" customFormat="1">
      <c r="G59291" s="3336"/>
      <c r="P59291" s="3337"/>
    </row>
    <row r="59292" spans="7:16" s="1634" customFormat="1">
      <c r="G59292" s="3336"/>
      <c r="P59292" s="3337"/>
    </row>
    <row r="59293" spans="7:16" s="1634" customFormat="1">
      <c r="G59293" s="3336"/>
      <c r="P59293" s="3337"/>
    </row>
    <row r="59294" spans="7:16" s="1634" customFormat="1">
      <c r="G59294" s="3336"/>
      <c r="P59294" s="3337"/>
    </row>
    <row r="59295" spans="7:16" s="1634" customFormat="1">
      <c r="G59295" s="3336"/>
      <c r="P59295" s="3337"/>
    </row>
    <row r="59296" spans="7:16" s="1634" customFormat="1">
      <c r="G59296" s="3336"/>
      <c r="P59296" s="3337"/>
    </row>
    <row r="59297" spans="7:16" s="1634" customFormat="1">
      <c r="G59297" s="3336"/>
      <c r="P59297" s="3337"/>
    </row>
    <row r="59298" spans="7:16" s="1634" customFormat="1">
      <c r="G59298" s="3336"/>
      <c r="P59298" s="3337"/>
    </row>
    <row r="59299" spans="7:16" s="1634" customFormat="1">
      <c r="G59299" s="3336"/>
      <c r="P59299" s="3337"/>
    </row>
    <row r="59300" spans="7:16" s="1634" customFormat="1">
      <c r="G59300" s="3336"/>
      <c r="P59300" s="3337"/>
    </row>
    <row r="59301" spans="7:16" s="1634" customFormat="1">
      <c r="G59301" s="3336"/>
      <c r="P59301" s="3337"/>
    </row>
    <row r="59302" spans="7:16" s="1634" customFormat="1">
      <c r="G59302" s="3336"/>
      <c r="P59302" s="3337"/>
    </row>
    <row r="59303" spans="7:16" s="1634" customFormat="1">
      <c r="G59303" s="3336"/>
      <c r="P59303" s="3337"/>
    </row>
    <row r="59304" spans="7:16" s="1634" customFormat="1">
      <c r="G59304" s="3336"/>
      <c r="P59304" s="3337"/>
    </row>
    <row r="59305" spans="7:16" s="1634" customFormat="1">
      <c r="G59305" s="3336"/>
      <c r="P59305" s="3337"/>
    </row>
    <row r="59306" spans="7:16" s="1634" customFormat="1">
      <c r="G59306" s="3336"/>
      <c r="P59306" s="3337"/>
    </row>
    <row r="59307" spans="7:16" s="1634" customFormat="1">
      <c r="G59307" s="3336"/>
      <c r="P59307" s="3337"/>
    </row>
    <row r="59308" spans="7:16" s="1634" customFormat="1">
      <c r="G59308" s="3336"/>
      <c r="P59308" s="3337"/>
    </row>
    <row r="59309" spans="7:16" s="1634" customFormat="1">
      <c r="G59309" s="3336"/>
      <c r="P59309" s="3337"/>
    </row>
    <row r="59310" spans="7:16" s="1634" customFormat="1">
      <c r="G59310" s="3336"/>
      <c r="P59310" s="3337"/>
    </row>
    <row r="59311" spans="7:16" s="1634" customFormat="1">
      <c r="G59311" s="3336"/>
      <c r="P59311" s="3337"/>
    </row>
    <row r="59312" spans="7:16" s="1634" customFormat="1">
      <c r="G59312" s="3336"/>
      <c r="P59312" s="3337"/>
    </row>
    <row r="59313" spans="7:16" s="1634" customFormat="1">
      <c r="G59313" s="3336"/>
      <c r="P59313" s="3337"/>
    </row>
    <row r="59314" spans="7:16" s="1634" customFormat="1">
      <c r="G59314" s="3336"/>
      <c r="P59314" s="3337"/>
    </row>
    <row r="59315" spans="7:16" s="1634" customFormat="1">
      <c r="G59315" s="3336"/>
      <c r="P59315" s="3337"/>
    </row>
    <row r="59316" spans="7:16" s="1634" customFormat="1">
      <c r="G59316" s="3336"/>
      <c r="P59316" s="3337"/>
    </row>
    <row r="59317" spans="7:16" s="1634" customFormat="1">
      <c r="G59317" s="3336"/>
      <c r="P59317" s="3337"/>
    </row>
    <row r="59318" spans="7:16" s="1634" customFormat="1">
      <c r="G59318" s="3336"/>
      <c r="P59318" s="3337"/>
    </row>
    <row r="59319" spans="7:16" s="1634" customFormat="1">
      <c r="G59319" s="3336"/>
      <c r="P59319" s="3337"/>
    </row>
    <row r="59320" spans="7:16" s="1634" customFormat="1">
      <c r="G59320" s="3336"/>
      <c r="P59320" s="3337"/>
    </row>
    <row r="59321" spans="7:16" s="1634" customFormat="1">
      <c r="G59321" s="3336"/>
      <c r="P59321" s="3337"/>
    </row>
    <row r="59322" spans="7:16" s="1634" customFormat="1">
      <c r="G59322" s="3336"/>
      <c r="P59322" s="3337"/>
    </row>
    <row r="59323" spans="7:16" s="1634" customFormat="1">
      <c r="G59323" s="3336"/>
      <c r="P59323" s="3337"/>
    </row>
    <row r="59324" spans="7:16" s="1634" customFormat="1">
      <c r="G59324" s="3336"/>
      <c r="P59324" s="3337"/>
    </row>
    <row r="59325" spans="7:16" s="1634" customFormat="1">
      <c r="G59325" s="3336"/>
      <c r="P59325" s="3337"/>
    </row>
    <row r="59326" spans="7:16" s="1634" customFormat="1">
      <c r="G59326" s="3336"/>
      <c r="P59326" s="3337"/>
    </row>
    <row r="59327" spans="7:16" s="1634" customFormat="1">
      <c r="G59327" s="3336"/>
      <c r="P59327" s="3337"/>
    </row>
    <row r="59328" spans="7:16" s="1634" customFormat="1">
      <c r="G59328" s="3336"/>
      <c r="P59328" s="3337"/>
    </row>
    <row r="59329" spans="7:16" s="1634" customFormat="1">
      <c r="G59329" s="3336"/>
      <c r="P59329" s="3337"/>
    </row>
    <row r="59330" spans="7:16" s="1634" customFormat="1">
      <c r="G59330" s="3336"/>
      <c r="P59330" s="3337"/>
    </row>
    <row r="59331" spans="7:16" s="1634" customFormat="1">
      <c r="G59331" s="3336"/>
      <c r="P59331" s="3337"/>
    </row>
    <row r="59332" spans="7:16" s="1634" customFormat="1">
      <c r="G59332" s="3336"/>
      <c r="P59332" s="3337"/>
    </row>
    <row r="59333" spans="7:16" s="1634" customFormat="1">
      <c r="G59333" s="3336"/>
      <c r="P59333" s="3337"/>
    </row>
    <row r="59334" spans="7:16" s="1634" customFormat="1">
      <c r="G59334" s="3336"/>
      <c r="P59334" s="3337"/>
    </row>
    <row r="59335" spans="7:16" s="1634" customFormat="1">
      <c r="G59335" s="3336"/>
      <c r="P59335" s="3337"/>
    </row>
    <row r="59336" spans="7:16" s="1634" customFormat="1">
      <c r="G59336" s="3336"/>
      <c r="P59336" s="3337"/>
    </row>
    <row r="59337" spans="7:16" s="1634" customFormat="1">
      <c r="G59337" s="3336"/>
      <c r="P59337" s="3337"/>
    </row>
    <row r="59338" spans="7:16" s="1634" customFormat="1">
      <c r="G59338" s="3336"/>
      <c r="P59338" s="3337"/>
    </row>
    <row r="59339" spans="7:16" s="1634" customFormat="1">
      <c r="G59339" s="3336"/>
      <c r="P59339" s="3337"/>
    </row>
    <row r="59340" spans="7:16" s="1634" customFormat="1">
      <c r="G59340" s="3336"/>
      <c r="P59340" s="3337"/>
    </row>
    <row r="59341" spans="7:16" s="1634" customFormat="1">
      <c r="G59341" s="3336"/>
      <c r="P59341" s="3337"/>
    </row>
    <row r="59342" spans="7:16" s="1634" customFormat="1">
      <c r="G59342" s="3336"/>
      <c r="P59342" s="3337"/>
    </row>
    <row r="59343" spans="7:16" s="1634" customFormat="1">
      <c r="G59343" s="3336"/>
      <c r="P59343" s="3337"/>
    </row>
    <row r="59344" spans="7:16" s="1634" customFormat="1">
      <c r="G59344" s="3336"/>
      <c r="P59344" s="3337"/>
    </row>
    <row r="59345" spans="7:16" s="1634" customFormat="1">
      <c r="G59345" s="3336"/>
      <c r="P59345" s="3337"/>
    </row>
    <row r="59346" spans="7:16" s="1634" customFormat="1">
      <c r="G59346" s="3336"/>
      <c r="P59346" s="3337"/>
    </row>
    <row r="59347" spans="7:16" s="1634" customFormat="1">
      <c r="G59347" s="3336"/>
      <c r="P59347" s="3337"/>
    </row>
    <row r="59348" spans="7:16" s="1634" customFormat="1">
      <c r="G59348" s="3336"/>
      <c r="P59348" s="3337"/>
    </row>
    <row r="59349" spans="7:16" s="1634" customFormat="1">
      <c r="G59349" s="3336"/>
      <c r="P59349" s="3337"/>
    </row>
    <row r="59350" spans="7:16" s="1634" customFormat="1">
      <c r="G59350" s="3336"/>
      <c r="P59350" s="3337"/>
    </row>
    <row r="59351" spans="7:16" s="1634" customFormat="1">
      <c r="G59351" s="3336"/>
      <c r="P59351" s="3337"/>
    </row>
    <row r="59352" spans="7:16" s="1634" customFormat="1">
      <c r="G59352" s="3336"/>
      <c r="P59352" s="3337"/>
    </row>
    <row r="59353" spans="7:16" s="1634" customFormat="1">
      <c r="G59353" s="3336"/>
      <c r="P59353" s="3337"/>
    </row>
    <row r="59354" spans="7:16" s="1634" customFormat="1">
      <c r="G59354" s="3336"/>
      <c r="P59354" s="3337"/>
    </row>
    <row r="59355" spans="7:16" s="1634" customFormat="1">
      <c r="G59355" s="3336"/>
      <c r="P59355" s="3337"/>
    </row>
    <row r="59356" spans="7:16" s="1634" customFormat="1">
      <c r="G59356" s="3336"/>
      <c r="P59356" s="3337"/>
    </row>
    <row r="59357" spans="7:16" s="1634" customFormat="1">
      <c r="G59357" s="3336"/>
      <c r="P59357" s="3337"/>
    </row>
    <row r="59358" spans="7:16" s="1634" customFormat="1">
      <c r="G59358" s="3336"/>
      <c r="P59358" s="3337"/>
    </row>
    <row r="59359" spans="7:16" s="1634" customFormat="1">
      <c r="G59359" s="3336"/>
      <c r="P59359" s="3337"/>
    </row>
    <row r="59360" spans="7:16" s="1634" customFormat="1">
      <c r="G59360" s="3336"/>
      <c r="P59360" s="3337"/>
    </row>
    <row r="59361" spans="7:16" s="1634" customFormat="1">
      <c r="G59361" s="3336"/>
      <c r="P59361" s="3337"/>
    </row>
    <row r="59362" spans="7:16" s="1634" customFormat="1">
      <c r="G59362" s="3336"/>
      <c r="P59362" s="3337"/>
    </row>
    <row r="59363" spans="7:16" s="1634" customFormat="1">
      <c r="G59363" s="3336"/>
      <c r="P59363" s="3337"/>
    </row>
    <row r="59364" spans="7:16" s="1634" customFormat="1">
      <c r="G59364" s="3336"/>
      <c r="P59364" s="3337"/>
    </row>
    <row r="59365" spans="7:16" s="1634" customFormat="1">
      <c r="G59365" s="3336"/>
      <c r="P59365" s="3337"/>
    </row>
    <row r="59366" spans="7:16" s="1634" customFormat="1">
      <c r="G59366" s="3336"/>
      <c r="P59366" s="3337"/>
    </row>
    <row r="59367" spans="7:16" s="1634" customFormat="1">
      <c r="G59367" s="3336"/>
      <c r="P59367" s="3337"/>
    </row>
    <row r="59368" spans="7:16" s="1634" customFormat="1">
      <c r="G59368" s="3336"/>
      <c r="P59368" s="3337"/>
    </row>
    <row r="59369" spans="7:16" s="1634" customFormat="1">
      <c r="G59369" s="3336"/>
      <c r="P59369" s="3337"/>
    </row>
    <row r="59370" spans="7:16" s="1634" customFormat="1">
      <c r="G59370" s="3336"/>
      <c r="P59370" s="3337"/>
    </row>
    <row r="59371" spans="7:16" s="1634" customFormat="1">
      <c r="G59371" s="3336"/>
      <c r="P59371" s="3337"/>
    </row>
    <row r="59372" spans="7:16" s="1634" customFormat="1">
      <c r="G59372" s="3336"/>
      <c r="P59372" s="3337"/>
    </row>
    <row r="59373" spans="7:16" s="1634" customFormat="1">
      <c r="G59373" s="3336"/>
      <c r="P59373" s="3337"/>
    </row>
    <row r="59374" spans="7:16" s="1634" customFormat="1">
      <c r="G59374" s="3336"/>
      <c r="P59374" s="3337"/>
    </row>
    <row r="59375" spans="7:16" s="1634" customFormat="1">
      <c r="G59375" s="3336"/>
      <c r="P59375" s="3337"/>
    </row>
    <row r="59376" spans="7:16" s="1634" customFormat="1">
      <c r="G59376" s="3336"/>
      <c r="P59376" s="3337"/>
    </row>
    <row r="59377" spans="7:16" s="1634" customFormat="1">
      <c r="G59377" s="3336"/>
      <c r="P59377" s="3337"/>
    </row>
    <row r="59378" spans="7:16" s="1634" customFormat="1">
      <c r="G59378" s="3336"/>
      <c r="P59378" s="3337"/>
    </row>
    <row r="59379" spans="7:16" s="1634" customFormat="1">
      <c r="G59379" s="3336"/>
      <c r="P59379" s="3337"/>
    </row>
    <row r="59380" spans="7:16" s="1634" customFormat="1">
      <c r="G59380" s="3336"/>
      <c r="P59380" s="3337"/>
    </row>
    <row r="59381" spans="7:16" s="1634" customFormat="1">
      <c r="G59381" s="3336"/>
      <c r="P59381" s="3337"/>
    </row>
    <row r="59382" spans="7:16" s="1634" customFormat="1">
      <c r="G59382" s="3336"/>
      <c r="P59382" s="3337"/>
    </row>
    <row r="59383" spans="7:16" s="1634" customFormat="1">
      <c r="G59383" s="3336"/>
      <c r="P59383" s="3337"/>
    </row>
    <row r="59384" spans="7:16" s="1634" customFormat="1">
      <c r="G59384" s="3336"/>
      <c r="P59384" s="3337"/>
    </row>
    <row r="59385" spans="7:16" s="1634" customFormat="1">
      <c r="G59385" s="3336"/>
      <c r="P59385" s="3337"/>
    </row>
    <row r="59386" spans="7:16" s="1634" customFormat="1">
      <c r="G59386" s="3336"/>
      <c r="P59386" s="3337"/>
    </row>
    <row r="59387" spans="7:16" s="1634" customFormat="1">
      <c r="G59387" s="3336"/>
      <c r="P59387" s="3337"/>
    </row>
    <row r="59388" spans="7:16" s="1634" customFormat="1">
      <c r="G59388" s="3336"/>
      <c r="P59388" s="3337"/>
    </row>
    <row r="59389" spans="7:16" s="1634" customFormat="1">
      <c r="G59389" s="3336"/>
      <c r="P59389" s="3337"/>
    </row>
    <row r="59390" spans="7:16" s="1634" customFormat="1">
      <c r="G59390" s="3336"/>
      <c r="P59390" s="3337"/>
    </row>
    <row r="59391" spans="7:16" s="1634" customFormat="1">
      <c r="G59391" s="3336"/>
      <c r="P59391" s="3337"/>
    </row>
    <row r="59392" spans="7:16" s="1634" customFormat="1">
      <c r="G59392" s="3336"/>
      <c r="P59392" s="3337"/>
    </row>
    <row r="59393" spans="7:16" s="1634" customFormat="1">
      <c r="G59393" s="3336"/>
      <c r="P59393" s="3337"/>
    </row>
    <row r="59394" spans="7:16" s="1634" customFormat="1">
      <c r="G59394" s="3336"/>
      <c r="P59394" s="3337"/>
    </row>
    <row r="59395" spans="7:16" s="1634" customFormat="1">
      <c r="G59395" s="3336"/>
      <c r="P59395" s="3337"/>
    </row>
    <row r="59396" spans="7:16" s="1634" customFormat="1">
      <c r="G59396" s="3336"/>
      <c r="P59396" s="3337"/>
    </row>
    <row r="59397" spans="7:16" s="1634" customFormat="1">
      <c r="G59397" s="3336"/>
      <c r="P59397" s="3337"/>
    </row>
    <row r="59398" spans="7:16" s="1634" customFormat="1">
      <c r="G59398" s="3336"/>
      <c r="P59398" s="3337"/>
    </row>
    <row r="59399" spans="7:16" s="1634" customFormat="1">
      <c r="G59399" s="3336"/>
      <c r="P59399" s="3337"/>
    </row>
    <row r="59400" spans="7:16" s="1634" customFormat="1">
      <c r="G59400" s="3336"/>
      <c r="P59400" s="3337"/>
    </row>
    <row r="59401" spans="7:16" s="1634" customFormat="1">
      <c r="G59401" s="3336"/>
      <c r="P59401" s="3337"/>
    </row>
    <row r="59402" spans="7:16" s="1634" customFormat="1">
      <c r="G59402" s="3336"/>
      <c r="P59402" s="3337"/>
    </row>
    <row r="59403" spans="7:16" s="1634" customFormat="1">
      <c r="G59403" s="3336"/>
      <c r="P59403" s="3337"/>
    </row>
    <row r="59404" spans="7:16" s="1634" customFormat="1">
      <c r="G59404" s="3336"/>
      <c r="P59404" s="3337"/>
    </row>
    <row r="59405" spans="7:16" s="1634" customFormat="1">
      <c r="G59405" s="3336"/>
      <c r="P59405" s="3337"/>
    </row>
    <row r="59406" spans="7:16" s="1634" customFormat="1">
      <c r="G59406" s="3336"/>
      <c r="P59406" s="3337"/>
    </row>
    <row r="59407" spans="7:16" s="1634" customFormat="1">
      <c r="G59407" s="3336"/>
      <c r="P59407" s="3337"/>
    </row>
    <row r="59408" spans="7:16" s="1634" customFormat="1">
      <c r="G59408" s="3336"/>
      <c r="P59408" s="3337"/>
    </row>
    <row r="59409" spans="7:16" s="1634" customFormat="1">
      <c r="G59409" s="3336"/>
      <c r="P59409" s="3337"/>
    </row>
    <row r="59410" spans="7:16" s="1634" customFormat="1">
      <c r="G59410" s="3336"/>
      <c r="P59410" s="3337"/>
    </row>
    <row r="59411" spans="7:16" s="1634" customFormat="1">
      <c r="G59411" s="3336"/>
      <c r="P59411" s="3337"/>
    </row>
    <row r="59412" spans="7:16" s="1634" customFormat="1">
      <c r="G59412" s="3336"/>
      <c r="P59412" s="3337"/>
    </row>
    <row r="59413" spans="7:16" s="1634" customFormat="1">
      <c r="G59413" s="3336"/>
      <c r="P59413" s="3337"/>
    </row>
    <row r="59414" spans="7:16" s="1634" customFormat="1">
      <c r="G59414" s="3336"/>
      <c r="P59414" s="3337"/>
    </row>
    <row r="59415" spans="7:16" s="1634" customFormat="1">
      <c r="G59415" s="3336"/>
      <c r="P59415" s="3337"/>
    </row>
    <row r="59416" spans="7:16" s="1634" customFormat="1">
      <c r="G59416" s="3336"/>
      <c r="P59416" s="3337"/>
    </row>
    <row r="59417" spans="7:16" s="1634" customFormat="1">
      <c r="G59417" s="3336"/>
      <c r="P59417" s="3337"/>
    </row>
    <row r="59418" spans="7:16" s="1634" customFormat="1">
      <c r="G59418" s="3336"/>
      <c r="P59418" s="3337"/>
    </row>
    <row r="59419" spans="7:16" s="1634" customFormat="1">
      <c r="G59419" s="3336"/>
      <c r="P59419" s="3337"/>
    </row>
    <row r="59420" spans="7:16" s="1634" customFormat="1">
      <c r="G59420" s="3336"/>
      <c r="P59420" s="3337"/>
    </row>
    <row r="59421" spans="7:16" s="1634" customFormat="1">
      <c r="G59421" s="3336"/>
      <c r="P59421" s="3337"/>
    </row>
    <row r="59422" spans="7:16" s="1634" customFormat="1">
      <c r="G59422" s="3336"/>
      <c r="P59422" s="3337"/>
    </row>
    <row r="59423" spans="7:16" s="1634" customFormat="1">
      <c r="G59423" s="3336"/>
      <c r="P59423" s="3337"/>
    </row>
    <row r="59424" spans="7:16" s="1634" customFormat="1">
      <c r="G59424" s="3336"/>
      <c r="P59424" s="3337"/>
    </row>
    <row r="59425" spans="7:16" s="1634" customFormat="1">
      <c r="G59425" s="3336"/>
      <c r="P59425" s="3337"/>
    </row>
    <row r="59426" spans="7:16" s="1634" customFormat="1">
      <c r="G59426" s="3336"/>
      <c r="P59426" s="3337"/>
    </row>
    <row r="59427" spans="7:16" s="1634" customFormat="1">
      <c r="G59427" s="3336"/>
      <c r="P59427" s="3337"/>
    </row>
    <row r="59428" spans="7:16" s="1634" customFormat="1">
      <c r="G59428" s="3336"/>
      <c r="P59428" s="3337"/>
    </row>
    <row r="59429" spans="7:16" s="1634" customFormat="1">
      <c r="G59429" s="3336"/>
      <c r="P59429" s="3337"/>
    </row>
    <row r="59430" spans="7:16" s="1634" customFormat="1">
      <c r="G59430" s="3336"/>
      <c r="P59430" s="3337"/>
    </row>
    <row r="59431" spans="7:16" s="1634" customFormat="1">
      <c r="G59431" s="3336"/>
      <c r="P59431" s="3337"/>
    </row>
    <row r="59432" spans="7:16" s="1634" customFormat="1">
      <c r="G59432" s="3336"/>
      <c r="P59432" s="3337"/>
    </row>
    <row r="59433" spans="7:16" s="1634" customFormat="1">
      <c r="G59433" s="3336"/>
      <c r="P59433" s="3337"/>
    </row>
    <row r="59434" spans="7:16" s="1634" customFormat="1">
      <c r="G59434" s="3336"/>
      <c r="P59434" s="3337"/>
    </row>
    <row r="59435" spans="7:16" s="1634" customFormat="1">
      <c r="G59435" s="3336"/>
      <c r="P59435" s="3337"/>
    </row>
    <row r="59436" spans="7:16" s="1634" customFormat="1">
      <c r="G59436" s="3336"/>
      <c r="P59436" s="3337"/>
    </row>
    <row r="59437" spans="7:16" s="1634" customFormat="1">
      <c r="G59437" s="3336"/>
      <c r="P59437" s="3337"/>
    </row>
    <row r="59438" spans="7:16" s="1634" customFormat="1">
      <c r="G59438" s="3336"/>
      <c r="P59438" s="3337"/>
    </row>
    <row r="59439" spans="7:16" s="1634" customFormat="1">
      <c r="G59439" s="3336"/>
      <c r="P59439" s="3337"/>
    </row>
    <row r="59440" spans="7:16" s="1634" customFormat="1">
      <c r="G59440" s="3336"/>
      <c r="P59440" s="3337"/>
    </row>
    <row r="59441" spans="7:16" s="1634" customFormat="1">
      <c r="G59441" s="3336"/>
      <c r="P59441" s="3337"/>
    </row>
    <row r="59442" spans="7:16" s="1634" customFormat="1">
      <c r="G59442" s="3336"/>
      <c r="P59442" s="3337"/>
    </row>
    <row r="59443" spans="7:16" s="1634" customFormat="1">
      <c r="G59443" s="3336"/>
      <c r="P59443" s="3337"/>
    </row>
    <row r="59444" spans="7:16" s="1634" customFormat="1">
      <c r="G59444" s="3336"/>
      <c r="P59444" s="3337"/>
    </row>
    <row r="59445" spans="7:16" s="1634" customFormat="1">
      <c r="G59445" s="3336"/>
      <c r="P59445" s="3337"/>
    </row>
    <row r="59446" spans="7:16" s="1634" customFormat="1">
      <c r="G59446" s="3336"/>
      <c r="P59446" s="3337"/>
    </row>
    <row r="59447" spans="7:16" s="1634" customFormat="1">
      <c r="G59447" s="3336"/>
      <c r="P59447" s="3337"/>
    </row>
    <row r="59448" spans="7:16" s="1634" customFormat="1">
      <c r="G59448" s="3336"/>
      <c r="P59448" s="3337"/>
    </row>
    <row r="59449" spans="7:16" s="1634" customFormat="1">
      <c r="G59449" s="3336"/>
      <c r="P59449" s="3337"/>
    </row>
    <row r="59450" spans="7:16" s="1634" customFormat="1">
      <c r="G59450" s="3336"/>
      <c r="P59450" s="3337"/>
    </row>
    <row r="59451" spans="7:16" s="1634" customFormat="1">
      <c r="G59451" s="3336"/>
      <c r="P59451" s="3337"/>
    </row>
    <row r="59452" spans="7:16" s="1634" customFormat="1">
      <c r="G59452" s="3336"/>
      <c r="P59452" s="3337"/>
    </row>
    <row r="59453" spans="7:16" s="1634" customFormat="1">
      <c r="G59453" s="3336"/>
      <c r="P59453" s="3337"/>
    </row>
    <row r="59454" spans="7:16" s="1634" customFormat="1">
      <c r="G59454" s="3336"/>
      <c r="P59454" s="3337"/>
    </row>
    <row r="59455" spans="7:16" s="1634" customFormat="1">
      <c r="G59455" s="3336"/>
      <c r="P59455" s="3337"/>
    </row>
    <row r="59456" spans="7:16" s="1634" customFormat="1">
      <c r="G59456" s="3336"/>
      <c r="P59456" s="3337"/>
    </row>
    <row r="59457" spans="7:16" s="1634" customFormat="1">
      <c r="G59457" s="3336"/>
      <c r="P59457" s="3337"/>
    </row>
    <row r="59458" spans="7:16" s="1634" customFormat="1">
      <c r="G59458" s="3336"/>
      <c r="P59458" s="3337"/>
    </row>
    <row r="59459" spans="7:16" s="1634" customFormat="1">
      <c r="G59459" s="3336"/>
      <c r="P59459" s="3337"/>
    </row>
    <row r="59460" spans="7:16" s="1634" customFormat="1">
      <c r="G59460" s="3336"/>
      <c r="P59460" s="3337"/>
    </row>
    <row r="59461" spans="7:16" s="1634" customFormat="1">
      <c r="G59461" s="3336"/>
      <c r="P59461" s="3337"/>
    </row>
    <row r="59462" spans="7:16" s="1634" customFormat="1">
      <c r="G59462" s="3336"/>
      <c r="P59462" s="3337"/>
    </row>
    <row r="59463" spans="7:16" s="1634" customFormat="1">
      <c r="G59463" s="3336"/>
      <c r="P59463" s="3337"/>
    </row>
    <row r="59464" spans="7:16" s="1634" customFormat="1">
      <c r="G59464" s="3336"/>
      <c r="P59464" s="3337"/>
    </row>
    <row r="59465" spans="7:16" s="1634" customFormat="1">
      <c r="G59465" s="3336"/>
      <c r="P59465" s="3337"/>
    </row>
    <row r="59466" spans="7:16" s="1634" customFormat="1">
      <c r="G59466" s="3336"/>
      <c r="P59466" s="3337"/>
    </row>
    <row r="59467" spans="7:16" s="1634" customFormat="1">
      <c r="G59467" s="3336"/>
      <c r="P59467" s="3337"/>
    </row>
    <row r="59468" spans="7:16" s="1634" customFormat="1">
      <c r="G59468" s="3336"/>
      <c r="P59468" s="3337"/>
    </row>
    <row r="59469" spans="7:16" s="1634" customFormat="1">
      <c r="G59469" s="3336"/>
      <c r="P59469" s="3337"/>
    </row>
    <row r="59470" spans="7:16" s="1634" customFormat="1">
      <c r="G59470" s="3336"/>
      <c r="P59470" s="3337"/>
    </row>
    <row r="59471" spans="7:16" s="1634" customFormat="1">
      <c r="G59471" s="3336"/>
      <c r="P59471" s="3337"/>
    </row>
    <row r="59472" spans="7:16" s="1634" customFormat="1">
      <c r="G59472" s="3336"/>
      <c r="P59472" s="3337"/>
    </row>
    <row r="59473" spans="7:16" s="1634" customFormat="1">
      <c r="G59473" s="3336"/>
      <c r="P59473" s="3337"/>
    </row>
    <row r="59474" spans="7:16" s="1634" customFormat="1">
      <c r="G59474" s="3336"/>
      <c r="P59474" s="3337"/>
    </row>
    <row r="59475" spans="7:16" s="1634" customFormat="1">
      <c r="G59475" s="3336"/>
      <c r="P59475" s="3337"/>
    </row>
    <row r="59476" spans="7:16" s="1634" customFormat="1">
      <c r="G59476" s="3336"/>
      <c r="P59476" s="3337"/>
    </row>
    <row r="59477" spans="7:16" s="1634" customFormat="1">
      <c r="G59477" s="3336"/>
      <c r="P59477" s="3337"/>
    </row>
    <row r="59478" spans="7:16" s="1634" customFormat="1">
      <c r="G59478" s="3336"/>
      <c r="P59478" s="3337"/>
    </row>
    <row r="59479" spans="7:16" s="1634" customFormat="1">
      <c r="G59479" s="3336"/>
      <c r="P59479" s="3337"/>
    </row>
    <row r="59480" spans="7:16" s="1634" customFormat="1">
      <c r="G59480" s="3336"/>
      <c r="P59480" s="3337"/>
    </row>
    <row r="59481" spans="7:16" s="1634" customFormat="1">
      <c r="G59481" s="3336"/>
      <c r="P59481" s="3337"/>
    </row>
    <row r="59482" spans="7:16" s="1634" customFormat="1">
      <c r="G59482" s="3336"/>
      <c r="P59482" s="3337"/>
    </row>
    <row r="59483" spans="7:16" s="1634" customFormat="1">
      <c r="G59483" s="3336"/>
      <c r="P59483" s="3337"/>
    </row>
    <row r="59484" spans="7:16" s="1634" customFormat="1">
      <c r="G59484" s="3336"/>
      <c r="P59484" s="3337"/>
    </row>
    <row r="59485" spans="7:16" s="1634" customFormat="1">
      <c r="G59485" s="3336"/>
      <c r="P59485" s="3337"/>
    </row>
    <row r="59486" spans="7:16" s="1634" customFormat="1">
      <c r="G59486" s="3336"/>
      <c r="P59486" s="3337"/>
    </row>
    <row r="59487" spans="7:16" s="1634" customFormat="1">
      <c r="G59487" s="3336"/>
      <c r="P59487" s="3337"/>
    </row>
    <row r="59488" spans="7:16" s="1634" customFormat="1">
      <c r="G59488" s="3336"/>
      <c r="P59488" s="3337"/>
    </row>
    <row r="59489" spans="7:16" s="1634" customFormat="1">
      <c r="G59489" s="3336"/>
      <c r="P59489" s="3337"/>
    </row>
    <row r="59490" spans="7:16" s="1634" customFormat="1">
      <c r="G59490" s="3336"/>
      <c r="P59490" s="3337"/>
    </row>
    <row r="59491" spans="7:16" s="1634" customFormat="1">
      <c r="G59491" s="3336"/>
      <c r="P59491" s="3337"/>
    </row>
    <row r="59492" spans="7:16" s="1634" customFormat="1">
      <c r="G59492" s="3336"/>
      <c r="P59492" s="3337"/>
    </row>
    <row r="59493" spans="7:16" s="1634" customFormat="1">
      <c r="G59493" s="3336"/>
      <c r="P59493" s="3337"/>
    </row>
    <row r="59494" spans="7:16" s="1634" customFormat="1">
      <c r="G59494" s="3336"/>
      <c r="P59494" s="3337"/>
    </row>
    <row r="59495" spans="7:16" s="1634" customFormat="1">
      <c r="G59495" s="3336"/>
      <c r="P59495" s="3337"/>
    </row>
    <row r="59496" spans="7:16" s="1634" customFormat="1">
      <c r="G59496" s="3336"/>
      <c r="P59496" s="3337"/>
    </row>
    <row r="59497" spans="7:16" s="1634" customFormat="1">
      <c r="G59497" s="3336"/>
      <c r="P59497" s="3337"/>
    </row>
    <row r="59498" spans="7:16" s="1634" customFormat="1">
      <c r="G59498" s="3336"/>
      <c r="P59498" s="3337"/>
    </row>
    <row r="59499" spans="7:16" s="1634" customFormat="1">
      <c r="G59499" s="3336"/>
      <c r="P59499" s="3337"/>
    </row>
    <row r="59500" spans="7:16" s="1634" customFormat="1">
      <c r="G59500" s="3336"/>
      <c r="P59500" s="3337"/>
    </row>
    <row r="59501" spans="7:16" s="1634" customFormat="1">
      <c r="G59501" s="3336"/>
      <c r="P59501" s="3337"/>
    </row>
    <row r="59502" spans="7:16" s="1634" customFormat="1">
      <c r="G59502" s="3336"/>
      <c r="P59502" s="3337"/>
    </row>
    <row r="59503" spans="7:16" s="1634" customFormat="1">
      <c r="G59503" s="3336"/>
      <c r="P59503" s="3337"/>
    </row>
    <row r="59504" spans="7:16" s="1634" customFormat="1">
      <c r="G59504" s="3336"/>
      <c r="P59504" s="3337"/>
    </row>
    <row r="59505" spans="7:16" s="1634" customFormat="1">
      <c r="G59505" s="3336"/>
      <c r="P59505" s="3337"/>
    </row>
    <row r="59506" spans="7:16" s="1634" customFormat="1">
      <c r="G59506" s="3336"/>
      <c r="P59506" s="3337"/>
    </row>
    <row r="59507" spans="7:16" s="1634" customFormat="1">
      <c r="G59507" s="3336"/>
      <c r="P59507" s="3337"/>
    </row>
    <row r="59508" spans="7:16" s="1634" customFormat="1">
      <c r="G59508" s="3336"/>
      <c r="P59508" s="3337"/>
    </row>
    <row r="59509" spans="7:16" s="1634" customFormat="1">
      <c r="G59509" s="3336"/>
      <c r="P59509" s="3337"/>
    </row>
    <row r="59510" spans="7:16" s="1634" customFormat="1">
      <c r="G59510" s="3336"/>
      <c r="P59510" s="3337"/>
    </row>
    <row r="59511" spans="7:16" s="1634" customFormat="1">
      <c r="G59511" s="3336"/>
      <c r="P59511" s="3337"/>
    </row>
    <row r="59512" spans="7:16" s="1634" customFormat="1">
      <c r="G59512" s="3336"/>
      <c r="P59512" s="3337"/>
    </row>
    <row r="59513" spans="7:16" s="1634" customFormat="1">
      <c r="G59513" s="3336"/>
      <c r="P59513" s="3337"/>
    </row>
    <row r="59514" spans="7:16" s="1634" customFormat="1">
      <c r="G59514" s="3336"/>
      <c r="P59514" s="3337"/>
    </row>
    <row r="59515" spans="7:16" s="1634" customFormat="1">
      <c r="G59515" s="3336"/>
      <c r="P59515" s="3337"/>
    </row>
    <row r="59516" spans="7:16" s="1634" customFormat="1">
      <c r="G59516" s="3336"/>
      <c r="P59516" s="3337"/>
    </row>
    <row r="59517" spans="7:16" s="1634" customFormat="1">
      <c r="G59517" s="3336"/>
      <c r="P59517" s="3337"/>
    </row>
    <row r="59518" spans="7:16" s="1634" customFormat="1">
      <c r="G59518" s="3336"/>
      <c r="P59518" s="3337"/>
    </row>
    <row r="59519" spans="7:16" s="1634" customFormat="1">
      <c r="G59519" s="3336"/>
      <c r="P59519" s="3337"/>
    </row>
    <row r="59520" spans="7:16" s="1634" customFormat="1">
      <c r="G59520" s="3336"/>
      <c r="P59520" s="3337"/>
    </row>
    <row r="59521" spans="7:16" s="1634" customFormat="1">
      <c r="G59521" s="3336"/>
      <c r="P59521" s="3337"/>
    </row>
    <row r="59522" spans="7:16" s="1634" customFormat="1">
      <c r="G59522" s="3336"/>
      <c r="P59522" s="3337"/>
    </row>
    <row r="59523" spans="7:16" s="1634" customFormat="1">
      <c r="G59523" s="3336"/>
      <c r="P59523" s="3337"/>
    </row>
    <row r="59524" spans="7:16" s="1634" customFormat="1">
      <c r="G59524" s="3336"/>
      <c r="P59524" s="3337"/>
    </row>
    <row r="59525" spans="7:16" s="1634" customFormat="1">
      <c r="G59525" s="3336"/>
      <c r="P59525" s="3337"/>
    </row>
    <row r="59526" spans="7:16" s="1634" customFormat="1">
      <c r="G59526" s="3336"/>
      <c r="P59526" s="3337"/>
    </row>
    <row r="59527" spans="7:16" s="1634" customFormat="1">
      <c r="G59527" s="3336"/>
      <c r="P59527" s="3337"/>
    </row>
    <row r="59528" spans="7:16" s="1634" customFormat="1">
      <c r="G59528" s="3336"/>
      <c r="P59528" s="3337"/>
    </row>
    <row r="59529" spans="7:16" s="1634" customFormat="1">
      <c r="G59529" s="3336"/>
      <c r="P59529" s="3337"/>
    </row>
    <row r="59530" spans="7:16" s="1634" customFormat="1">
      <c r="G59530" s="3336"/>
      <c r="P59530" s="3337"/>
    </row>
    <row r="59531" spans="7:16" s="1634" customFormat="1">
      <c r="G59531" s="3336"/>
      <c r="P59531" s="3337"/>
    </row>
    <row r="59532" spans="7:16" s="1634" customFormat="1">
      <c r="G59532" s="3336"/>
      <c r="P59532" s="3337"/>
    </row>
    <row r="59533" spans="7:16" s="1634" customFormat="1">
      <c r="G59533" s="3336"/>
      <c r="P59533" s="3337"/>
    </row>
    <row r="59534" spans="7:16" s="1634" customFormat="1">
      <c r="G59534" s="3336"/>
      <c r="P59534" s="3337"/>
    </row>
    <row r="59535" spans="7:16" s="1634" customFormat="1">
      <c r="G59535" s="3336"/>
      <c r="P59535" s="3337"/>
    </row>
    <row r="59536" spans="7:16" s="1634" customFormat="1">
      <c r="G59536" s="3336"/>
      <c r="P59536" s="3337"/>
    </row>
    <row r="59537" spans="7:16" s="1634" customFormat="1">
      <c r="G59537" s="3336"/>
      <c r="P59537" s="3337"/>
    </row>
    <row r="59538" spans="7:16" s="1634" customFormat="1">
      <c r="G59538" s="3336"/>
      <c r="P59538" s="3337"/>
    </row>
    <row r="59539" spans="7:16" s="1634" customFormat="1">
      <c r="G59539" s="3336"/>
      <c r="P59539" s="3337"/>
    </row>
    <row r="59540" spans="7:16" s="1634" customFormat="1">
      <c r="G59540" s="3336"/>
      <c r="P59540" s="3337"/>
    </row>
    <row r="59541" spans="7:16" s="1634" customFormat="1">
      <c r="G59541" s="3336"/>
      <c r="P59541" s="3337"/>
    </row>
    <row r="59542" spans="7:16" s="1634" customFormat="1">
      <c r="G59542" s="3336"/>
      <c r="P59542" s="3337"/>
    </row>
    <row r="59543" spans="7:16" s="1634" customFormat="1">
      <c r="G59543" s="3336"/>
      <c r="P59543" s="3337"/>
    </row>
    <row r="59544" spans="7:16" s="1634" customFormat="1">
      <c r="G59544" s="3336"/>
      <c r="P59544" s="3337"/>
    </row>
    <row r="59545" spans="7:16" s="1634" customFormat="1">
      <c r="G59545" s="3336"/>
      <c r="P59545" s="3337"/>
    </row>
    <row r="59546" spans="7:16" s="1634" customFormat="1">
      <c r="G59546" s="3336"/>
      <c r="P59546" s="3337"/>
    </row>
    <row r="59547" spans="7:16" s="1634" customFormat="1">
      <c r="G59547" s="3336"/>
      <c r="P59547" s="3337"/>
    </row>
    <row r="59548" spans="7:16" s="1634" customFormat="1">
      <c r="G59548" s="3336"/>
      <c r="P59548" s="3337"/>
    </row>
    <row r="59549" spans="7:16" s="1634" customFormat="1">
      <c r="G59549" s="3336"/>
      <c r="P59549" s="3337"/>
    </row>
    <row r="59550" spans="7:16" s="1634" customFormat="1">
      <c r="G59550" s="3336"/>
      <c r="P59550" s="3337"/>
    </row>
    <row r="59551" spans="7:16" s="1634" customFormat="1">
      <c r="G59551" s="3336"/>
      <c r="P59551" s="3337"/>
    </row>
    <row r="59552" spans="7:16" s="1634" customFormat="1">
      <c r="G59552" s="3336"/>
      <c r="P59552" s="3337"/>
    </row>
    <row r="59553" spans="7:16" s="1634" customFormat="1">
      <c r="G59553" s="3336"/>
      <c r="P59553" s="3337"/>
    </row>
    <row r="59554" spans="7:16" s="1634" customFormat="1">
      <c r="G59554" s="3336"/>
      <c r="P59554" s="3337"/>
    </row>
    <row r="59555" spans="7:16" s="1634" customFormat="1">
      <c r="G59555" s="3336"/>
      <c r="P59555" s="3337"/>
    </row>
    <row r="59556" spans="7:16" s="1634" customFormat="1">
      <c r="G59556" s="3336"/>
      <c r="P59556" s="3337"/>
    </row>
    <row r="59557" spans="7:16" s="1634" customFormat="1">
      <c r="G59557" s="3336"/>
      <c r="P59557" s="3337"/>
    </row>
    <row r="59558" spans="7:16" s="1634" customFormat="1">
      <c r="G59558" s="3336"/>
      <c r="P59558" s="3337"/>
    </row>
    <row r="59559" spans="7:16" s="1634" customFormat="1">
      <c r="G59559" s="3336"/>
      <c r="P59559" s="3337"/>
    </row>
    <row r="59560" spans="7:16" s="1634" customFormat="1">
      <c r="G59560" s="3336"/>
      <c r="P59560" s="3337"/>
    </row>
    <row r="59561" spans="7:16" s="1634" customFormat="1">
      <c r="G59561" s="3336"/>
      <c r="P59561" s="3337"/>
    </row>
    <row r="59562" spans="7:16" s="1634" customFormat="1">
      <c r="G59562" s="3336"/>
      <c r="P59562" s="3337"/>
    </row>
    <row r="59563" spans="7:16" s="1634" customFormat="1">
      <c r="G59563" s="3336"/>
      <c r="P59563" s="3337"/>
    </row>
    <row r="59564" spans="7:16" s="1634" customFormat="1">
      <c r="G59564" s="3336"/>
      <c r="P59564" s="3337"/>
    </row>
    <row r="59565" spans="7:16" s="1634" customFormat="1">
      <c r="G59565" s="3336"/>
      <c r="P59565" s="3337"/>
    </row>
    <row r="59566" spans="7:16" s="1634" customFormat="1">
      <c r="G59566" s="3336"/>
      <c r="P59566" s="3337"/>
    </row>
    <row r="59567" spans="7:16" s="1634" customFormat="1">
      <c r="G59567" s="3336"/>
      <c r="P59567" s="3337"/>
    </row>
    <row r="59568" spans="7:16" s="1634" customFormat="1">
      <c r="G59568" s="3336"/>
      <c r="P59568" s="3337"/>
    </row>
    <row r="59569" spans="7:16" s="1634" customFormat="1">
      <c r="G59569" s="3336"/>
      <c r="P59569" s="3337"/>
    </row>
    <row r="59570" spans="7:16" s="1634" customFormat="1">
      <c r="G59570" s="3336"/>
      <c r="P59570" s="3337"/>
    </row>
    <row r="59571" spans="7:16" s="1634" customFormat="1">
      <c r="G59571" s="3336"/>
      <c r="P59571" s="3337"/>
    </row>
    <row r="59572" spans="7:16" s="1634" customFormat="1">
      <c r="G59572" s="3336"/>
      <c r="P59572" s="3337"/>
    </row>
    <row r="59573" spans="7:16" s="1634" customFormat="1">
      <c r="G59573" s="3336"/>
      <c r="P59573" s="3337"/>
    </row>
    <row r="59574" spans="7:16" s="1634" customFormat="1">
      <c r="G59574" s="3336"/>
      <c r="P59574" s="3337"/>
    </row>
    <row r="59575" spans="7:16" s="1634" customFormat="1">
      <c r="G59575" s="3336"/>
      <c r="P59575" s="3337"/>
    </row>
    <row r="59576" spans="7:16" s="1634" customFormat="1">
      <c r="G59576" s="3336"/>
      <c r="P59576" s="3337"/>
    </row>
    <row r="59577" spans="7:16" s="1634" customFormat="1">
      <c r="G59577" s="3336"/>
      <c r="P59577" s="3337"/>
    </row>
    <row r="59578" spans="7:16" s="1634" customFormat="1">
      <c r="G59578" s="3336"/>
      <c r="P59578" s="3337"/>
    </row>
    <row r="59579" spans="7:16" s="1634" customFormat="1">
      <c r="G59579" s="3336"/>
      <c r="P59579" s="3337"/>
    </row>
    <row r="59580" spans="7:16" s="1634" customFormat="1">
      <c r="G59580" s="3336"/>
      <c r="P59580" s="3337"/>
    </row>
    <row r="59581" spans="7:16" s="1634" customFormat="1">
      <c r="G59581" s="3336"/>
      <c r="P59581" s="3337"/>
    </row>
    <row r="59582" spans="7:16" s="1634" customFormat="1">
      <c r="G59582" s="3336"/>
      <c r="P59582" s="3337"/>
    </row>
    <row r="59583" spans="7:16" s="1634" customFormat="1">
      <c r="G59583" s="3336"/>
      <c r="P59583" s="3337"/>
    </row>
    <row r="59584" spans="7:16" s="1634" customFormat="1">
      <c r="G59584" s="3336"/>
      <c r="P59584" s="3337"/>
    </row>
    <row r="59585" spans="7:16" s="1634" customFormat="1">
      <c r="G59585" s="3336"/>
      <c r="P59585" s="3337"/>
    </row>
    <row r="59586" spans="7:16" s="1634" customFormat="1">
      <c r="G59586" s="3336"/>
      <c r="P59586" s="3337"/>
    </row>
    <row r="59587" spans="7:16" s="1634" customFormat="1">
      <c r="G59587" s="3336"/>
      <c r="P59587" s="3337"/>
    </row>
    <row r="59588" spans="7:16" s="1634" customFormat="1">
      <c r="G59588" s="3336"/>
      <c r="P59588" s="3337"/>
    </row>
    <row r="59589" spans="7:16" s="1634" customFormat="1">
      <c r="G59589" s="3336"/>
      <c r="P59589" s="3337"/>
    </row>
    <row r="59590" spans="7:16" s="1634" customFormat="1">
      <c r="G59590" s="3336"/>
      <c r="P59590" s="3337"/>
    </row>
    <row r="59591" spans="7:16" s="1634" customFormat="1">
      <c r="G59591" s="3336"/>
      <c r="P59591" s="3337"/>
    </row>
    <row r="59592" spans="7:16" s="1634" customFormat="1">
      <c r="G59592" s="3336"/>
      <c r="P59592" s="3337"/>
    </row>
    <row r="59593" spans="7:16" s="1634" customFormat="1">
      <c r="G59593" s="3336"/>
      <c r="P59593" s="3337"/>
    </row>
    <row r="59594" spans="7:16" s="1634" customFormat="1">
      <c r="G59594" s="3336"/>
      <c r="P59594" s="3337"/>
    </row>
    <row r="59595" spans="7:16" s="1634" customFormat="1">
      <c r="G59595" s="3336"/>
      <c r="P59595" s="3337"/>
    </row>
    <row r="59596" spans="7:16" s="1634" customFormat="1">
      <c r="G59596" s="3336"/>
      <c r="P59596" s="3337"/>
    </row>
    <row r="59597" spans="7:16" s="1634" customFormat="1">
      <c r="G59597" s="3336"/>
      <c r="P59597" s="3337"/>
    </row>
    <row r="59598" spans="7:16" s="1634" customFormat="1">
      <c r="G59598" s="3336"/>
      <c r="P59598" s="3337"/>
    </row>
    <row r="59599" spans="7:16" s="1634" customFormat="1">
      <c r="G59599" s="3336"/>
      <c r="P59599" s="3337"/>
    </row>
    <row r="59600" spans="7:16" s="1634" customFormat="1">
      <c r="G59600" s="3336"/>
      <c r="P59600" s="3337"/>
    </row>
    <row r="59601" spans="7:16" s="1634" customFormat="1">
      <c r="G59601" s="3336"/>
      <c r="P59601" s="3337"/>
    </row>
    <row r="59602" spans="7:16" s="1634" customFormat="1">
      <c r="G59602" s="3336"/>
      <c r="P59602" s="3337"/>
    </row>
    <row r="59603" spans="7:16" s="1634" customFormat="1">
      <c r="G59603" s="3336"/>
      <c r="P59603" s="3337"/>
    </row>
    <row r="59604" spans="7:16" s="1634" customFormat="1">
      <c r="G59604" s="3336"/>
      <c r="P59604" s="3337"/>
    </row>
    <row r="59605" spans="7:16" s="1634" customFormat="1">
      <c r="G59605" s="3336"/>
      <c r="P59605" s="3337"/>
    </row>
    <row r="59606" spans="7:16" s="1634" customFormat="1">
      <c r="G59606" s="3336"/>
      <c r="P59606" s="3337"/>
    </row>
    <row r="59607" spans="7:16" s="1634" customFormat="1">
      <c r="G59607" s="3336"/>
      <c r="P59607" s="3337"/>
    </row>
    <row r="59608" spans="7:16" s="1634" customFormat="1">
      <c r="G59608" s="3336"/>
      <c r="P59608" s="3337"/>
    </row>
    <row r="59609" spans="7:16" s="1634" customFormat="1">
      <c r="G59609" s="3336"/>
      <c r="P59609" s="3337"/>
    </row>
    <row r="59610" spans="7:16" s="1634" customFormat="1">
      <c r="G59610" s="3336"/>
      <c r="P59610" s="3337"/>
    </row>
    <row r="59611" spans="7:16" s="1634" customFormat="1">
      <c r="G59611" s="3336"/>
      <c r="P59611" s="3337"/>
    </row>
    <row r="59612" spans="7:16" s="1634" customFormat="1">
      <c r="G59612" s="3336"/>
      <c r="P59612" s="3337"/>
    </row>
    <row r="59613" spans="7:16" s="1634" customFormat="1">
      <c r="G59613" s="3336"/>
      <c r="P59613" s="3337"/>
    </row>
    <row r="59614" spans="7:16" s="1634" customFormat="1">
      <c r="G59614" s="3336"/>
      <c r="P59614" s="3337"/>
    </row>
    <row r="59615" spans="7:16" s="1634" customFormat="1">
      <c r="G59615" s="3336"/>
      <c r="P59615" s="3337"/>
    </row>
    <row r="59616" spans="7:16" s="1634" customFormat="1">
      <c r="G59616" s="3336"/>
      <c r="P59616" s="3337"/>
    </row>
    <row r="59617" spans="7:16" s="1634" customFormat="1">
      <c r="G59617" s="3336"/>
      <c r="P59617" s="3337"/>
    </row>
    <row r="59618" spans="7:16" s="1634" customFormat="1">
      <c r="G59618" s="3336"/>
      <c r="P59618" s="3337"/>
    </row>
    <row r="59619" spans="7:16" s="1634" customFormat="1">
      <c r="G59619" s="3336"/>
      <c r="P59619" s="3337"/>
    </row>
    <row r="59620" spans="7:16" s="1634" customFormat="1">
      <c r="G59620" s="3336"/>
      <c r="P59620" s="3337"/>
    </row>
    <row r="59621" spans="7:16" s="1634" customFormat="1">
      <c r="G59621" s="3336"/>
      <c r="P59621" s="3337"/>
    </row>
    <row r="59622" spans="7:16" s="1634" customFormat="1">
      <c r="G59622" s="3336"/>
      <c r="P59622" s="3337"/>
    </row>
    <row r="59623" spans="7:16" s="1634" customFormat="1">
      <c r="G59623" s="3336"/>
      <c r="P59623" s="3337"/>
    </row>
    <row r="59624" spans="7:16" s="1634" customFormat="1">
      <c r="G59624" s="3336"/>
      <c r="P59624" s="3337"/>
    </row>
    <row r="59625" spans="7:16" s="1634" customFormat="1">
      <c r="G59625" s="3336"/>
      <c r="P59625" s="3337"/>
    </row>
    <row r="59626" spans="7:16" s="1634" customFormat="1">
      <c r="G59626" s="3336"/>
      <c r="P59626" s="3337"/>
    </row>
    <row r="59627" spans="7:16" s="1634" customFormat="1">
      <c r="G59627" s="3336"/>
      <c r="P59627" s="3337"/>
    </row>
    <row r="59628" spans="7:16" s="1634" customFormat="1">
      <c r="G59628" s="3336"/>
      <c r="P59628" s="3337"/>
    </row>
    <row r="59629" spans="7:16" s="1634" customFormat="1">
      <c r="G59629" s="3336"/>
      <c r="P59629" s="3337"/>
    </row>
    <row r="59630" spans="7:16" s="1634" customFormat="1">
      <c r="G59630" s="3336"/>
      <c r="P59630" s="3337"/>
    </row>
    <row r="59631" spans="7:16" s="1634" customFormat="1">
      <c r="G59631" s="3336"/>
      <c r="P59631" s="3337"/>
    </row>
    <row r="59632" spans="7:16" s="1634" customFormat="1">
      <c r="G59632" s="3336"/>
      <c r="P59632" s="3337"/>
    </row>
    <row r="59633" spans="7:16" s="1634" customFormat="1">
      <c r="G59633" s="3336"/>
      <c r="P59633" s="3337"/>
    </row>
    <row r="59634" spans="7:16" s="1634" customFormat="1">
      <c r="G59634" s="3336"/>
      <c r="P59634" s="3337"/>
    </row>
    <row r="59635" spans="7:16" s="1634" customFormat="1">
      <c r="G59635" s="3336"/>
      <c r="P59635" s="3337"/>
    </row>
    <row r="59636" spans="7:16" s="1634" customFormat="1">
      <c r="G59636" s="3336"/>
      <c r="P59636" s="3337"/>
    </row>
    <row r="59637" spans="7:16" s="1634" customFormat="1">
      <c r="G59637" s="3336"/>
      <c r="P59637" s="3337"/>
    </row>
    <row r="59638" spans="7:16" s="1634" customFormat="1">
      <c r="G59638" s="3336"/>
      <c r="P59638" s="3337"/>
    </row>
    <row r="59639" spans="7:16" s="1634" customFormat="1">
      <c r="G59639" s="3336"/>
      <c r="P59639" s="3337"/>
    </row>
    <row r="59640" spans="7:16" s="1634" customFormat="1">
      <c r="G59640" s="3336"/>
      <c r="P59640" s="3337"/>
    </row>
    <row r="59641" spans="7:16" s="1634" customFormat="1">
      <c r="G59641" s="3336"/>
      <c r="P59641" s="3337"/>
    </row>
    <row r="59642" spans="7:16" s="1634" customFormat="1">
      <c r="G59642" s="3336"/>
      <c r="P59642" s="3337"/>
    </row>
    <row r="59643" spans="7:16" s="1634" customFormat="1">
      <c r="G59643" s="3336"/>
      <c r="P59643" s="3337"/>
    </row>
    <row r="59644" spans="7:16" s="1634" customFormat="1">
      <c r="G59644" s="3336"/>
      <c r="P59644" s="3337"/>
    </row>
    <row r="59645" spans="7:16" s="1634" customFormat="1">
      <c r="G59645" s="3336"/>
      <c r="P59645" s="3337"/>
    </row>
    <row r="59646" spans="7:16" s="1634" customFormat="1">
      <c r="G59646" s="3336"/>
      <c r="P59646" s="3337"/>
    </row>
    <row r="59647" spans="7:16" s="1634" customFormat="1">
      <c r="G59647" s="3336"/>
      <c r="P59647" s="3337"/>
    </row>
    <row r="59648" spans="7:16" s="1634" customFormat="1">
      <c r="G59648" s="3336"/>
      <c r="P59648" s="3337"/>
    </row>
    <row r="59649" spans="7:16" s="1634" customFormat="1">
      <c r="G59649" s="3336"/>
      <c r="P59649" s="3337"/>
    </row>
    <row r="59650" spans="7:16" s="1634" customFormat="1">
      <c r="G59650" s="3336"/>
      <c r="P59650" s="3337"/>
    </row>
    <row r="59651" spans="7:16" s="1634" customFormat="1">
      <c r="G59651" s="3336"/>
      <c r="P59651" s="3337"/>
    </row>
    <row r="59652" spans="7:16" s="1634" customFormat="1">
      <c r="G59652" s="3336"/>
      <c r="P59652" s="3337"/>
    </row>
    <row r="59653" spans="7:16" s="1634" customFormat="1">
      <c r="G59653" s="3336"/>
      <c r="P59653" s="3337"/>
    </row>
    <row r="59654" spans="7:16" s="1634" customFormat="1">
      <c r="G59654" s="3336"/>
      <c r="P59654" s="3337"/>
    </row>
    <row r="59655" spans="7:16" s="1634" customFormat="1">
      <c r="G59655" s="3336"/>
      <c r="P59655" s="3337"/>
    </row>
    <row r="59656" spans="7:16" s="1634" customFormat="1">
      <c r="G59656" s="3336"/>
      <c r="P59656" s="3337"/>
    </row>
    <row r="59657" spans="7:16" s="1634" customFormat="1">
      <c r="G59657" s="3336"/>
      <c r="P59657" s="3337"/>
    </row>
    <row r="59658" spans="7:16" s="1634" customFormat="1">
      <c r="G59658" s="3336"/>
      <c r="P59658" s="3337"/>
    </row>
    <row r="59659" spans="7:16" s="1634" customFormat="1">
      <c r="G59659" s="3336"/>
      <c r="P59659" s="3337"/>
    </row>
    <row r="59660" spans="7:16" s="1634" customFormat="1">
      <c r="G59660" s="3336"/>
      <c r="P59660" s="3337"/>
    </row>
    <row r="59661" spans="7:16" s="1634" customFormat="1">
      <c r="G59661" s="3336"/>
      <c r="P59661" s="3337"/>
    </row>
    <row r="59662" spans="7:16" s="1634" customFormat="1">
      <c r="G59662" s="3336"/>
      <c r="P59662" s="3337"/>
    </row>
    <row r="59663" spans="7:16" s="1634" customFormat="1">
      <c r="G59663" s="3336"/>
      <c r="P59663" s="3337"/>
    </row>
    <row r="59664" spans="7:16" s="1634" customFormat="1">
      <c r="G59664" s="3336"/>
      <c r="P59664" s="3337"/>
    </row>
    <row r="59665" spans="7:16" s="1634" customFormat="1">
      <c r="G59665" s="3336"/>
      <c r="P59665" s="3337"/>
    </row>
    <row r="59666" spans="7:16" s="1634" customFormat="1">
      <c r="G59666" s="3336"/>
      <c r="P59666" s="3337"/>
    </row>
    <row r="59667" spans="7:16" s="1634" customFormat="1">
      <c r="G59667" s="3336"/>
      <c r="P59667" s="3337"/>
    </row>
    <row r="59668" spans="7:16" s="1634" customFormat="1">
      <c r="G59668" s="3336"/>
      <c r="P59668" s="3337"/>
    </row>
    <row r="59669" spans="7:16" s="1634" customFormat="1">
      <c r="G59669" s="3336"/>
      <c r="P59669" s="3337"/>
    </row>
    <row r="59670" spans="7:16" s="1634" customFormat="1">
      <c r="G59670" s="3336"/>
      <c r="P59670" s="3337"/>
    </row>
    <row r="59671" spans="7:16" s="1634" customFormat="1">
      <c r="G59671" s="3336"/>
      <c r="P59671" s="3337"/>
    </row>
    <row r="59672" spans="7:16" s="1634" customFormat="1">
      <c r="G59672" s="3336"/>
      <c r="P59672" s="3337"/>
    </row>
    <row r="59673" spans="7:16" s="1634" customFormat="1">
      <c r="G59673" s="3336"/>
      <c r="P59673" s="3337"/>
    </row>
    <row r="59674" spans="7:16" s="1634" customFormat="1">
      <c r="G59674" s="3336"/>
      <c r="P59674" s="3337"/>
    </row>
    <row r="59675" spans="7:16" s="1634" customFormat="1">
      <c r="G59675" s="3336"/>
      <c r="P59675" s="3337"/>
    </row>
    <row r="59676" spans="7:16" s="1634" customFormat="1">
      <c r="G59676" s="3336"/>
      <c r="P59676" s="3337"/>
    </row>
    <row r="59677" spans="7:16" s="1634" customFormat="1">
      <c r="G59677" s="3336"/>
      <c r="P59677" s="3337"/>
    </row>
    <row r="59678" spans="7:16" s="1634" customFormat="1">
      <c r="G59678" s="3336"/>
      <c r="P59678" s="3337"/>
    </row>
    <row r="59679" spans="7:16" s="1634" customFormat="1">
      <c r="G59679" s="3336"/>
      <c r="P59679" s="3337"/>
    </row>
    <row r="59680" spans="7:16" s="1634" customFormat="1">
      <c r="G59680" s="3336"/>
      <c r="P59680" s="3337"/>
    </row>
    <row r="59681" spans="7:16" s="1634" customFormat="1">
      <c r="G59681" s="3336"/>
      <c r="P59681" s="3337"/>
    </row>
    <row r="59682" spans="7:16" s="1634" customFormat="1">
      <c r="G59682" s="3336"/>
      <c r="P59682" s="3337"/>
    </row>
    <row r="59683" spans="7:16" s="1634" customFormat="1">
      <c r="G59683" s="3336"/>
      <c r="P59683" s="3337"/>
    </row>
    <row r="59684" spans="7:16" s="1634" customFormat="1">
      <c r="G59684" s="3336"/>
      <c r="P59684" s="3337"/>
    </row>
    <row r="59685" spans="7:16" s="1634" customFormat="1">
      <c r="G59685" s="3336"/>
      <c r="P59685" s="3337"/>
    </row>
    <row r="59686" spans="7:16" s="1634" customFormat="1">
      <c r="G59686" s="3336"/>
      <c r="P59686" s="3337"/>
    </row>
    <row r="59687" spans="7:16" s="1634" customFormat="1">
      <c r="G59687" s="3336"/>
      <c r="P59687" s="3337"/>
    </row>
    <row r="59688" spans="7:16" s="1634" customFormat="1">
      <c r="G59688" s="3336"/>
      <c r="P59688" s="3337"/>
    </row>
    <row r="59689" spans="7:16" s="1634" customFormat="1">
      <c r="G59689" s="3336"/>
      <c r="P59689" s="3337"/>
    </row>
    <row r="59690" spans="7:16" s="1634" customFormat="1">
      <c r="G59690" s="3336"/>
      <c r="P59690" s="3337"/>
    </row>
    <row r="59691" spans="7:16" s="1634" customFormat="1">
      <c r="G59691" s="3336"/>
      <c r="P59691" s="3337"/>
    </row>
    <row r="59692" spans="7:16" s="1634" customFormat="1">
      <c r="G59692" s="3336"/>
      <c r="P59692" s="3337"/>
    </row>
    <row r="59693" spans="7:16" s="1634" customFormat="1">
      <c r="G59693" s="3336"/>
      <c r="P59693" s="3337"/>
    </row>
    <row r="59694" spans="7:16" s="1634" customFormat="1">
      <c r="G59694" s="3336"/>
      <c r="P59694" s="3337"/>
    </row>
    <row r="59695" spans="7:16" s="1634" customFormat="1">
      <c r="G59695" s="3336"/>
      <c r="P59695" s="3337"/>
    </row>
    <row r="59696" spans="7:16" s="1634" customFormat="1">
      <c r="G59696" s="3336"/>
      <c r="P59696" s="3337"/>
    </row>
    <row r="59697" spans="7:16" s="1634" customFormat="1">
      <c r="G59697" s="3336"/>
      <c r="P59697" s="3337"/>
    </row>
    <row r="59698" spans="7:16" s="1634" customFormat="1">
      <c r="G59698" s="3336"/>
      <c r="P59698" s="3337"/>
    </row>
    <row r="59699" spans="7:16" s="1634" customFormat="1">
      <c r="G59699" s="3336"/>
      <c r="P59699" s="3337"/>
    </row>
    <row r="59700" spans="7:16" s="1634" customFormat="1">
      <c r="G59700" s="3336"/>
      <c r="P59700" s="3337"/>
    </row>
    <row r="59701" spans="7:16" s="1634" customFormat="1">
      <c r="G59701" s="3336"/>
      <c r="P59701" s="3337"/>
    </row>
    <row r="59702" spans="7:16" s="1634" customFormat="1">
      <c r="G59702" s="3336"/>
      <c r="P59702" s="3337"/>
    </row>
    <row r="59703" spans="7:16" s="1634" customFormat="1">
      <c r="G59703" s="3336"/>
      <c r="P59703" s="3337"/>
    </row>
    <row r="59704" spans="7:16" s="1634" customFormat="1">
      <c r="G59704" s="3336"/>
      <c r="P59704" s="3337"/>
    </row>
    <row r="59705" spans="7:16" s="1634" customFormat="1">
      <c r="G59705" s="3336"/>
      <c r="P59705" s="3337"/>
    </row>
    <row r="59706" spans="7:16" s="1634" customFormat="1">
      <c r="G59706" s="3336"/>
      <c r="P59706" s="3337"/>
    </row>
    <row r="59707" spans="7:16" s="1634" customFormat="1">
      <c r="G59707" s="3336"/>
      <c r="P59707" s="3337"/>
    </row>
    <row r="59708" spans="7:16" s="1634" customFormat="1">
      <c r="G59708" s="3336"/>
      <c r="P59708" s="3337"/>
    </row>
    <row r="59709" spans="7:16" s="1634" customFormat="1">
      <c r="G59709" s="3336"/>
      <c r="P59709" s="3337"/>
    </row>
    <row r="59710" spans="7:16" s="1634" customFormat="1">
      <c r="G59710" s="3336"/>
      <c r="P59710" s="3337"/>
    </row>
    <row r="59711" spans="7:16" s="1634" customFormat="1">
      <c r="G59711" s="3336"/>
      <c r="P59711" s="3337"/>
    </row>
    <row r="59712" spans="7:16" s="1634" customFormat="1">
      <c r="G59712" s="3336"/>
      <c r="P59712" s="3337"/>
    </row>
    <row r="59713" spans="7:16" s="1634" customFormat="1">
      <c r="G59713" s="3336"/>
      <c r="P59713" s="3337"/>
    </row>
    <row r="59714" spans="7:16" s="1634" customFormat="1">
      <c r="G59714" s="3336"/>
      <c r="P59714" s="3337"/>
    </row>
    <row r="59715" spans="7:16" s="1634" customFormat="1">
      <c r="G59715" s="3336"/>
      <c r="P59715" s="3337"/>
    </row>
    <row r="59716" spans="7:16" s="1634" customFormat="1">
      <c r="G59716" s="3336"/>
      <c r="P59716" s="3337"/>
    </row>
    <row r="59717" spans="7:16" s="1634" customFormat="1">
      <c r="G59717" s="3336"/>
      <c r="P59717" s="3337"/>
    </row>
    <row r="59718" spans="7:16" s="1634" customFormat="1">
      <c r="G59718" s="3336"/>
      <c r="P59718" s="3337"/>
    </row>
    <row r="59719" spans="7:16" s="1634" customFormat="1">
      <c r="G59719" s="3336"/>
      <c r="P59719" s="3337"/>
    </row>
    <row r="59720" spans="7:16" s="1634" customFormat="1">
      <c r="G59720" s="3336"/>
      <c r="P59720" s="3337"/>
    </row>
    <row r="59721" spans="7:16" s="1634" customFormat="1">
      <c r="G59721" s="3336"/>
      <c r="P59721" s="3337"/>
    </row>
    <row r="59722" spans="7:16" s="1634" customFormat="1">
      <c r="G59722" s="3336"/>
      <c r="P59722" s="3337"/>
    </row>
    <row r="59723" spans="7:16" s="1634" customFormat="1">
      <c r="G59723" s="3336"/>
      <c r="P59723" s="3337"/>
    </row>
    <row r="59724" spans="7:16" s="1634" customFormat="1">
      <c r="G59724" s="3336"/>
      <c r="P59724" s="3337"/>
    </row>
    <row r="59725" spans="7:16" s="1634" customFormat="1">
      <c r="G59725" s="3336"/>
      <c r="P59725" s="3337"/>
    </row>
    <row r="59726" spans="7:16" s="1634" customFormat="1">
      <c r="G59726" s="3336"/>
      <c r="P59726" s="3337"/>
    </row>
    <row r="59727" spans="7:16" s="1634" customFormat="1">
      <c r="G59727" s="3336"/>
      <c r="P59727" s="3337"/>
    </row>
    <row r="59728" spans="7:16" s="1634" customFormat="1">
      <c r="G59728" s="3336"/>
      <c r="P59728" s="3337"/>
    </row>
    <row r="59729" spans="7:16" s="1634" customFormat="1">
      <c r="G59729" s="3336"/>
      <c r="P59729" s="3337"/>
    </row>
    <row r="59730" spans="7:16" s="1634" customFormat="1">
      <c r="G59730" s="3336"/>
      <c r="P59730" s="3337"/>
    </row>
    <row r="59731" spans="7:16" s="1634" customFormat="1">
      <c r="G59731" s="3336"/>
      <c r="P59731" s="3337"/>
    </row>
    <row r="59732" spans="7:16" s="1634" customFormat="1">
      <c r="G59732" s="3336"/>
      <c r="P59732" s="3337"/>
    </row>
    <row r="59733" spans="7:16" s="1634" customFormat="1">
      <c r="G59733" s="3336"/>
      <c r="P59733" s="3337"/>
    </row>
    <row r="59734" spans="7:16" s="1634" customFormat="1">
      <c r="G59734" s="3336"/>
      <c r="P59734" s="3337"/>
    </row>
    <row r="59735" spans="7:16" s="1634" customFormat="1">
      <c r="G59735" s="3336"/>
      <c r="P59735" s="3337"/>
    </row>
    <row r="59736" spans="7:16" s="1634" customFormat="1">
      <c r="G59736" s="3336"/>
      <c r="P59736" s="3337"/>
    </row>
    <row r="59737" spans="7:16" s="1634" customFormat="1">
      <c r="G59737" s="3336"/>
      <c r="P59737" s="3337"/>
    </row>
    <row r="59738" spans="7:16" s="1634" customFormat="1">
      <c r="G59738" s="3336"/>
      <c r="P59738" s="3337"/>
    </row>
    <row r="59739" spans="7:16" s="1634" customFormat="1">
      <c r="G59739" s="3336"/>
      <c r="P59739" s="3337"/>
    </row>
    <row r="59740" spans="7:16" s="1634" customFormat="1">
      <c r="G59740" s="3336"/>
      <c r="P59740" s="3337"/>
    </row>
    <row r="59741" spans="7:16" s="1634" customFormat="1">
      <c r="G59741" s="3336"/>
      <c r="P59741" s="3337"/>
    </row>
    <row r="59742" spans="7:16" s="1634" customFormat="1">
      <c r="G59742" s="3336"/>
      <c r="P59742" s="3337"/>
    </row>
    <row r="59743" spans="7:16" s="1634" customFormat="1">
      <c r="G59743" s="3336"/>
      <c r="P59743" s="3337"/>
    </row>
    <row r="59744" spans="7:16" s="1634" customFormat="1">
      <c r="G59744" s="3336"/>
      <c r="P59744" s="3337"/>
    </row>
    <row r="59745" spans="7:16" s="1634" customFormat="1">
      <c r="G59745" s="3336"/>
      <c r="P59745" s="3337"/>
    </row>
    <row r="59746" spans="7:16" s="1634" customFormat="1">
      <c r="G59746" s="3336"/>
      <c r="P59746" s="3337"/>
    </row>
    <row r="59747" spans="7:16" s="1634" customFormat="1">
      <c r="G59747" s="3336"/>
      <c r="P59747" s="3337"/>
    </row>
    <row r="59748" spans="7:16" s="1634" customFormat="1">
      <c r="G59748" s="3336"/>
      <c r="P59748" s="3337"/>
    </row>
    <row r="59749" spans="7:16" s="1634" customFormat="1">
      <c r="G59749" s="3336"/>
      <c r="P59749" s="3337"/>
    </row>
    <row r="59750" spans="7:16" s="1634" customFormat="1">
      <c r="G59750" s="3336"/>
      <c r="P59750" s="3337"/>
    </row>
    <row r="59751" spans="7:16" s="1634" customFormat="1">
      <c r="G59751" s="3336"/>
      <c r="P59751" s="3337"/>
    </row>
    <row r="59752" spans="7:16" s="1634" customFormat="1">
      <c r="G59752" s="3336"/>
      <c r="P59752" s="3337"/>
    </row>
    <row r="59753" spans="7:16" s="1634" customFormat="1">
      <c r="G59753" s="3336"/>
      <c r="P59753" s="3337"/>
    </row>
    <row r="59754" spans="7:16" s="1634" customFormat="1">
      <c r="G59754" s="3336"/>
      <c r="P59754" s="3337"/>
    </row>
    <row r="59755" spans="7:16" s="1634" customFormat="1">
      <c r="G59755" s="3336"/>
      <c r="P59755" s="3337"/>
    </row>
    <row r="59756" spans="7:16" s="1634" customFormat="1">
      <c r="G59756" s="3336"/>
      <c r="P59756" s="3337"/>
    </row>
    <row r="59757" spans="7:16" s="1634" customFormat="1">
      <c r="G59757" s="3336"/>
      <c r="P59757" s="3337"/>
    </row>
    <row r="59758" spans="7:16" s="1634" customFormat="1">
      <c r="G59758" s="3336"/>
      <c r="P59758" s="3337"/>
    </row>
    <row r="59759" spans="7:16" s="1634" customFormat="1">
      <c r="G59759" s="3336"/>
      <c r="P59759" s="3337"/>
    </row>
    <row r="59760" spans="7:16" s="1634" customFormat="1">
      <c r="G59760" s="3336"/>
      <c r="P59760" s="3337"/>
    </row>
    <row r="59761" spans="7:16" s="1634" customFormat="1">
      <c r="G59761" s="3336"/>
      <c r="P59761" s="3337"/>
    </row>
    <row r="59762" spans="7:16" s="1634" customFormat="1">
      <c r="G59762" s="3336"/>
      <c r="P59762" s="3337"/>
    </row>
    <row r="59763" spans="7:16" s="1634" customFormat="1">
      <c r="G59763" s="3336"/>
      <c r="P59763" s="3337"/>
    </row>
    <row r="59764" spans="7:16" s="1634" customFormat="1">
      <c r="G59764" s="3336"/>
      <c r="P59764" s="3337"/>
    </row>
    <row r="59765" spans="7:16" s="1634" customFormat="1">
      <c r="G59765" s="3336"/>
      <c r="P59765" s="3337"/>
    </row>
    <row r="59766" spans="7:16" s="1634" customFormat="1">
      <c r="G59766" s="3336"/>
      <c r="P59766" s="3337"/>
    </row>
    <row r="59767" spans="7:16" s="1634" customFormat="1">
      <c r="G59767" s="3336"/>
      <c r="P59767" s="3337"/>
    </row>
    <row r="59768" spans="7:16" s="1634" customFormat="1">
      <c r="G59768" s="3336"/>
      <c r="P59768" s="3337"/>
    </row>
    <row r="59769" spans="7:16" s="1634" customFormat="1">
      <c r="G59769" s="3336"/>
      <c r="P59769" s="3337"/>
    </row>
    <row r="59770" spans="7:16" s="1634" customFormat="1">
      <c r="G59770" s="3336"/>
      <c r="P59770" s="3337"/>
    </row>
    <row r="59771" spans="7:16" s="1634" customFormat="1">
      <c r="G59771" s="3336"/>
      <c r="P59771" s="3337"/>
    </row>
    <row r="59772" spans="7:16" s="1634" customFormat="1">
      <c r="G59772" s="3336"/>
      <c r="P59772" s="3337"/>
    </row>
    <row r="59773" spans="7:16" s="1634" customFormat="1">
      <c r="G59773" s="3336"/>
      <c r="P59773" s="3337"/>
    </row>
    <row r="59774" spans="7:16" s="1634" customFormat="1">
      <c r="G59774" s="3336"/>
      <c r="P59774" s="3337"/>
    </row>
    <row r="59775" spans="7:16" s="1634" customFormat="1">
      <c r="G59775" s="3336"/>
      <c r="P59775" s="3337"/>
    </row>
    <row r="59776" spans="7:16" s="1634" customFormat="1">
      <c r="G59776" s="3336"/>
      <c r="P59776" s="3337"/>
    </row>
    <row r="59777" spans="7:16" s="1634" customFormat="1">
      <c r="G59777" s="3336"/>
      <c r="P59777" s="3337"/>
    </row>
    <row r="59778" spans="7:16" s="1634" customFormat="1">
      <c r="G59778" s="3336"/>
      <c r="P59778" s="3337"/>
    </row>
    <row r="59779" spans="7:16" s="1634" customFormat="1">
      <c r="G59779" s="3336"/>
      <c r="P59779" s="3337"/>
    </row>
    <row r="59780" spans="7:16" s="1634" customFormat="1">
      <c r="G59780" s="3336"/>
      <c r="P59780" s="3337"/>
    </row>
    <row r="59781" spans="7:16" s="1634" customFormat="1">
      <c r="G59781" s="3336"/>
      <c r="P59781" s="3337"/>
    </row>
    <row r="59782" spans="7:16" s="1634" customFormat="1">
      <c r="G59782" s="3336"/>
      <c r="P59782" s="3337"/>
    </row>
    <row r="59783" spans="7:16" s="1634" customFormat="1">
      <c r="G59783" s="3336"/>
      <c r="P59783" s="3337"/>
    </row>
    <row r="59784" spans="7:16" s="1634" customFormat="1">
      <c r="G59784" s="3336"/>
      <c r="P59784" s="3337"/>
    </row>
    <row r="59785" spans="7:16" s="1634" customFormat="1">
      <c r="G59785" s="3336"/>
      <c r="P59785" s="3337"/>
    </row>
    <row r="59786" spans="7:16" s="1634" customFormat="1">
      <c r="G59786" s="3336"/>
      <c r="P59786" s="3337"/>
    </row>
    <row r="59787" spans="7:16" s="1634" customFormat="1">
      <c r="G59787" s="3336"/>
      <c r="P59787" s="3337"/>
    </row>
    <row r="59788" spans="7:16" s="1634" customFormat="1">
      <c r="G59788" s="3336"/>
      <c r="P59788" s="3337"/>
    </row>
    <row r="59789" spans="7:16" s="1634" customFormat="1">
      <c r="G59789" s="3336"/>
      <c r="P59789" s="3337"/>
    </row>
    <row r="59790" spans="7:16" s="1634" customFormat="1">
      <c r="G59790" s="3336"/>
      <c r="P59790" s="3337"/>
    </row>
    <row r="59791" spans="7:16" s="1634" customFormat="1">
      <c r="G59791" s="3336"/>
      <c r="P59791" s="3337"/>
    </row>
    <row r="59792" spans="7:16" s="1634" customFormat="1">
      <c r="G59792" s="3336"/>
      <c r="P59792" s="3337"/>
    </row>
    <row r="59793" spans="7:16" s="1634" customFormat="1">
      <c r="G59793" s="3336"/>
      <c r="P59793" s="3337"/>
    </row>
    <row r="59794" spans="7:16" s="1634" customFormat="1">
      <c r="G59794" s="3336"/>
      <c r="P59794" s="3337"/>
    </row>
    <row r="59795" spans="7:16" s="1634" customFormat="1">
      <c r="G59795" s="3336"/>
      <c r="P59795" s="3337"/>
    </row>
    <row r="59796" spans="7:16" s="1634" customFormat="1">
      <c r="G59796" s="3336"/>
      <c r="P59796" s="3337"/>
    </row>
    <row r="59797" spans="7:16" s="1634" customFormat="1">
      <c r="G59797" s="3336"/>
      <c r="P59797" s="3337"/>
    </row>
    <row r="59798" spans="7:16" s="1634" customFormat="1">
      <c r="G59798" s="3336"/>
      <c r="P59798" s="3337"/>
    </row>
    <row r="59799" spans="7:16" s="1634" customFormat="1">
      <c r="G59799" s="3336"/>
      <c r="P59799" s="3337"/>
    </row>
    <row r="59800" spans="7:16" s="1634" customFormat="1">
      <c r="G59800" s="3336"/>
      <c r="P59800" s="3337"/>
    </row>
    <row r="59801" spans="7:16" s="1634" customFormat="1">
      <c r="G59801" s="3336"/>
      <c r="P59801" s="3337"/>
    </row>
    <row r="59802" spans="7:16" s="1634" customFormat="1">
      <c r="G59802" s="3336"/>
      <c r="P59802" s="3337"/>
    </row>
    <row r="59803" spans="7:16" s="1634" customFormat="1">
      <c r="G59803" s="3336"/>
      <c r="P59803" s="3337"/>
    </row>
    <row r="59804" spans="7:16" s="1634" customFormat="1">
      <c r="G59804" s="3336"/>
      <c r="P59804" s="3337"/>
    </row>
    <row r="59805" spans="7:16" s="1634" customFormat="1">
      <c r="G59805" s="3336"/>
      <c r="P59805" s="3337"/>
    </row>
    <row r="59806" spans="7:16" s="1634" customFormat="1">
      <c r="G59806" s="3336"/>
      <c r="P59806" s="3337"/>
    </row>
    <row r="59807" spans="7:16" s="1634" customFormat="1">
      <c r="G59807" s="3336"/>
      <c r="P59807" s="3337"/>
    </row>
    <row r="59808" spans="7:16" s="1634" customFormat="1">
      <c r="G59808" s="3336"/>
      <c r="P59808" s="3337"/>
    </row>
    <row r="59809" spans="7:16" s="1634" customFormat="1">
      <c r="G59809" s="3336"/>
      <c r="P59809" s="3337"/>
    </row>
    <row r="59810" spans="7:16" s="1634" customFormat="1">
      <c r="G59810" s="3336"/>
      <c r="P59810" s="3337"/>
    </row>
    <row r="59811" spans="7:16" s="1634" customFormat="1">
      <c r="G59811" s="3336"/>
      <c r="P59811" s="3337"/>
    </row>
    <row r="59812" spans="7:16" s="1634" customFormat="1">
      <c r="G59812" s="3336"/>
      <c r="P59812" s="3337"/>
    </row>
    <row r="59813" spans="7:16" s="1634" customFormat="1">
      <c r="G59813" s="3336"/>
      <c r="P59813" s="3337"/>
    </row>
    <row r="59814" spans="7:16" s="1634" customFormat="1">
      <c r="G59814" s="3336"/>
      <c r="P59814" s="3337"/>
    </row>
    <row r="59815" spans="7:16" s="1634" customFormat="1">
      <c r="G59815" s="3336"/>
      <c r="P59815" s="3337"/>
    </row>
    <row r="59816" spans="7:16" s="1634" customFormat="1">
      <c r="G59816" s="3336"/>
      <c r="P59816" s="3337"/>
    </row>
    <row r="59817" spans="7:16" s="1634" customFormat="1">
      <c r="G59817" s="3336"/>
      <c r="P59817" s="3337"/>
    </row>
    <row r="59818" spans="7:16" s="1634" customFormat="1">
      <c r="G59818" s="3336"/>
      <c r="P59818" s="3337"/>
    </row>
    <row r="59819" spans="7:16" s="1634" customFormat="1">
      <c r="G59819" s="3336"/>
      <c r="P59819" s="3337"/>
    </row>
    <row r="59820" spans="7:16" s="1634" customFormat="1">
      <c r="G59820" s="3336"/>
      <c r="P59820" s="3337"/>
    </row>
    <row r="59821" spans="7:16" s="1634" customFormat="1">
      <c r="G59821" s="3336"/>
      <c r="P59821" s="3337"/>
    </row>
    <row r="59822" spans="7:16" s="1634" customFormat="1">
      <c r="G59822" s="3336"/>
      <c r="P59822" s="3337"/>
    </row>
    <row r="59823" spans="7:16" s="1634" customFormat="1">
      <c r="G59823" s="3336"/>
      <c r="P59823" s="3337"/>
    </row>
    <row r="59824" spans="7:16" s="1634" customFormat="1">
      <c r="G59824" s="3336"/>
      <c r="P59824" s="3337"/>
    </row>
    <row r="59825" spans="7:16" s="1634" customFormat="1">
      <c r="G59825" s="3336"/>
      <c r="P59825" s="3337"/>
    </row>
    <row r="59826" spans="7:16" s="1634" customFormat="1">
      <c r="G59826" s="3336"/>
      <c r="P59826" s="3337"/>
    </row>
    <row r="59827" spans="7:16" s="1634" customFormat="1">
      <c r="G59827" s="3336"/>
      <c r="P59827" s="3337"/>
    </row>
    <row r="59828" spans="7:16" s="1634" customFormat="1">
      <c r="G59828" s="3336"/>
      <c r="P59828" s="3337"/>
    </row>
    <row r="59829" spans="7:16" s="1634" customFormat="1">
      <c r="G59829" s="3336"/>
      <c r="P59829" s="3337"/>
    </row>
    <row r="59830" spans="7:16" s="1634" customFormat="1">
      <c r="G59830" s="3336"/>
      <c r="P59830" s="3337"/>
    </row>
    <row r="59831" spans="7:16" s="1634" customFormat="1">
      <c r="G59831" s="3336"/>
      <c r="P59831" s="3337"/>
    </row>
    <row r="59832" spans="7:16" s="1634" customFormat="1">
      <c r="G59832" s="3336"/>
      <c r="P59832" s="3337"/>
    </row>
    <row r="59833" spans="7:16" s="1634" customFormat="1">
      <c r="G59833" s="3336"/>
      <c r="P59833" s="3337"/>
    </row>
    <row r="59834" spans="7:16" s="1634" customFormat="1">
      <c r="G59834" s="3336"/>
      <c r="P59834" s="3337"/>
    </row>
    <row r="59835" spans="7:16" s="1634" customFormat="1">
      <c r="G59835" s="3336"/>
      <c r="P59835" s="3337"/>
    </row>
    <row r="59836" spans="7:16" s="1634" customFormat="1">
      <c r="G59836" s="3336"/>
      <c r="P59836" s="3337"/>
    </row>
    <row r="59837" spans="7:16" s="1634" customFormat="1">
      <c r="G59837" s="3336"/>
      <c r="P59837" s="3337"/>
    </row>
    <row r="59838" spans="7:16" s="1634" customFormat="1">
      <c r="G59838" s="3336"/>
      <c r="P59838" s="3337"/>
    </row>
    <row r="59839" spans="7:16" s="1634" customFormat="1">
      <c r="G59839" s="3336"/>
      <c r="P59839" s="3337"/>
    </row>
    <row r="59840" spans="7:16" s="1634" customFormat="1">
      <c r="G59840" s="3336"/>
      <c r="P59840" s="3337"/>
    </row>
    <row r="59841" spans="7:16" s="1634" customFormat="1">
      <c r="G59841" s="3336"/>
      <c r="P59841" s="3337"/>
    </row>
    <row r="59842" spans="7:16" s="1634" customFormat="1">
      <c r="G59842" s="3336"/>
      <c r="P59842" s="3337"/>
    </row>
    <row r="59843" spans="7:16" s="1634" customFormat="1">
      <c r="G59843" s="3336"/>
      <c r="P59843" s="3337"/>
    </row>
    <row r="59844" spans="7:16" s="1634" customFormat="1">
      <c r="G59844" s="3336"/>
      <c r="P59844" s="3337"/>
    </row>
    <row r="59845" spans="7:16" s="1634" customFormat="1">
      <c r="G59845" s="3336"/>
      <c r="P59845" s="3337"/>
    </row>
    <row r="59846" spans="7:16" s="1634" customFormat="1">
      <c r="G59846" s="3336"/>
      <c r="P59846" s="3337"/>
    </row>
    <row r="59847" spans="7:16" s="1634" customFormat="1">
      <c r="G59847" s="3336"/>
      <c r="P59847" s="3337"/>
    </row>
    <row r="59848" spans="7:16" s="1634" customFormat="1">
      <c r="G59848" s="3336"/>
      <c r="P59848" s="3337"/>
    </row>
    <row r="59849" spans="7:16" s="1634" customFormat="1">
      <c r="G59849" s="3336"/>
      <c r="P59849" s="3337"/>
    </row>
    <row r="59850" spans="7:16" s="1634" customFormat="1">
      <c r="G59850" s="3336"/>
      <c r="P59850" s="3337"/>
    </row>
    <row r="59851" spans="7:16" s="1634" customFormat="1">
      <c r="G59851" s="3336"/>
      <c r="P59851" s="3337"/>
    </row>
    <row r="59852" spans="7:16" s="1634" customFormat="1">
      <c r="G59852" s="3336"/>
      <c r="P59852" s="3337"/>
    </row>
    <row r="59853" spans="7:16" s="1634" customFormat="1">
      <c r="G59853" s="3336"/>
      <c r="P59853" s="3337"/>
    </row>
    <row r="59854" spans="7:16" s="1634" customFormat="1">
      <c r="G59854" s="3336"/>
      <c r="P59854" s="3337"/>
    </row>
    <row r="59855" spans="7:16" s="1634" customFormat="1">
      <c r="G59855" s="3336"/>
      <c r="P59855" s="3337"/>
    </row>
    <row r="59856" spans="7:16" s="1634" customFormat="1">
      <c r="G59856" s="3336"/>
      <c r="P59856" s="3337"/>
    </row>
    <row r="59857" spans="7:16" s="1634" customFormat="1">
      <c r="G59857" s="3336"/>
      <c r="P59857" s="3337"/>
    </row>
    <row r="59858" spans="7:16" s="1634" customFormat="1">
      <c r="G59858" s="3336"/>
      <c r="P59858" s="3337"/>
    </row>
    <row r="59859" spans="7:16" s="1634" customFormat="1">
      <c r="G59859" s="3336"/>
      <c r="P59859" s="3337"/>
    </row>
    <row r="59860" spans="7:16" s="1634" customFormat="1">
      <c r="G59860" s="3336"/>
      <c r="P59860" s="3337"/>
    </row>
    <row r="59861" spans="7:16" s="1634" customFormat="1">
      <c r="G59861" s="3336"/>
      <c r="P59861" s="3337"/>
    </row>
    <row r="59862" spans="7:16" s="1634" customFormat="1">
      <c r="G59862" s="3336"/>
      <c r="P59862" s="3337"/>
    </row>
    <row r="59863" spans="7:16" s="1634" customFormat="1">
      <c r="G59863" s="3336"/>
      <c r="P59863" s="3337"/>
    </row>
    <row r="59864" spans="7:16" s="1634" customFormat="1">
      <c r="G59864" s="3336"/>
      <c r="P59864" s="3337"/>
    </row>
    <row r="59865" spans="7:16" s="1634" customFormat="1">
      <c r="G59865" s="3336"/>
      <c r="P59865" s="3337"/>
    </row>
    <row r="59866" spans="7:16" s="1634" customFormat="1">
      <c r="G59866" s="3336"/>
      <c r="P59866" s="3337"/>
    </row>
    <row r="59867" spans="7:16" s="1634" customFormat="1">
      <c r="G59867" s="3336"/>
      <c r="P59867" s="3337"/>
    </row>
    <row r="59868" spans="7:16" s="1634" customFormat="1">
      <c r="G59868" s="3336"/>
      <c r="P59868" s="3337"/>
    </row>
    <row r="59869" spans="7:16" s="1634" customFormat="1">
      <c r="G59869" s="3336"/>
      <c r="P59869" s="3337"/>
    </row>
    <row r="59870" spans="7:16" s="1634" customFormat="1">
      <c r="G59870" s="3336"/>
      <c r="P59870" s="3337"/>
    </row>
    <row r="59871" spans="7:16" s="1634" customFormat="1">
      <c r="G59871" s="3336"/>
      <c r="P59871" s="3337"/>
    </row>
    <row r="59872" spans="7:16" s="1634" customFormat="1">
      <c r="G59872" s="3336"/>
      <c r="P59872" s="3337"/>
    </row>
    <row r="59873" spans="7:16" s="1634" customFormat="1">
      <c r="G59873" s="3336"/>
      <c r="P59873" s="3337"/>
    </row>
    <row r="59874" spans="7:16" s="1634" customFormat="1">
      <c r="G59874" s="3336"/>
      <c r="P59874" s="3337"/>
    </row>
    <row r="59875" spans="7:16" s="1634" customFormat="1">
      <c r="G59875" s="3336"/>
      <c r="P59875" s="3337"/>
    </row>
    <row r="59876" spans="7:16" s="1634" customFormat="1">
      <c r="G59876" s="3336"/>
      <c r="P59876" s="3337"/>
    </row>
    <row r="59877" spans="7:16" s="1634" customFormat="1">
      <c r="G59877" s="3336"/>
      <c r="P59877" s="3337"/>
    </row>
    <row r="59878" spans="7:16" s="1634" customFormat="1">
      <c r="G59878" s="3336"/>
      <c r="P59878" s="3337"/>
    </row>
    <row r="59879" spans="7:16" s="1634" customFormat="1">
      <c r="G59879" s="3336"/>
      <c r="P59879" s="3337"/>
    </row>
    <row r="59880" spans="7:16" s="1634" customFormat="1">
      <c r="G59880" s="3336"/>
      <c r="P59880" s="3337"/>
    </row>
    <row r="59881" spans="7:16" s="1634" customFormat="1">
      <c r="G59881" s="3336"/>
      <c r="P59881" s="3337"/>
    </row>
    <row r="59882" spans="7:16" s="1634" customFormat="1">
      <c r="G59882" s="3336"/>
      <c r="P59882" s="3337"/>
    </row>
    <row r="59883" spans="7:16" s="1634" customFormat="1">
      <c r="G59883" s="3336"/>
      <c r="P59883" s="3337"/>
    </row>
    <row r="59884" spans="7:16" s="1634" customFormat="1">
      <c r="G59884" s="3336"/>
      <c r="P59884" s="3337"/>
    </row>
    <row r="59885" spans="7:16" s="1634" customFormat="1">
      <c r="G59885" s="3336"/>
      <c r="P59885" s="3337"/>
    </row>
    <row r="59886" spans="7:16" s="1634" customFormat="1">
      <c r="G59886" s="3336"/>
      <c r="P59886" s="3337"/>
    </row>
    <row r="59887" spans="7:16" s="1634" customFormat="1">
      <c r="G59887" s="3336"/>
      <c r="P59887" s="3337"/>
    </row>
    <row r="59888" spans="7:16" s="1634" customFormat="1">
      <c r="G59888" s="3336"/>
      <c r="P59888" s="3337"/>
    </row>
    <row r="59889" spans="7:16" s="1634" customFormat="1">
      <c r="G59889" s="3336"/>
      <c r="P59889" s="3337"/>
    </row>
    <row r="59890" spans="7:16" s="1634" customFormat="1">
      <c r="G59890" s="3336"/>
      <c r="P59890" s="3337"/>
    </row>
    <row r="59891" spans="7:16" s="1634" customFormat="1">
      <c r="G59891" s="3336"/>
      <c r="P59891" s="3337"/>
    </row>
    <row r="59892" spans="7:16" s="1634" customFormat="1">
      <c r="G59892" s="3336"/>
      <c r="P59892" s="3337"/>
    </row>
    <row r="59893" spans="7:16" s="1634" customFormat="1">
      <c r="G59893" s="3336"/>
      <c r="P59893" s="3337"/>
    </row>
    <row r="59894" spans="7:16" s="1634" customFormat="1">
      <c r="G59894" s="3336"/>
      <c r="P59894" s="3337"/>
    </row>
    <row r="59895" spans="7:16" s="1634" customFormat="1">
      <c r="G59895" s="3336"/>
      <c r="P59895" s="3337"/>
    </row>
    <row r="59896" spans="7:16" s="1634" customFormat="1">
      <c r="G59896" s="3336"/>
      <c r="P59896" s="3337"/>
    </row>
    <row r="59897" spans="7:16" s="1634" customFormat="1">
      <c r="G59897" s="3336"/>
      <c r="P59897" s="3337"/>
    </row>
    <row r="59898" spans="7:16" s="1634" customFormat="1">
      <c r="G59898" s="3336"/>
      <c r="P59898" s="3337"/>
    </row>
    <row r="59899" spans="7:16" s="1634" customFormat="1">
      <c r="G59899" s="3336"/>
      <c r="P59899" s="3337"/>
    </row>
    <row r="59900" spans="7:16" s="1634" customFormat="1">
      <c r="G59900" s="3336"/>
      <c r="P59900" s="3337"/>
    </row>
    <row r="59901" spans="7:16" s="1634" customFormat="1">
      <c r="G59901" s="3336"/>
      <c r="P59901" s="3337"/>
    </row>
    <row r="59902" spans="7:16" s="1634" customFormat="1">
      <c r="G59902" s="3336"/>
      <c r="P59902" s="3337"/>
    </row>
    <row r="59903" spans="7:16" s="1634" customFormat="1">
      <c r="G59903" s="3336"/>
      <c r="P59903" s="3337"/>
    </row>
    <row r="59904" spans="7:16" s="1634" customFormat="1">
      <c r="G59904" s="3336"/>
      <c r="P59904" s="3337"/>
    </row>
    <row r="59905" spans="7:16" s="1634" customFormat="1">
      <c r="G59905" s="3336"/>
      <c r="P59905" s="3337"/>
    </row>
    <row r="59906" spans="7:16" s="1634" customFormat="1">
      <c r="G59906" s="3336"/>
      <c r="P59906" s="3337"/>
    </row>
    <row r="59907" spans="7:16" s="1634" customFormat="1">
      <c r="G59907" s="3336"/>
      <c r="P59907" s="3337"/>
    </row>
    <row r="59908" spans="7:16" s="1634" customFormat="1">
      <c r="G59908" s="3336"/>
      <c r="P59908" s="3337"/>
    </row>
    <row r="59909" spans="7:16" s="1634" customFormat="1">
      <c r="G59909" s="3336"/>
      <c r="P59909" s="3337"/>
    </row>
    <row r="59910" spans="7:16" s="1634" customFormat="1">
      <c r="G59910" s="3336"/>
      <c r="P59910" s="3337"/>
    </row>
    <row r="59911" spans="7:16" s="1634" customFormat="1">
      <c r="G59911" s="3336"/>
      <c r="P59911" s="3337"/>
    </row>
    <row r="59912" spans="7:16" s="1634" customFormat="1">
      <c r="G59912" s="3336"/>
      <c r="P59912" s="3337"/>
    </row>
    <row r="59913" spans="7:16" s="1634" customFormat="1">
      <c r="G59913" s="3336"/>
      <c r="P59913" s="3337"/>
    </row>
    <row r="59914" spans="7:16" s="1634" customFormat="1">
      <c r="G59914" s="3336"/>
      <c r="P59914" s="3337"/>
    </row>
    <row r="59915" spans="7:16" s="1634" customFormat="1">
      <c r="G59915" s="3336"/>
      <c r="P59915" s="3337"/>
    </row>
    <row r="59916" spans="7:16" s="1634" customFormat="1">
      <c r="G59916" s="3336"/>
      <c r="P59916" s="3337"/>
    </row>
    <row r="59917" spans="7:16" s="1634" customFormat="1">
      <c r="G59917" s="3336"/>
      <c r="P59917" s="3337"/>
    </row>
    <row r="59918" spans="7:16" s="1634" customFormat="1">
      <c r="G59918" s="3336"/>
      <c r="P59918" s="3337"/>
    </row>
    <row r="59919" spans="7:16" s="1634" customFormat="1">
      <c r="G59919" s="3336"/>
      <c r="P59919" s="3337"/>
    </row>
    <row r="59920" spans="7:16" s="1634" customFormat="1">
      <c r="G59920" s="3336"/>
      <c r="P59920" s="3337"/>
    </row>
    <row r="59921" spans="7:16" s="1634" customFormat="1">
      <c r="G59921" s="3336"/>
      <c r="P59921" s="3337"/>
    </row>
    <row r="59922" spans="7:16" s="1634" customFormat="1">
      <c r="G59922" s="3336"/>
      <c r="P59922" s="3337"/>
    </row>
    <row r="59923" spans="7:16" s="1634" customFormat="1">
      <c r="G59923" s="3336"/>
      <c r="P59923" s="3337"/>
    </row>
    <row r="59924" spans="7:16" s="1634" customFormat="1">
      <c r="G59924" s="3336"/>
      <c r="P59924" s="3337"/>
    </row>
    <row r="59925" spans="7:16" s="1634" customFormat="1">
      <c r="G59925" s="3336"/>
      <c r="P59925" s="3337"/>
    </row>
    <row r="59926" spans="7:16" s="1634" customFormat="1">
      <c r="G59926" s="3336"/>
      <c r="P59926" s="3337"/>
    </row>
    <row r="59927" spans="7:16" s="1634" customFormat="1">
      <c r="G59927" s="3336"/>
      <c r="P59927" s="3337"/>
    </row>
    <row r="59928" spans="7:16" s="1634" customFormat="1">
      <c r="G59928" s="3336"/>
      <c r="P59928" s="3337"/>
    </row>
    <row r="59929" spans="7:16" s="1634" customFormat="1">
      <c r="G59929" s="3336"/>
      <c r="P59929" s="3337"/>
    </row>
    <row r="59930" spans="7:16" s="1634" customFormat="1">
      <c r="G59930" s="3336"/>
      <c r="P59930" s="3337"/>
    </row>
    <row r="59931" spans="7:16" s="1634" customFormat="1">
      <c r="G59931" s="3336"/>
      <c r="P59931" s="3337"/>
    </row>
    <row r="59932" spans="7:16" s="1634" customFormat="1">
      <c r="G59932" s="3336"/>
      <c r="P59932" s="3337"/>
    </row>
    <row r="59933" spans="7:16" s="1634" customFormat="1">
      <c r="G59933" s="3336"/>
      <c r="P59933" s="3337"/>
    </row>
    <row r="59934" spans="7:16" s="1634" customFormat="1">
      <c r="G59934" s="3336"/>
      <c r="P59934" s="3337"/>
    </row>
    <row r="59935" spans="7:16" s="1634" customFormat="1">
      <c r="G59935" s="3336"/>
      <c r="P59935" s="3337"/>
    </row>
    <row r="59936" spans="7:16" s="1634" customFormat="1">
      <c r="G59936" s="3336"/>
      <c r="P59936" s="3337"/>
    </row>
    <row r="59937" spans="7:16" s="1634" customFormat="1">
      <c r="G59937" s="3336"/>
      <c r="P59937" s="3337"/>
    </row>
    <row r="59938" spans="7:16" s="1634" customFormat="1">
      <c r="G59938" s="3336"/>
      <c r="P59938" s="3337"/>
    </row>
    <row r="59939" spans="7:16" s="1634" customFormat="1">
      <c r="G59939" s="3336"/>
      <c r="P59939" s="3337"/>
    </row>
    <row r="59940" spans="7:16" s="1634" customFormat="1">
      <c r="G59940" s="3336"/>
      <c r="P59940" s="3337"/>
    </row>
    <row r="59941" spans="7:16" s="1634" customFormat="1">
      <c r="G59941" s="3336"/>
      <c r="P59941" s="3337"/>
    </row>
    <row r="59942" spans="7:16" s="1634" customFormat="1">
      <c r="G59942" s="3336"/>
      <c r="P59942" s="3337"/>
    </row>
    <row r="59943" spans="7:16" s="1634" customFormat="1">
      <c r="G59943" s="3336"/>
      <c r="P59943" s="3337"/>
    </row>
    <row r="59944" spans="7:16" s="1634" customFormat="1">
      <c r="G59944" s="3336"/>
      <c r="P59944" s="3337"/>
    </row>
    <row r="59945" spans="7:16" s="1634" customFormat="1">
      <c r="G59945" s="3336"/>
      <c r="P59945" s="3337"/>
    </row>
    <row r="59946" spans="7:16" s="1634" customFormat="1">
      <c r="G59946" s="3336"/>
      <c r="P59946" s="3337"/>
    </row>
    <row r="59947" spans="7:16" s="1634" customFormat="1">
      <c r="G59947" s="3336"/>
      <c r="P59947" s="3337"/>
    </row>
    <row r="59948" spans="7:16" s="1634" customFormat="1">
      <c r="G59948" s="3336"/>
      <c r="P59948" s="3337"/>
    </row>
    <row r="59949" spans="7:16" s="1634" customFormat="1">
      <c r="G59949" s="3336"/>
      <c r="P59949" s="3337"/>
    </row>
    <row r="59950" spans="7:16" s="1634" customFormat="1">
      <c r="G59950" s="3336"/>
      <c r="P59950" s="3337"/>
    </row>
    <row r="59951" spans="7:16" s="1634" customFormat="1">
      <c r="G59951" s="3336"/>
      <c r="P59951" s="3337"/>
    </row>
    <row r="59952" spans="7:16" s="1634" customFormat="1">
      <c r="G59952" s="3336"/>
      <c r="P59952" s="3337"/>
    </row>
    <row r="59953" spans="7:16" s="1634" customFormat="1">
      <c r="G59953" s="3336"/>
      <c r="P59953" s="3337"/>
    </row>
    <row r="59954" spans="7:16" s="1634" customFormat="1">
      <c r="G59954" s="3336"/>
      <c r="P59954" s="3337"/>
    </row>
    <row r="59955" spans="7:16" s="1634" customFormat="1">
      <c r="G59955" s="3336"/>
      <c r="P59955" s="3337"/>
    </row>
    <row r="59956" spans="7:16" s="1634" customFormat="1">
      <c r="G59956" s="3336"/>
      <c r="P59956" s="3337"/>
    </row>
    <row r="59957" spans="7:16" s="1634" customFormat="1">
      <c r="G59957" s="3336"/>
      <c r="P59957" s="3337"/>
    </row>
    <row r="59958" spans="7:16" s="1634" customFormat="1">
      <c r="G59958" s="3336"/>
      <c r="P59958" s="3337"/>
    </row>
    <row r="59959" spans="7:16" s="1634" customFormat="1">
      <c r="G59959" s="3336"/>
      <c r="P59959" s="3337"/>
    </row>
    <row r="59960" spans="7:16" s="1634" customFormat="1">
      <c r="G59960" s="3336"/>
      <c r="P59960" s="3337"/>
    </row>
    <row r="59961" spans="7:16" s="1634" customFormat="1">
      <c r="G59961" s="3336"/>
      <c r="P59961" s="3337"/>
    </row>
    <row r="59962" spans="7:16" s="1634" customFormat="1">
      <c r="G59962" s="3336"/>
      <c r="P59962" s="3337"/>
    </row>
    <row r="59963" spans="7:16" s="1634" customFormat="1">
      <c r="G59963" s="3336"/>
      <c r="P59963" s="3337"/>
    </row>
    <row r="59964" spans="7:16" s="1634" customFormat="1">
      <c r="G59964" s="3336"/>
      <c r="P59964" s="3337"/>
    </row>
    <row r="59965" spans="7:16" s="1634" customFormat="1">
      <c r="G59965" s="3336"/>
      <c r="P59965" s="3337"/>
    </row>
    <row r="59966" spans="7:16" s="1634" customFormat="1">
      <c r="G59966" s="3336"/>
      <c r="P59966" s="3337"/>
    </row>
    <row r="59967" spans="7:16" s="1634" customFormat="1">
      <c r="G59967" s="3336"/>
      <c r="P59967" s="3337"/>
    </row>
    <row r="59968" spans="7:16" s="1634" customFormat="1">
      <c r="G59968" s="3336"/>
      <c r="P59968" s="3337"/>
    </row>
    <row r="59969" spans="7:16" s="1634" customFormat="1">
      <c r="G59969" s="3336"/>
      <c r="P59969" s="3337"/>
    </row>
    <row r="59970" spans="7:16" s="1634" customFormat="1">
      <c r="G59970" s="3336"/>
      <c r="P59970" s="3337"/>
    </row>
    <row r="59971" spans="7:16" s="1634" customFormat="1">
      <c r="G59971" s="3336"/>
      <c r="P59971" s="3337"/>
    </row>
    <row r="59972" spans="7:16" s="1634" customFormat="1">
      <c r="G59972" s="3336"/>
      <c r="P59972" s="3337"/>
    </row>
    <row r="59973" spans="7:16" s="1634" customFormat="1">
      <c r="G59973" s="3336"/>
      <c r="P59973" s="3337"/>
    </row>
    <row r="59974" spans="7:16" s="1634" customFormat="1">
      <c r="G59974" s="3336"/>
      <c r="P59974" s="3337"/>
    </row>
    <row r="59975" spans="7:16" s="1634" customFormat="1">
      <c r="G59975" s="3336"/>
      <c r="P59975" s="3337"/>
    </row>
    <row r="59976" spans="7:16" s="1634" customFormat="1">
      <c r="G59976" s="3336"/>
      <c r="P59976" s="3337"/>
    </row>
    <row r="59977" spans="7:16" s="1634" customFormat="1">
      <c r="G59977" s="3336"/>
      <c r="P59977" s="3337"/>
    </row>
    <row r="59978" spans="7:16" s="1634" customFormat="1">
      <c r="G59978" s="3336"/>
      <c r="P59978" s="3337"/>
    </row>
    <row r="59979" spans="7:16" s="1634" customFormat="1">
      <c r="G59979" s="3336"/>
      <c r="P59979" s="3337"/>
    </row>
    <row r="59980" spans="7:16" s="1634" customFormat="1">
      <c r="G59980" s="3336"/>
      <c r="P59980" s="3337"/>
    </row>
    <row r="59981" spans="7:16" s="1634" customFormat="1">
      <c r="G59981" s="3336"/>
      <c r="P59981" s="3337"/>
    </row>
    <row r="59982" spans="7:16" s="1634" customFormat="1">
      <c r="G59982" s="3336"/>
      <c r="P59982" s="3337"/>
    </row>
    <row r="59983" spans="7:16" s="1634" customFormat="1">
      <c r="G59983" s="3336"/>
      <c r="P59983" s="3337"/>
    </row>
    <row r="59984" spans="7:16" s="1634" customFormat="1">
      <c r="G59984" s="3336"/>
      <c r="P59984" s="3337"/>
    </row>
    <row r="59985" spans="7:16" s="1634" customFormat="1">
      <c r="G59985" s="3336"/>
      <c r="P59985" s="3337"/>
    </row>
    <row r="59986" spans="7:16" s="1634" customFormat="1">
      <c r="G59986" s="3336"/>
      <c r="P59986" s="3337"/>
    </row>
    <row r="59987" spans="7:16" s="1634" customFormat="1">
      <c r="G59987" s="3336"/>
      <c r="P59987" s="3337"/>
    </row>
    <row r="59988" spans="7:16" s="1634" customFormat="1">
      <c r="G59988" s="3336"/>
      <c r="P59988" s="3337"/>
    </row>
    <row r="59989" spans="7:16" s="1634" customFormat="1">
      <c r="G59989" s="3336"/>
      <c r="P59989" s="3337"/>
    </row>
    <row r="59990" spans="7:16" s="1634" customFormat="1">
      <c r="G59990" s="3336"/>
      <c r="P59990" s="3337"/>
    </row>
    <row r="59991" spans="7:16" s="1634" customFormat="1">
      <c r="G59991" s="3336"/>
      <c r="P59991" s="3337"/>
    </row>
    <row r="59992" spans="7:16" s="1634" customFormat="1">
      <c r="G59992" s="3336"/>
      <c r="P59992" s="3337"/>
    </row>
    <row r="59993" spans="7:16" s="1634" customFormat="1">
      <c r="G59993" s="3336"/>
      <c r="P59993" s="3337"/>
    </row>
    <row r="59994" spans="7:16" s="1634" customFormat="1">
      <c r="G59994" s="3336"/>
      <c r="P59994" s="3337"/>
    </row>
    <row r="59995" spans="7:16" s="1634" customFormat="1">
      <c r="G59995" s="3336"/>
      <c r="P59995" s="3337"/>
    </row>
    <row r="59996" spans="7:16" s="1634" customFormat="1">
      <c r="G59996" s="3336"/>
      <c r="P59996" s="3337"/>
    </row>
    <row r="59997" spans="7:16" s="1634" customFormat="1">
      <c r="G59997" s="3336"/>
      <c r="P59997" s="3337"/>
    </row>
    <row r="59998" spans="7:16" s="1634" customFormat="1">
      <c r="G59998" s="3336"/>
      <c r="P59998" s="3337"/>
    </row>
    <row r="59999" spans="7:16" s="1634" customFormat="1">
      <c r="G59999" s="3336"/>
      <c r="P59999" s="3337"/>
    </row>
    <row r="60000" spans="7:16" s="1634" customFormat="1">
      <c r="G60000" s="3336"/>
      <c r="P60000" s="3337"/>
    </row>
    <row r="60001" spans="7:16" s="1634" customFormat="1">
      <c r="G60001" s="3336"/>
      <c r="P60001" s="3337"/>
    </row>
    <row r="60002" spans="7:16" s="1634" customFormat="1">
      <c r="G60002" s="3336"/>
      <c r="P60002" s="3337"/>
    </row>
    <row r="60003" spans="7:16" s="1634" customFormat="1">
      <c r="G60003" s="3336"/>
      <c r="P60003" s="3337"/>
    </row>
    <row r="60004" spans="7:16" s="1634" customFormat="1">
      <c r="G60004" s="3336"/>
      <c r="P60004" s="3337"/>
    </row>
    <row r="60005" spans="7:16" s="1634" customFormat="1">
      <c r="G60005" s="3336"/>
      <c r="P60005" s="3337"/>
    </row>
    <row r="60006" spans="7:16" s="1634" customFormat="1">
      <c r="G60006" s="3336"/>
      <c r="P60006" s="3337"/>
    </row>
    <row r="60007" spans="7:16" s="1634" customFormat="1">
      <c r="G60007" s="3336"/>
      <c r="P60007" s="3337"/>
    </row>
    <row r="60008" spans="7:16" s="1634" customFormat="1">
      <c r="G60008" s="3336"/>
      <c r="P60008" s="3337"/>
    </row>
    <row r="60009" spans="7:16" s="1634" customFormat="1">
      <c r="G60009" s="3336"/>
      <c r="P60009" s="3337"/>
    </row>
    <row r="60010" spans="7:16" s="1634" customFormat="1">
      <c r="G60010" s="3336"/>
      <c r="P60010" s="3337"/>
    </row>
    <row r="60011" spans="7:16" s="1634" customFormat="1">
      <c r="G60011" s="3336"/>
      <c r="P60011" s="3337"/>
    </row>
    <row r="60012" spans="7:16" s="1634" customFormat="1">
      <c r="G60012" s="3336"/>
      <c r="P60012" s="3337"/>
    </row>
    <row r="60013" spans="7:16" s="1634" customFormat="1">
      <c r="G60013" s="3336"/>
      <c r="P60013" s="3337"/>
    </row>
    <row r="60014" spans="7:16" s="1634" customFormat="1">
      <c r="G60014" s="3336"/>
      <c r="P60014" s="3337"/>
    </row>
    <row r="60015" spans="7:16" s="1634" customFormat="1">
      <c r="G60015" s="3336"/>
      <c r="P60015" s="3337"/>
    </row>
    <row r="60016" spans="7:16" s="1634" customFormat="1">
      <c r="G60016" s="3336"/>
      <c r="P60016" s="3337"/>
    </row>
    <row r="60017" spans="7:16" s="1634" customFormat="1">
      <c r="G60017" s="3336"/>
      <c r="P60017" s="3337"/>
    </row>
    <row r="60018" spans="7:16" s="1634" customFormat="1">
      <c r="G60018" s="3336"/>
      <c r="P60018" s="3337"/>
    </row>
    <row r="60019" spans="7:16" s="1634" customFormat="1">
      <c r="G60019" s="3336"/>
      <c r="P60019" s="3337"/>
    </row>
    <row r="60020" spans="7:16" s="1634" customFormat="1">
      <c r="G60020" s="3336"/>
      <c r="P60020" s="3337"/>
    </row>
    <row r="60021" spans="7:16" s="1634" customFormat="1">
      <c r="G60021" s="3336"/>
      <c r="P60021" s="3337"/>
    </row>
    <row r="60022" spans="7:16" s="1634" customFormat="1">
      <c r="G60022" s="3336"/>
      <c r="P60022" s="3337"/>
    </row>
    <row r="60023" spans="7:16" s="1634" customFormat="1">
      <c r="G60023" s="3336"/>
      <c r="P60023" s="3337"/>
    </row>
    <row r="60024" spans="7:16" s="1634" customFormat="1">
      <c r="G60024" s="3336"/>
      <c r="P60024" s="3337"/>
    </row>
    <row r="60025" spans="7:16" s="1634" customFormat="1">
      <c r="G60025" s="3336"/>
      <c r="P60025" s="3337"/>
    </row>
    <row r="60026" spans="7:16" s="1634" customFormat="1">
      <c r="G60026" s="3336"/>
      <c r="P60026" s="3337"/>
    </row>
    <row r="60027" spans="7:16" s="1634" customFormat="1">
      <c r="G60027" s="3336"/>
      <c r="P60027" s="3337"/>
    </row>
    <row r="60028" spans="7:16" s="1634" customFormat="1">
      <c r="G60028" s="3336"/>
      <c r="P60028" s="3337"/>
    </row>
    <row r="60029" spans="7:16" s="1634" customFormat="1">
      <c r="G60029" s="3336"/>
      <c r="P60029" s="3337"/>
    </row>
    <row r="60030" spans="7:16" s="1634" customFormat="1">
      <c r="G60030" s="3336"/>
      <c r="P60030" s="3337"/>
    </row>
    <row r="60031" spans="7:16" s="1634" customFormat="1">
      <c r="G60031" s="3336"/>
      <c r="P60031" s="3337"/>
    </row>
    <row r="60032" spans="7:16" s="1634" customFormat="1">
      <c r="G60032" s="3336"/>
      <c r="P60032" s="3337"/>
    </row>
    <row r="60033" spans="7:16" s="1634" customFormat="1">
      <c r="G60033" s="3336"/>
      <c r="P60033" s="3337"/>
    </row>
    <row r="60034" spans="7:16" s="1634" customFormat="1">
      <c r="G60034" s="3336"/>
      <c r="P60034" s="3337"/>
    </row>
    <row r="60035" spans="7:16" s="1634" customFormat="1">
      <c r="G60035" s="3336"/>
      <c r="P60035" s="3337"/>
    </row>
    <row r="60036" spans="7:16" s="1634" customFormat="1">
      <c r="G60036" s="3336"/>
      <c r="P60036" s="3337"/>
    </row>
    <row r="60037" spans="7:16" s="1634" customFormat="1">
      <c r="G60037" s="3336"/>
      <c r="P60037" s="3337"/>
    </row>
    <row r="60038" spans="7:16" s="1634" customFormat="1">
      <c r="G60038" s="3336"/>
      <c r="P60038" s="3337"/>
    </row>
    <row r="60039" spans="7:16" s="1634" customFormat="1">
      <c r="G60039" s="3336"/>
      <c r="P60039" s="3337"/>
    </row>
    <row r="60040" spans="7:16" s="1634" customFormat="1">
      <c r="G60040" s="3336"/>
      <c r="P60040" s="3337"/>
    </row>
    <row r="60041" spans="7:16" s="1634" customFormat="1">
      <c r="G60041" s="3336"/>
      <c r="P60041" s="3337"/>
    </row>
    <row r="60042" spans="7:16" s="1634" customFormat="1">
      <c r="G60042" s="3336"/>
      <c r="P60042" s="3337"/>
    </row>
    <row r="60043" spans="7:16" s="1634" customFormat="1">
      <c r="G60043" s="3336"/>
      <c r="P60043" s="3337"/>
    </row>
    <row r="60044" spans="7:16" s="1634" customFormat="1">
      <c r="G60044" s="3336"/>
      <c r="P60044" s="3337"/>
    </row>
    <row r="60045" spans="7:16" s="1634" customFormat="1">
      <c r="G60045" s="3336"/>
      <c r="P60045" s="3337"/>
    </row>
    <row r="60046" spans="7:16" s="1634" customFormat="1">
      <c r="G60046" s="3336"/>
      <c r="P60046" s="3337"/>
    </row>
    <row r="60047" spans="7:16" s="1634" customFormat="1">
      <c r="G60047" s="3336"/>
      <c r="P60047" s="3337"/>
    </row>
    <row r="60048" spans="7:16" s="1634" customFormat="1">
      <c r="G60048" s="3336"/>
      <c r="P60048" s="3337"/>
    </row>
    <row r="60049" spans="7:16" s="1634" customFormat="1">
      <c r="G60049" s="3336"/>
      <c r="P60049" s="3337"/>
    </row>
    <row r="60050" spans="7:16" s="1634" customFormat="1">
      <c r="G60050" s="3336"/>
      <c r="P60050" s="3337"/>
    </row>
    <row r="60051" spans="7:16" s="1634" customFormat="1">
      <c r="G60051" s="3336"/>
      <c r="P60051" s="3337"/>
    </row>
    <row r="60052" spans="7:16" s="1634" customFormat="1">
      <c r="G60052" s="3336"/>
      <c r="P60052" s="3337"/>
    </row>
    <row r="60053" spans="7:16" s="1634" customFormat="1">
      <c r="G60053" s="3336"/>
      <c r="P60053" s="3337"/>
    </row>
    <row r="60054" spans="7:16" s="1634" customFormat="1">
      <c r="G60054" s="3336"/>
      <c r="P60054" s="3337"/>
    </row>
    <row r="60055" spans="7:16" s="1634" customFormat="1">
      <c r="G60055" s="3336"/>
      <c r="P60055" s="3337"/>
    </row>
    <row r="60056" spans="7:16" s="1634" customFormat="1">
      <c r="G60056" s="3336"/>
      <c r="P60056" s="3337"/>
    </row>
    <row r="60057" spans="7:16" s="1634" customFormat="1">
      <c r="G60057" s="3336"/>
      <c r="P60057" s="3337"/>
    </row>
    <row r="60058" spans="7:16" s="1634" customFormat="1">
      <c r="G60058" s="3336"/>
      <c r="P60058" s="3337"/>
    </row>
    <row r="60059" spans="7:16" s="1634" customFormat="1">
      <c r="G60059" s="3336"/>
      <c r="P60059" s="3337"/>
    </row>
    <row r="60060" spans="7:16" s="1634" customFormat="1">
      <c r="G60060" s="3336"/>
      <c r="P60060" s="3337"/>
    </row>
    <row r="60061" spans="7:16" s="1634" customFormat="1">
      <c r="G60061" s="3336"/>
      <c r="P60061" s="3337"/>
    </row>
    <row r="60062" spans="7:16" s="1634" customFormat="1">
      <c r="G60062" s="3336"/>
      <c r="P60062" s="3337"/>
    </row>
    <row r="60063" spans="7:16" s="1634" customFormat="1">
      <c r="G60063" s="3336"/>
      <c r="P60063" s="3337"/>
    </row>
    <row r="60064" spans="7:16" s="1634" customFormat="1">
      <c r="G60064" s="3336"/>
      <c r="P60064" s="3337"/>
    </row>
    <row r="60065" spans="7:16" s="1634" customFormat="1">
      <c r="G60065" s="3336"/>
      <c r="P60065" s="3337"/>
    </row>
    <row r="60066" spans="7:16" s="1634" customFormat="1">
      <c r="G60066" s="3336"/>
      <c r="P60066" s="3337"/>
    </row>
    <row r="60067" spans="7:16" s="1634" customFormat="1">
      <c r="G60067" s="3336"/>
      <c r="P60067" s="3337"/>
    </row>
    <row r="60068" spans="7:16" s="1634" customFormat="1">
      <c r="G60068" s="3336"/>
      <c r="P60068" s="3337"/>
    </row>
    <row r="60069" spans="7:16" s="1634" customFormat="1">
      <c r="G60069" s="3336"/>
      <c r="P60069" s="3337"/>
    </row>
    <row r="60070" spans="7:16" s="1634" customFormat="1">
      <c r="G60070" s="3336"/>
      <c r="P60070" s="3337"/>
    </row>
    <row r="60071" spans="7:16" s="1634" customFormat="1">
      <c r="G60071" s="3336"/>
      <c r="P60071" s="3337"/>
    </row>
    <row r="60072" spans="7:16" s="1634" customFormat="1">
      <c r="G60072" s="3336"/>
      <c r="P60072" s="3337"/>
    </row>
    <row r="60073" spans="7:16" s="1634" customFormat="1">
      <c r="G60073" s="3336"/>
      <c r="P60073" s="3337"/>
    </row>
    <row r="60074" spans="7:16" s="1634" customFormat="1">
      <c r="G60074" s="3336"/>
      <c r="P60074" s="3337"/>
    </row>
    <row r="60075" spans="7:16" s="1634" customFormat="1">
      <c r="G60075" s="3336"/>
      <c r="P60075" s="3337"/>
    </row>
    <row r="60076" spans="7:16" s="1634" customFormat="1">
      <c r="G60076" s="3336"/>
      <c r="P60076" s="3337"/>
    </row>
    <row r="60077" spans="7:16" s="1634" customFormat="1">
      <c r="G60077" s="3336"/>
      <c r="P60077" s="3337"/>
    </row>
    <row r="60078" spans="7:16" s="1634" customFormat="1">
      <c r="G60078" s="3336"/>
      <c r="P60078" s="3337"/>
    </row>
    <row r="60079" spans="7:16" s="1634" customFormat="1">
      <c r="G60079" s="3336"/>
      <c r="P60079" s="3337"/>
    </row>
    <row r="60080" spans="7:16" s="1634" customFormat="1">
      <c r="G60080" s="3336"/>
      <c r="P60080" s="3337"/>
    </row>
    <row r="60081" spans="7:16" s="1634" customFormat="1">
      <c r="G60081" s="3336"/>
      <c r="P60081" s="3337"/>
    </row>
    <row r="60082" spans="7:16" s="1634" customFormat="1">
      <c r="G60082" s="3336"/>
      <c r="P60082" s="3337"/>
    </row>
    <row r="60083" spans="7:16" s="1634" customFormat="1">
      <c r="G60083" s="3336"/>
      <c r="P60083" s="3337"/>
    </row>
    <row r="60084" spans="7:16" s="1634" customFormat="1">
      <c r="G60084" s="3336"/>
      <c r="P60084" s="3337"/>
    </row>
    <row r="60085" spans="7:16" s="1634" customFormat="1">
      <c r="G60085" s="3336"/>
      <c r="P60085" s="3337"/>
    </row>
    <row r="60086" spans="7:16" s="1634" customFormat="1">
      <c r="G60086" s="3336"/>
      <c r="P60086" s="3337"/>
    </row>
    <row r="60087" spans="7:16" s="1634" customFormat="1">
      <c r="G60087" s="3336"/>
      <c r="P60087" s="3337"/>
    </row>
    <row r="60088" spans="7:16" s="1634" customFormat="1">
      <c r="G60088" s="3336"/>
      <c r="P60088" s="3337"/>
    </row>
    <row r="60089" spans="7:16" s="1634" customFormat="1">
      <c r="G60089" s="3336"/>
      <c r="P60089" s="3337"/>
    </row>
    <row r="60090" spans="7:16" s="1634" customFormat="1">
      <c r="G60090" s="3336"/>
      <c r="P60090" s="3337"/>
    </row>
    <row r="60091" spans="7:16" s="1634" customFormat="1">
      <c r="G60091" s="3336"/>
      <c r="P60091" s="3337"/>
    </row>
    <row r="60092" spans="7:16" s="1634" customFormat="1">
      <c r="G60092" s="3336"/>
      <c r="P60092" s="3337"/>
    </row>
    <row r="60093" spans="7:16" s="1634" customFormat="1">
      <c r="G60093" s="3336"/>
      <c r="P60093" s="3337"/>
    </row>
    <row r="60094" spans="7:16" s="1634" customFormat="1">
      <c r="G60094" s="3336"/>
      <c r="P60094" s="3337"/>
    </row>
    <row r="60095" spans="7:16" s="1634" customFormat="1">
      <c r="G60095" s="3336"/>
      <c r="P60095" s="3337"/>
    </row>
    <row r="60096" spans="7:16" s="1634" customFormat="1">
      <c r="G60096" s="3336"/>
      <c r="P60096" s="3337"/>
    </row>
    <row r="60097" spans="7:16" s="1634" customFormat="1">
      <c r="G60097" s="3336"/>
      <c r="P60097" s="3337"/>
    </row>
    <row r="60098" spans="7:16" s="1634" customFormat="1">
      <c r="G60098" s="3336"/>
      <c r="P60098" s="3337"/>
    </row>
    <row r="60099" spans="7:16" s="1634" customFormat="1">
      <c r="G60099" s="3336"/>
      <c r="P60099" s="3337"/>
    </row>
    <row r="60100" spans="7:16" s="1634" customFormat="1">
      <c r="G60100" s="3336"/>
      <c r="P60100" s="3337"/>
    </row>
    <row r="60101" spans="7:16" s="1634" customFormat="1">
      <c r="G60101" s="3336"/>
      <c r="P60101" s="3337"/>
    </row>
    <row r="60102" spans="7:16" s="1634" customFormat="1">
      <c r="G60102" s="3336"/>
      <c r="P60102" s="3337"/>
    </row>
    <row r="60103" spans="7:16" s="1634" customFormat="1">
      <c r="G60103" s="3336"/>
      <c r="P60103" s="3337"/>
    </row>
    <row r="60104" spans="7:16" s="1634" customFormat="1">
      <c r="G60104" s="3336"/>
      <c r="P60104" s="3337"/>
    </row>
    <row r="60105" spans="7:16" s="1634" customFormat="1">
      <c r="G60105" s="3336"/>
      <c r="P60105" s="3337"/>
    </row>
    <row r="60106" spans="7:16" s="1634" customFormat="1">
      <c r="G60106" s="3336"/>
      <c r="P60106" s="3337"/>
    </row>
    <row r="60107" spans="7:16" s="1634" customFormat="1">
      <c r="G60107" s="3336"/>
      <c r="P60107" s="3337"/>
    </row>
    <row r="60108" spans="7:16" s="1634" customFormat="1">
      <c r="G60108" s="3336"/>
      <c r="P60108" s="3337"/>
    </row>
    <row r="60109" spans="7:16" s="1634" customFormat="1">
      <c r="G60109" s="3336"/>
      <c r="P60109" s="3337"/>
    </row>
    <row r="60110" spans="7:16" s="1634" customFormat="1">
      <c r="G60110" s="3336"/>
      <c r="P60110" s="3337"/>
    </row>
    <row r="60111" spans="7:16" s="1634" customFormat="1">
      <c r="G60111" s="3336"/>
      <c r="P60111" s="3337"/>
    </row>
    <row r="60112" spans="7:16" s="1634" customFormat="1">
      <c r="G60112" s="3336"/>
      <c r="P60112" s="3337"/>
    </row>
    <row r="60113" spans="7:16" s="1634" customFormat="1">
      <c r="G60113" s="3336"/>
      <c r="P60113" s="3337"/>
    </row>
    <row r="60114" spans="7:16" s="1634" customFormat="1">
      <c r="G60114" s="3336"/>
      <c r="P60114" s="3337"/>
    </row>
    <row r="60115" spans="7:16" s="1634" customFormat="1">
      <c r="G60115" s="3336"/>
      <c r="P60115" s="3337"/>
    </row>
    <row r="60116" spans="7:16" s="1634" customFormat="1">
      <c r="G60116" s="3336"/>
      <c r="P60116" s="3337"/>
    </row>
    <row r="60117" spans="7:16" s="1634" customFormat="1">
      <c r="G60117" s="3336"/>
      <c r="P60117" s="3337"/>
    </row>
    <row r="60118" spans="7:16" s="1634" customFormat="1">
      <c r="G60118" s="3336"/>
      <c r="P60118" s="3337"/>
    </row>
    <row r="60119" spans="7:16" s="1634" customFormat="1">
      <c r="G60119" s="3336"/>
      <c r="P60119" s="3337"/>
    </row>
    <row r="60120" spans="7:16" s="1634" customFormat="1">
      <c r="G60120" s="3336"/>
      <c r="P60120" s="3337"/>
    </row>
    <row r="60121" spans="7:16" s="1634" customFormat="1">
      <c r="G60121" s="3336"/>
      <c r="P60121" s="3337"/>
    </row>
    <row r="60122" spans="7:16" s="1634" customFormat="1">
      <c r="G60122" s="3336"/>
      <c r="P60122" s="3337"/>
    </row>
    <row r="60123" spans="7:16" s="1634" customFormat="1">
      <c r="G60123" s="3336"/>
      <c r="P60123" s="3337"/>
    </row>
    <row r="60124" spans="7:16" s="1634" customFormat="1">
      <c r="G60124" s="3336"/>
      <c r="P60124" s="3337"/>
    </row>
    <row r="60125" spans="7:16" s="1634" customFormat="1">
      <c r="G60125" s="3336"/>
      <c r="P60125" s="3337"/>
    </row>
    <row r="60126" spans="7:16" s="1634" customFormat="1">
      <c r="G60126" s="3336"/>
      <c r="P60126" s="3337"/>
    </row>
    <row r="60127" spans="7:16" s="1634" customFormat="1">
      <c r="G60127" s="3336"/>
      <c r="P60127" s="3337"/>
    </row>
    <row r="60128" spans="7:16" s="1634" customFormat="1">
      <c r="G60128" s="3336"/>
      <c r="P60128" s="3337"/>
    </row>
    <row r="60129" spans="7:16" s="1634" customFormat="1">
      <c r="G60129" s="3336"/>
      <c r="P60129" s="3337"/>
    </row>
    <row r="60130" spans="7:16" s="1634" customFormat="1">
      <c r="G60130" s="3336"/>
      <c r="P60130" s="3337"/>
    </row>
    <row r="60131" spans="7:16" s="1634" customFormat="1">
      <c r="G60131" s="3336"/>
      <c r="P60131" s="3337"/>
    </row>
    <row r="60132" spans="7:16" s="1634" customFormat="1">
      <c r="G60132" s="3336"/>
      <c r="P60132" s="3337"/>
    </row>
    <row r="60133" spans="7:16" s="1634" customFormat="1">
      <c r="G60133" s="3336"/>
      <c r="P60133" s="3337"/>
    </row>
    <row r="60134" spans="7:16" s="1634" customFormat="1">
      <c r="G60134" s="3336"/>
      <c r="P60134" s="3337"/>
    </row>
    <row r="60135" spans="7:16" s="1634" customFormat="1">
      <c r="G60135" s="3336"/>
      <c r="P60135" s="3337"/>
    </row>
    <row r="60136" spans="7:16" s="1634" customFormat="1">
      <c r="G60136" s="3336"/>
      <c r="P60136" s="3337"/>
    </row>
    <row r="60137" spans="7:16" s="1634" customFormat="1">
      <c r="G60137" s="3336"/>
      <c r="P60137" s="3337"/>
    </row>
    <row r="60138" spans="7:16" s="1634" customFormat="1">
      <c r="G60138" s="3336"/>
      <c r="P60138" s="3337"/>
    </row>
    <row r="60139" spans="7:16" s="1634" customFormat="1">
      <c r="G60139" s="3336"/>
      <c r="P60139" s="3337"/>
    </row>
    <row r="60140" spans="7:16" s="1634" customFormat="1">
      <c r="G60140" s="3336"/>
      <c r="P60140" s="3337"/>
    </row>
    <row r="60141" spans="7:16" s="1634" customFormat="1">
      <c r="G60141" s="3336"/>
      <c r="P60141" s="3337"/>
    </row>
    <row r="60142" spans="7:16" s="1634" customFormat="1">
      <c r="G60142" s="3336"/>
      <c r="P60142" s="3337"/>
    </row>
    <row r="60143" spans="7:16" s="1634" customFormat="1">
      <c r="G60143" s="3336"/>
      <c r="P60143" s="3337"/>
    </row>
    <row r="60144" spans="7:16" s="1634" customFormat="1">
      <c r="G60144" s="3336"/>
      <c r="P60144" s="3337"/>
    </row>
    <row r="60145" spans="7:16" s="1634" customFormat="1">
      <c r="G60145" s="3336"/>
      <c r="P60145" s="3337"/>
    </row>
    <row r="60146" spans="7:16" s="1634" customFormat="1">
      <c r="G60146" s="3336"/>
      <c r="P60146" s="3337"/>
    </row>
    <row r="60147" spans="7:16" s="1634" customFormat="1">
      <c r="G60147" s="3336"/>
      <c r="P60147" s="3337"/>
    </row>
    <row r="60148" spans="7:16" s="1634" customFormat="1">
      <c r="G60148" s="3336"/>
      <c r="P60148" s="3337"/>
    </row>
    <row r="60149" spans="7:16" s="1634" customFormat="1">
      <c r="G60149" s="3336"/>
      <c r="P60149" s="3337"/>
    </row>
    <row r="60150" spans="7:16" s="1634" customFormat="1">
      <c r="G60150" s="3336"/>
      <c r="P60150" s="3337"/>
    </row>
    <row r="60151" spans="7:16" s="1634" customFormat="1">
      <c r="G60151" s="3336"/>
      <c r="P60151" s="3337"/>
    </row>
    <row r="60152" spans="7:16" s="1634" customFormat="1">
      <c r="G60152" s="3336"/>
      <c r="P60152" s="3337"/>
    </row>
    <row r="60153" spans="7:16" s="1634" customFormat="1">
      <c r="G60153" s="3336"/>
      <c r="P60153" s="3337"/>
    </row>
    <row r="60154" spans="7:16" s="1634" customFormat="1">
      <c r="G60154" s="3336"/>
      <c r="P60154" s="3337"/>
    </row>
    <row r="60155" spans="7:16" s="1634" customFormat="1">
      <c r="G60155" s="3336"/>
      <c r="P60155" s="3337"/>
    </row>
    <row r="60156" spans="7:16" s="1634" customFormat="1">
      <c r="G60156" s="3336"/>
      <c r="P60156" s="3337"/>
    </row>
    <row r="60157" spans="7:16" s="1634" customFormat="1">
      <c r="G60157" s="3336"/>
      <c r="P60157" s="3337"/>
    </row>
    <row r="60158" spans="7:16" s="1634" customFormat="1">
      <c r="G60158" s="3336"/>
      <c r="P60158" s="3337"/>
    </row>
    <row r="60159" spans="7:16" s="1634" customFormat="1">
      <c r="G60159" s="3336"/>
      <c r="P60159" s="3337"/>
    </row>
    <row r="60160" spans="7:16" s="1634" customFormat="1">
      <c r="G60160" s="3336"/>
      <c r="P60160" s="3337"/>
    </row>
    <row r="60161" spans="7:16" s="1634" customFormat="1">
      <c r="G60161" s="3336"/>
      <c r="P60161" s="3337"/>
    </row>
    <row r="60162" spans="7:16" s="1634" customFormat="1">
      <c r="G60162" s="3336"/>
      <c r="P60162" s="3337"/>
    </row>
    <row r="60163" spans="7:16" s="1634" customFormat="1">
      <c r="G60163" s="3336"/>
      <c r="P60163" s="3337"/>
    </row>
    <row r="60164" spans="7:16" s="1634" customFormat="1">
      <c r="G60164" s="3336"/>
      <c r="P60164" s="3337"/>
    </row>
    <row r="60165" spans="7:16" s="1634" customFormat="1">
      <c r="G60165" s="3336"/>
      <c r="P60165" s="3337"/>
    </row>
    <row r="60166" spans="7:16" s="1634" customFormat="1">
      <c r="G60166" s="3336"/>
      <c r="P60166" s="3337"/>
    </row>
    <row r="60167" spans="7:16" s="1634" customFormat="1">
      <c r="G60167" s="3336"/>
      <c r="P60167" s="3337"/>
    </row>
    <row r="60168" spans="7:16" s="1634" customFormat="1">
      <c r="G60168" s="3336"/>
      <c r="P60168" s="3337"/>
    </row>
    <row r="60169" spans="7:16" s="1634" customFormat="1">
      <c r="G60169" s="3336"/>
      <c r="P60169" s="3337"/>
    </row>
    <row r="60170" spans="7:16" s="1634" customFormat="1">
      <c r="G60170" s="3336"/>
      <c r="P60170" s="3337"/>
    </row>
    <row r="60171" spans="7:16" s="1634" customFormat="1">
      <c r="G60171" s="3336"/>
      <c r="P60171" s="3337"/>
    </row>
    <row r="60172" spans="7:16" s="1634" customFormat="1">
      <c r="G60172" s="3336"/>
      <c r="P60172" s="3337"/>
    </row>
    <row r="60173" spans="7:16" s="1634" customFormat="1">
      <c r="G60173" s="3336"/>
      <c r="P60173" s="3337"/>
    </row>
    <row r="60174" spans="7:16" s="1634" customFormat="1">
      <c r="G60174" s="3336"/>
      <c r="P60174" s="3337"/>
    </row>
    <row r="60175" spans="7:16" s="1634" customFormat="1">
      <c r="G60175" s="3336"/>
      <c r="P60175" s="3337"/>
    </row>
    <row r="60176" spans="7:16" s="1634" customFormat="1">
      <c r="G60176" s="3336"/>
      <c r="P60176" s="3337"/>
    </row>
    <row r="60177" spans="7:16" s="1634" customFormat="1">
      <c r="G60177" s="3336"/>
      <c r="P60177" s="3337"/>
    </row>
    <row r="60178" spans="7:16" s="1634" customFormat="1">
      <c r="G60178" s="3336"/>
      <c r="P60178" s="3337"/>
    </row>
    <row r="60179" spans="7:16" s="1634" customFormat="1">
      <c r="G60179" s="3336"/>
      <c r="P60179" s="3337"/>
    </row>
    <row r="60180" spans="7:16" s="1634" customFormat="1">
      <c r="G60180" s="3336"/>
      <c r="P60180" s="3337"/>
    </row>
    <row r="60181" spans="7:16" s="1634" customFormat="1">
      <c r="G60181" s="3336"/>
      <c r="P60181" s="3337"/>
    </row>
    <row r="60182" spans="7:16" s="1634" customFormat="1">
      <c r="G60182" s="3336"/>
      <c r="P60182" s="3337"/>
    </row>
    <row r="60183" spans="7:16" s="1634" customFormat="1">
      <c r="G60183" s="3336"/>
      <c r="P60183" s="3337"/>
    </row>
    <row r="60184" spans="7:16" s="1634" customFormat="1">
      <c r="G60184" s="3336"/>
      <c r="P60184" s="3337"/>
    </row>
    <row r="60185" spans="7:16" s="1634" customFormat="1">
      <c r="G60185" s="3336"/>
      <c r="P60185" s="3337"/>
    </row>
    <row r="60186" spans="7:16" s="1634" customFormat="1">
      <c r="G60186" s="3336"/>
      <c r="P60186" s="3337"/>
    </row>
    <row r="60187" spans="7:16" s="1634" customFormat="1">
      <c r="G60187" s="3336"/>
      <c r="P60187" s="3337"/>
    </row>
    <row r="60188" spans="7:16" s="1634" customFormat="1">
      <c r="G60188" s="3336"/>
      <c r="P60188" s="3337"/>
    </row>
    <row r="60189" spans="7:16" s="1634" customFormat="1">
      <c r="G60189" s="3336"/>
      <c r="P60189" s="3337"/>
    </row>
    <row r="60190" spans="7:16" s="1634" customFormat="1">
      <c r="G60190" s="3336"/>
      <c r="P60190" s="3337"/>
    </row>
    <row r="60191" spans="7:16" s="1634" customFormat="1">
      <c r="G60191" s="3336"/>
      <c r="P60191" s="3337"/>
    </row>
    <row r="60192" spans="7:16" s="1634" customFormat="1">
      <c r="G60192" s="3336"/>
      <c r="P60192" s="3337"/>
    </row>
    <row r="60193" spans="7:16" s="1634" customFormat="1">
      <c r="G60193" s="3336"/>
      <c r="P60193" s="3337"/>
    </row>
    <row r="60194" spans="7:16" s="1634" customFormat="1">
      <c r="G60194" s="3336"/>
      <c r="P60194" s="3337"/>
    </row>
    <row r="60195" spans="7:16" s="1634" customFormat="1">
      <c r="G60195" s="3336"/>
      <c r="P60195" s="3337"/>
    </row>
    <row r="60196" spans="7:16" s="1634" customFormat="1">
      <c r="G60196" s="3336"/>
      <c r="P60196" s="3337"/>
    </row>
    <row r="60197" spans="7:16" s="1634" customFormat="1">
      <c r="G60197" s="3336"/>
      <c r="P60197" s="3337"/>
    </row>
    <row r="60198" spans="7:16" s="1634" customFormat="1">
      <c r="G60198" s="3336"/>
      <c r="P60198" s="3337"/>
    </row>
    <row r="60199" spans="7:16" s="1634" customFormat="1">
      <c r="G60199" s="3336"/>
      <c r="P60199" s="3337"/>
    </row>
    <row r="60200" spans="7:16" s="1634" customFormat="1">
      <c r="G60200" s="3336"/>
      <c r="P60200" s="3337"/>
    </row>
    <row r="60201" spans="7:16" s="1634" customFormat="1">
      <c r="G60201" s="3336"/>
      <c r="P60201" s="3337"/>
    </row>
    <row r="60202" spans="7:16" s="1634" customFormat="1">
      <c r="G60202" s="3336"/>
      <c r="P60202" s="3337"/>
    </row>
    <row r="60203" spans="7:16" s="1634" customFormat="1">
      <c r="G60203" s="3336"/>
      <c r="P60203" s="3337"/>
    </row>
    <row r="60204" spans="7:16" s="1634" customFormat="1">
      <c r="G60204" s="3336"/>
      <c r="P60204" s="3337"/>
    </row>
    <row r="60205" spans="7:16" s="1634" customFormat="1">
      <c r="G60205" s="3336"/>
      <c r="P60205" s="3337"/>
    </row>
    <row r="60206" spans="7:16" s="1634" customFormat="1">
      <c r="G60206" s="3336"/>
      <c r="P60206" s="3337"/>
    </row>
    <row r="60207" spans="7:16" s="1634" customFormat="1">
      <c r="G60207" s="3336"/>
      <c r="P60207" s="3337"/>
    </row>
    <row r="60208" spans="7:16" s="1634" customFormat="1">
      <c r="G60208" s="3336"/>
      <c r="P60208" s="3337"/>
    </row>
    <row r="60209" spans="7:16" s="1634" customFormat="1">
      <c r="G60209" s="3336"/>
      <c r="P60209" s="3337"/>
    </row>
    <row r="60210" spans="7:16" s="1634" customFormat="1">
      <c r="G60210" s="3336"/>
      <c r="P60210" s="3337"/>
    </row>
    <row r="60211" spans="7:16" s="1634" customFormat="1">
      <c r="G60211" s="3336"/>
      <c r="P60211" s="3337"/>
    </row>
    <row r="60212" spans="7:16" s="1634" customFormat="1">
      <c r="G60212" s="3336"/>
      <c r="P60212" s="3337"/>
    </row>
    <row r="60213" spans="7:16" s="1634" customFormat="1">
      <c r="G60213" s="3336"/>
      <c r="P60213" s="3337"/>
    </row>
    <row r="60214" spans="7:16" s="1634" customFormat="1">
      <c r="G60214" s="3336"/>
      <c r="P60214" s="3337"/>
    </row>
    <row r="60215" spans="7:16" s="1634" customFormat="1">
      <c r="G60215" s="3336"/>
      <c r="P60215" s="3337"/>
    </row>
    <row r="60216" spans="7:16" s="1634" customFormat="1">
      <c r="G60216" s="3336"/>
      <c r="P60216" s="3337"/>
    </row>
    <row r="60217" spans="7:16" s="1634" customFormat="1">
      <c r="G60217" s="3336"/>
      <c r="P60217" s="3337"/>
    </row>
    <row r="60218" spans="7:16" s="1634" customFormat="1">
      <c r="G60218" s="3336"/>
      <c r="P60218" s="3337"/>
    </row>
    <row r="60219" spans="7:16" s="1634" customFormat="1">
      <c r="G60219" s="3336"/>
      <c r="P60219" s="3337"/>
    </row>
    <row r="60220" spans="7:16" s="1634" customFormat="1">
      <c r="G60220" s="3336"/>
      <c r="P60220" s="3337"/>
    </row>
    <row r="60221" spans="7:16" s="1634" customFormat="1">
      <c r="G60221" s="3336"/>
      <c r="P60221" s="3337"/>
    </row>
    <row r="60222" spans="7:16" s="1634" customFormat="1">
      <c r="G60222" s="3336"/>
      <c r="P60222" s="3337"/>
    </row>
    <row r="60223" spans="7:16" s="1634" customFormat="1">
      <c r="G60223" s="3336"/>
      <c r="P60223" s="3337"/>
    </row>
    <row r="60224" spans="7:16" s="1634" customFormat="1">
      <c r="G60224" s="3336"/>
      <c r="P60224" s="3337"/>
    </row>
    <row r="60225" spans="7:16" s="1634" customFormat="1">
      <c r="G60225" s="3336"/>
      <c r="P60225" s="3337"/>
    </row>
    <row r="60226" spans="7:16" s="1634" customFormat="1">
      <c r="G60226" s="3336"/>
      <c r="P60226" s="3337"/>
    </row>
    <row r="60227" spans="7:16" s="1634" customFormat="1">
      <c r="G60227" s="3336"/>
      <c r="P60227" s="3337"/>
    </row>
    <row r="60228" spans="7:16" s="1634" customFormat="1">
      <c r="G60228" s="3336"/>
      <c r="P60228" s="3337"/>
    </row>
    <row r="60229" spans="7:16" s="1634" customFormat="1">
      <c r="G60229" s="3336"/>
      <c r="P60229" s="3337"/>
    </row>
    <row r="60230" spans="7:16" s="1634" customFormat="1">
      <c r="G60230" s="3336"/>
      <c r="P60230" s="3337"/>
    </row>
    <row r="60231" spans="7:16" s="1634" customFormat="1">
      <c r="G60231" s="3336"/>
      <c r="P60231" s="3337"/>
    </row>
    <row r="60232" spans="7:16" s="1634" customFormat="1">
      <c r="G60232" s="3336"/>
      <c r="P60232" s="3337"/>
    </row>
    <row r="60233" spans="7:16" s="1634" customFormat="1">
      <c r="G60233" s="3336"/>
      <c r="P60233" s="3337"/>
    </row>
    <row r="60234" spans="7:16" s="1634" customFormat="1">
      <c r="G60234" s="3336"/>
      <c r="P60234" s="3337"/>
    </row>
    <row r="60235" spans="7:16" s="1634" customFormat="1">
      <c r="G60235" s="3336"/>
      <c r="P60235" s="3337"/>
    </row>
    <row r="60236" spans="7:16" s="1634" customFormat="1">
      <c r="G60236" s="3336"/>
      <c r="P60236" s="3337"/>
    </row>
    <row r="60237" spans="7:16" s="1634" customFormat="1">
      <c r="G60237" s="3336"/>
      <c r="P60237" s="3337"/>
    </row>
    <row r="60238" spans="7:16" s="1634" customFormat="1">
      <c r="G60238" s="3336"/>
      <c r="P60238" s="3337"/>
    </row>
    <row r="60239" spans="7:16" s="1634" customFormat="1">
      <c r="G60239" s="3336"/>
      <c r="P60239" s="3337"/>
    </row>
    <row r="60240" spans="7:16" s="1634" customFormat="1">
      <c r="G60240" s="3336"/>
      <c r="P60240" s="3337"/>
    </row>
    <row r="60241" spans="7:16" s="1634" customFormat="1">
      <c r="G60241" s="3336"/>
      <c r="P60241" s="3337"/>
    </row>
    <row r="60242" spans="7:16" s="1634" customFormat="1">
      <c r="G60242" s="3336"/>
      <c r="P60242" s="3337"/>
    </row>
    <row r="60243" spans="7:16" s="1634" customFormat="1">
      <c r="G60243" s="3336"/>
      <c r="P60243" s="3337"/>
    </row>
    <row r="60244" spans="7:16" s="1634" customFormat="1">
      <c r="G60244" s="3336"/>
      <c r="P60244" s="3337"/>
    </row>
    <row r="60245" spans="7:16" s="1634" customFormat="1">
      <c r="G60245" s="3336"/>
      <c r="P60245" s="3337"/>
    </row>
    <row r="60246" spans="7:16" s="1634" customFormat="1">
      <c r="G60246" s="3336"/>
      <c r="P60246" s="3337"/>
    </row>
    <row r="60247" spans="7:16" s="1634" customFormat="1">
      <c r="G60247" s="3336"/>
      <c r="P60247" s="3337"/>
    </row>
    <row r="60248" spans="7:16" s="1634" customFormat="1">
      <c r="G60248" s="3336"/>
      <c r="P60248" s="3337"/>
    </row>
    <row r="60249" spans="7:16" s="1634" customFormat="1">
      <c r="G60249" s="3336"/>
      <c r="P60249" s="3337"/>
    </row>
    <row r="60250" spans="7:16" s="1634" customFormat="1">
      <c r="G60250" s="3336"/>
      <c r="P60250" s="3337"/>
    </row>
    <row r="60251" spans="7:16" s="1634" customFormat="1">
      <c r="G60251" s="3336"/>
      <c r="P60251" s="3337"/>
    </row>
    <row r="60252" spans="7:16" s="1634" customFormat="1">
      <c r="G60252" s="3336"/>
      <c r="P60252" s="3337"/>
    </row>
    <row r="60253" spans="7:16" s="1634" customFormat="1">
      <c r="G60253" s="3336"/>
      <c r="P60253" s="3337"/>
    </row>
    <row r="60254" spans="7:16" s="1634" customFormat="1">
      <c r="G60254" s="3336"/>
      <c r="P60254" s="3337"/>
    </row>
    <row r="60255" spans="7:16" s="1634" customFormat="1">
      <c r="G60255" s="3336"/>
      <c r="P60255" s="3337"/>
    </row>
    <row r="60256" spans="7:16" s="1634" customFormat="1">
      <c r="G60256" s="3336"/>
      <c r="P60256" s="3337"/>
    </row>
    <row r="60257" spans="7:16" s="1634" customFormat="1">
      <c r="G60257" s="3336"/>
      <c r="P60257" s="3337"/>
    </row>
    <row r="60258" spans="7:16" s="1634" customFormat="1">
      <c r="G60258" s="3336"/>
      <c r="P60258" s="3337"/>
    </row>
    <row r="60259" spans="7:16" s="1634" customFormat="1">
      <c r="G60259" s="3336"/>
      <c r="P60259" s="3337"/>
    </row>
    <row r="60260" spans="7:16" s="1634" customFormat="1">
      <c r="G60260" s="3336"/>
      <c r="P60260" s="3337"/>
    </row>
    <row r="60261" spans="7:16" s="1634" customFormat="1">
      <c r="G60261" s="3336"/>
      <c r="P60261" s="3337"/>
    </row>
    <row r="60262" spans="7:16" s="1634" customFormat="1">
      <c r="G60262" s="3336"/>
      <c r="P60262" s="3337"/>
    </row>
    <row r="60263" spans="7:16" s="1634" customFormat="1">
      <c r="G60263" s="3336"/>
      <c r="P60263" s="3337"/>
    </row>
    <row r="60264" spans="7:16" s="1634" customFormat="1">
      <c r="G60264" s="3336"/>
      <c r="P60264" s="3337"/>
    </row>
    <row r="60265" spans="7:16" s="1634" customFormat="1">
      <c r="G60265" s="3336"/>
      <c r="P60265" s="3337"/>
    </row>
    <row r="60266" spans="7:16" s="1634" customFormat="1">
      <c r="G60266" s="3336"/>
      <c r="P60266" s="3337"/>
    </row>
    <row r="60267" spans="7:16" s="1634" customFormat="1">
      <c r="G60267" s="3336"/>
      <c r="P60267" s="3337"/>
    </row>
    <row r="60268" spans="7:16" s="1634" customFormat="1">
      <c r="G60268" s="3336"/>
      <c r="P60268" s="3337"/>
    </row>
    <row r="60269" spans="7:16" s="1634" customFormat="1">
      <c r="G60269" s="3336"/>
      <c r="P60269" s="3337"/>
    </row>
    <row r="60270" spans="7:16" s="1634" customFormat="1">
      <c r="G60270" s="3336"/>
      <c r="P60270" s="3337"/>
    </row>
    <row r="60271" spans="7:16" s="1634" customFormat="1">
      <c r="G60271" s="3336"/>
      <c r="P60271" s="3337"/>
    </row>
    <row r="60272" spans="7:16" s="1634" customFormat="1">
      <c r="G60272" s="3336"/>
      <c r="P60272" s="3337"/>
    </row>
    <row r="60273" spans="7:16" s="1634" customFormat="1">
      <c r="G60273" s="3336"/>
      <c r="P60273" s="3337"/>
    </row>
    <row r="60274" spans="7:16" s="1634" customFormat="1">
      <c r="G60274" s="3336"/>
      <c r="P60274" s="3337"/>
    </row>
    <row r="60275" spans="7:16" s="1634" customFormat="1">
      <c r="G60275" s="3336"/>
      <c r="P60275" s="3337"/>
    </row>
    <row r="60276" spans="7:16" s="1634" customFormat="1">
      <c r="G60276" s="3336"/>
      <c r="P60276" s="3337"/>
    </row>
    <row r="60277" spans="7:16" s="1634" customFormat="1">
      <c r="G60277" s="3336"/>
      <c r="P60277" s="3337"/>
    </row>
    <row r="60278" spans="7:16" s="1634" customFormat="1">
      <c r="G60278" s="3336"/>
      <c r="P60278" s="3337"/>
    </row>
    <row r="60279" spans="7:16" s="1634" customFormat="1">
      <c r="G60279" s="3336"/>
      <c r="P60279" s="3337"/>
    </row>
    <row r="60280" spans="7:16" s="1634" customFormat="1">
      <c r="G60280" s="3336"/>
      <c r="P60280" s="3337"/>
    </row>
    <row r="60281" spans="7:16" s="1634" customFormat="1">
      <c r="G60281" s="3336"/>
      <c r="P60281" s="3337"/>
    </row>
    <row r="60282" spans="7:16" s="1634" customFormat="1">
      <c r="G60282" s="3336"/>
      <c r="P60282" s="3337"/>
    </row>
    <row r="60283" spans="7:16" s="1634" customFormat="1">
      <c r="G60283" s="3336"/>
      <c r="P60283" s="3337"/>
    </row>
    <row r="60284" spans="7:16" s="1634" customFormat="1">
      <c r="G60284" s="3336"/>
      <c r="P60284" s="3337"/>
    </row>
    <row r="60285" spans="7:16" s="1634" customFormat="1">
      <c r="G60285" s="3336"/>
      <c r="P60285" s="3337"/>
    </row>
    <row r="60286" spans="7:16" s="1634" customFormat="1">
      <c r="G60286" s="3336"/>
      <c r="P60286" s="3337"/>
    </row>
    <row r="60287" spans="7:16" s="1634" customFormat="1">
      <c r="G60287" s="3336"/>
      <c r="P60287" s="3337"/>
    </row>
    <row r="60288" spans="7:16" s="1634" customFormat="1">
      <c r="G60288" s="3336"/>
      <c r="P60288" s="3337"/>
    </row>
    <row r="60289" spans="7:16" s="1634" customFormat="1">
      <c r="G60289" s="3336"/>
      <c r="P60289" s="3337"/>
    </row>
    <row r="60290" spans="7:16" s="1634" customFormat="1">
      <c r="G60290" s="3336"/>
      <c r="P60290" s="3337"/>
    </row>
    <row r="60291" spans="7:16" s="1634" customFormat="1">
      <c r="G60291" s="3336"/>
      <c r="P60291" s="3337"/>
    </row>
    <row r="60292" spans="7:16" s="1634" customFormat="1">
      <c r="G60292" s="3336"/>
      <c r="P60292" s="3337"/>
    </row>
    <row r="60293" spans="7:16" s="1634" customFormat="1">
      <c r="G60293" s="3336"/>
      <c r="P60293" s="3337"/>
    </row>
    <row r="60294" spans="7:16" s="1634" customFormat="1">
      <c r="G60294" s="3336"/>
      <c r="P60294" s="3337"/>
    </row>
    <row r="60295" spans="7:16" s="1634" customFormat="1">
      <c r="G60295" s="3336"/>
      <c r="P60295" s="3337"/>
    </row>
    <row r="60296" spans="7:16" s="1634" customFormat="1">
      <c r="G60296" s="3336"/>
      <c r="P60296" s="3337"/>
    </row>
    <row r="60297" spans="7:16" s="1634" customFormat="1">
      <c r="G60297" s="3336"/>
      <c r="P60297" s="3337"/>
    </row>
    <row r="60298" spans="7:16" s="1634" customFormat="1">
      <c r="G60298" s="3336"/>
      <c r="P60298" s="3337"/>
    </row>
    <row r="60299" spans="7:16" s="1634" customFormat="1">
      <c r="G60299" s="3336"/>
      <c r="P60299" s="3337"/>
    </row>
    <row r="60300" spans="7:16" s="1634" customFormat="1">
      <c r="G60300" s="3336"/>
      <c r="P60300" s="3337"/>
    </row>
    <row r="60301" spans="7:16" s="1634" customFormat="1">
      <c r="G60301" s="3336"/>
      <c r="P60301" s="3337"/>
    </row>
    <row r="60302" spans="7:16" s="1634" customFormat="1">
      <c r="G60302" s="3336"/>
      <c r="P60302" s="3337"/>
    </row>
    <row r="60303" spans="7:16" s="1634" customFormat="1">
      <c r="G60303" s="3336"/>
      <c r="P60303" s="3337"/>
    </row>
    <row r="60304" spans="7:16" s="1634" customFormat="1">
      <c r="G60304" s="3336"/>
      <c r="P60304" s="3337"/>
    </row>
    <row r="60305" spans="7:16" s="1634" customFormat="1">
      <c r="G60305" s="3336"/>
      <c r="P60305" s="3337"/>
    </row>
    <row r="60306" spans="7:16" s="1634" customFormat="1">
      <c r="G60306" s="3336"/>
      <c r="P60306" s="3337"/>
    </row>
    <row r="60307" spans="7:16" s="1634" customFormat="1">
      <c r="G60307" s="3336"/>
      <c r="P60307" s="3337"/>
    </row>
    <row r="60308" spans="7:16" s="1634" customFormat="1">
      <c r="G60308" s="3336"/>
      <c r="P60308" s="3337"/>
    </row>
    <row r="60309" spans="7:16" s="1634" customFormat="1">
      <c r="G60309" s="3336"/>
      <c r="P60309" s="3337"/>
    </row>
    <row r="60310" spans="7:16" s="1634" customFormat="1">
      <c r="G60310" s="3336"/>
      <c r="P60310" s="3337"/>
    </row>
    <row r="60311" spans="7:16" s="1634" customFormat="1">
      <c r="G60311" s="3336"/>
      <c r="P60311" s="3337"/>
    </row>
    <row r="60312" spans="7:16" s="1634" customFormat="1">
      <c r="G60312" s="3336"/>
      <c r="P60312" s="3337"/>
    </row>
    <row r="60313" spans="7:16" s="1634" customFormat="1">
      <c r="G60313" s="3336"/>
      <c r="P60313" s="3337"/>
    </row>
    <row r="60314" spans="7:16" s="1634" customFormat="1">
      <c r="G60314" s="3336"/>
      <c r="P60314" s="3337"/>
    </row>
    <row r="60315" spans="7:16" s="1634" customFormat="1">
      <c r="G60315" s="3336"/>
      <c r="P60315" s="3337"/>
    </row>
    <row r="60316" spans="7:16" s="1634" customFormat="1">
      <c r="G60316" s="3336"/>
      <c r="P60316" s="3337"/>
    </row>
    <row r="60317" spans="7:16" s="1634" customFormat="1">
      <c r="G60317" s="3336"/>
      <c r="P60317" s="3337"/>
    </row>
    <row r="60318" spans="7:16" s="1634" customFormat="1">
      <c r="G60318" s="3336"/>
      <c r="P60318" s="3337"/>
    </row>
    <row r="60319" spans="7:16" s="1634" customFormat="1">
      <c r="G60319" s="3336"/>
      <c r="P60319" s="3337"/>
    </row>
    <row r="60320" spans="7:16" s="1634" customFormat="1">
      <c r="G60320" s="3336"/>
      <c r="P60320" s="3337"/>
    </row>
    <row r="60321" spans="7:16" s="1634" customFormat="1">
      <c r="G60321" s="3336"/>
      <c r="P60321" s="3337"/>
    </row>
    <row r="60322" spans="7:16" s="1634" customFormat="1">
      <c r="G60322" s="3336"/>
      <c r="P60322" s="3337"/>
    </row>
    <row r="60323" spans="7:16" s="1634" customFormat="1">
      <c r="G60323" s="3336"/>
      <c r="P60323" s="3337"/>
    </row>
    <row r="60324" spans="7:16" s="1634" customFormat="1">
      <c r="G60324" s="3336"/>
      <c r="P60324" s="3337"/>
    </row>
    <row r="60325" spans="7:16" s="1634" customFormat="1">
      <c r="G60325" s="3336"/>
      <c r="P60325" s="3337"/>
    </row>
    <row r="60326" spans="7:16" s="1634" customFormat="1">
      <c r="G60326" s="3336"/>
      <c r="P60326" s="3337"/>
    </row>
    <row r="60327" spans="7:16" s="1634" customFormat="1">
      <c r="G60327" s="3336"/>
      <c r="P60327" s="3337"/>
    </row>
    <row r="60328" spans="7:16" s="1634" customFormat="1">
      <c r="G60328" s="3336"/>
      <c r="P60328" s="3337"/>
    </row>
    <row r="60329" spans="7:16" s="1634" customFormat="1">
      <c r="G60329" s="3336"/>
      <c r="P60329" s="3337"/>
    </row>
    <row r="60330" spans="7:16" s="1634" customFormat="1">
      <c r="G60330" s="3336"/>
      <c r="P60330" s="3337"/>
    </row>
    <row r="60331" spans="7:16" s="1634" customFormat="1">
      <c r="G60331" s="3336"/>
      <c r="P60331" s="3337"/>
    </row>
    <row r="60332" spans="7:16" s="1634" customFormat="1">
      <c r="G60332" s="3336"/>
      <c r="P60332" s="3337"/>
    </row>
    <row r="60333" spans="7:16" s="1634" customFormat="1">
      <c r="G60333" s="3336"/>
      <c r="P60333" s="3337"/>
    </row>
    <row r="60334" spans="7:16" s="1634" customFormat="1">
      <c r="G60334" s="3336"/>
      <c r="P60334" s="3337"/>
    </row>
    <row r="60335" spans="7:16" s="1634" customFormat="1">
      <c r="G60335" s="3336"/>
      <c r="P60335" s="3337"/>
    </row>
    <row r="60336" spans="7:16" s="1634" customFormat="1">
      <c r="G60336" s="3336"/>
      <c r="P60336" s="3337"/>
    </row>
    <row r="60337" spans="7:16" s="1634" customFormat="1">
      <c r="G60337" s="3336"/>
      <c r="P60337" s="3337"/>
    </row>
    <row r="60338" spans="7:16" s="1634" customFormat="1">
      <c r="G60338" s="3336"/>
      <c r="P60338" s="3337"/>
    </row>
    <row r="60339" spans="7:16" s="1634" customFormat="1">
      <c r="G60339" s="3336"/>
      <c r="P60339" s="3337"/>
    </row>
    <row r="60340" spans="7:16" s="1634" customFormat="1">
      <c r="G60340" s="3336"/>
      <c r="P60340" s="3337"/>
    </row>
    <row r="60341" spans="7:16" s="1634" customFormat="1">
      <c r="G60341" s="3336"/>
      <c r="P60341" s="3337"/>
    </row>
    <row r="60342" spans="7:16" s="1634" customFormat="1">
      <c r="G60342" s="3336"/>
      <c r="P60342" s="3337"/>
    </row>
    <row r="60343" spans="7:16" s="1634" customFormat="1">
      <c r="G60343" s="3336"/>
      <c r="P60343" s="3337"/>
    </row>
    <row r="60344" spans="7:16" s="1634" customFormat="1">
      <c r="G60344" s="3336"/>
      <c r="P60344" s="3337"/>
    </row>
    <row r="60345" spans="7:16" s="1634" customFormat="1">
      <c r="G60345" s="3336"/>
      <c r="P60345" s="3337"/>
    </row>
    <row r="60346" spans="7:16" s="1634" customFormat="1">
      <c r="G60346" s="3336"/>
      <c r="P60346" s="3337"/>
    </row>
    <row r="60347" spans="7:16" s="1634" customFormat="1">
      <c r="G60347" s="3336"/>
      <c r="P60347" s="3337"/>
    </row>
    <row r="60348" spans="7:16" s="1634" customFormat="1">
      <c r="G60348" s="3336"/>
      <c r="P60348" s="3337"/>
    </row>
    <row r="60349" spans="7:16" s="1634" customFormat="1">
      <c r="G60349" s="3336"/>
      <c r="P60349" s="3337"/>
    </row>
    <row r="60350" spans="7:16" s="1634" customFormat="1">
      <c r="G60350" s="3336"/>
      <c r="P60350" s="3337"/>
    </row>
    <row r="60351" spans="7:16" s="1634" customFormat="1">
      <c r="G60351" s="3336"/>
      <c r="P60351" s="3337"/>
    </row>
    <row r="60352" spans="7:16" s="1634" customFormat="1">
      <c r="G60352" s="3336"/>
      <c r="P60352" s="3337"/>
    </row>
    <row r="60353" spans="7:16" s="1634" customFormat="1">
      <c r="G60353" s="3336"/>
      <c r="P60353" s="3337"/>
    </row>
    <row r="60354" spans="7:16" s="1634" customFormat="1">
      <c r="G60354" s="3336"/>
      <c r="P60354" s="3337"/>
    </row>
    <row r="60355" spans="7:16" s="1634" customFormat="1">
      <c r="G60355" s="3336"/>
      <c r="P60355" s="3337"/>
    </row>
    <row r="60356" spans="7:16" s="1634" customFormat="1">
      <c r="G60356" s="3336"/>
      <c r="P60356" s="3337"/>
    </row>
    <row r="60357" spans="7:16" s="1634" customFormat="1">
      <c r="G60357" s="3336"/>
      <c r="P60357" s="3337"/>
    </row>
    <row r="60358" spans="7:16" s="1634" customFormat="1">
      <c r="G60358" s="3336"/>
      <c r="P60358" s="3337"/>
    </row>
    <row r="60359" spans="7:16" s="1634" customFormat="1">
      <c r="G60359" s="3336"/>
      <c r="P60359" s="3337"/>
    </row>
    <row r="60360" spans="7:16" s="1634" customFormat="1">
      <c r="G60360" s="3336"/>
      <c r="P60360" s="3337"/>
    </row>
    <row r="60361" spans="7:16" s="1634" customFormat="1">
      <c r="G60361" s="3336"/>
      <c r="P60361" s="3337"/>
    </row>
    <row r="60362" spans="7:16" s="1634" customFormat="1">
      <c r="G60362" s="3336"/>
      <c r="P60362" s="3337"/>
    </row>
    <row r="60363" spans="7:16" s="1634" customFormat="1">
      <c r="G60363" s="3336"/>
      <c r="P60363" s="3337"/>
    </row>
    <row r="60364" spans="7:16" s="1634" customFormat="1">
      <c r="G60364" s="3336"/>
      <c r="P60364" s="3337"/>
    </row>
    <row r="60365" spans="7:16" s="1634" customFormat="1">
      <c r="G60365" s="3336"/>
      <c r="P60365" s="3337"/>
    </row>
    <row r="60366" spans="7:16" s="1634" customFormat="1">
      <c r="G60366" s="3336"/>
      <c r="P60366" s="3337"/>
    </row>
    <row r="60367" spans="7:16" s="1634" customFormat="1">
      <c r="G60367" s="3336"/>
      <c r="P60367" s="3337"/>
    </row>
    <row r="60368" spans="7:16" s="1634" customFormat="1">
      <c r="G60368" s="3336"/>
      <c r="P60368" s="3337"/>
    </row>
    <row r="60369" spans="7:16" s="1634" customFormat="1">
      <c r="G60369" s="3336"/>
      <c r="P60369" s="3337"/>
    </row>
    <row r="60370" spans="7:16" s="1634" customFormat="1">
      <c r="G60370" s="3336"/>
      <c r="P60370" s="3337"/>
    </row>
    <row r="60371" spans="7:16" s="1634" customFormat="1">
      <c r="G60371" s="3336"/>
      <c r="P60371" s="3337"/>
    </row>
    <row r="60372" spans="7:16" s="1634" customFormat="1">
      <c r="G60372" s="3336"/>
      <c r="P60372" s="3337"/>
    </row>
    <row r="60373" spans="7:16" s="1634" customFormat="1">
      <c r="G60373" s="3336"/>
      <c r="P60373" s="3337"/>
    </row>
    <row r="60374" spans="7:16" s="1634" customFormat="1">
      <c r="G60374" s="3336"/>
      <c r="P60374" s="3337"/>
    </row>
    <row r="60375" spans="7:16" s="1634" customFormat="1">
      <c r="G60375" s="3336"/>
      <c r="P60375" s="3337"/>
    </row>
    <row r="60376" spans="7:16" s="1634" customFormat="1">
      <c r="G60376" s="3336"/>
      <c r="P60376" s="3337"/>
    </row>
    <row r="60377" spans="7:16" s="1634" customFormat="1">
      <c r="G60377" s="3336"/>
      <c r="P60377" s="3337"/>
    </row>
    <row r="60378" spans="7:16" s="1634" customFormat="1">
      <c r="G60378" s="3336"/>
      <c r="P60378" s="3337"/>
    </row>
    <row r="60379" spans="7:16" s="1634" customFormat="1">
      <c r="G60379" s="3336"/>
      <c r="P60379" s="3337"/>
    </row>
    <row r="60380" spans="7:16" s="1634" customFormat="1">
      <c r="G60380" s="3336"/>
      <c r="P60380" s="3337"/>
    </row>
    <row r="60381" spans="7:16" s="1634" customFormat="1">
      <c r="G60381" s="3336"/>
      <c r="P60381" s="3337"/>
    </row>
    <row r="60382" spans="7:16" s="1634" customFormat="1">
      <c r="G60382" s="3336"/>
      <c r="P60382" s="3337"/>
    </row>
    <row r="60383" spans="7:16" s="1634" customFormat="1">
      <c r="G60383" s="3336"/>
      <c r="P60383" s="3337"/>
    </row>
    <row r="60384" spans="7:16" s="1634" customFormat="1">
      <c r="G60384" s="3336"/>
      <c r="P60384" s="3337"/>
    </row>
    <row r="60385" spans="7:16" s="1634" customFormat="1">
      <c r="G60385" s="3336"/>
      <c r="P60385" s="3337"/>
    </row>
    <row r="60386" spans="7:16" s="1634" customFormat="1">
      <c r="G60386" s="3336"/>
      <c r="P60386" s="3337"/>
    </row>
    <row r="60387" spans="7:16" s="1634" customFormat="1">
      <c r="G60387" s="3336"/>
      <c r="P60387" s="3337"/>
    </row>
    <row r="60388" spans="7:16" s="1634" customFormat="1">
      <c r="G60388" s="3336"/>
      <c r="P60388" s="3337"/>
    </row>
    <row r="60389" spans="7:16" s="1634" customFormat="1">
      <c r="G60389" s="3336"/>
      <c r="P60389" s="3337"/>
    </row>
    <row r="60390" spans="7:16" s="1634" customFormat="1">
      <c r="G60390" s="3336"/>
      <c r="P60390" s="3337"/>
    </row>
    <row r="60391" spans="7:16" s="1634" customFormat="1">
      <c r="G60391" s="3336"/>
      <c r="P60391" s="3337"/>
    </row>
    <row r="60392" spans="7:16" s="1634" customFormat="1">
      <c r="G60392" s="3336"/>
      <c r="P60392" s="3337"/>
    </row>
    <row r="60393" spans="7:16" s="1634" customFormat="1">
      <c r="G60393" s="3336"/>
      <c r="P60393" s="3337"/>
    </row>
    <row r="60394" spans="7:16" s="1634" customFormat="1">
      <c r="G60394" s="3336"/>
      <c r="P60394" s="3337"/>
    </row>
    <row r="60395" spans="7:16" s="1634" customFormat="1">
      <c r="G60395" s="3336"/>
      <c r="P60395" s="3337"/>
    </row>
    <row r="60396" spans="7:16" s="1634" customFormat="1">
      <c r="G60396" s="3336"/>
      <c r="P60396" s="3337"/>
    </row>
    <row r="60397" spans="7:16" s="1634" customFormat="1">
      <c r="G60397" s="3336"/>
      <c r="P60397" s="3337"/>
    </row>
    <row r="60398" spans="7:16" s="1634" customFormat="1">
      <c r="G60398" s="3336"/>
      <c r="P60398" s="3337"/>
    </row>
    <row r="60399" spans="7:16" s="1634" customFormat="1">
      <c r="G60399" s="3336"/>
      <c r="P60399" s="3337"/>
    </row>
    <row r="60400" spans="7:16" s="1634" customFormat="1">
      <c r="G60400" s="3336"/>
      <c r="P60400" s="3337"/>
    </row>
    <row r="60401" spans="7:16" s="1634" customFormat="1">
      <c r="G60401" s="3336"/>
      <c r="P60401" s="3337"/>
    </row>
    <row r="60402" spans="7:16" s="1634" customFormat="1">
      <c r="G60402" s="3336"/>
      <c r="P60402" s="3337"/>
    </row>
    <row r="60403" spans="7:16" s="1634" customFormat="1">
      <c r="G60403" s="3336"/>
      <c r="P60403" s="3337"/>
    </row>
    <row r="60404" spans="7:16" s="1634" customFormat="1">
      <c r="G60404" s="3336"/>
      <c r="P60404" s="3337"/>
    </row>
    <row r="60405" spans="7:16" s="1634" customFormat="1">
      <c r="G60405" s="3336"/>
      <c r="P60405" s="3337"/>
    </row>
    <row r="60406" spans="7:16" s="1634" customFormat="1">
      <c r="G60406" s="3336"/>
      <c r="P60406" s="3337"/>
    </row>
    <row r="60407" spans="7:16" s="1634" customFormat="1">
      <c r="G60407" s="3336"/>
      <c r="P60407" s="3337"/>
    </row>
    <row r="60408" spans="7:16" s="1634" customFormat="1">
      <c r="G60408" s="3336"/>
      <c r="P60408" s="3337"/>
    </row>
    <row r="60409" spans="7:16" s="1634" customFormat="1">
      <c r="G60409" s="3336"/>
      <c r="P60409" s="3337"/>
    </row>
    <row r="60410" spans="7:16" s="1634" customFormat="1">
      <c r="G60410" s="3336"/>
      <c r="P60410" s="3337"/>
    </row>
    <row r="60411" spans="7:16" s="1634" customFormat="1">
      <c r="G60411" s="3336"/>
      <c r="P60411" s="3337"/>
    </row>
    <row r="60412" spans="7:16" s="1634" customFormat="1">
      <c r="G60412" s="3336"/>
      <c r="P60412" s="3337"/>
    </row>
    <row r="60413" spans="7:16" s="1634" customFormat="1">
      <c r="G60413" s="3336"/>
      <c r="P60413" s="3337"/>
    </row>
    <row r="60414" spans="7:16" s="1634" customFormat="1">
      <c r="G60414" s="3336"/>
      <c r="P60414" s="3337"/>
    </row>
    <row r="60415" spans="7:16" s="1634" customFormat="1">
      <c r="G60415" s="3336"/>
      <c r="P60415" s="3337"/>
    </row>
    <row r="60416" spans="7:16" s="1634" customFormat="1">
      <c r="G60416" s="3336"/>
      <c r="P60416" s="3337"/>
    </row>
    <row r="60417" spans="7:16" s="1634" customFormat="1">
      <c r="G60417" s="3336"/>
      <c r="P60417" s="3337"/>
    </row>
    <row r="60418" spans="7:16" s="1634" customFormat="1">
      <c r="G60418" s="3336"/>
      <c r="P60418" s="3337"/>
    </row>
    <row r="60419" spans="7:16" s="1634" customFormat="1">
      <c r="G60419" s="3336"/>
      <c r="P60419" s="3337"/>
    </row>
    <row r="60420" spans="7:16" s="1634" customFormat="1">
      <c r="G60420" s="3336"/>
      <c r="P60420" s="3337"/>
    </row>
    <row r="60421" spans="7:16" s="1634" customFormat="1">
      <c r="G60421" s="3336"/>
      <c r="P60421" s="3337"/>
    </row>
    <row r="60422" spans="7:16" s="1634" customFormat="1">
      <c r="G60422" s="3336"/>
      <c r="P60422" s="3337"/>
    </row>
    <row r="60423" spans="7:16" s="1634" customFormat="1">
      <c r="G60423" s="3336"/>
      <c r="P60423" s="3337"/>
    </row>
    <row r="60424" spans="7:16" s="1634" customFormat="1">
      <c r="G60424" s="3336"/>
      <c r="P60424" s="3337"/>
    </row>
    <row r="60425" spans="7:16" s="1634" customFormat="1">
      <c r="G60425" s="3336"/>
      <c r="P60425" s="3337"/>
    </row>
    <row r="60426" spans="7:16" s="1634" customFormat="1">
      <c r="G60426" s="3336"/>
      <c r="P60426" s="3337"/>
    </row>
    <row r="60427" spans="7:16" s="1634" customFormat="1">
      <c r="G60427" s="3336"/>
      <c r="P60427" s="3337"/>
    </row>
    <row r="60428" spans="7:16" s="1634" customFormat="1">
      <c r="G60428" s="3336"/>
      <c r="P60428" s="3337"/>
    </row>
    <row r="60429" spans="7:16" s="1634" customFormat="1">
      <c r="G60429" s="3336"/>
      <c r="P60429" s="3337"/>
    </row>
    <row r="60430" spans="7:16" s="1634" customFormat="1">
      <c r="G60430" s="3336"/>
      <c r="P60430" s="3337"/>
    </row>
    <row r="60431" spans="7:16" s="1634" customFormat="1">
      <c r="G60431" s="3336"/>
      <c r="P60431" s="3337"/>
    </row>
    <row r="60432" spans="7:16" s="1634" customFormat="1">
      <c r="G60432" s="3336"/>
      <c r="P60432" s="3337"/>
    </row>
    <row r="60433" spans="7:16" s="1634" customFormat="1">
      <c r="G60433" s="3336"/>
      <c r="P60433" s="3337"/>
    </row>
    <row r="60434" spans="7:16" s="1634" customFormat="1">
      <c r="G60434" s="3336"/>
      <c r="P60434" s="3337"/>
    </row>
    <row r="60435" spans="7:16" s="1634" customFormat="1">
      <c r="G60435" s="3336"/>
      <c r="P60435" s="3337"/>
    </row>
    <row r="60436" spans="7:16" s="1634" customFormat="1">
      <c r="G60436" s="3336"/>
      <c r="P60436" s="3337"/>
    </row>
    <row r="60437" spans="7:16" s="1634" customFormat="1">
      <c r="G60437" s="3336"/>
      <c r="P60437" s="3337"/>
    </row>
    <row r="60438" spans="7:16" s="1634" customFormat="1">
      <c r="G60438" s="3336"/>
      <c r="P60438" s="3337"/>
    </row>
    <row r="60439" spans="7:16" s="1634" customFormat="1">
      <c r="G60439" s="3336"/>
      <c r="P60439" s="3337"/>
    </row>
    <row r="60440" spans="7:16" s="1634" customFormat="1">
      <c r="G60440" s="3336"/>
      <c r="P60440" s="3337"/>
    </row>
    <row r="60441" spans="7:16" s="1634" customFormat="1">
      <c r="G60441" s="3336"/>
      <c r="P60441" s="3337"/>
    </row>
    <row r="60442" spans="7:16" s="1634" customFormat="1">
      <c r="G60442" s="3336"/>
      <c r="P60442" s="3337"/>
    </row>
    <row r="60443" spans="7:16" s="1634" customFormat="1">
      <c r="G60443" s="3336"/>
      <c r="P60443" s="3337"/>
    </row>
    <row r="60444" spans="7:16" s="1634" customFormat="1">
      <c r="G60444" s="3336"/>
      <c r="P60444" s="3337"/>
    </row>
    <row r="60445" spans="7:16" s="1634" customFormat="1">
      <c r="G60445" s="3336"/>
      <c r="P60445" s="3337"/>
    </row>
    <row r="60446" spans="7:16" s="1634" customFormat="1">
      <c r="G60446" s="3336"/>
      <c r="P60446" s="3337"/>
    </row>
    <row r="60447" spans="7:16" s="1634" customFormat="1">
      <c r="G60447" s="3336"/>
      <c r="P60447" s="3337"/>
    </row>
    <row r="60448" spans="7:16" s="1634" customFormat="1">
      <c r="G60448" s="3336"/>
      <c r="P60448" s="3337"/>
    </row>
    <row r="60449" spans="7:16" s="1634" customFormat="1">
      <c r="G60449" s="3336"/>
      <c r="P60449" s="3337"/>
    </row>
    <row r="60450" spans="7:16" s="1634" customFormat="1">
      <c r="G60450" s="3336"/>
      <c r="P60450" s="3337"/>
    </row>
    <row r="60451" spans="7:16" s="1634" customFormat="1">
      <c r="G60451" s="3336"/>
      <c r="P60451" s="3337"/>
    </row>
    <row r="60452" spans="7:16" s="1634" customFormat="1">
      <c r="G60452" s="3336"/>
      <c r="P60452" s="3337"/>
    </row>
    <row r="60453" spans="7:16" s="1634" customFormat="1">
      <c r="G60453" s="3336"/>
      <c r="P60453" s="3337"/>
    </row>
    <row r="60454" spans="7:16" s="1634" customFormat="1">
      <c r="G60454" s="3336"/>
      <c r="P60454" s="3337"/>
    </row>
    <row r="60455" spans="7:16" s="1634" customFormat="1">
      <c r="G60455" s="3336"/>
      <c r="P60455" s="3337"/>
    </row>
    <row r="60456" spans="7:16" s="1634" customFormat="1">
      <c r="G60456" s="3336"/>
      <c r="P60456" s="3337"/>
    </row>
    <row r="60457" spans="7:16" s="1634" customFormat="1">
      <c r="G60457" s="3336"/>
      <c r="P60457" s="3337"/>
    </row>
    <row r="60458" spans="7:16" s="1634" customFormat="1">
      <c r="G60458" s="3336"/>
      <c r="P60458" s="3337"/>
    </row>
    <row r="60459" spans="7:16" s="1634" customFormat="1">
      <c r="G60459" s="3336"/>
      <c r="P60459" s="3337"/>
    </row>
    <row r="60460" spans="7:16" s="1634" customFormat="1">
      <c r="G60460" s="3336"/>
      <c r="P60460" s="3337"/>
    </row>
    <row r="60461" spans="7:16" s="1634" customFormat="1">
      <c r="G60461" s="3336"/>
      <c r="P60461" s="3337"/>
    </row>
    <row r="60462" spans="7:16" s="1634" customFormat="1">
      <c r="G60462" s="3336"/>
      <c r="P60462" s="3337"/>
    </row>
    <row r="60463" spans="7:16" s="1634" customFormat="1">
      <c r="G60463" s="3336"/>
      <c r="P60463" s="3337"/>
    </row>
    <row r="60464" spans="7:16" s="1634" customFormat="1">
      <c r="G60464" s="3336"/>
      <c r="P60464" s="3337"/>
    </row>
    <row r="60465" spans="7:16" s="1634" customFormat="1">
      <c r="G60465" s="3336"/>
      <c r="P60465" s="3337"/>
    </row>
    <row r="60466" spans="7:16" s="1634" customFormat="1">
      <c r="G60466" s="3336"/>
      <c r="P60466" s="3337"/>
    </row>
    <row r="60467" spans="7:16" s="1634" customFormat="1">
      <c r="G60467" s="3336"/>
      <c r="P60467" s="3337"/>
    </row>
    <row r="60468" spans="7:16" s="1634" customFormat="1">
      <c r="G60468" s="3336"/>
      <c r="P60468" s="3337"/>
    </row>
    <row r="60469" spans="7:16" s="1634" customFormat="1">
      <c r="G60469" s="3336"/>
      <c r="P60469" s="3337"/>
    </row>
    <row r="60470" spans="7:16" s="1634" customFormat="1">
      <c r="G60470" s="3336"/>
      <c r="P60470" s="3337"/>
    </row>
    <row r="60471" spans="7:16" s="1634" customFormat="1">
      <c r="G60471" s="3336"/>
      <c r="P60471" s="3337"/>
    </row>
    <row r="60472" spans="7:16" s="1634" customFormat="1">
      <c r="G60472" s="3336"/>
      <c r="P60472" s="3337"/>
    </row>
    <row r="60473" spans="7:16" s="1634" customFormat="1">
      <c r="G60473" s="3336"/>
      <c r="P60473" s="3337"/>
    </row>
    <row r="60474" spans="7:16" s="1634" customFormat="1">
      <c r="G60474" s="3336"/>
      <c r="P60474" s="3337"/>
    </row>
    <row r="60475" spans="7:16" s="1634" customFormat="1">
      <c r="G60475" s="3336"/>
      <c r="P60475" s="3337"/>
    </row>
    <row r="60476" spans="7:16" s="1634" customFormat="1">
      <c r="G60476" s="3336"/>
      <c r="P60476" s="3337"/>
    </row>
    <row r="60477" spans="7:16" s="1634" customFormat="1">
      <c r="G60477" s="3336"/>
      <c r="P60477" s="3337"/>
    </row>
    <row r="60478" spans="7:16" s="1634" customFormat="1">
      <c r="G60478" s="3336"/>
      <c r="P60478" s="3337"/>
    </row>
    <row r="60479" spans="7:16" s="1634" customFormat="1">
      <c r="G60479" s="3336"/>
      <c r="P60479" s="3337"/>
    </row>
    <row r="60480" spans="7:16" s="1634" customFormat="1">
      <c r="G60480" s="3336"/>
      <c r="P60480" s="3337"/>
    </row>
    <row r="60481" spans="7:16" s="1634" customFormat="1">
      <c r="G60481" s="3336"/>
      <c r="P60481" s="3337"/>
    </row>
    <row r="60482" spans="7:16" s="1634" customFormat="1">
      <c r="G60482" s="3336"/>
      <c r="P60482" s="3337"/>
    </row>
    <row r="60483" spans="7:16" s="1634" customFormat="1">
      <c r="G60483" s="3336"/>
      <c r="P60483" s="3337"/>
    </row>
    <row r="60484" spans="7:16" s="1634" customFormat="1">
      <c r="G60484" s="3336"/>
      <c r="P60484" s="3337"/>
    </row>
    <row r="60485" spans="7:16" s="1634" customFormat="1">
      <c r="G60485" s="3336"/>
      <c r="P60485" s="3337"/>
    </row>
    <row r="60486" spans="7:16" s="1634" customFormat="1">
      <c r="G60486" s="3336"/>
      <c r="P60486" s="3337"/>
    </row>
    <row r="60487" spans="7:16" s="1634" customFormat="1">
      <c r="G60487" s="3336"/>
      <c r="P60487" s="3337"/>
    </row>
    <row r="60488" spans="7:16" s="1634" customFormat="1">
      <c r="G60488" s="3336"/>
      <c r="P60488" s="3337"/>
    </row>
    <row r="60489" spans="7:16" s="1634" customFormat="1">
      <c r="G60489" s="3336"/>
      <c r="P60489" s="3337"/>
    </row>
    <row r="60490" spans="7:16" s="1634" customFormat="1">
      <c r="G60490" s="3336"/>
      <c r="P60490" s="3337"/>
    </row>
    <row r="60491" spans="7:16" s="1634" customFormat="1">
      <c r="G60491" s="3336"/>
      <c r="P60491" s="3337"/>
    </row>
    <row r="60492" spans="7:16" s="1634" customFormat="1">
      <c r="G60492" s="3336"/>
      <c r="P60492" s="3337"/>
    </row>
    <row r="60493" spans="7:16" s="1634" customFormat="1">
      <c r="G60493" s="3336"/>
      <c r="P60493" s="3337"/>
    </row>
    <row r="60494" spans="7:16" s="1634" customFormat="1">
      <c r="G60494" s="3336"/>
      <c r="P60494" s="3337"/>
    </row>
    <row r="60495" spans="7:16" s="1634" customFormat="1">
      <c r="G60495" s="3336"/>
      <c r="P60495" s="3337"/>
    </row>
    <row r="60496" spans="7:16" s="1634" customFormat="1">
      <c r="G60496" s="3336"/>
      <c r="P60496" s="3337"/>
    </row>
    <row r="60497" spans="7:16" s="1634" customFormat="1">
      <c r="G60497" s="3336"/>
      <c r="P60497" s="3337"/>
    </row>
    <row r="60498" spans="7:16" s="1634" customFormat="1">
      <c r="G60498" s="3336"/>
      <c r="P60498" s="3337"/>
    </row>
    <row r="60499" spans="7:16" s="1634" customFormat="1">
      <c r="G60499" s="3336"/>
      <c r="P60499" s="3337"/>
    </row>
    <row r="60500" spans="7:16" s="1634" customFormat="1">
      <c r="G60500" s="3336"/>
      <c r="P60500" s="3337"/>
    </row>
    <row r="60501" spans="7:16" s="1634" customFormat="1">
      <c r="G60501" s="3336"/>
      <c r="P60501" s="3337"/>
    </row>
    <row r="60502" spans="7:16" s="1634" customFormat="1">
      <c r="G60502" s="3336"/>
      <c r="P60502" s="3337"/>
    </row>
    <row r="60503" spans="7:16" s="1634" customFormat="1">
      <c r="G60503" s="3336"/>
      <c r="P60503" s="3337"/>
    </row>
    <row r="60504" spans="7:16" s="1634" customFormat="1">
      <c r="G60504" s="3336"/>
      <c r="P60504" s="3337"/>
    </row>
    <row r="60505" spans="7:16" s="1634" customFormat="1">
      <c r="G60505" s="3336"/>
      <c r="P60505" s="3337"/>
    </row>
    <row r="60506" spans="7:16" s="1634" customFormat="1">
      <c r="G60506" s="3336"/>
      <c r="P60506" s="3337"/>
    </row>
    <row r="60507" spans="7:16" s="1634" customFormat="1">
      <c r="G60507" s="3336"/>
      <c r="P60507" s="3337"/>
    </row>
    <row r="60508" spans="7:16" s="1634" customFormat="1">
      <c r="G60508" s="3336"/>
      <c r="P60508" s="3337"/>
    </row>
    <row r="60509" spans="7:16" s="1634" customFormat="1">
      <c r="G60509" s="3336"/>
      <c r="P60509" s="3337"/>
    </row>
    <row r="60510" spans="7:16" s="1634" customFormat="1">
      <c r="G60510" s="3336"/>
      <c r="P60510" s="3337"/>
    </row>
    <row r="60511" spans="7:16" s="1634" customFormat="1">
      <c r="G60511" s="3336"/>
      <c r="P60511" s="3337"/>
    </row>
    <row r="60512" spans="7:16" s="1634" customFormat="1">
      <c r="G60512" s="3336"/>
      <c r="P60512" s="3337"/>
    </row>
    <row r="60513" spans="7:16" s="1634" customFormat="1">
      <c r="G60513" s="3336"/>
      <c r="P60513" s="3337"/>
    </row>
    <row r="60514" spans="7:16" s="1634" customFormat="1">
      <c r="G60514" s="3336"/>
      <c r="P60514" s="3337"/>
    </row>
    <row r="60515" spans="7:16" s="1634" customFormat="1">
      <c r="G60515" s="3336"/>
      <c r="P60515" s="3337"/>
    </row>
    <row r="60516" spans="7:16" s="1634" customFormat="1">
      <c r="G60516" s="3336"/>
      <c r="P60516" s="3337"/>
    </row>
    <row r="60517" spans="7:16" s="1634" customFormat="1">
      <c r="G60517" s="3336"/>
      <c r="P60517" s="3337"/>
    </row>
    <row r="60518" spans="7:16" s="1634" customFormat="1">
      <c r="G60518" s="3336"/>
      <c r="P60518" s="3337"/>
    </row>
    <row r="60519" spans="7:16" s="1634" customFormat="1">
      <c r="G60519" s="3336"/>
      <c r="P60519" s="3337"/>
    </row>
    <row r="60520" spans="7:16" s="1634" customFormat="1">
      <c r="G60520" s="3336"/>
      <c r="P60520" s="3337"/>
    </row>
    <row r="60521" spans="7:16" s="1634" customFormat="1">
      <c r="G60521" s="3336"/>
      <c r="P60521" s="3337"/>
    </row>
    <row r="60522" spans="7:16" s="1634" customFormat="1">
      <c r="G60522" s="3336"/>
      <c r="P60522" s="3337"/>
    </row>
    <row r="60523" spans="7:16" s="1634" customFormat="1">
      <c r="G60523" s="3336"/>
      <c r="P60523" s="3337"/>
    </row>
    <row r="60524" spans="7:16" s="1634" customFormat="1">
      <c r="G60524" s="3336"/>
      <c r="P60524" s="3337"/>
    </row>
    <row r="60525" spans="7:16" s="1634" customFormat="1">
      <c r="G60525" s="3336"/>
      <c r="P60525" s="3337"/>
    </row>
    <row r="60526" spans="7:16" s="1634" customFormat="1">
      <c r="G60526" s="3336"/>
      <c r="P60526" s="3337"/>
    </row>
    <row r="60527" spans="7:16" s="1634" customFormat="1">
      <c r="G60527" s="3336"/>
      <c r="P60527" s="3337"/>
    </row>
    <row r="60528" spans="7:16" s="1634" customFormat="1">
      <c r="G60528" s="3336"/>
      <c r="P60528" s="3337"/>
    </row>
    <row r="60529" spans="7:16" s="1634" customFormat="1">
      <c r="G60529" s="3336"/>
      <c r="P60529" s="3337"/>
    </row>
    <row r="60530" spans="7:16" s="1634" customFormat="1">
      <c r="G60530" s="3336"/>
      <c r="P60530" s="3337"/>
    </row>
    <row r="60531" spans="7:16" s="1634" customFormat="1">
      <c r="G60531" s="3336"/>
      <c r="P60531" s="3337"/>
    </row>
    <row r="60532" spans="7:16" s="1634" customFormat="1">
      <c r="G60532" s="3336"/>
      <c r="P60532" s="3337"/>
    </row>
    <row r="60533" spans="7:16" s="1634" customFormat="1">
      <c r="G60533" s="3336"/>
      <c r="P60533" s="3337"/>
    </row>
    <row r="60534" spans="7:16" s="1634" customFormat="1">
      <c r="G60534" s="3336"/>
      <c r="P60534" s="3337"/>
    </row>
    <row r="60535" spans="7:16" s="1634" customFormat="1">
      <c r="G60535" s="3336"/>
      <c r="P60535" s="3337"/>
    </row>
    <row r="60536" spans="7:16" s="1634" customFormat="1">
      <c r="G60536" s="3336"/>
      <c r="P60536" s="3337"/>
    </row>
    <row r="60537" spans="7:16" s="1634" customFormat="1">
      <c r="G60537" s="3336"/>
      <c r="P60537" s="3337"/>
    </row>
    <row r="60538" spans="7:16" s="1634" customFormat="1">
      <c r="G60538" s="3336"/>
      <c r="P60538" s="3337"/>
    </row>
    <row r="60539" spans="7:16" s="1634" customFormat="1">
      <c r="G60539" s="3336"/>
      <c r="P60539" s="3337"/>
    </row>
    <row r="60540" spans="7:16" s="1634" customFormat="1">
      <c r="G60540" s="3336"/>
      <c r="P60540" s="3337"/>
    </row>
    <row r="60541" spans="7:16" s="1634" customFormat="1">
      <c r="G60541" s="3336"/>
      <c r="P60541" s="3337"/>
    </row>
    <row r="60542" spans="7:16" s="1634" customFormat="1">
      <c r="G60542" s="3336"/>
      <c r="P60542" s="3337"/>
    </row>
    <row r="60543" spans="7:16" s="1634" customFormat="1">
      <c r="G60543" s="3336"/>
      <c r="P60543" s="3337"/>
    </row>
    <row r="60544" spans="7:16" s="1634" customFormat="1">
      <c r="G60544" s="3336"/>
      <c r="P60544" s="3337"/>
    </row>
    <row r="60545" spans="7:16" s="1634" customFormat="1">
      <c r="G60545" s="3336"/>
      <c r="P60545" s="3337"/>
    </row>
    <row r="60546" spans="7:16" s="1634" customFormat="1">
      <c r="G60546" s="3336"/>
      <c r="P60546" s="3337"/>
    </row>
    <row r="60547" spans="7:16" s="1634" customFormat="1">
      <c r="G60547" s="3336"/>
      <c r="P60547" s="3337"/>
    </row>
    <row r="60548" spans="7:16" s="1634" customFormat="1">
      <c r="G60548" s="3336"/>
      <c r="P60548" s="3337"/>
    </row>
    <row r="60549" spans="7:16" s="1634" customFormat="1">
      <c r="G60549" s="3336"/>
      <c r="P60549" s="3337"/>
    </row>
    <row r="60550" spans="7:16" s="1634" customFormat="1">
      <c r="G60550" s="3336"/>
      <c r="P60550" s="3337"/>
    </row>
    <row r="60551" spans="7:16" s="1634" customFormat="1">
      <c r="G60551" s="3336"/>
      <c r="P60551" s="3337"/>
    </row>
    <row r="60552" spans="7:16" s="1634" customFormat="1">
      <c r="G60552" s="3336"/>
      <c r="P60552" s="3337"/>
    </row>
    <row r="60553" spans="7:16" s="1634" customFormat="1">
      <c r="G60553" s="3336"/>
      <c r="P60553" s="3337"/>
    </row>
    <row r="60554" spans="7:16" s="1634" customFormat="1">
      <c r="G60554" s="3336"/>
      <c r="P60554" s="3337"/>
    </row>
    <row r="60555" spans="7:16" s="1634" customFormat="1">
      <c r="G60555" s="3336"/>
      <c r="P60555" s="3337"/>
    </row>
    <row r="60556" spans="7:16" s="1634" customFormat="1">
      <c r="G60556" s="3336"/>
      <c r="P60556" s="3337"/>
    </row>
    <row r="60557" spans="7:16" s="1634" customFormat="1">
      <c r="G60557" s="3336"/>
      <c r="P60557" s="3337"/>
    </row>
    <row r="60558" spans="7:16" s="1634" customFormat="1">
      <c r="G60558" s="3336"/>
      <c r="P60558" s="3337"/>
    </row>
    <row r="60559" spans="7:16" s="1634" customFormat="1">
      <c r="G60559" s="3336"/>
      <c r="P60559" s="3337"/>
    </row>
    <row r="60560" spans="7:16" s="1634" customFormat="1">
      <c r="G60560" s="3336"/>
      <c r="P60560" s="3337"/>
    </row>
    <row r="60561" spans="7:16" s="1634" customFormat="1">
      <c r="G60561" s="3336"/>
      <c r="P60561" s="3337"/>
    </row>
    <row r="60562" spans="7:16" s="1634" customFormat="1">
      <c r="G60562" s="3336"/>
      <c r="P60562" s="3337"/>
    </row>
    <row r="60563" spans="7:16" s="1634" customFormat="1">
      <c r="G60563" s="3336"/>
      <c r="P60563" s="3337"/>
    </row>
    <row r="60564" spans="7:16" s="1634" customFormat="1">
      <c r="G60564" s="3336"/>
      <c r="P60564" s="3337"/>
    </row>
    <row r="60565" spans="7:16" s="1634" customFormat="1">
      <c r="G60565" s="3336"/>
      <c r="P60565" s="3337"/>
    </row>
    <row r="60566" spans="7:16" s="1634" customFormat="1">
      <c r="G60566" s="3336"/>
      <c r="P60566" s="3337"/>
    </row>
    <row r="60567" spans="7:16" s="1634" customFormat="1">
      <c r="G60567" s="3336"/>
      <c r="P60567" s="3337"/>
    </row>
    <row r="60568" spans="7:16" s="1634" customFormat="1">
      <c r="G60568" s="3336"/>
      <c r="P60568" s="3337"/>
    </row>
    <row r="60569" spans="7:16" s="1634" customFormat="1">
      <c r="G60569" s="3336"/>
      <c r="P60569" s="3337"/>
    </row>
    <row r="60570" spans="7:16" s="1634" customFormat="1">
      <c r="G60570" s="3336"/>
      <c r="P60570" s="3337"/>
    </row>
    <row r="60571" spans="7:16" s="1634" customFormat="1">
      <c r="G60571" s="3336"/>
      <c r="P60571" s="3337"/>
    </row>
    <row r="60572" spans="7:16" s="1634" customFormat="1">
      <c r="G60572" s="3336"/>
      <c r="P60572" s="3337"/>
    </row>
    <row r="60573" spans="7:16" s="1634" customFormat="1">
      <c r="G60573" s="3336"/>
      <c r="P60573" s="3337"/>
    </row>
    <row r="60574" spans="7:16" s="1634" customFormat="1">
      <c r="G60574" s="3336"/>
      <c r="P60574" s="3337"/>
    </row>
    <row r="60575" spans="7:16" s="1634" customFormat="1">
      <c r="G60575" s="3336"/>
      <c r="P60575" s="3337"/>
    </row>
    <row r="60576" spans="7:16" s="1634" customFormat="1">
      <c r="G60576" s="3336"/>
      <c r="P60576" s="3337"/>
    </row>
    <row r="60577" spans="7:16" s="1634" customFormat="1">
      <c r="G60577" s="3336"/>
      <c r="P60577" s="3337"/>
    </row>
    <row r="60578" spans="7:16" s="1634" customFormat="1">
      <c r="G60578" s="3336"/>
      <c r="P60578" s="3337"/>
    </row>
    <row r="60579" spans="7:16" s="1634" customFormat="1">
      <c r="G60579" s="3336"/>
      <c r="P60579" s="3337"/>
    </row>
    <row r="60580" spans="7:16" s="1634" customFormat="1">
      <c r="G60580" s="3336"/>
      <c r="P60580" s="3337"/>
    </row>
    <row r="60581" spans="7:16" s="1634" customFormat="1">
      <c r="G60581" s="3336"/>
      <c r="P60581" s="3337"/>
    </row>
    <row r="60582" spans="7:16" s="1634" customFormat="1">
      <c r="G60582" s="3336"/>
      <c r="P60582" s="3337"/>
    </row>
    <row r="60583" spans="7:16" s="1634" customFormat="1">
      <c r="G60583" s="3336"/>
      <c r="P60583" s="3337"/>
    </row>
    <row r="60584" spans="7:16" s="1634" customFormat="1">
      <c r="G60584" s="3336"/>
      <c r="P60584" s="3337"/>
    </row>
    <row r="60585" spans="7:16" s="1634" customFormat="1">
      <c r="G60585" s="3336"/>
      <c r="P60585" s="3337"/>
    </row>
    <row r="60586" spans="7:16" s="1634" customFormat="1">
      <c r="G60586" s="3336"/>
      <c r="P60586" s="3337"/>
    </row>
    <row r="60587" spans="7:16" s="1634" customFormat="1">
      <c r="G60587" s="3336"/>
      <c r="P60587" s="3337"/>
    </row>
    <row r="60588" spans="7:16" s="1634" customFormat="1">
      <c r="G60588" s="3336"/>
      <c r="P60588" s="3337"/>
    </row>
    <row r="60589" spans="7:16" s="1634" customFormat="1">
      <c r="G60589" s="3336"/>
      <c r="P60589" s="3337"/>
    </row>
    <row r="60590" spans="7:16" s="1634" customFormat="1">
      <c r="G60590" s="3336"/>
      <c r="P60590" s="3337"/>
    </row>
    <row r="60591" spans="7:16" s="1634" customFormat="1">
      <c r="G60591" s="3336"/>
      <c r="P60591" s="3337"/>
    </row>
    <row r="60592" spans="7:16" s="1634" customFormat="1">
      <c r="G60592" s="3336"/>
      <c r="P60592" s="3337"/>
    </row>
    <row r="60593" spans="7:16" s="1634" customFormat="1">
      <c r="G60593" s="3336"/>
      <c r="P60593" s="3337"/>
    </row>
    <row r="60594" spans="7:16" s="1634" customFormat="1">
      <c r="G60594" s="3336"/>
      <c r="P60594" s="3337"/>
    </row>
    <row r="60595" spans="7:16" s="1634" customFormat="1">
      <c r="G60595" s="3336"/>
      <c r="P60595" s="3337"/>
    </row>
    <row r="60596" spans="7:16" s="1634" customFormat="1">
      <c r="G60596" s="3336"/>
      <c r="P60596" s="3337"/>
    </row>
    <row r="60597" spans="7:16" s="1634" customFormat="1">
      <c r="G60597" s="3336"/>
      <c r="P60597" s="3337"/>
    </row>
    <row r="60598" spans="7:16" s="1634" customFormat="1">
      <c r="G60598" s="3336"/>
      <c r="P60598" s="3337"/>
    </row>
    <row r="60599" spans="7:16" s="1634" customFormat="1">
      <c r="G60599" s="3336"/>
      <c r="P60599" s="3337"/>
    </row>
    <row r="60600" spans="7:16" s="1634" customFormat="1">
      <c r="G60600" s="3336"/>
      <c r="P60600" s="3337"/>
    </row>
    <row r="60601" spans="7:16" s="1634" customFormat="1">
      <c r="G60601" s="3336"/>
      <c r="P60601" s="3337"/>
    </row>
    <row r="60602" spans="7:16" s="1634" customFormat="1">
      <c r="G60602" s="3336"/>
      <c r="P60602" s="3337"/>
    </row>
    <row r="60603" spans="7:16" s="1634" customFormat="1">
      <c r="G60603" s="3336"/>
      <c r="P60603" s="3337"/>
    </row>
    <row r="60604" spans="7:16" s="1634" customFormat="1">
      <c r="G60604" s="3336"/>
      <c r="P60604" s="3337"/>
    </row>
    <row r="60605" spans="7:16" s="1634" customFormat="1">
      <c r="G60605" s="3336"/>
      <c r="P60605" s="3337"/>
    </row>
    <row r="60606" spans="7:16" s="1634" customFormat="1">
      <c r="G60606" s="3336"/>
      <c r="P60606" s="3337"/>
    </row>
    <row r="60607" spans="7:16" s="1634" customFormat="1">
      <c r="G60607" s="3336"/>
      <c r="P60607" s="3337"/>
    </row>
    <row r="60608" spans="7:16" s="1634" customFormat="1">
      <c r="G60608" s="3336"/>
      <c r="P60608" s="3337"/>
    </row>
    <row r="60609" spans="7:16" s="1634" customFormat="1">
      <c r="G60609" s="3336"/>
      <c r="P60609" s="3337"/>
    </row>
    <row r="60610" spans="7:16" s="1634" customFormat="1">
      <c r="G60610" s="3336"/>
      <c r="P60610" s="3337"/>
    </row>
    <row r="60611" spans="7:16" s="1634" customFormat="1">
      <c r="G60611" s="3336"/>
      <c r="P60611" s="3337"/>
    </row>
    <row r="60612" spans="7:16" s="1634" customFormat="1">
      <c r="G60612" s="3336"/>
      <c r="P60612" s="3337"/>
    </row>
    <row r="60613" spans="7:16" s="1634" customFormat="1">
      <c r="G60613" s="3336"/>
      <c r="P60613" s="3337"/>
    </row>
    <row r="60614" spans="7:16" s="1634" customFormat="1">
      <c r="G60614" s="3336"/>
      <c r="P60614" s="3337"/>
    </row>
    <row r="60615" spans="7:16" s="1634" customFormat="1">
      <c r="G60615" s="3336"/>
      <c r="P60615" s="3337"/>
    </row>
    <row r="60616" spans="7:16" s="1634" customFormat="1">
      <c r="G60616" s="3336"/>
      <c r="P60616" s="3337"/>
    </row>
    <row r="60617" spans="7:16" s="1634" customFormat="1">
      <c r="G60617" s="3336"/>
      <c r="P60617" s="3337"/>
    </row>
    <row r="60618" spans="7:16" s="1634" customFormat="1">
      <c r="G60618" s="3336"/>
      <c r="P60618" s="3337"/>
    </row>
    <row r="60619" spans="7:16" s="1634" customFormat="1">
      <c r="G60619" s="3336"/>
      <c r="P60619" s="3337"/>
    </row>
    <row r="60620" spans="7:16" s="1634" customFormat="1">
      <c r="G60620" s="3336"/>
      <c r="P60620" s="3337"/>
    </row>
    <row r="60621" spans="7:16" s="1634" customFormat="1">
      <c r="G60621" s="3336"/>
      <c r="P60621" s="3337"/>
    </row>
    <row r="60622" spans="7:16" s="1634" customFormat="1">
      <c r="G60622" s="3336"/>
      <c r="P60622" s="3337"/>
    </row>
    <row r="60623" spans="7:16" s="1634" customFormat="1">
      <c r="G60623" s="3336"/>
      <c r="P60623" s="3337"/>
    </row>
    <row r="60624" spans="7:16" s="1634" customFormat="1">
      <c r="G60624" s="3336"/>
      <c r="P60624" s="3337"/>
    </row>
    <row r="60625" spans="7:16" s="1634" customFormat="1">
      <c r="G60625" s="3336"/>
      <c r="P60625" s="3337"/>
    </row>
    <row r="60626" spans="7:16" s="1634" customFormat="1">
      <c r="G60626" s="3336"/>
      <c r="P60626" s="3337"/>
    </row>
    <row r="60627" spans="7:16" s="1634" customFormat="1">
      <c r="G60627" s="3336"/>
      <c r="P60627" s="3337"/>
    </row>
    <row r="60628" spans="7:16" s="1634" customFormat="1">
      <c r="G60628" s="3336"/>
      <c r="P60628" s="3337"/>
    </row>
    <row r="60629" spans="7:16" s="1634" customFormat="1">
      <c r="G60629" s="3336"/>
      <c r="P60629" s="3337"/>
    </row>
    <row r="60630" spans="7:16" s="1634" customFormat="1">
      <c r="G60630" s="3336"/>
      <c r="P60630" s="3337"/>
    </row>
    <row r="60631" spans="7:16" s="1634" customFormat="1">
      <c r="G60631" s="3336"/>
      <c r="P60631" s="3337"/>
    </row>
    <row r="60632" spans="7:16" s="1634" customFormat="1">
      <c r="G60632" s="3336"/>
      <c r="P60632" s="3337"/>
    </row>
    <row r="60633" spans="7:16" s="1634" customFormat="1">
      <c r="G60633" s="3336"/>
      <c r="P60633" s="3337"/>
    </row>
    <row r="60634" spans="7:16" s="1634" customFormat="1">
      <c r="G60634" s="3336"/>
      <c r="P60634" s="3337"/>
    </row>
    <row r="60635" spans="7:16" s="1634" customFormat="1">
      <c r="G60635" s="3336"/>
      <c r="P60635" s="3337"/>
    </row>
    <row r="60636" spans="7:16" s="1634" customFormat="1">
      <c r="G60636" s="3336"/>
      <c r="P60636" s="3337"/>
    </row>
    <row r="60637" spans="7:16" s="1634" customFormat="1">
      <c r="G60637" s="3336"/>
      <c r="P60637" s="3337"/>
    </row>
    <row r="60638" spans="7:16" s="1634" customFormat="1">
      <c r="G60638" s="3336"/>
      <c r="P60638" s="3337"/>
    </row>
    <row r="60639" spans="7:16" s="1634" customFormat="1">
      <c r="G60639" s="3336"/>
      <c r="P60639" s="3337"/>
    </row>
    <row r="60640" spans="7:16" s="1634" customFormat="1">
      <c r="G60640" s="3336"/>
      <c r="P60640" s="3337"/>
    </row>
    <row r="60641" spans="7:16" s="1634" customFormat="1">
      <c r="G60641" s="3336"/>
      <c r="P60641" s="3337"/>
    </row>
    <row r="60642" spans="7:16" s="1634" customFormat="1">
      <c r="G60642" s="3336"/>
      <c r="P60642" s="3337"/>
    </row>
    <row r="60643" spans="7:16" s="1634" customFormat="1">
      <c r="G60643" s="3336"/>
      <c r="P60643" s="3337"/>
    </row>
    <row r="60644" spans="7:16" s="1634" customFormat="1">
      <c r="G60644" s="3336"/>
      <c r="P60644" s="3337"/>
    </row>
    <row r="60645" spans="7:16" s="1634" customFormat="1">
      <c r="G60645" s="3336"/>
      <c r="P60645" s="3337"/>
    </row>
    <row r="60646" spans="7:16" s="1634" customFormat="1">
      <c r="G60646" s="3336"/>
      <c r="P60646" s="3337"/>
    </row>
    <row r="60647" spans="7:16" s="1634" customFormat="1">
      <c r="G60647" s="3336"/>
      <c r="P60647" s="3337"/>
    </row>
    <row r="60648" spans="7:16" s="1634" customFormat="1">
      <c r="G60648" s="3336"/>
      <c r="P60648" s="3337"/>
    </row>
    <row r="60649" spans="7:16" s="1634" customFormat="1">
      <c r="G60649" s="3336"/>
      <c r="P60649" s="3337"/>
    </row>
    <row r="60650" spans="7:16" s="1634" customFormat="1">
      <c r="G60650" s="3336"/>
      <c r="P60650" s="3337"/>
    </row>
    <row r="60651" spans="7:16" s="1634" customFormat="1">
      <c r="G60651" s="3336"/>
      <c r="P60651" s="3337"/>
    </row>
    <row r="60652" spans="7:16" s="1634" customFormat="1">
      <c r="G60652" s="3336"/>
      <c r="P60652" s="3337"/>
    </row>
    <row r="60653" spans="7:16" s="1634" customFormat="1">
      <c r="G60653" s="3336"/>
      <c r="P60653" s="3337"/>
    </row>
    <row r="60654" spans="7:16" s="1634" customFormat="1">
      <c r="G60654" s="3336"/>
      <c r="P60654" s="3337"/>
    </row>
    <row r="60655" spans="7:16" s="1634" customFormat="1">
      <c r="G60655" s="3336"/>
      <c r="P60655" s="3337"/>
    </row>
    <row r="60656" spans="7:16" s="1634" customFormat="1">
      <c r="G60656" s="3336"/>
      <c r="P60656" s="3337"/>
    </row>
    <row r="60657" spans="7:16" s="1634" customFormat="1">
      <c r="G60657" s="3336"/>
      <c r="P60657" s="3337"/>
    </row>
    <row r="60658" spans="7:16" s="1634" customFormat="1">
      <c r="G60658" s="3336"/>
      <c r="P60658" s="3337"/>
    </row>
    <row r="60659" spans="7:16" s="1634" customFormat="1">
      <c r="G60659" s="3336"/>
      <c r="P60659" s="3337"/>
    </row>
    <row r="60660" spans="7:16" s="1634" customFormat="1">
      <c r="G60660" s="3336"/>
      <c r="P60660" s="3337"/>
    </row>
    <row r="60661" spans="7:16" s="1634" customFormat="1">
      <c r="G60661" s="3336"/>
      <c r="P60661" s="3337"/>
    </row>
    <row r="60662" spans="7:16" s="1634" customFormat="1">
      <c r="G60662" s="3336"/>
      <c r="P60662" s="3337"/>
    </row>
    <row r="60663" spans="7:16" s="1634" customFormat="1">
      <c r="G60663" s="3336"/>
      <c r="P60663" s="3337"/>
    </row>
    <row r="60664" spans="7:16" s="1634" customFormat="1">
      <c r="G60664" s="3336"/>
      <c r="P60664" s="3337"/>
    </row>
    <row r="60665" spans="7:16" s="1634" customFormat="1">
      <c r="G60665" s="3336"/>
      <c r="P60665" s="3337"/>
    </row>
    <row r="60666" spans="7:16" s="1634" customFormat="1">
      <c r="G60666" s="3336"/>
      <c r="P60666" s="3337"/>
    </row>
    <row r="60667" spans="7:16" s="1634" customFormat="1">
      <c r="G60667" s="3336"/>
      <c r="P60667" s="3337"/>
    </row>
    <row r="60668" spans="7:16" s="1634" customFormat="1">
      <c r="G60668" s="3336"/>
      <c r="P60668" s="3337"/>
    </row>
    <row r="60669" spans="7:16" s="1634" customFormat="1">
      <c r="G60669" s="3336"/>
      <c r="P60669" s="3337"/>
    </row>
    <row r="60670" spans="7:16" s="1634" customFormat="1">
      <c r="G60670" s="3336"/>
      <c r="P60670" s="3337"/>
    </row>
    <row r="60671" spans="7:16" s="1634" customFormat="1">
      <c r="G60671" s="3336"/>
      <c r="P60671" s="3337"/>
    </row>
    <row r="60672" spans="7:16" s="1634" customFormat="1">
      <c r="G60672" s="3336"/>
      <c r="P60672" s="3337"/>
    </row>
    <row r="60673" spans="7:16" s="1634" customFormat="1">
      <c r="G60673" s="3336"/>
      <c r="P60673" s="3337"/>
    </row>
    <row r="60674" spans="7:16" s="1634" customFormat="1">
      <c r="G60674" s="3336"/>
      <c r="P60674" s="3337"/>
    </row>
    <row r="60675" spans="7:16" s="1634" customFormat="1">
      <c r="G60675" s="3336"/>
      <c r="P60675" s="3337"/>
    </row>
    <row r="60676" spans="7:16" s="1634" customFormat="1">
      <c r="G60676" s="3336"/>
      <c r="P60676" s="3337"/>
    </row>
    <row r="60677" spans="7:16" s="1634" customFormat="1">
      <c r="G60677" s="3336"/>
      <c r="P60677" s="3337"/>
    </row>
    <row r="60678" spans="7:16" s="1634" customFormat="1">
      <c r="G60678" s="3336"/>
      <c r="P60678" s="3337"/>
    </row>
    <row r="60679" spans="7:16" s="1634" customFormat="1">
      <c r="G60679" s="3336"/>
      <c r="P60679" s="3337"/>
    </row>
    <row r="60680" spans="7:16" s="1634" customFormat="1">
      <c r="G60680" s="3336"/>
      <c r="P60680" s="3337"/>
    </row>
    <row r="60681" spans="7:16" s="1634" customFormat="1">
      <c r="G60681" s="3336"/>
      <c r="P60681" s="3337"/>
    </row>
    <row r="60682" spans="7:16" s="1634" customFormat="1">
      <c r="G60682" s="3336"/>
      <c r="P60682" s="3337"/>
    </row>
    <row r="60683" spans="7:16" s="1634" customFormat="1">
      <c r="G60683" s="3336"/>
      <c r="P60683" s="3337"/>
    </row>
    <row r="60684" spans="7:16" s="1634" customFormat="1">
      <c r="G60684" s="3336"/>
      <c r="P60684" s="3337"/>
    </row>
    <row r="60685" spans="7:16" s="1634" customFormat="1">
      <c r="G60685" s="3336"/>
      <c r="P60685" s="3337"/>
    </row>
    <row r="60686" spans="7:16" s="1634" customFormat="1">
      <c r="G60686" s="3336"/>
      <c r="P60686" s="3337"/>
    </row>
    <row r="60687" spans="7:16" s="1634" customFormat="1">
      <c r="G60687" s="3336"/>
      <c r="P60687" s="3337"/>
    </row>
    <row r="60688" spans="7:16" s="1634" customFormat="1">
      <c r="G60688" s="3336"/>
      <c r="P60688" s="3337"/>
    </row>
    <row r="60689" spans="7:16" s="1634" customFormat="1">
      <c r="G60689" s="3336"/>
      <c r="P60689" s="3337"/>
    </row>
    <row r="60690" spans="7:16" s="1634" customFormat="1">
      <c r="G60690" s="3336"/>
      <c r="P60690" s="3337"/>
    </row>
    <row r="60691" spans="7:16" s="1634" customFormat="1">
      <c r="G60691" s="3336"/>
      <c r="P60691" s="3337"/>
    </row>
    <row r="60692" spans="7:16" s="1634" customFormat="1">
      <c r="G60692" s="3336"/>
      <c r="P60692" s="3337"/>
    </row>
    <row r="60693" spans="7:16" s="1634" customFormat="1">
      <c r="G60693" s="3336"/>
      <c r="P60693" s="3337"/>
    </row>
    <row r="60694" spans="7:16" s="1634" customFormat="1">
      <c r="G60694" s="3336"/>
      <c r="P60694" s="3337"/>
    </row>
    <row r="60695" spans="7:16" s="1634" customFormat="1">
      <c r="G60695" s="3336"/>
      <c r="P60695" s="3337"/>
    </row>
    <row r="60696" spans="7:16" s="1634" customFormat="1">
      <c r="G60696" s="3336"/>
      <c r="P60696" s="3337"/>
    </row>
    <row r="60697" spans="7:16" s="1634" customFormat="1">
      <c r="G60697" s="3336"/>
      <c r="P60697" s="3337"/>
    </row>
    <row r="60698" spans="7:16" s="1634" customFormat="1">
      <c r="G60698" s="3336"/>
      <c r="P60698" s="3337"/>
    </row>
    <row r="60699" spans="7:16" s="1634" customFormat="1">
      <c r="G60699" s="3336"/>
      <c r="P60699" s="3337"/>
    </row>
    <row r="60700" spans="7:16" s="1634" customFormat="1">
      <c r="G60700" s="3336"/>
      <c r="P60700" s="3337"/>
    </row>
    <row r="60701" spans="7:16" s="1634" customFormat="1">
      <c r="G60701" s="3336"/>
      <c r="P60701" s="3337"/>
    </row>
    <row r="60702" spans="7:16" s="1634" customFormat="1">
      <c r="G60702" s="3336"/>
      <c r="P60702" s="3337"/>
    </row>
    <row r="60703" spans="7:16" s="1634" customFormat="1">
      <c r="G60703" s="3336"/>
      <c r="P60703" s="3337"/>
    </row>
    <row r="60704" spans="7:16" s="1634" customFormat="1">
      <c r="G60704" s="3336"/>
      <c r="P60704" s="3337"/>
    </row>
    <row r="60705" spans="7:16" s="1634" customFormat="1">
      <c r="G60705" s="3336"/>
      <c r="P60705" s="3337"/>
    </row>
    <row r="60706" spans="7:16" s="1634" customFormat="1">
      <c r="G60706" s="3336"/>
      <c r="P60706" s="3337"/>
    </row>
    <row r="60707" spans="7:16" s="1634" customFormat="1">
      <c r="G60707" s="3336"/>
      <c r="P60707" s="3337"/>
    </row>
    <row r="60708" spans="7:16" s="1634" customFormat="1">
      <c r="G60708" s="3336"/>
      <c r="P60708" s="3337"/>
    </row>
    <row r="60709" spans="7:16" s="1634" customFormat="1">
      <c r="G60709" s="3336"/>
      <c r="P60709" s="3337"/>
    </row>
    <row r="60710" spans="7:16" s="1634" customFormat="1">
      <c r="G60710" s="3336"/>
      <c r="P60710" s="3337"/>
    </row>
    <row r="60711" spans="7:16" s="1634" customFormat="1">
      <c r="G60711" s="3336"/>
      <c r="P60711" s="3337"/>
    </row>
    <row r="60712" spans="7:16" s="1634" customFormat="1">
      <c r="G60712" s="3336"/>
      <c r="P60712" s="3337"/>
    </row>
    <row r="60713" spans="7:16" s="1634" customFormat="1">
      <c r="G60713" s="3336"/>
      <c r="P60713" s="3337"/>
    </row>
    <row r="60714" spans="7:16" s="1634" customFormat="1">
      <c r="G60714" s="3336"/>
      <c r="P60714" s="3337"/>
    </row>
    <row r="60715" spans="7:16" s="1634" customFormat="1">
      <c r="G60715" s="3336"/>
      <c r="P60715" s="3337"/>
    </row>
    <row r="60716" spans="7:16" s="1634" customFormat="1">
      <c r="G60716" s="3336"/>
      <c r="P60716" s="3337"/>
    </row>
    <row r="60717" spans="7:16" s="1634" customFormat="1">
      <c r="G60717" s="3336"/>
      <c r="P60717" s="3337"/>
    </row>
    <row r="60718" spans="7:16" s="1634" customFormat="1">
      <c r="G60718" s="3336"/>
      <c r="P60718" s="3337"/>
    </row>
    <row r="60719" spans="7:16" s="1634" customFormat="1">
      <c r="G60719" s="3336"/>
      <c r="P60719" s="3337"/>
    </row>
    <row r="60720" spans="7:16" s="1634" customFormat="1">
      <c r="G60720" s="3336"/>
      <c r="P60720" s="3337"/>
    </row>
    <row r="60721" spans="7:16" s="1634" customFormat="1">
      <c r="G60721" s="3336"/>
      <c r="P60721" s="3337"/>
    </row>
    <row r="60722" spans="7:16" s="1634" customFormat="1">
      <c r="G60722" s="3336"/>
      <c r="P60722" s="3337"/>
    </row>
    <row r="60723" spans="7:16" s="1634" customFormat="1">
      <c r="G60723" s="3336"/>
      <c r="P60723" s="3337"/>
    </row>
    <row r="60724" spans="7:16" s="1634" customFormat="1">
      <c r="G60724" s="3336"/>
      <c r="P60724" s="3337"/>
    </row>
    <row r="60725" spans="7:16" s="1634" customFormat="1">
      <c r="G60725" s="3336"/>
      <c r="P60725" s="3337"/>
    </row>
    <row r="60726" spans="7:16" s="1634" customFormat="1">
      <c r="G60726" s="3336"/>
      <c r="P60726" s="3337"/>
    </row>
    <row r="60727" spans="7:16" s="1634" customFormat="1">
      <c r="G60727" s="3336"/>
      <c r="P60727" s="3337"/>
    </row>
    <row r="60728" spans="7:16" s="1634" customFormat="1">
      <c r="G60728" s="3336"/>
      <c r="P60728" s="3337"/>
    </row>
    <row r="60729" spans="7:16" s="1634" customFormat="1">
      <c r="G60729" s="3336"/>
      <c r="P60729" s="3337"/>
    </row>
    <row r="60730" spans="7:16" s="1634" customFormat="1">
      <c r="G60730" s="3336"/>
      <c r="P60730" s="3337"/>
    </row>
    <row r="60731" spans="7:16" s="1634" customFormat="1">
      <c r="G60731" s="3336"/>
      <c r="P60731" s="3337"/>
    </row>
    <row r="60732" spans="7:16" s="1634" customFormat="1">
      <c r="G60732" s="3336"/>
      <c r="P60732" s="3337"/>
    </row>
    <row r="60733" spans="7:16" s="1634" customFormat="1">
      <c r="G60733" s="3336"/>
      <c r="P60733" s="3337"/>
    </row>
    <row r="60734" spans="7:16" s="1634" customFormat="1">
      <c r="G60734" s="3336"/>
      <c r="P60734" s="3337"/>
    </row>
    <row r="60735" spans="7:16" s="1634" customFormat="1">
      <c r="G60735" s="3336"/>
      <c r="P60735" s="3337"/>
    </row>
    <row r="60736" spans="7:16" s="1634" customFormat="1">
      <c r="G60736" s="3336"/>
      <c r="P60736" s="3337"/>
    </row>
    <row r="60737" spans="7:16" s="1634" customFormat="1">
      <c r="G60737" s="3336"/>
      <c r="P60737" s="3337"/>
    </row>
    <row r="60738" spans="7:16" s="1634" customFormat="1">
      <c r="G60738" s="3336"/>
      <c r="P60738" s="3337"/>
    </row>
    <row r="60739" spans="7:16" s="1634" customFormat="1">
      <c r="G60739" s="3336"/>
      <c r="P60739" s="3337"/>
    </row>
    <row r="60740" spans="7:16" s="1634" customFormat="1">
      <c r="G60740" s="3336"/>
      <c r="P60740" s="3337"/>
    </row>
    <row r="60741" spans="7:16" s="1634" customFormat="1">
      <c r="G60741" s="3336"/>
      <c r="P60741" s="3337"/>
    </row>
    <row r="60742" spans="7:16" s="1634" customFormat="1">
      <c r="G60742" s="3336"/>
      <c r="P60742" s="3337"/>
    </row>
    <row r="60743" spans="7:16" s="1634" customFormat="1">
      <c r="G60743" s="3336"/>
      <c r="P60743" s="3337"/>
    </row>
    <row r="60744" spans="7:16" s="1634" customFormat="1">
      <c r="G60744" s="3336"/>
      <c r="P60744" s="3337"/>
    </row>
    <row r="60745" spans="7:16" s="1634" customFormat="1">
      <c r="G60745" s="3336"/>
      <c r="P60745" s="3337"/>
    </row>
    <row r="60746" spans="7:16" s="1634" customFormat="1">
      <c r="G60746" s="3336"/>
      <c r="P60746" s="3337"/>
    </row>
    <row r="60747" spans="7:16" s="1634" customFormat="1">
      <c r="G60747" s="3336"/>
      <c r="P60747" s="3337"/>
    </row>
    <row r="60748" spans="7:16" s="1634" customFormat="1">
      <c r="G60748" s="3336"/>
      <c r="P60748" s="3337"/>
    </row>
    <row r="60749" spans="7:16" s="1634" customFormat="1">
      <c r="G60749" s="3336"/>
      <c r="P60749" s="3337"/>
    </row>
    <row r="60750" spans="7:16" s="1634" customFormat="1">
      <c r="G60750" s="3336"/>
      <c r="P60750" s="3337"/>
    </row>
    <row r="60751" spans="7:16" s="1634" customFormat="1">
      <c r="G60751" s="3336"/>
      <c r="P60751" s="3337"/>
    </row>
    <row r="60752" spans="7:16" s="1634" customFormat="1">
      <c r="G60752" s="3336"/>
      <c r="P60752" s="3337"/>
    </row>
    <row r="60753" spans="7:16" s="1634" customFormat="1">
      <c r="G60753" s="3336"/>
      <c r="P60753" s="3337"/>
    </row>
    <row r="60754" spans="7:16" s="1634" customFormat="1">
      <c r="G60754" s="3336"/>
      <c r="P60754" s="3337"/>
    </row>
    <row r="60755" spans="7:16" s="1634" customFormat="1">
      <c r="G60755" s="3336"/>
      <c r="P60755" s="3337"/>
    </row>
    <row r="60756" spans="7:16" s="1634" customFormat="1">
      <c r="G60756" s="3336"/>
      <c r="P60756" s="3337"/>
    </row>
    <row r="60757" spans="7:16" s="1634" customFormat="1">
      <c r="G60757" s="3336"/>
      <c r="P60757" s="3337"/>
    </row>
    <row r="60758" spans="7:16" s="1634" customFormat="1">
      <c r="G60758" s="3336"/>
      <c r="P60758" s="3337"/>
    </row>
    <row r="60759" spans="7:16" s="1634" customFormat="1">
      <c r="G60759" s="3336"/>
      <c r="P60759" s="3337"/>
    </row>
    <row r="60760" spans="7:16" s="1634" customFormat="1">
      <c r="G60760" s="3336"/>
      <c r="P60760" s="3337"/>
    </row>
    <row r="60761" spans="7:16" s="1634" customFormat="1">
      <c r="G60761" s="3336"/>
      <c r="P60761" s="3337"/>
    </row>
    <row r="60762" spans="7:16" s="1634" customFormat="1">
      <c r="G60762" s="3336"/>
      <c r="P60762" s="3337"/>
    </row>
    <row r="60763" spans="7:16" s="1634" customFormat="1">
      <c r="G60763" s="3336"/>
      <c r="P60763" s="3337"/>
    </row>
    <row r="60764" spans="7:16" s="1634" customFormat="1">
      <c r="G60764" s="3336"/>
      <c r="P60764" s="3337"/>
    </row>
    <row r="60765" spans="7:16" s="1634" customFormat="1">
      <c r="G60765" s="3336"/>
      <c r="P60765" s="3337"/>
    </row>
    <row r="60766" spans="7:16" s="1634" customFormat="1">
      <c r="G60766" s="3336"/>
      <c r="P60766" s="3337"/>
    </row>
    <row r="60767" spans="7:16" s="1634" customFormat="1">
      <c r="G60767" s="3336"/>
      <c r="P60767" s="3337"/>
    </row>
    <row r="60768" spans="7:16" s="1634" customFormat="1">
      <c r="G60768" s="3336"/>
      <c r="P60768" s="3337"/>
    </row>
    <row r="60769" spans="7:16" s="1634" customFormat="1">
      <c r="G60769" s="3336"/>
      <c r="P60769" s="3337"/>
    </row>
    <row r="60770" spans="7:16" s="1634" customFormat="1">
      <c r="G60770" s="3336"/>
      <c r="P60770" s="3337"/>
    </row>
    <row r="60771" spans="7:16" s="1634" customFormat="1">
      <c r="G60771" s="3336"/>
      <c r="P60771" s="3337"/>
    </row>
    <row r="60772" spans="7:16" s="1634" customFormat="1">
      <c r="G60772" s="3336"/>
      <c r="P60772" s="3337"/>
    </row>
    <row r="60773" spans="7:16" s="1634" customFormat="1">
      <c r="G60773" s="3336"/>
      <c r="P60773" s="3337"/>
    </row>
    <row r="60774" spans="7:16" s="1634" customFormat="1">
      <c r="G60774" s="3336"/>
      <c r="P60774" s="3337"/>
    </row>
    <row r="60775" spans="7:16" s="1634" customFormat="1">
      <c r="G60775" s="3336"/>
      <c r="P60775" s="3337"/>
    </row>
    <row r="60776" spans="7:16" s="1634" customFormat="1">
      <c r="G60776" s="3336"/>
      <c r="P60776" s="3337"/>
    </row>
    <row r="60777" spans="7:16" s="1634" customFormat="1">
      <c r="G60777" s="3336"/>
      <c r="P60777" s="3337"/>
    </row>
    <row r="60778" spans="7:16" s="1634" customFormat="1">
      <c r="G60778" s="3336"/>
      <c r="P60778" s="3337"/>
    </row>
    <row r="60779" spans="7:16" s="1634" customFormat="1">
      <c r="G60779" s="3336"/>
      <c r="P60779" s="3337"/>
    </row>
    <row r="60780" spans="7:16" s="1634" customFormat="1">
      <c r="G60780" s="3336"/>
      <c r="P60780" s="3337"/>
    </row>
    <row r="60781" spans="7:16" s="1634" customFormat="1">
      <c r="G60781" s="3336"/>
      <c r="P60781" s="3337"/>
    </row>
    <row r="60782" spans="7:16" s="1634" customFormat="1">
      <c r="G60782" s="3336"/>
      <c r="P60782" s="3337"/>
    </row>
    <row r="60783" spans="7:16" s="1634" customFormat="1">
      <c r="G60783" s="3336"/>
      <c r="P60783" s="3337"/>
    </row>
    <row r="60784" spans="7:16" s="1634" customFormat="1">
      <c r="G60784" s="3336"/>
      <c r="P60784" s="3337"/>
    </row>
    <row r="60785" spans="7:16" s="1634" customFormat="1">
      <c r="G60785" s="3336"/>
      <c r="P60785" s="3337"/>
    </row>
    <row r="60786" spans="7:16" s="1634" customFormat="1">
      <c r="G60786" s="3336"/>
      <c r="P60786" s="3337"/>
    </row>
    <row r="60787" spans="7:16" s="1634" customFormat="1">
      <c r="G60787" s="3336"/>
      <c r="P60787" s="3337"/>
    </row>
    <row r="60788" spans="7:16" s="1634" customFormat="1">
      <c r="G60788" s="3336"/>
      <c r="P60788" s="3337"/>
    </row>
    <row r="60789" spans="7:16" s="1634" customFormat="1">
      <c r="G60789" s="3336"/>
      <c r="P60789" s="3337"/>
    </row>
    <row r="60790" spans="7:16" s="1634" customFormat="1">
      <c r="G60790" s="3336"/>
      <c r="P60790" s="3337"/>
    </row>
    <row r="60791" spans="7:16" s="1634" customFormat="1">
      <c r="G60791" s="3336"/>
      <c r="P60791" s="3337"/>
    </row>
    <row r="60792" spans="7:16" s="1634" customFormat="1">
      <c r="G60792" s="3336"/>
      <c r="P60792" s="3337"/>
    </row>
    <row r="60793" spans="7:16" s="1634" customFormat="1">
      <c r="G60793" s="3336"/>
      <c r="P60793" s="3337"/>
    </row>
    <row r="60794" spans="7:16" s="1634" customFormat="1">
      <c r="G60794" s="3336"/>
      <c r="P60794" s="3337"/>
    </row>
    <row r="60795" spans="7:16" s="1634" customFormat="1">
      <c r="G60795" s="3336"/>
      <c r="P60795" s="3337"/>
    </row>
    <row r="60796" spans="7:16" s="1634" customFormat="1">
      <c r="G60796" s="3336"/>
      <c r="P60796" s="3337"/>
    </row>
    <row r="60797" spans="7:16" s="1634" customFormat="1">
      <c r="G60797" s="3336"/>
      <c r="P60797" s="3337"/>
    </row>
    <row r="60798" spans="7:16" s="1634" customFormat="1">
      <c r="G60798" s="3336"/>
      <c r="P60798" s="3337"/>
    </row>
    <row r="60799" spans="7:16" s="1634" customFormat="1">
      <c r="G60799" s="3336"/>
      <c r="P60799" s="3337"/>
    </row>
    <row r="60800" spans="7:16" s="1634" customFormat="1">
      <c r="G60800" s="3336"/>
      <c r="P60800" s="3337"/>
    </row>
    <row r="60801" spans="7:16" s="1634" customFormat="1">
      <c r="G60801" s="3336"/>
      <c r="P60801" s="3337"/>
    </row>
    <row r="60802" spans="7:16" s="1634" customFormat="1">
      <c r="G60802" s="3336"/>
      <c r="P60802" s="3337"/>
    </row>
    <row r="60803" spans="7:16" s="1634" customFormat="1">
      <c r="G60803" s="3336"/>
      <c r="P60803" s="3337"/>
    </row>
    <row r="60804" spans="7:16" s="1634" customFormat="1">
      <c r="G60804" s="3336"/>
      <c r="P60804" s="3337"/>
    </row>
    <row r="60805" spans="7:16" s="1634" customFormat="1">
      <c r="G60805" s="3336"/>
      <c r="P60805" s="3337"/>
    </row>
    <row r="60806" spans="7:16" s="1634" customFormat="1">
      <c r="G60806" s="3336"/>
      <c r="P60806" s="3337"/>
    </row>
    <row r="60807" spans="7:16" s="1634" customFormat="1">
      <c r="G60807" s="3336"/>
      <c r="P60807" s="3337"/>
    </row>
    <row r="60808" spans="7:16" s="1634" customFormat="1">
      <c r="G60808" s="3336"/>
      <c r="P60808" s="3337"/>
    </row>
    <row r="60809" spans="7:16" s="1634" customFormat="1">
      <c r="G60809" s="3336"/>
      <c r="P60809" s="3337"/>
    </row>
    <row r="60810" spans="7:16" s="1634" customFormat="1">
      <c r="G60810" s="3336"/>
      <c r="P60810" s="3337"/>
    </row>
    <row r="60811" spans="7:16" s="1634" customFormat="1">
      <c r="G60811" s="3336"/>
      <c r="P60811" s="3337"/>
    </row>
    <row r="60812" spans="7:16" s="1634" customFormat="1">
      <c r="G60812" s="3336"/>
      <c r="P60812" s="3337"/>
    </row>
    <row r="60813" spans="7:16" s="1634" customFormat="1">
      <c r="G60813" s="3336"/>
      <c r="P60813" s="3337"/>
    </row>
    <row r="60814" spans="7:16" s="1634" customFormat="1">
      <c r="G60814" s="3336"/>
      <c r="P60814" s="3337"/>
    </row>
    <row r="60815" spans="7:16" s="1634" customFormat="1">
      <c r="G60815" s="3336"/>
      <c r="P60815" s="3337"/>
    </row>
    <row r="60816" spans="7:16" s="1634" customFormat="1">
      <c r="G60816" s="3336"/>
      <c r="P60816" s="3337"/>
    </row>
    <row r="60817" spans="7:16" s="1634" customFormat="1">
      <c r="G60817" s="3336"/>
      <c r="P60817" s="3337"/>
    </row>
    <row r="60818" spans="7:16" s="1634" customFormat="1">
      <c r="G60818" s="3336"/>
      <c r="P60818" s="3337"/>
    </row>
    <row r="60819" spans="7:16" s="1634" customFormat="1">
      <c r="G60819" s="3336"/>
      <c r="P60819" s="3337"/>
    </row>
    <row r="60820" spans="7:16" s="1634" customFormat="1">
      <c r="G60820" s="3336"/>
      <c r="P60820" s="3337"/>
    </row>
    <row r="60821" spans="7:16" s="1634" customFormat="1">
      <c r="G60821" s="3336"/>
      <c r="P60821" s="3337"/>
    </row>
    <row r="60822" spans="7:16" s="1634" customFormat="1">
      <c r="G60822" s="3336"/>
      <c r="P60822" s="3337"/>
    </row>
    <row r="60823" spans="7:16" s="1634" customFormat="1">
      <c r="G60823" s="3336"/>
      <c r="P60823" s="3337"/>
    </row>
    <row r="60824" spans="7:16" s="1634" customFormat="1">
      <c r="G60824" s="3336"/>
      <c r="P60824" s="3337"/>
    </row>
    <row r="60825" spans="7:16" s="1634" customFormat="1">
      <c r="G60825" s="3336"/>
      <c r="P60825" s="3337"/>
    </row>
    <row r="60826" spans="7:16" s="1634" customFormat="1">
      <c r="G60826" s="3336"/>
      <c r="P60826" s="3337"/>
    </row>
    <row r="60827" spans="7:16" s="1634" customFormat="1">
      <c r="G60827" s="3336"/>
      <c r="P60827" s="3337"/>
    </row>
    <row r="60828" spans="7:16" s="1634" customFormat="1">
      <c r="G60828" s="3336"/>
      <c r="P60828" s="3337"/>
    </row>
    <row r="60829" spans="7:16" s="1634" customFormat="1">
      <c r="G60829" s="3336"/>
      <c r="P60829" s="3337"/>
    </row>
    <row r="60830" spans="7:16" s="1634" customFormat="1">
      <c r="G60830" s="3336"/>
      <c r="P60830" s="3337"/>
    </row>
    <row r="60831" spans="7:16" s="1634" customFormat="1">
      <c r="G60831" s="3336"/>
      <c r="P60831" s="3337"/>
    </row>
    <row r="60832" spans="7:16" s="1634" customFormat="1">
      <c r="G60832" s="3336"/>
      <c r="P60832" s="3337"/>
    </row>
    <row r="60833" spans="7:16" s="1634" customFormat="1">
      <c r="G60833" s="3336"/>
      <c r="P60833" s="3337"/>
    </row>
    <row r="60834" spans="7:16" s="1634" customFormat="1">
      <c r="G60834" s="3336"/>
      <c r="P60834" s="3337"/>
    </row>
    <row r="60835" spans="7:16" s="1634" customFormat="1">
      <c r="G60835" s="3336"/>
      <c r="P60835" s="3337"/>
    </row>
    <row r="60836" spans="7:16" s="1634" customFormat="1">
      <c r="G60836" s="3336"/>
      <c r="P60836" s="3337"/>
    </row>
    <row r="60837" spans="7:16" s="1634" customFormat="1">
      <c r="G60837" s="3336"/>
      <c r="P60837" s="3337"/>
    </row>
    <row r="60838" spans="7:16" s="1634" customFormat="1">
      <c r="G60838" s="3336"/>
      <c r="P60838" s="3337"/>
    </row>
    <row r="60839" spans="7:16" s="1634" customFormat="1">
      <c r="G60839" s="3336"/>
      <c r="P60839" s="3337"/>
    </row>
    <row r="60840" spans="7:16" s="1634" customFormat="1">
      <c r="G60840" s="3336"/>
      <c r="P60840" s="3337"/>
    </row>
    <row r="60841" spans="7:16" s="1634" customFormat="1">
      <c r="G60841" s="3336"/>
      <c r="P60841" s="3337"/>
    </row>
    <row r="60842" spans="7:16" s="1634" customFormat="1">
      <c r="G60842" s="3336"/>
      <c r="P60842" s="3337"/>
    </row>
    <row r="60843" spans="7:16" s="1634" customFormat="1">
      <c r="G60843" s="3336"/>
      <c r="P60843" s="3337"/>
    </row>
    <row r="60844" spans="7:16" s="1634" customFormat="1">
      <c r="G60844" s="3336"/>
      <c r="P60844" s="3337"/>
    </row>
    <row r="60845" spans="7:16" s="1634" customFormat="1">
      <c r="G60845" s="3336"/>
      <c r="P60845" s="3337"/>
    </row>
    <row r="60846" spans="7:16" s="1634" customFormat="1">
      <c r="G60846" s="3336"/>
      <c r="P60846" s="3337"/>
    </row>
    <row r="60847" spans="7:16" s="1634" customFormat="1">
      <c r="G60847" s="3336"/>
      <c r="P60847" s="3337"/>
    </row>
    <row r="60848" spans="7:16" s="1634" customFormat="1">
      <c r="G60848" s="3336"/>
      <c r="P60848" s="3337"/>
    </row>
    <row r="60849" spans="7:16" s="1634" customFormat="1">
      <c r="G60849" s="3336"/>
      <c r="P60849" s="3337"/>
    </row>
    <row r="60850" spans="7:16" s="1634" customFormat="1">
      <c r="G60850" s="3336"/>
      <c r="P60850" s="3337"/>
    </row>
    <row r="60851" spans="7:16" s="1634" customFormat="1">
      <c r="G60851" s="3336"/>
      <c r="P60851" s="3337"/>
    </row>
    <row r="60852" spans="7:16" s="1634" customFormat="1">
      <c r="G60852" s="3336"/>
      <c r="P60852" s="3337"/>
    </row>
    <row r="60853" spans="7:16" s="1634" customFormat="1">
      <c r="G60853" s="3336"/>
      <c r="P60853" s="3337"/>
    </row>
    <row r="60854" spans="7:16" s="1634" customFormat="1">
      <c r="G60854" s="3336"/>
      <c r="P60854" s="3337"/>
    </row>
    <row r="60855" spans="7:16" s="1634" customFormat="1">
      <c r="G60855" s="3336"/>
      <c r="P60855" s="3337"/>
    </row>
    <row r="60856" spans="7:16" s="1634" customFormat="1">
      <c r="G60856" s="3336"/>
      <c r="P60856" s="3337"/>
    </row>
    <row r="60857" spans="7:16" s="1634" customFormat="1">
      <c r="G60857" s="3336"/>
      <c r="P60857" s="3337"/>
    </row>
    <row r="60858" spans="7:16" s="1634" customFormat="1">
      <c r="G60858" s="3336"/>
      <c r="P60858" s="3337"/>
    </row>
    <row r="60859" spans="7:16" s="1634" customFormat="1">
      <c r="G60859" s="3336"/>
      <c r="P60859" s="3337"/>
    </row>
    <row r="60860" spans="7:16" s="1634" customFormat="1">
      <c r="G60860" s="3336"/>
      <c r="P60860" s="3337"/>
    </row>
    <row r="60861" spans="7:16" s="1634" customFormat="1">
      <c r="G60861" s="3336"/>
      <c r="P60861" s="3337"/>
    </row>
    <row r="60862" spans="7:16" s="1634" customFormat="1">
      <c r="G60862" s="3336"/>
      <c r="P60862" s="3337"/>
    </row>
    <row r="60863" spans="7:16" s="1634" customFormat="1">
      <c r="G60863" s="3336"/>
      <c r="P60863" s="3337"/>
    </row>
    <row r="60864" spans="7:16" s="1634" customFormat="1">
      <c r="G60864" s="3336"/>
      <c r="P60864" s="3337"/>
    </row>
    <row r="60865" spans="7:16" s="1634" customFormat="1">
      <c r="G60865" s="3336"/>
      <c r="P60865" s="3337"/>
    </row>
    <row r="60866" spans="7:16" s="1634" customFormat="1">
      <c r="G60866" s="3336"/>
      <c r="P60866" s="3337"/>
    </row>
    <row r="60867" spans="7:16" s="1634" customFormat="1">
      <c r="G60867" s="3336"/>
      <c r="P60867" s="3337"/>
    </row>
    <row r="60868" spans="7:16" s="1634" customFormat="1">
      <c r="G60868" s="3336"/>
      <c r="P60868" s="3337"/>
    </row>
    <row r="60869" spans="7:16" s="1634" customFormat="1">
      <c r="G60869" s="3336"/>
      <c r="P60869" s="3337"/>
    </row>
    <row r="60870" spans="7:16" s="1634" customFormat="1">
      <c r="G60870" s="3336"/>
      <c r="P60870" s="3337"/>
    </row>
    <row r="60871" spans="7:16" s="1634" customFormat="1">
      <c r="G60871" s="3336"/>
      <c r="P60871" s="3337"/>
    </row>
    <row r="60872" spans="7:16" s="1634" customFormat="1">
      <c r="G60872" s="3336"/>
      <c r="P60872" s="3337"/>
    </row>
    <row r="60873" spans="7:16" s="1634" customFormat="1">
      <c r="G60873" s="3336"/>
      <c r="P60873" s="3337"/>
    </row>
    <row r="60874" spans="7:16" s="1634" customFormat="1">
      <c r="G60874" s="3336"/>
      <c r="P60874" s="3337"/>
    </row>
    <row r="60875" spans="7:16" s="1634" customFormat="1">
      <c r="G60875" s="3336"/>
      <c r="P60875" s="3337"/>
    </row>
    <row r="60876" spans="7:16" s="1634" customFormat="1">
      <c r="G60876" s="3336"/>
      <c r="P60876" s="3337"/>
    </row>
    <row r="60877" spans="7:16" s="1634" customFormat="1">
      <c r="G60877" s="3336"/>
      <c r="P60877" s="3337"/>
    </row>
    <row r="60878" spans="7:16" s="1634" customFormat="1">
      <c r="G60878" s="3336"/>
      <c r="P60878" s="3337"/>
    </row>
    <row r="60879" spans="7:16" s="1634" customFormat="1">
      <c r="G60879" s="3336"/>
      <c r="P60879" s="3337"/>
    </row>
    <row r="60880" spans="7:16" s="1634" customFormat="1">
      <c r="G60880" s="3336"/>
      <c r="P60880" s="3337"/>
    </row>
    <row r="60881" spans="7:16" s="1634" customFormat="1">
      <c r="G60881" s="3336"/>
      <c r="P60881" s="3337"/>
    </row>
    <row r="60882" spans="7:16" s="1634" customFormat="1">
      <c r="G60882" s="3336"/>
      <c r="P60882" s="3337"/>
    </row>
    <row r="60883" spans="7:16" s="1634" customFormat="1">
      <c r="G60883" s="3336"/>
      <c r="P60883" s="3337"/>
    </row>
    <row r="60884" spans="7:16" s="1634" customFormat="1">
      <c r="G60884" s="3336"/>
      <c r="P60884" s="3337"/>
    </row>
    <row r="60885" spans="7:16" s="1634" customFormat="1">
      <c r="G60885" s="3336"/>
      <c r="P60885" s="3337"/>
    </row>
    <row r="60886" spans="7:16" s="1634" customFormat="1">
      <c r="G60886" s="3336"/>
      <c r="P60886" s="3337"/>
    </row>
    <row r="60887" spans="7:16" s="1634" customFormat="1">
      <c r="G60887" s="3336"/>
      <c r="P60887" s="3337"/>
    </row>
    <row r="60888" spans="7:16" s="1634" customFormat="1">
      <c r="G60888" s="3336"/>
      <c r="P60888" s="3337"/>
    </row>
    <row r="60889" spans="7:16" s="1634" customFormat="1">
      <c r="G60889" s="3336"/>
      <c r="P60889" s="3337"/>
    </row>
    <row r="60890" spans="7:16" s="1634" customFormat="1">
      <c r="G60890" s="3336"/>
      <c r="P60890" s="3337"/>
    </row>
    <row r="60891" spans="7:16" s="1634" customFormat="1">
      <c r="G60891" s="3336"/>
      <c r="P60891" s="3337"/>
    </row>
    <row r="60892" spans="7:16" s="1634" customFormat="1">
      <c r="G60892" s="3336"/>
      <c r="P60892" s="3337"/>
    </row>
    <row r="60893" spans="7:16" s="1634" customFormat="1">
      <c r="G60893" s="3336"/>
      <c r="P60893" s="3337"/>
    </row>
    <row r="60894" spans="7:16" s="1634" customFormat="1">
      <c r="G60894" s="3336"/>
      <c r="P60894" s="3337"/>
    </row>
    <row r="60895" spans="7:16" s="1634" customFormat="1">
      <c r="G60895" s="3336"/>
      <c r="P60895" s="3337"/>
    </row>
    <row r="60896" spans="7:16" s="1634" customFormat="1">
      <c r="G60896" s="3336"/>
      <c r="P60896" s="3337"/>
    </row>
    <row r="60897" spans="7:16" s="1634" customFormat="1">
      <c r="G60897" s="3336"/>
      <c r="P60897" s="3337"/>
    </row>
    <row r="60898" spans="7:16" s="1634" customFormat="1">
      <c r="G60898" s="3336"/>
      <c r="P60898" s="3337"/>
    </row>
    <row r="60899" spans="7:16" s="1634" customFormat="1">
      <c r="G60899" s="3336"/>
      <c r="P60899" s="3337"/>
    </row>
    <row r="60900" spans="7:16" s="1634" customFormat="1">
      <c r="G60900" s="3336"/>
      <c r="P60900" s="3337"/>
    </row>
    <row r="60901" spans="7:16" s="1634" customFormat="1">
      <c r="G60901" s="3336"/>
      <c r="P60901" s="3337"/>
    </row>
    <row r="60902" spans="7:16" s="1634" customFormat="1">
      <c r="G60902" s="3336"/>
      <c r="P60902" s="3337"/>
    </row>
    <row r="60903" spans="7:16" s="1634" customFormat="1">
      <c r="G60903" s="3336"/>
      <c r="P60903" s="3337"/>
    </row>
    <row r="60904" spans="7:16" s="1634" customFormat="1">
      <c r="G60904" s="3336"/>
      <c r="P60904" s="3337"/>
    </row>
    <row r="60905" spans="7:16" s="1634" customFormat="1">
      <c r="G60905" s="3336"/>
      <c r="P60905" s="3337"/>
    </row>
    <row r="60906" spans="7:16" s="1634" customFormat="1">
      <c r="G60906" s="3336"/>
      <c r="P60906" s="3337"/>
    </row>
    <row r="60907" spans="7:16" s="1634" customFormat="1">
      <c r="G60907" s="3336"/>
      <c r="P60907" s="3337"/>
    </row>
    <row r="60908" spans="7:16" s="1634" customFormat="1">
      <c r="G60908" s="3336"/>
      <c r="P60908" s="3337"/>
    </row>
    <row r="60909" spans="7:16" s="1634" customFormat="1">
      <c r="G60909" s="3336"/>
      <c r="P60909" s="3337"/>
    </row>
    <row r="60910" spans="7:16" s="1634" customFormat="1">
      <c r="G60910" s="3336"/>
      <c r="P60910" s="3337"/>
    </row>
    <row r="60911" spans="7:16" s="1634" customFormat="1">
      <c r="G60911" s="3336"/>
      <c r="P60911" s="3337"/>
    </row>
    <row r="60912" spans="7:16" s="1634" customFormat="1">
      <c r="G60912" s="3336"/>
      <c r="P60912" s="3337"/>
    </row>
    <row r="60913" spans="7:16" s="1634" customFormat="1">
      <c r="G60913" s="3336"/>
      <c r="P60913" s="3337"/>
    </row>
    <row r="60914" spans="7:16" s="1634" customFormat="1">
      <c r="G60914" s="3336"/>
      <c r="P60914" s="3337"/>
    </row>
    <row r="60915" spans="7:16" s="1634" customFormat="1">
      <c r="G60915" s="3336"/>
      <c r="P60915" s="3337"/>
    </row>
    <row r="60916" spans="7:16" s="1634" customFormat="1">
      <c r="G60916" s="3336"/>
      <c r="P60916" s="3337"/>
    </row>
    <row r="60917" spans="7:16" s="1634" customFormat="1">
      <c r="G60917" s="3336"/>
      <c r="P60917" s="3337"/>
    </row>
    <row r="60918" spans="7:16" s="1634" customFormat="1">
      <c r="G60918" s="3336"/>
      <c r="P60918" s="3337"/>
    </row>
    <row r="60919" spans="7:16" s="1634" customFormat="1">
      <c r="G60919" s="3336"/>
      <c r="P60919" s="3337"/>
    </row>
    <row r="60920" spans="7:16" s="1634" customFormat="1">
      <c r="G60920" s="3336"/>
      <c r="P60920" s="3337"/>
    </row>
    <row r="60921" spans="7:16" s="1634" customFormat="1">
      <c r="G60921" s="3336"/>
      <c r="P60921" s="3337"/>
    </row>
    <row r="60922" spans="7:16" s="1634" customFormat="1">
      <c r="G60922" s="3336"/>
      <c r="P60922" s="3337"/>
    </row>
    <row r="60923" spans="7:16" s="1634" customFormat="1">
      <c r="G60923" s="3336"/>
      <c r="P60923" s="3337"/>
    </row>
    <row r="60924" spans="7:16" s="1634" customFormat="1">
      <c r="G60924" s="3336"/>
      <c r="P60924" s="3337"/>
    </row>
    <row r="60925" spans="7:16" s="1634" customFormat="1">
      <c r="G60925" s="3336"/>
      <c r="P60925" s="3337"/>
    </row>
    <row r="60926" spans="7:16" s="1634" customFormat="1">
      <c r="G60926" s="3336"/>
      <c r="P60926" s="3337"/>
    </row>
    <row r="60927" spans="7:16" s="1634" customFormat="1">
      <c r="G60927" s="3336"/>
      <c r="P60927" s="3337"/>
    </row>
    <row r="60928" spans="7:16" s="1634" customFormat="1">
      <c r="G60928" s="3336"/>
      <c r="P60928" s="3337"/>
    </row>
    <row r="60929" spans="7:16" s="1634" customFormat="1">
      <c r="G60929" s="3336"/>
      <c r="P60929" s="3337"/>
    </row>
    <row r="60930" spans="7:16" s="1634" customFormat="1">
      <c r="G60930" s="3336"/>
      <c r="P60930" s="3337"/>
    </row>
    <row r="60931" spans="7:16" s="1634" customFormat="1">
      <c r="G60931" s="3336"/>
      <c r="P60931" s="3337"/>
    </row>
    <row r="60932" spans="7:16" s="1634" customFormat="1">
      <c r="G60932" s="3336"/>
      <c r="P60932" s="3337"/>
    </row>
    <row r="60933" spans="7:16" s="1634" customFormat="1">
      <c r="G60933" s="3336"/>
      <c r="P60933" s="3337"/>
    </row>
    <row r="60934" spans="7:16" s="1634" customFormat="1">
      <c r="G60934" s="3336"/>
      <c r="P60934" s="3337"/>
    </row>
    <row r="60935" spans="7:16" s="1634" customFormat="1">
      <c r="G60935" s="3336"/>
      <c r="P60935" s="3337"/>
    </row>
    <row r="60936" spans="7:16" s="1634" customFormat="1">
      <c r="G60936" s="3336"/>
      <c r="P60936" s="3337"/>
    </row>
    <row r="60937" spans="7:16" s="1634" customFormat="1">
      <c r="G60937" s="3336"/>
      <c r="P60937" s="3337"/>
    </row>
    <row r="60938" spans="7:16" s="1634" customFormat="1">
      <c r="G60938" s="3336"/>
      <c r="P60938" s="3337"/>
    </row>
    <row r="60939" spans="7:16" s="1634" customFormat="1">
      <c r="G60939" s="3336"/>
      <c r="P60939" s="3337"/>
    </row>
    <row r="60940" spans="7:16" s="1634" customFormat="1">
      <c r="G60940" s="3336"/>
      <c r="P60940" s="3337"/>
    </row>
    <row r="60941" spans="7:16" s="1634" customFormat="1">
      <c r="G60941" s="3336"/>
      <c r="P60941" s="3337"/>
    </row>
    <row r="60942" spans="7:16" s="1634" customFormat="1">
      <c r="G60942" s="3336"/>
      <c r="P60942" s="3337"/>
    </row>
    <row r="60943" spans="7:16" s="1634" customFormat="1">
      <c r="G60943" s="3336"/>
      <c r="P60943" s="3337"/>
    </row>
    <row r="60944" spans="7:16" s="1634" customFormat="1">
      <c r="G60944" s="3336"/>
      <c r="P60944" s="3337"/>
    </row>
    <row r="60945" spans="7:16" s="1634" customFormat="1">
      <c r="G60945" s="3336"/>
      <c r="P60945" s="3337"/>
    </row>
    <row r="60946" spans="7:16" s="1634" customFormat="1">
      <c r="G60946" s="3336"/>
      <c r="P60946" s="3337"/>
    </row>
    <row r="60947" spans="7:16" s="1634" customFormat="1">
      <c r="G60947" s="3336"/>
      <c r="P60947" s="3337"/>
    </row>
    <row r="60948" spans="7:16" s="1634" customFormat="1">
      <c r="G60948" s="3336"/>
      <c r="P60948" s="3337"/>
    </row>
    <row r="60949" spans="7:16" s="1634" customFormat="1">
      <c r="G60949" s="3336"/>
      <c r="P60949" s="3337"/>
    </row>
    <row r="60950" spans="7:16" s="1634" customFormat="1">
      <c r="G60950" s="3336"/>
      <c r="P60950" s="3337"/>
    </row>
    <row r="60951" spans="7:16" s="1634" customFormat="1">
      <c r="G60951" s="3336"/>
      <c r="P60951" s="3337"/>
    </row>
    <row r="60952" spans="7:16" s="1634" customFormat="1">
      <c r="G60952" s="3336"/>
      <c r="P60952" s="3337"/>
    </row>
    <row r="60953" spans="7:16" s="1634" customFormat="1">
      <c r="G60953" s="3336"/>
      <c r="P60953" s="3337"/>
    </row>
    <row r="60954" spans="7:16" s="1634" customFormat="1">
      <c r="G60954" s="3336"/>
      <c r="P60954" s="3337"/>
    </row>
    <row r="60955" spans="7:16" s="1634" customFormat="1">
      <c r="G60955" s="3336"/>
      <c r="P60955" s="3337"/>
    </row>
    <row r="60956" spans="7:16" s="1634" customFormat="1">
      <c r="G60956" s="3336"/>
      <c r="P60956" s="3337"/>
    </row>
    <row r="60957" spans="7:16" s="1634" customFormat="1">
      <c r="G60957" s="3336"/>
      <c r="P60957" s="3337"/>
    </row>
    <row r="60958" spans="7:16" s="1634" customFormat="1">
      <c r="G60958" s="3336"/>
      <c r="P60958" s="3337"/>
    </row>
    <row r="60959" spans="7:16" s="1634" customFormat="1">
      <c r="G60959" s="3336"/>
      <c r="P60959" s="3337"/>
    </row>
    <row r="60960" spans="7:16" s="1634" customFormat="1">
      <c r="G60960" s="3336"/>
      <c r="P60960" s="3337"/>
    </row>
    <row r="60961" spans="7:16" s="1634" customFormat="1">
      <c r="G60961" s="3336"/>
      <c r="P60961" s="3337"/>
    </row>
    <row r="60962" spans="7:16" s="1634" customFormat="1">
      <c r="G60962" s="3336"/>
      <c r="P60962" s="3337"/>
    </row>
    <row r="60963" spans="7:16" s="1634" customFormat="1">
      <c r="G60963" s="3336"/>
      <c r="P60963" s="3337"/>
    </row>
    <row r="60964" spans="7:16" s="1634" customFormat="1">
      <c r="G60964" s="3336"/>
      <c r="P60964" s="3337"/>
    </row>
    <row r="60965" spans="7:16" s="1634" customFormat="1">
      <c r="G60965" s="3336"/>
      <c r="P60965" s="3337"/>
    </row>
    <row r="60966" spans="7:16" s="1634" customFormat="1">
      <c r="G60966" s="3336"/>
      <c r="P60966" s="3337"/>
    </row>
    <row r="60967" spans="7:16" s="1634" customFormat="1">
      <c r="G60967" s="3336"/>
      <c r="P60967" s="3337"/>
    </row>
    <row r="60968" spans="7:16" s="1634" customFormat="1">
      <c r="G60968" s="3336"/>
      <c r="P60968" s="3337"/>
    </row>
    <row r="60969" spans="7:16" s="1634" customFormat="1">
      <c r="G60969" s="3336"/>
      <c r="P60969" s="3337"/>
    </row>
    <row r="60970" spans="7:16" s="1634" customFormat="1">
      <c r="G60970" s="3336"/>
      <c r="P60970" s="3337"/>
    </row>
    <row r="60971" spans="7:16" s="1634" customFormat="1">
      <c r="G60971" s="3336"/>
      <c r="P60971" s="3337"/>
    </row>
    <row r="60972" spans="7:16" s="1634" customFormat="1">
      <c r="G60972" s="3336"/>
      <c r="P60972" s="3337"/>
    </row>
    <row r="60973" spans="7:16" s="1634" customFormat="1">
      <c r="G60973" s="3336"/>
      <c r="P60973" s="3337"/>
    </row>
    <row r="60974" spans="7:16" s="1634" customFormat="1">
      <c r="G60974" s="3336"/>
      <c r="P60974" s="3337"/>
    </row>
    <row r="60975" spans="7:16" s="1634" customFormat="1">
      <c r="G60975" s="3336"/>
      <c r="P60975" s="3337"/>
    </row>
    <row r="60976" spans="7:16" s="1634" customFormat="1">
      <c r="G60976" s="3336"/>
      <c r="P60976" s="3337"/>
    </row>
    <row r="60977" spans="7:16" s="1634" customFormat="1">
      <c r="G60977" s="3336"/>
      <c r="P60977" s="3337"/>
    </row>
    <row r="60978" spans="7:16" s="1634" customFormat="1">
      <c r="G60978" s="3336"/>
      <c r="P60978" s="3337"/>
    </row>
    <row r="60979" spans="7:16" s="1634" customFormat="1">
      <c r="G60979" s="3336"/>
      <c r="P60979" s="3337"/>
    </row>
    <row r="60980" spans="7:16" s="1634" customFormat="1">
      <c r="G60980" s="3336"/>
      <c r="P60980" s="3337"/>
    </row>
    <row r="60981" spans="7:16" s="1634" customFormat="1">
      <c r="G60981" s="3336"/>
      <c r="P60981" s="3337"/>
    </row>
    <row r="60982" spans="7:16" s="1634" customFormat="1">
      <c r="G60982" s="3336"/>
      <c r="P60982" s="3337"/>
    </row>
    <row r="60983" spans="7:16" s="1634" customFormat="1">
      <c r="G60983" s="3336"/>
      <c r="P60983" s="3337"/>
    </row>
    <row r="60984" spans="7:16" s="1634" customFormat="1">
      <c r="G60984" s="3336"/>
      <c r="P60984" s="3337"/>
    </row>
    <row r="60985" spans="7:16" s="1634" customFormat="1">
      <c r="G60985" s="3336"/>
      <c r="P60985" s="3337"/>
    </row>
    <row r="60986" spans="7:16" s="1634" customFormat="1">
      <c r="G60986" s="3336"/>
      <c r="P60986" s="3337"/>
    </row>
    <row r="60987" spans="7:16" s="1634" customFormat="1">
      <c r="G60987" s="3336"/>
      <c r="P60987" s="3337"/>
    </row>
    <row r="60988" spans="7:16" s="1634" customFormat="1">
      <c r="G60988" s="3336"/>
      <c r="P60988" s="3337"/>
    </row>
    <row r="60989" spans="7:16" s="1634" customFormat="1">
      <c r="G60989" s="3336"/>
      <c r="P60989" s="3337"/>
    </row>
    <row r="60990" spans="7:16" s="1634" customFormat="1">
      <c r="G60990" s="3336"/>
      <c r="P60990" s="3337"/>
    </row>
    <row r="60991" spans="7:16" s="1634" customFormat="1">
      <c r="G60991" s="3336"/>
      <c r="P60991" s="3337"/>
    </row>
    <row r="60992" spans="7:16" s="1634" customFormat="1">
      <c r="G60992" s="3336"/>
      <c r="P60992" s="3337"/>
    </row>
    <row r="60993" spans="7:16" s="1634" customFormat="1">
      <c r="G60993" s="3336"/>
      <c r="P60993" s="3337"/>
    </row>
    <row r="60994" spans="7:16" s="1634" customFormat="1">
      <c r="G60994" s="3336"/>
      <c r="P60994" s="3337"/>
    </row>
    <row r="60995" spans="7:16" s="1634" customFormat="1">
      <c r="G60995" s="3336"/>
      <c r="P60995" s="3337"/>
    </row>
    <row r="60996" spans="7:16" s="1634" customFormat="1">
      <c r="G60996" s="3336"/>
      <c r="P60996" s="3337"/>
    </row>
    <row r="60997" spans="7:16" s="1634" customFormat="1">
      <c r="G60997" s="3336"/>
      <c r="P60997" s="3337"/>
    </row>
    <row r="60998" spans="7:16" s="1634" customFormat="1">
      <c r="G60998" s="3336"/>
      <c r="P60998" s="3337"/>
    </row>
    <row r="60999" spans="7:16" s="1634" customFormat="1">
      <c r="G60999" s="3336"/>
      <c r="P60999" s="3337"/>
    </row>
    <row r="61000" spans="7:16" s="1634" customFormat="1">
      <c r="G61000" s="3336"/>
      <c r="P61000" s="3337"/>
    </row>
    <row r="61001" spans="7:16" s="1634" customFormat="1">
      <c r="G61001" s="3336"/>
      <c r="P61001" s="3337"/>
    </row>
    <row r="61002" spans="7:16" s="1634" customFormat="1">
      <c r="G61002" s="3336"/>
      <c r="P61002" s="3337"/>
    </row>
    <row r="61003" spans="7:16" s="1634" customFormat="1">
      <c r="G61003" s="3336"/>
      <c r="P61003" s="3337"/>
    </row>
    <row r="61004" spans="7:16" s="1634" customFormat="1">
      <c r="G61004" s="3336"/>
      <c r="P61004" s="3337"/>
    </row>
    <row r="61005" spans="7:16" s="1634" customFormat="1">
      <c r="G61005" s="3336"/>
      <c r="P61005" s="3337"/>
    </row>
    <row r="61006" spans="7:16" s="1634" customFormat="1">
      <c r="G61006" s="3336"/>
      <c r="P61006" s="3337"/>
    </row>
    <row r="61007" spans="7:16" s="1634" customFormat="1">
      <c r="G61007" s="3336"/>
      <c r="P61007" s="3337"/>
    </row>
    <row r="61008" spans="7:16" s="1634" customFormat="1">
      <c r="G61008" s="3336"/>
      <c r="P61008" s="3337"/>
    </row>
    <row r="61009" spans="7:16" s="1634" customFormat="1">
      <c r="G61009" s="3336"/>
      <c r="P61009" s="3337"/>
    </row>
    <row r="61010" spans="7:16" s="1634" customFormat="1">
      <c r="G61010" s="3336"/>
      <c r="P61010" s="3337"/>
    </row>
    <row r="61011" spans="7:16" s="1634" customFormat="1">
      <c r="G61011" s="3336"/>
      <c r="P61011" s="3337"/>
    </row>
    <row r="61012" spans="7:16" s="1634" customFormat="1">
      <c r="G61012" s="3336"/>
      <c r="P61012" s="3337"/>
    </row>
    <row r="61013" spans="7:16" s="1634" customFormat="1">
      <c r="G61013" s="3336"/>
      <c r="P61013" s="3337"/>
    </row>
    <row r="61014" spans="7:16" s="1634" customFormat="1">
      <c r="G61014" s="3336"/>
      <c r="P61014" s="3337"/>
    </row>
    <row r="61015" spans="7:16" s="1634" customFormat="1">
      <c r="G61015" s="3336"/>
      <c r="P61015" s="3337"/>
    </row>
    <row r="61016" spans="7:16" s="1634" customFormat="1">
      <c r="G61016" s="3336"/>
      <c r="P61016" s="3337"/>
    </row>
    <row r="61017" spans="7:16" s="1634" customFormat="1">
      <c r="G61017" s="3336"/>
      <c r="P61017" s="3337"/>
    </row>
    <row r="61018" spans="7:16" s="1634" customFormat="1">
      <c r="G61018" s="3336"/>
      <c r="P61018" s="3337"/>
    </row>
    <row r="61019" spans="7:16" s="1634" customFormat="1">
      <c r="G61019" s="3336"/>
      <c r="P61019" s="3337"/>
    </row>
    <row r="61020" spans="7:16" s="1634" customFormat="1">
      <c r="G61020" s="3336"/>
      <c r="P61020" s="3337"/>
    </row>
    <row r="61021" spans="7:16" s="1634" customFormat="1">
      <c r="G61021" s="3336"/>
      <c r="P61021" s="3337"/>
    </row>
    <row r="61022" spans="7:16" s="1634" customFormat="1">
      <c r="G61022" s="3336"/>
      <c r="P61022" s="3337"/>
    </row>
    <row r="61023" spans="7:16" s="1634" customFormat="1">
      <c r="G61023" s="3336"/>
      <c r="P61023" s="3337"/>
    </row>
    <row r="61024" spans="7:16" s="1634" customFormat="1">
      <c r="G61024" s="3336"/>
      <c r="P61024" s="3337"/>
    </row>
    <row r="61025" spans="7:16" s="1634" customFormat="1">
      <c r="G61025" s="3336"/>
      <c r="P61025" s="3337"/>
    </row>
    <row r="61026" spans="7:16" s="1634" customFormat="1">
      <c r="G61026" s="3336"/>
      <c r="P61026" s="3337"/>
    </row>
    <row r="61027" spans="7:16" s="1634" customFormat="1">
      <c r="G61027" s="3336"/>
      <c r="P61027" s="3337"/>
    </row>
    <row r="61028" spans="7:16" s="1634" customFormat="1">
      <c r="G61028" s="3336"/>
      <c r="P61028" s="3337"/>
    </row>
    <row r="61029" spans="7:16" s="1634" customFormat="1">
      <c r="G61029" s="3336"/>
      <c r="P61029" s="3337"/>
    </row>
    <row r="61030" spans="7:16" s="1634" customFormat="1">
      <c r="G61030" s="3336"/>
      <c r="P61030" s="3337"/>
    </row>
    <row r="61031" spans="7:16" s="1634" customFormat="1">
      <c r="G61031" s="3336"/>
      <c r="P61031" s="3337"/>
    </row>
    <row r="61032" spans="7:16" s="1634" customFormat="1">
      <c r="G61032" s="3336"/>
      <c r="P61032" s="3337"/>
    </row>
    <row r="61033" spans="7:16" s="1634" customFormat="1">
      <c r="G61033" s="3336"/>
      <c r="P61033" s="3337"/>
    </row>
    <row r="61034" spans="7:16" s="1634" customFormat="1">
      <c r="G61034" s="3336"/>
      <c r="P61034" s="3337"/>
    </row>
    <row r="61035" spans="7:16" s="1634" customFormat="1">
      <c r="G61035" s="3336"/>
      <c r="P61035" s="3337"/>
    </row>
    <row r="61036" spans="7:16" s="1634" customFormat="1">
      <c r="G61036" s="3336"/>
      <c r="P61036" s="3337"/>
    </row>
    <row r="61037" spans="7:16" s="1634" customFormat="1">
      <c r="G61037" s="3336"/>
      <c r="P61037" s="3337"/>
    </row>
    <row r="61038" spans="7:16" s="1634" customFormat="1">
      <c r="G61038" s="3336"/>
      <c r="P61038" s="3337"/>
    </row>
    <row r="61039" spans="7:16" s="1634" customFormat="1">
      <c r="G61039" s="3336"/>
      <c r="P61039" s="3337"/>
    </row>
    <row r="61040" spans="7:16" s="1634" customFormat="1">
      <c r="G61040" s="3336"/>
      <c r="P61040" s="3337"/>
    </row>
    <row r="61041" spans="7:16" s="1634" customFormat="1">
      <c r="G61041" s="3336"/>
      <c r="P61041" s="3337"/>
    </row>
    <row r="61042" spans="7:16" s="1634" customFormat="1">
      <c r="G61042" s="3336"/>
      <c r="P61042" s="3337"/>
    </row>
    <row r="61043" spans="7:16" s="1634" customFormat="1">
      <c r="G61043" s="3336"/>
      <c r="P61043" s="3337"/>
    </row>
    <row r="61044" spans="7:16" s="1634" customFormat="1">
      <c r="G61044" s="3336"/>
      <c r="P61044" s="3337"/>
    </row>
    <row r="61045" spans="7:16" s="1634" customFormat="1">
      <c r="G61045" s="3336"/>
      <c r="P61045" s="3337"/>
    </row>
    <row r="61046" spans="7:16" s="1634" customFormat="1">
      <c r="G61046" s="3336"/>
      <c r="P61046" s="3337"/>
    </row>
    <row r="61047" spans="7:16" s="1634" customFormat="1">
      <c r="G61047" s="3336"/>
      <c r="P61047" s="3337"/>
    </row>
    <row r="61048" spans="7:16" s="1634" customFormat="1">
      <c r="G61048" s="3336"/>
      <c r="P61048" s="3337"/>
    </row>
    <row r="61049" spans="7:16" s="1634" customFormat="1">
      <c r="G61049" s="3336"/>
      <c r="P61049" s="3337"/>
    </row>
    <row r="61050" spans="7:16" s="1634" customFormat="1">
      <c r="G61050" s="3336"/>
      <c r="P61050" s="3337"/>
    </row>
    <row r="61051" spans="7:16" s="1634" customFormat="1">
      <c r="G61051" s="3336"/>
      <c r="P61051" s="3337"/>
    </row>
    <row r="61052" spans="7:16" s="1634" customFormat="1">
      <c r="G61052" s="3336"/>
      <c r="P61052" s="3337"/>
    </row>
    <row r="61053" spans="7:16" s="1634" customFormat="1">
      <c r="G61053" s="3336"/>
      <c r="P61053" s="3337"/>
    </row>
    <row r="61054" spans="7:16" s="1634" customFormat="1">
      <c r="G61054" s="3336"/>
      <c r="P61054" s="3337"/>
    </row>
    <row r="61055" spans="7:16" s="1634" customFormat="1">
      <c r="G61055" s="3336"/>
      <c r="P61055" s="3337"/>
    </row>
    <row r="61056" spans="7:16" s="1634" customFormat="1">
      <c r="G61056" s="3336"/>
      <c r="P61056" s="3337"/>
    </row>
    <row r="61057" spans="7:16" s="1634" customFormat="1">
      <c r="G61057" s="3336"/>
      <c r="P61057" s="3337"/>
    </row>
    <row r="61058" spans="7:16" s="1634" customFormat="1">
      <c r="G61058" s="3336"/>
      <c r="P61058" s="3337"/>
    </row>
    <row r="61059" spans="7:16" s="1634" customFormat="1">
      <c r="G61059" s="3336"/>
      <c r="P61059" s="3337"/>
    </row>
    <row r="61060" spans="7:16" s="1634" customFormat="1">
      <c r="G61060" s="3336"/>
      <c r="P61060" s="3337"/>
    </row>
    <row r="61061" spans="7:16" s="1634" customFormat="1">
      <c r="G61061" s="3336"/>
      <c r="P61061" s="3337"/>
    </row>
    <row r="61062" spans="7:16" s="1634" customFormat="1">
      <c r="G61062" s="3336"/>
      <c r="P61062" s="3337"/>
    </row>
    <row r="61063" spans="7:16" s="1634" customFormat="1">
      <c r="G61063" s="3336"/>
      <c r="P61063" s="3337"/>
    </row>
    <row r="61064" spans="7:16" s="1634" customFormat="1">
      <c r="G61064" s="3336"/>
      <c r="P61064" s="3337"/>
    </row>
    <row r="61065" spans="7:16" s="1634" customFormat="1">
      <c r="G61065" s="3336"/>
      <c r="P61065" s="3337"/>
    </row>
    <row r="61066" spans="7:16" s="1634" customFormat="1">
      <c r="G61066" s="3336"/>
      <c r="P61066" s="3337"/>
    </row>
    <row r="61067" spans="7:16" s="1634" customFormat="1">
      <c r="G61067" s="3336"/>
      <c r="P61067" s="3337"/>
    </row>
    <row r="61068" spans="7:16" s="1634" customFormat="1">
      <c r="G61068" s="3336"/>
      <c r="P61068" s="3337"/>
    </row>
    <row r="61069" spans="7:16" s="1634" customFormat="1">
      <c r="G61069" s="3336"/>
      <c r="P61069" s="3337"/>
    </row>
    <row r="61070" spans="7:16" s="1634" customFormat="1">
      <c r="G61070" s="3336"/>
      <c r="P61070" s="3337"/>
    </row>
    <row r="61071" spans="7:16" s="1634" customFormat="1">
      <c r="G61071" s="3336"/>
      <c r="P61071" s="3337"/>
    </row>
    <row r="61072" spans="7:16" s="1634" customFormat="1">
      <c r="G61072" s="3336"/>
      <c r="P61072" s="3337"/>
    </row>
    <row r="61073" spans="7:16" s="1634" customFormat="1">
      <c r="G61073" s="3336"/>
      <c r="P61073" s="3337"/>
    </row>
    <row r="61074" spans="7:16" s="1634" customFormat="1">
      <c r="G61074" s="3336"/>
      <c r="P61074" s="3337"/>
    </row>
    <row r="61075" spans="7:16" s="1634" customFormat="1">
      <c r="G61075" s="3336"/>
      <c r="P61075" s="3337"/>
    </row>
    <row r="61076" spans="7:16" s="1634" customFormat="1">
      <c r="G61076" s="3336"/>
      <c r="P61076" s="3337"/>
    </row>
    <row r="61077" spans="7:16" s="1634" customFormat="1">
      <c r="G61077" s="3336"/>
      <c r="P61077" s="3337"/>
    </row>
    <row r="61078" spans="7:16" s="1634" customFormat="1">
      <c r="G61078" s="3336"/>
      <c r="P61078" s="3337"/>
    </row>
    <row r="61079" spans="7:16" s="1634" customFormat="1">
      <c r="G61079" s="3336"/>
      <c r="P61079" s="3337"/>
    </row>
    <row r="61080" spans="7:16" s="1634" customFormat="1">
      <c r="G61080" s="3336"/>
      <c r="P61080" s="3337"/>
    </row>
    <row r="61081" spans="7:16" s="1634" customFormat="1">
      <c r="G61081" s="3336"/>
      <c r="P61081" s="3337"/>
    </row>
    <row r="61082" spans="7:16" s="1634" customFormat="1">
      <c r="G61082" s="3336"/>
      <c r="P61082" s="3337"/>
    </row>
    <row r="61083" spans="7:16" s="1634" customFormat="1">
      <c r="G61083" s="3336"/>
      <c r="P61083" s="3337"/>
    </row>
    <row r="61084" spans="7:16" s="1634" customFormat="1">
      <c r="G61084" s="3336"/>
      <c r="P61084" s="3337"/>
    </row>
    <row r="61085" spans="7:16" s="1634" customFormat="1">
      <c r="G61085" s="3336"/>
      <c r="P61085" s="3337"/>
    </row>
    <row r="61086" spans="7:16" s="1634" customFormat="1">
      <c r="G61086" s="3336"/>
      <c r="P61086" s="3337"/>
    </row>
    <row r="61087" spans="7:16" s="1634" customFormat="1">
      <c r="G61087" s="3336"/>
      <c r="P61087" s="3337"/>
    </row>
    <row r="61088" spans="7:16" s="1634" customFormat="1">
      <c r="G61088" s="3336"/>
      <c r="P61088" s="3337"/>
    </row>
    <row r="61089" spans="7:16" s="1634" customFormat="1">
      <c r="G61089" s="3336"/>
      <c r="P61089" s="3337"/>
    </row>
    <row r="61090" spans="7:16" s="1634" customFormat="1">
      <c r="G61090" s="3336"/>
      <c r="P61090" s="3337"/>
    </row>
    <row r="61091" spans="7:16" s="1634" customFormat="1">
      <c r="G61091" s="3336"/>
      <c r="P61091" s="3337"/>
    </row>
    <row r="61092" spans="7:16" s="1634" customFormat="1">
      <c r="G61092" s="3336"/>
      <c r="P61092" s="3337"/>
    </row>
    <row r="61093" spans="7:16" s="1634" customFormat="1">
      <c r="G61093" s="3336"/>
      <c r="P61093" s="3337"/>
    </row>
    <row r="61094" spans="7:16" s="1634" customFormat="1">
      <c r="G61094" s="3336"/>
      <c r="P61094" s="3337"/>
    </row>
    <row r="61095" spans="7:16" s="1634" customFormat="1">
      <c r="G61095" s="3336"/>
      <c r="P61095" s="3337"/>
    </row>
    <row r="61096" spans="7:16" s="1634" customFormat="1">
      <c r="G61096" s="3336"/>
      <c r="P61096" s="3337"/>
    </row>
    <row r="61097" spans="7:16" s="1634" customFormat="1">
      <c r="G61097" s="3336"/>
      <c r="P61097" s="3337"/>
    </row>
    <row r="61098" spans="7:16" s="1634" customFormat="1">
      <c r="G61098" s="3336"/>
      <c r="P61098" s="3337"/>
    </row>
    <row r="61099" spans="7:16" s="1634" customFormat="1">
      <c r="G61099" s="3336"/>
      <c r="P61099" s="3337"/>
    </row>
    <row r="61100" spans="7:16" s="1634" customFormat="1">
      <c r="G61100" s="3336"/>
      <c r="P61100" s="3337"/>
    </row>
    <row r="61101" spans="7:16" s="1634" customFormat="1">
      <c r="G61101" s="3336"/>
      <c r="P61101" s="3337"/>
    </row>
    <row r="61102" spans="7:16" s="1634" customFormat="1">
      <c r="G61102" s="3336"/>
      <c r="P61102" s="3337"/>
    </row>
    <row r="61103" spans="7:16" s="1634" customFormat="1">
      <c r="G61103" s="3336"/>
      <c r="P61103" s="3337"/>
    </row>
    <row r="61104" spans="7:16" s="1634" customFormat="1">
      <c r="G61104" s="3336"/>
      <c r="P61104" s="3337"/>
    </row>
    <row r="61105" spans="7:16" s="1634" customFormat="1">
      <c r="G61105" s="3336"/>
      <c r="P61105" s="3337"/>
    </row>
    <row r="61106" spans="7:16" s="1634" customFormat="1">
      <c r="G61106" s="3336"/>
      <c r="P61106" s="3337"/>
    </row>
    <row r="61107" spans="7:16" s="1634" customFormat="1">
      <c r="G61107" s="3336"/>
      <c r="P61107" s="3337"/>
    </row>
    <row r="61108" spans="7:16" s="1634" customFormat="1">
      <c r="G61108" s="3336"/>
      <c r="P61108" s="3337"/>
    </row>
    <row r="61109" spans="7:16" s="1634" customFormat="1">
      <c r="G61109" s="3336"/>
      <c r="P61109" s="3337"/>
    </row>
    <row r="61110" spans="7:16" s="1634" customFormat="1">
      <c r="G61110" s="3336"/>
      <c r="P61110" s="3337"/>
    </row>
    <row r="61111" spans="7:16" s="1634" customFormat="1">
      <c r="G61111" s="3336"/>
      <c r="P61111" s="3337"/>
    </row>
    <row r="61112" spans="7:16" s="1634" customFormat="1">
      <c r="G61112" s="3336"/>
      <c r="P61112" s="3337"/>
    </row>
    <row r="61113" spans="7:16" s="1634" customFormat="1">
      <c r="G61113" s="3336"/>
      <c r="P61113" s="3337"/>
    </row>
    <row r="61114" spans="7:16" s="1634" customFormat="1">
      <c r="G61114" s="3336"/>
      <c r="P61114" s="3337"/>
    </row>
    <row r="61115" spans="7:16" s="1634" customFormat="1">
      <c r="G61115" s="3336"/>
      <c r="P61115" s="3337"/>
    </row>
    <row r="61116" spans="7:16" s="1634" customFormat="1">
      <c r="G61116" s="3336"/>
      <c r="P61116" s="3337"/>
    </row>
    <row r="61117" spans="7:16" s="1634" customFormat="1">
      <c r="G61117" s="3336"/>
      <c r="P61117" s="3337"/>
    </row>
    <row r="61118" spans="7:16" s="1634" customFormat="1">
      <c r="G61118" s="3336"/>
      <c r="P61118" s="3337"/>
    </row>
    <row r="61119" spans="7:16" s="1634" customFormat="1">
      <c r="G61119" s="3336"/>
      <c r="P61119" s="3337"/>
    </row>
    <row r="61120" spans="7:16" s="1634" customFormat="1">
      <c r="G61120" s="3336"/>
      <c r="P61120" s="3337"/>
    </row>
    <row r="61121" spans="7:16" s="1634" customFormat="1">
      <c r="G61121" s="3336"/>
      <c r="P61121" s="3337"/>
    </row>
    <row r="61122" spans="7:16" s="1634" customFormat="1">
      <c r="G61122" s="3336"/>
      <c r="P61122" s="3337"/>
    </row>
    <row r="61123" spans="7:16" s="1634" customFormat="1">
      <c r="G61123" s="3336"/>
      <c r="P61123" s="3337"/>
    </row>
    <row r="61124" spans="7:16" s="1634" customFormat="1">
      <c r="G61124" s="3336"/>
      <c r="P61124" s="3337"/>
    </row>
    <row r="61125" spans="7:16" s="1634" customFormat="1">
      <c r="G61125" s="3336"/>
      <c r="P61125" s="3337"/>
    </row>
    <row r="61126" spans="7:16" s="1634" customFormat="1">
      <c r="G61126" s="3336"/>
      <c r="P61126" s="3337"/>
    </row>
    <row r="61127" spans="7:16" s="1634" customFormat="1">
      <c r="G61127" s="3336"/>
      <c r="P61127" s="3337"/>
    </row>
    <row r="61128" spans="7:16" s="1634" customFormat="1">
      <c r="G61128" s="3336"/>
      <c r="P61128" s="3337"/>
    </row>
    <row r="61129" spans="7:16" s="1634" customFormat="1">
      <c r="G61129" s="3336"/>
      <c r="P61129" s="3337"/>
    </row>
    <row r="61130" spans="7:16" s="1634" customFormat="1">
      <c r="G61130" s="3336"/>
      <c r="P61130" s="3337"/>
    </row>
    <row r="61131" spans="7:16" s="1634" customFormat="1">
      <c r="G61131" s="3336"/>
      <c r="P61131" s="3337"/>
    </row>
    <row r="61132" spans="7:16" s="1634" customFormat="1">
      <c r="G61132" s="3336"/>
      <c r="P61132" s="3337"/>
    </row>
    <row r="61133" spans="7:16" s="1634" customFormat="1">
      <c r="G61133" s="3336"/>
      <c r="P61133" s="3337"/>
    </row>
    <row r="61134" spans="7:16" s="1634" customFormat="1">
      <c r="G61134" s="3336"/>
      <c r="P61134" s="3337"/>
    </row>
    <row r="61135" spans="7:16" s="1634" customFormat="1">
      <c r="G61135" s="3336"/>
      <c r="P61135" s="3337"/>
    </row>
    <row r="61136" spans="7:16" s="1634" customFormat="1">
      <c r="G61136" s="3336"/>
      <c r="P61136" s="3337"/>
    </row>
    <row r="61137" spans="7:16" s="1634" customFormat="1">
      <c r="G61137" s="3336"/>
      <c r="P61137" s="3337"/>
    </row>
    <row r="61138" spans="7:16" s="1634" customFormat="1">
      <c r="G61138" s="3336"/>
      <c r="P61138" s="3337"/>
    </row>
    <row r="61139" spans="7:16" s="1634" customFormat="1">
      <c r="G61139" s="3336"/>
      <c r="P61139" s="3337"/>
    </row>
    <row r="61140" spans="7:16" s="1634" customFormat="1">
      <c r="G61140" s="3336"/>
      <c r="P61140" s="3337"/>
    </row>
    <row r="61141" spans="7:16" s="1634" customFormat="1">
      <c r="G61141" s="3336"/>
      <c r="P61141" s="3337"/>
    </row>
    <row r="61142" spans="7:16" s="1634" customFormat="1">
      <c r="G61142" s="3336"/>
      <c r="P61142" s="3337"/>
    </row>
    <row r="61143" spans="7:16" s="1634" customFormat="1">
      <c r="G61143" s="3336"/>
      <c r="P61143" s="3337"/>
    </row>
    <row r="61144" spans="7:16" s="1634" customFormat="1">
      <c r="G61144" s="3336"/>
      <c r="P61144" s="3337"/>
    </row>
    <row r="61145" spans="7:16" s="1634" customFormat="1">
      <c r="G61145" s="3336"/>
      <c r="P61145" s="3337"/>
    </row>
    <row r="61146" spans="7:16" s="1634" customFormat="1">
      <c r="G61146" s="3336"/>
      <c r="P61146" s="3337"/>
    </row>
    <row r="61147" spans="7:16" s="1634" customFormat="1">
      <c r="G61147" s="3336"/>
      <c r="P61147" s="3337"/>
    </row>
    <row r="61148" spans="7:16" s="1634" customFormat="1">
      <c r="G61148" s="3336"/>
      <c r="P61148" s="3337"/>
    </row>
    <row r="61149" spans="7:16" s="1634" customFormat="1">
      <c r="G61149" s="3336"/>
      <c r="P61149" s="3337"/>
    </row>
    <row r="61150" spans="7:16" s="1634" customFormat="1">
      <c r="G61150" s="3336"/>
      <c r="P61150" s="3337"/>
    </row>
    <row r="61151" spans="7:16" s="1634" customFormat="1">
      <c r="G61151" s="3336"/>
      <c r="P61151" s="3337"/>
    </row>
    <row r="61152" spans="7:16" s="1634" customFormat="1">
      <c r="G61152" s="3336"/>
      <c r="P61152" s="3337"/>
    </row>
    <row r="61153" spans="7:16" s="1634" customFormat="1">
      <c r="G61153" s="3336"/>
      <c r="P61153" s="3337"/>
    </row>
    <row r="61154" spans="7:16" s="1634" customFormat="1">
      <c r="G61154" s="3336"/>
      <c r="P61154" s="3337"/>
    </row>
    <row r="61155" spans="7:16" s="1634" customFormat="1">
      <c r="G61155" s="3336"/>
      <c r="P61155" s="3337"/>
    </row>
    <row r="61156" spans="7:16" s="1634" customFormat="1">
      <c r="G61156" s="3336"/>
      <c r="P61156" s="3337"/>
    </row>
    <row r="61157" spans="7:16" s="1634" customFormat="1">
      <c r="G61157" s="3336"/>
      <c r="P61157" s="3337"/>
    </row>
    <row r="61158" spans="7:16" s="1634" customFormat="1">
      <c r="G61158" s="3336"/>
      <c r="P61158" s="3337"/>
    </row>
    <row r="61159" spans="7:16" s="1634" customFormat="1">
      <c r="G61159" s="3336"/>
      <c r="P61159" s="3337"/>
    </row>
    <row r="61160" spans="7:16" s="1634" customFormat="1">
      <c r="G61160" s="3336"/>
      <c r="P61160" s="3337"/>
    </row>
    <row r="61161" spans="7:16" s="1634" customFormat="1">
      <c r="G61161" s="3336"/>
      <c r="P61161" s="3337"/>
    </row>
    <row r="61162" spans="7:16" s="1634" customFormat="1">
      <c r="G61162" s="3336"/>
      <c r="P61162" s="3337"/>
    </row>
    <row r="61163" spans="7:16" s="1634" customFormat="1">
      <c r="G61163" s="3336"/>
      <c r="P61163" s="3337"/>
    </row>
    <row r="61164" spans="7:16" s="1634" customFormat="1">
      <c r="G61164" s="3336"/>
      <c r="P61164" s="3337"/>
    </row>
    <row r="61165" spans="7:16" s="1634" customFormat="1">
      <c r="G61165" s="3336"/>
      <c r="P61165" s="3337"/>
    </row>
    <row r="61166" spans="7:16" s="1634" customFormat="1">
      <c r="G61166" s="3336"/>
      <c r="P61166" s="3337"/>
    </row>
    <row r="61167" spans="7:16" s="1634" customFormat="1">
      <c r="G61167" s="3336"/>
      <c r="P61167" s="3337"/>
    </row>
    <row r="61168" spans="7:16" s="1634" customFormat="1">
      <c r="G61168" s="3336"/>
      <c r="P61168" s="3337"/>
    </row>
    <row r="61169" spans="7:16" s="1634" customFormat="1">
      <c r="G61169" s="3336"/>
      <c r="P61169" s="3337"/>
    </row>
    <row r="61170" spans="7:16" s="1634" customFormat="1">
      <c r="G61170" s="3336"/>
      <c r="P61170" s="3337"/>
    </row>
    <row r="61171" spans="7:16" s="1634" customFormat="1">
      <c r="G61171" s="3336"/>
      <c r="P61171" s="3337"/>
    </row>
    <row r="61172" spans="7:16" s="1634" customFormat="1">
      <c r="G61172" s="3336"/>
      <c r="P61172" s="3337"/>
    </row>
    <row r="61173" spans="7:16" s="1634" customFormat="1">
      <c r="G61173" s="3336"/>
      <c r="P61173" s="3337"/>
    </row>
    <row r="61174" spans="7:16" s="1634" customFormat="1">
      <c r="G61174" s="3336"/>
      <c r="P61174" s="3337"/>
    </row>
    <row r="61175" spans="7:16" s="1634" customFormat="1">
      <c r="G61175" s="3336"/>
      <c r="P61175" s="3337"/>
    </row>
    <row r="61176" spans="7:16" s="1634" customFormat="1">
      <c r="G61176" s="3336"/>
      <c r="P61176" s="3337"/>
    </row>
    <row r="61177" spans="7:16" s="1634" customFormat="1">
      <c r="G61177" s="3336"/>
      <c r="P61177" s="3337"/>
    </row>
    <row r="61178" spans="7:16" s="1634" customFormat="1">
      <c r="G61178" s="3336"/>
      <c r="P61178" s="3337"/>
    </row>
    <row r="61179" spans="7:16" s="1634" customFormat="1">
      <c r="G61179" s="3336"/>
      <c r="P61179" s="3337"/>
    </row>
    <row r="61180" spans="7:16" s="1634" customFormat="1">
      <c r="G61180" s="3336"/>
      <c r="P61180" s="3337"/>
    </row>
    <row r="61181" spans="7:16" s="1634" customFormat="1">
      <c r="G61181" s="3336"/>
      <c r="P61181" s="3337"/>
    </row>
    <row r="61182" spans="7:16" s="1634" customFormat="1">
      <c r="G61182" s="3336"/>
      <c r="P61182" s="3337"/>
    </row>
    <row r="61183" spans="7:16" s="1634" customFormat="1">
      <c r="G61183" s="3336"/>
      <c r="P61183" s="3337"/>
    </row>
    <row r="61184" spans="7:16" s="1634" customFormat="1">
      <c r="G61184" s="3336"/>
      <c r="P61184" s="3337"/>
    </row>
    <row r="61185" spans="7:16" s="1634" customFormat="1">
      <c r="G61185" s="3336"/>
      <c r="P61185" s="3337"/>
    </row>
    <row r="61186" spans="7:16" s="1634" customFormat="1">
      <c r="G61186" s="3336"/>
      <c r="P61186" s="3337"/>
    </row>
    <row r="61187" spans="7:16" s="1634" customFormat="1">
      <c r="G61187" s="3336"/>
      <c r="P61187" s="3337"/>
    </row>
    <row r="61188" spans="7:16" s="1634" customFormat="1">
      <c r="G61188" s="3336"/>
      <c r="P61188" s="3337"/>
    </row>
    <row r="61189" spans="7:16" s="1634" customFormat="1">
      <c r="G61189" s="3336"/>
      <c r="P61189" s="3337"/>
    </row>
    <row r="61190" spans="7:16" s="1634" customFormat="1">
      <c r="G61190" s="3336"/>
      <c r="P61190" s="3337"/>
    </row>
    <row r="61191" spans="7:16" s="1634" customFormat="1">
      <c r="G61191" s="3336"/>
      <c r="P61191" s="3337"/>
    </row>
    <row r="61192" spans="7:16" s="1634" customFormat="1">
      <c r="G61192" s="3336"/>
      <c r="P61192" s="3337"/>
    </row>
    <row r="61193" spans="7:16" s="1634" customFormat="1">
      <c r="G61193" s="3336"/>
      <c r="P61193" s="3337"/>
    </row>
    <row r="61194" spans="7:16" s="1634" customFormat="1">
      <c r="G61194" s="3336"/>
      <c r="P61194" s="3337"/>
    </row>
    <row r="61195" spans="7:16" s="1634" customFormat="1">
      <c r="G61195" s="3336"/>
      <c r="P61195" s="3337"/>
    </row>
    <row r="61196" spans="7:16" s="1634" customFormat="1">
      <c r="G61196" s="3336"/>
      <c r="P61196" s="3337"/>
    </row>
    <row r="61197" spans="7:16" s="1634" customFormat="1">
      <c r="G61197" s="3336"/>
      <c r="P61197" s="3337"/>
    </row>
    <row r="61198" spans="7:16" s="1634" customFormat="1">
      <c r="G61198" s="3336"/>
      <c r="P61198" s="3337"/>
    </row>
    <row r="61199" spans="7:16" s="1634" customFormat="1">
      <c r="G61199" s="3336"/>
      <c r="P61199" s="3337"/>
    </row>
    <row r="61200" spans="7:16" s="1634" customFormat="1">
      <c r="G61200" s="3336"/>
      <c r="P61200" s="3337"/>
    </row>
    <row r="61201" spans="7:16" s="1634" customFormat="1">
      <c r="G61201" s="3336"/>
      <c r="P61201" s="3337"/>
    </row>
    <row r="61202" spans="7:16" s="1634" customFormat="1">
      <c r="G61202" s="3336"/>
      <c r="P61202" s="3337"/>
    </row>
    <row r="61203" spans="7:16" s="1634" customFormat="1">
      <c r="G61203" s="3336"/>
      <c r="P61203" s="3337"/>
    </row>
    <row r="61204" spans="7:16" s="1634" customFormat="1">
      <c r="G61204" s="3336"/>
      <c r="P61204" s="3337"/>
    </row>
    <row r="61205" spans="7:16" s="1634" customFormat="1">
      <c r="G61205" s="3336"/>
      <c r="P61205" s="3337"/>
    </row>
    <row r="61206" spans="7:16" s="1634" customFormat="1">
      <c r="G61206" s="3336"/>
      <c r="P61206" s="3337"/>
    </row>
    <row r="61207" spans="7:16" s="1634" customFormat="1">
      <c r="G61207" s="3336"/>
      <c r="P61207" s="3337"/>
    </row>
    <row r="61208" spans="7:16" s="1634" customFormat="1">
      <c r="G61208" s="3336"/>
      <c r="P61208" s="3337"/>
    </row>
    <row r="61209" spans="7:16" s="1634" customFormat="1">
      <c r="G61209" s="3336"/>
      <c r="P61209" s="3337"/>
    </row>
    <row r="61210" spans="7:16" s="1634" customFormat="1">
      <c r="G61210" s="3336"/>
      <c r="P61210" s="3337"/>
    </row>
    <row r="61211" spans="7:16" s="1634" customFormat="1">
      <c r="G61211" s="3336"/>
      <c r="P61211" s="3337"/>
    </row>
    <row r="61212" spans="7:16" s="1634" customFormat="1">
      <c r="G61212" s="3336"/>
      <c r="P61212" s="3337"/>
    </row>
    <row r="61213" spans="7:16" s="1634" customFormat="1">
      <c r="G61213" s="3336"/>
      <c r="P61213" s="3337"/>
    </row>
    <row r="61214" spans="7:16" s="1634" customFormat="1">
      <c r="G61214" s="3336"/>
      <c r="P61214" s="3337"/>
    </row>
    <row r="61215" spans="7:16" s="1634" customFormat="1">
      <c r="G61215" s="3336"/>
      <c r="P61215" s="3337"/>
    </row>
    <row r="61216" spans="7:16" s="1634" customFormat="1">
      <c r="G61216" s="3336"/>
      <c r="P61216" s="3337"/>
    </row>
    <row r="61217" spans="7:16" s="1634" customFormat="1">
      <c r="G61217" s="3336"/>
      <c r="P61217" s="3337"/>
    </row>
    <row r="61218" spans="7:16" s="1634" customFormat="1">
      <c r="G61218" s="3336"/>
      <c r="P61218" s="3337"/>
    </row>
    <row r="61219" spans="7:16" s="1634" customFormat="1">
      <c r="G61219" s="3336"/>
      <c r="P61219" s="3337"/>
    </row>
    <row r="61220" spans="7:16" s="1634" customFormat="1">
      <c r="G61220" s="3336"/>
      <c r="P61220" s="3337"/>
    </row>
    <row r="61221" spans="7:16" s="1634" customFormat="1">
      <c r="G61221" s="3336"/>
      <c r="P61221" s="3337"/>
    </row>
    <row r="61222" spans="7:16" s="1634" customFormat="1">
      <c r="G61222" s="3336"/>
      <c r="P61222" s="3337"/>
    </row>
    <row r="61223" spans="7:16" s="1634" customFormat="1">
      <c r="G61223" s="3336"/>
      <c r="P61223" s="3337"/>
    </row>
    <row r="61224" spans="7:16" s="1634" customFormat="1">
      <c r="G61224" s="3336"/>
      <c r="P61224" s="3337"/>
    </row>
    <row r="61225" spans="7:16" s="1634" customFormat="1">
      <c r="G61225" s="3336"/>
      <c r="P61225" s="3337"/>
    </row>
    <row r="61226" spans="7:16" s="1634" customFormat="1">
      <c r="G61226" s="3336"/>
      <c r="P61226" s="3337"/>
    </row>
    <row r="61227" spans="7:16" s="1634" customFormat="1">
      <c r="G61227" s="3336"/>
      <c r="P61227" s="3337"/>
    </row>
    <row r="61228" spans="7:16" s="1634" customFormat="1">
      <c r="G61228" s="3336"/>
      <c r="P61228" s="3337"/>
    </row>
    <row r="61229" spans="7:16" s="1634" customFormat="1">
      <c r="G61229" s="3336"/>
      <c r="P61229" s="3337"/>
    </row>
    <row r="61230" spans="7:16" s="1634" customFormat="1">
      <c r="G61230" s="3336"/>
      <c r="P61230" s="3337"/>
    </row>
    <row r="61231" spans="7:16" s="1634" customFormat="1">
      <c r="G61231" s="3336"/>
      <c r="P61231" s="3337"/>
    </row>
    <row r="61232" spans="7:16" s="1634" customFormat="1">
      <c r="G61232" s="3336"/>
      <c r="P61232" s="3337"/>
    </row>
    <row r="61233" spans="7:16" s="1634" customFormat="1">
      <c r="G61233" s="3336"/>
      <c r="P61233" s="3337"/>
    </row>
    <row r="61234" spans="7:16" s="1634" customFormat="1">
      <c r="G61234" s="3336"/>
      <c r="P61234" s="3337"/>
    </row>
    <row r="61235" spans="7:16" s="1634" customFormat="1">
      <c r="G61235" s="3336"/>
      <c r="P61235" s="3337"/>
    </row>
    <row r="61236" spans="7:16" s="1634" customFormat="1">
      <c r="G61236" s="3336"/>
      <c r="P61236" s="3337"/>
    </row>
    <row r="61237" spans="7:16" s="1634" customFormat="1">
      <c r="G61237" s="3336"/>
      <c r="P61237" s="3337"/>
    </row>
    <row r="61238" spans="7:16" s="1634" customFormat="1">
      <c r="G61238" s="3336"/>
      <c r="P61238" s="3337"/>
    </row>
    <row r="61239" spans="7:16" s="1634" customFormat="1">
      <c r="G61239" s="3336"/>
      <c r="P61239" s="3337"/>
    </row>
    <row r="61240" spans="7:16" s="1634" customFormat="1">
      <c r="G61240" s="3336"/>
      <c r="P61240" s="3337"/>
    </row>
    <row r="61241" spans="7:16" s="1634" customFormat="1">
      <c r="G61241" s="3336"/>
      <c r="P61241" s="3337"/>
    </row>
    <row r="61242" spans="7:16" s="1634" customFormat="1">
      <c r="G61242" s="3336"/>
      <c r="P61242" s="3337"/>
    </row>
    <row r="61243" spans="7:16" s="1634" customFormat="1">
      <c r="G61243" s="3336"/>
      <c r="P61243" s="3337"/>
    </row>
    <row r="61244" spans="7:16" s="1634" customFormat="1">
      <c r="G61244" s="3336"/>
      <c r="P61244" s="3337"/>
    </row>
    <row r="61245" spans="7:16" s="1634" customFormat="1">
      <c r="G61245" s="3336"/>
      <c r="P61245" s="3337"/>
    </row>
    <row r="61246" spans="7:16" s="1634" customFormat="1">
      <c r="G61246" s="3336"/>
      <c r="P61246" s="3337"/>
    </row>
    <row r="61247" spans="7:16" s="1634" customFormat="1">
      <c r="G61247" s="3336"/>
      <c r="P61247" s="3337"/>
    </row>
    <row r="61248" spans="7:16" s="1634" customFormat="1">
      <c r="G61248" s="3336"/>
      <c r="P61248" s="3337"/>
    </row>
    <row r="61249" spans="7:16" s="1634" customFormat="1">
      <c r="G61249" s="3336"/>
      <c r="P61249" s="3337"/>
    </row>
    <row r="61250" spans="7:16" s="1634" customFormat="1">
      <c r="G61250" s="3336"/>
      <c r="P61250" s="3337"/>
    </row>
    <row r="61251" spans="7:16" s="1634" customFormat="1">
      <c r="G61251" s="3336"/>
      <c r="P61251" s="3337"/>
    </row>
    <row r="61252" spans="7:16" s="1634" customFormat="1">
      <c r="G61252" s="3336"/>
      <c r="P61252" s="3337"/>
    </row>
    <row r="61253" spans="7:16" s="1634" customFormat="1">
      <c r="G61253" s="3336"/>
      <c r="P61253" s="3337"/>
    </row>
    <row r="61254" spans="7:16" s="1634" customFormat="1">
      <c r="G61254" s="3336"/>
      <c r="P61254" s="3337"/>
    </row>
    <row r="61255" spans="7:16" s="1634" customFormat="1">
      <c r="G61255" s="3336"/>
      <c r="P61255" s="3337"/>
    </row>
    <row r="61256" spans="7:16" s="1634" customFormat="1">
      <c r="G61256" s="3336"/>
      <c r="P61256" s="3337"/>
    </row>
    <row r="61257" spans="7:16" s="1634" customFormat="1">
      <c r="G61257" s="3336"/>
      <c r="P61257" s="3337"/>
    </row>
    <row r="61258" spans="7:16" s="1634" customFormat="1">
      <c r="G61258" s="3336"/>
      <c r="P61258" s="3337"/>
    </row>
    <row r="61259" spans="7:16" s="1634" customFormat="1">
      <c r="G61259" s="3336"/>
      <c r="P61259" s="3337"/>
    </row>
    <row r="61260" spans="7:16" s="1634" customFormat="1">
      <c r="G61260" s="3336"/>
      <c r="P61260" s="3337"/>
    </row>
    <row r="61261" spans="7:16" s="1634" customFormat="1">
      <c r="G61261" s="3336"/>
      <c r="P61261" s="3337"/>
    </row>
    <row r="61262" spans="7:16" s="1634" customFormat="1">
      <c r="G61262" s="3336"/>
      <c r="P61262" s="3337"/>
    </row>
    <row r="61263" spans="7:16" s="1634" customFormat="1">
      <c r="G61263" s="3336"/>
      <c r="P61263" s="3337"/>
    </row>
    <row r="61264" spans="7:16" s="1634" customFormat="1">
      <c r="G61264" s="3336"/>
      <c r="P61264" s="3337"/>
    </row>
    <row r="61265" spans="7:16" s="1634" customFormat="1">
      <c r="G61265" s="3336"/>
      <c r="P61265" s="3337"/>
    </row>
    <row r="61266" spans="7:16" s="1634" customFormat="1">
      <c r="G61266" s="3336"/>
      <c r="P61266" s="3337"/>
    </row>
    <row r="61267" spans="7:16" s="1634" customFormat="1">
      <c r="G61267" s="3336"/>
      <c r="P61267" s="3337"/>
    </row>
    <row r="61268" spans="7:16" s="1634" customFormat="1">
      <c r="G61268" s="3336"/>
      <c r="P61268" s="3337"/>
    </row>
    <row r="61269" spans="7:16" s="1634" customFormat="1">
      <c r="G61269" s="3336"/>
      <c r="P61269" s="3337"/>
    </row>
    <row r="61270" spans="7:16" s="1634" customFormat="1">
      <c r="G61270" s="3336"/>
      <c r="P61270" s="3337"/>
    </row>
    <row r="61271" spans="7:16" s="1634" customFormat="1">
      <c r="G61271" s="3336"/>
      <c r="P61271" s="3337"/>
    </row>
    <row r="61272" spans="7:16" s="1634" customFormat="1">
      <c r="G61272" s="3336"/>
      <c r="P61272" s="3337"/>
    </row>
    <row r="61273" spans="7:16" s="1634" customFormat="1">
      <c r="G61273" s="3336"/>
      <c r="P61273" s="3337"/>
    </row>
    <row r="61274" spans="7:16" s="1634" customFormat="1">
      <c r="G61274" s="3336"/>
      <c r="P61274" s="3337"/>
    </row>
    <row r="61275" spans="7:16" s="1634" customFormat="1">
      <c r="G61275" s="3336"/>
      <c r="P61275" s="3337"/>
    </row>
    <row r="61276" spans="7:16" s="1634" customFormat="1">
      <c r="G61276" s="3336"/>
      <c r="P61276" s="3337"/>
    </row>
    <row r="61277" spans="7:16" s="1634" customFormat="1">
      <c r="G61277" s="3336"/>
      <c r="P61277" s="3337"/>
    </row>
    <row r="61278" spans="7:16" s="1634" customFormat="1">
      <c r="G61278" s="3336"/>
      <c r="P61278" s="3337"/>
    </row>
    <row r="61279" spans="7:16" s="1634" customFormat="1">
      <c r="G61279" s="3336"/>
      <c r="P61279" s="3337"/>
    </row>
    <row r="61280" spans="7:16" s="1634" customFormat="1">
      <c r="G61280" s="3336"/>
      <c r="P61280" s="3337"/>
    </row>
    <row r="61281" spans="7:16" s="1634" customFormat="1">
      <c r="G61281" s="3336"/>
      <c r="P61281" s="3337"/>
    </row>
    <row r="61282" spans="7:16" s="1634" customFormat="1">
      <c r="G61282" s="3336"/>
      <c r="P61282" s="3337"/>
    </row>
    <row r="61283" spans="7:16" s="1634" customFormat="1">
      <c r="G61283" s="3336"/>
      <c r="P61283" s="3337"/>
    </row>
    <row r="61284" spans="7:16" s="1634" customFormat="1">
      <c r="G61284" s="3336"/>
      <c r="P61284" s="3337"/>
    </row>
    <row r="61285" spans="7:16" s="1634" customFormat="1">
      <c r="G61285" s="3336"/>
      <c r="P61285" s="3337"/>
    </row>
    <row r="61286" spans="7:16" s="1634" customFormat="1">
      <c r="G61286" s="3336"/>
      <c r="P61286" s="3337"/>
    </row>
    <row r="61287" spans="7:16" s="1634" customFormat="1">
      <c r="G61287" s="3336"/>
      <c r="P61287" s="3337"/>
    </row>
    <row r="61288" spans="7:16" s="1634" customFormat="1">
      <c r="G61288" s="3336"/>
      <c r="P61288" s="3337"/>
    </row>
    <row r="61289" spans="7:16" s="1634" customFormat="1">
      <c r="G61289" s="3336"/>
      <c r="P61289" s="3337"/>
    </row>
    <row r="61290" spans="7:16" s="1634" customFormat="1">
      <c r="G61290" s="3336"/>
      <c r="P61290" s="3337"/>
    </row>
    <row r="61291" spans="7:16" s="1634" customFormat="1">
      <c r="G61291" s="3336"/>
      <c r="P61291" s="3337"/>
    </row>
    <row r="61292" spans="7:16" s="1634" customFormat="1">
      <c r="G61292" s="3336"/>
      <c r="P61292" s="3337"/>
    </row>
    <row r="61293" spans="7:16" s="1634" customFormat="1">
      <c r="G61293" s="3336"/>
      <c r="P61293" s="3337"/>
    </row>
    <row r="61294" spans="7:16" s="1634" customFormat="1">
      <c r="G61294" s="3336"/>
      <c r="P61294" s="3337"/>
    </row>
    <row r="61295" spans="7:16" s="1634" customFormat="1">
      <c r="G61295" s="3336"/>
      <c r="P61295" s="3337"/>
    </row>
    <row r="61296" spans="7:16" s="1634" customFormat="1">
      <c r="G61296" s="3336"/>
      <c r="P61296" s="3337"/>
    </row>
    <row r="61297" spans="7:16" s="1634" customFormat="1">
      <c r="G61297" s="3336"/>
      <c r="P61297" s="3337"/>
    </row>
    <row r="61298" spans="7:16" s="1634" customFormat="1">
      <c r="G61298" s="3336"/>
      <c r="P61298" s="3337"/>
    </row>
    <row r="61299" spans="7:16" s="1634" customFormat="1">
      <c r="G61299" s="3336"/>
      <c r="P61299" s="3337"/>
    </row>
    <row r="61300" spans="7:16" s="1634" customFormat="1">
      <c r="G61300" s="3336"/>
      <c r="P61300" s="3337"/>
    </row>
    <row r="61301" spans="7:16" s="1634" customFormat="1">
      <c r="G61301" s="3336"/>
      <c r="P61301" s="3337"/>
    </row>
    <row r="61302" spans="7:16" s="1634" customFormat="1">
      <c r="G61302" s="3336"/>
      <c r="P61302" s="3337"/>
    </row>
    <row r="61303" spans="7:16" s="1634" customFormat="1">
      <c r="G61303" s="3336"/>
      <c r="P61303" s="3337"/>
    </row>
    <row r="61304" spans="7:16" s="1634" customFormat="1">
      <c r="G61304" s="3336"/>
      <c r="P61304" s="3337"/>
    </row>
    <row r="61305" spans="7:16" s="1634" customFormat="1">
      <c r="G61305" s="3336"/>
      <c r="P61305" s="3337"/>
    </row>
    <row r="61306" spans="7:16" s="1634" customFormat="1">
      <c r="G61306" s="3336"/>
      <c r="P61306" s="3337"/>
    </row>
    <row r="61307" spans="7:16" s="1634" customFormat="1">
      <c r="G61307" s="3336"/>
      <c r="P61307" s="3337"/>
    </row>
    <row r="61308" spans="7:16" s="1634" customFormat="1">
      <c r="G61308" s="3336"/>
      <c r="P61308" s="3337"/>
    </row>
    <row r="61309" spans="7:16" s="1634" customFormat="1">
      <c r="G61309" s="3336"/>
      <c r="P61309" s="3337"/>
    </row>
    <row r="61310" spans="7:16" s="1634" customFormat="1">
      <c r="G61310" s="3336"/>
      <c r="P61310" s="3337"/>
    </row>
    <row r="61311" spans="7:16" s="1634" customFormat="1">
      <c r="G61311" s="3336"/>
      <c r="P61311" s="3337"/>
    </row>
    <row r="61312" spans="7:16" s="1634" customFormat="1">
      <c r="G61312" s="3336"/>
      <c r="P61312" s="3337"/>
    </row>
    <row r="61313" spans="7:16" s="1634" customFormat="1">
      <c r="G61313" s="3336"/>
      <c r="P61313" s="3337"/>
    </row>
    <row r="61314" spans="7:16" s="1634" customFormat="1">
      <c r="G61314" s="3336"/>
      <c r="P61314" s="3337"/>
    </row>
    <row r="61315" spans="7:16" s="1634" customFormat="1">
      <c r="G61315" s="3336"/>
      <c r="P61315" s="3337"/>
    </row>
    <row r="61316" spans="7:16" s="1634" customFormat="1">
      <c r="G61316" s="3336"/>
      <c r="P61316" s="3337"/>
    </row>
    <row r="61317" spans="7:16" s="1634" customFormat="1">
      <c r="G61317" s="3336"/>
      <c r="P61317" s="3337"/>
    </row>
    <row r="61318" spans="7:16" s="1634" customFormat="1">
      <c r="G61318" s="3336"/>
      <c r="P61318" s="3337"/>
    </row>
    <row r="61319" spans="7:16" s="1634" customFormat="1">
      <c r="G61319" s="3336"/>
      <c r="P61319" s="3337"/>
    </row>
    <row r="61320" spans="7:16" s="1634" customFormat="1">
      <c r="G61320" s="3336"/>
      <c r="P61320" s="3337"/>
    </row>
    <row r="61321" spans="7:16" s="1634" customFormat="1">
      <c r="G61321" s="3336"/>
      <c r="P61321" s="3337"/>
    </row>
    <row r="61322" spans="7:16" s="1634" customFormat="1">
      <c r="G61322" s="3336"/>
      <c r="P61322" s="3337"/>
    </row>
    <row r="61323" spans="7:16" s="1634" customFormat="1">
      <c r="G61323" s="3336"/>
      <c r="P61323" s="3337"/>
    </row>
    <row r="61324" spans="7:16" s="1634" customFormat="1">
      <c r="G61324" s="3336"/>
      <c r="P61324" s="3337"/>
    </row>
    <row r="61325" spans="7:16" s="1634" customFormat="1">
      <c r="G61325" s="3336"/>
      <c r="P61325" s="3337"/>
    </row>
    <row r="61326" spans="7:16" s="1634" customFormat="1">
      <c r="G61326" s="3336"/>
      <c r="P61326" s="3337"/>
    </row>
    <row r="61327" spans="7:16" s="1634" customFormat="1">
      <c r="G61327" s="3336"/>
      <c r="P61327" s="3337"/>
    </row>
    <row r="61328" spans="7:16" s="1634" customFormat="1">
      <c r="G61328" s="3336"/>
      <c r="P61328" s="3337"/>
    </row>
    <row r="61329" spans="7:16" s="1634" customFormat="1">
      <c r="G61329" s="3336"/>
      <c r="P61329" s="3337"/>
    </row>
    <row r="61330" spans="7:16" s="1634" customFormat="1">
      <c r="G61330" s="3336"/>
      <c r="P61330" s="3337"/>
    </row>
    <row r="61331" spans="7:16" s="1634" customFormat="1">
      <c r="G61331" s="3336"/>
      <c r="P61331" s="3337"/>
    </row>
    <row r="61332" spans="7:16" s="1634" customFormat="1">
      <c r="G61332" s="3336"/>
      <c r="P61332" s="3337"/>
    </row>
    <row r="61333" spans="7:16" s="1634" customFormat="1">
      <c r="G61333" s="3336"/>
      <c r="P61333" s="3337"/>
    </row>
    <row r="61334" spans="7:16" s="1634" customFormat="1">
      <c r="G61334" s="3336"/>
      <c r="P61334" s="3337"/>
    </row>
    <row r="61335" spans="7:16" s="1634" customFormat="1">
      <c r="G61335" s="3336"/>
      <c r="P61335" s="3337"/>
    </row>
    <row r="61336" spans="7:16" s="1634" customFormat="1">
      <c r="G61336" s="3336"/>
      <c r="P61336" s="3337"/>
    </row>
    <row r="61337" spans="7:16" s="1634" customFormat="1">
      <c r="G61337" s="3336"/>
      <c r="P61337" s="3337"/>
    </row>
    <row r="61338" spans="7:16" s="1634" customFormat="1">
      <c r="G61338" s="3336"/>
      <c r="P61338" s="3337"/>
    </row>
    <row r="61339" spans="7:16" s="1634" customFormat="1">
      <c r="G61339" s="3336"/>
      <c r="P61339" s="3337"/>
    </row>
    <row r="61340" spans="7:16" s="1634" customFormat="1">
      <c r="G61340" s="3336"/>
      <c r="P61340" s="3337"/>
    </row>
    <row r="61341" spans="7:16" s="1634" customFormat="1">
      <c r="G61341" s="3336"/>
      <c r="P61341" s="3337"/>
    </row>
    <row r="61342" spans="7:16" s="1634" customFormat="1">
      <c r="G61342" s="3336"/>
      <c r="P61342" s="3337"/>
    </row>
    <row r="61343" spans="7:16" s="1634" customFormat="1">
      <c r="G61343" s="3336"/>
      <c r="P61343" s="3337"/>
    </row>
    <row r="61344" spans="7:16" s="1634" customFormat="1">
      <c r="G61344" s="3336"/>
      <c r="P61344" s="3337"/>
    </row>
    <row r="61345" spans="7:16" s="1634" customFormat="1">
      <c r="G61345" s="3336"/>
      <c r="P61345" s="3337"/>
    </row>
    <row r="61346" spans="7:16" s="1634" customFormat="1">
      <c r="G61346" s="3336"/>
      <c r="P61346" s="3337"/>
    </row>
    <row r="61347" spans="7:16" s="1634" customFormat="1">
      <c r="G61347" s="3336"/>
      <c r="P61347" s="3337"/>
    </row>
    <row r="61348" spans="7:16" s="1634" customFormat="1">
      <c r="G61348" s="3336"/>
      <c r="P61348" s="3337"/>
    </row>
    <row r="61349" spans="7:16" s="1634" customFormat="1">
      <c r="G61349" s="3336"/>
      <c r="P61349" s="3337"/>
    </row>
    <row r="61350" spans="7:16" s="1634" customFormat="1">
      <c r="G61350" s="3336"/>
      <c r="P61350" s="3337"/>
    </row>
    <row r="61351" spans="7:16" s="1634" customFormat="1">
      <c r="G61351" s="3336"/>
      <c r="P61351" s="3337"/>
    </row>
    <row r="61352" spans="7:16" s="1634" customFormat="1">
      <c r="G61352" s="3336"/>
      <c r="P61352" s="3337"/>
    </row>
    <row r="61353" spans="7:16" s="1634" customFormat="1">
      <c r="G61353" s="3336"/>
      <c r="P61353" s="3337"/>
    </row>
    <row r="61354" spans="7:16" s="1634" customFormat="1">
      <c r="G61354" s="3336"/>
      <c r="P61354" s="3337"/>
    </row>
    <row r="61355" spans="7:16" s="1634" customFormat="1">
      <c r="G61355" s="3336"/>
      <c r="P61355" s="3337"/>
    </row>
    <row r="61356" spans="7:16" s="1634" customFormat="1">
      <c r="G61356" s="3336"/>
      <c r="P61356" s="3337"/>
    </row>
    <row r="61357" spans="7:16" s="1634" customFormat="1">
      <c r="G61357" s="3336"/>
      <c r="P61357" s="3337"/>
    </row>
    <row r="61358" spans="7:16" s="1634" customFormat="1">
      <c r="G61358" s="3336"/>
      <c r="P61358" s="3337"/>
    </row>
    <row r="61359" spans="7:16" s="1634" customFormat="1">
      <c r="G61359" s="3336"/>
      <c r="P61359" s="3337"/>
    </row>
    <row r="61360" spans="7:16" s="1634" customFormat="1">
      <c r="G61360" s="3336"/>
      <c r="P61360" s="3337"/>
    </row>
    <row r="61361" spans="7:16" s="1634" customFormat="1">
      <c r="G61361" s="3336"/>
      <c r="P61361" s="3337"/>
    </row>
    <row r="61362" spans="7:16" s="1634" customFormat="1">
      <c r="G61362" s="3336"/>
      <c r="P61362" s="3337"/>
    </row>
    <row r="61363" spans="7:16" s="1634" customFormat="1">
      <c r="G61363" s="3336"/>
      <c r="P61363" s="3337"/>
    </row>
    <row r="61364" spans="7:16" s="1634" customFormat="1">
      <c r="G61364" s="3336"/>
      <c r="P61364" s="3337"/>
    </row>
    <row r="61365" spans="7:16" s="1634" customFormat="1">
      <c r="G61365" s="3336"/>
      <c r="P61365" s="3337"/>
    </row>
    <row r="61366" spans="7:16" s="1634" customFormat="1">
      <c r="G61366" s="3336"/>
      <c r="P61366" s="3337"/>
    </row>
    <row r="61367" spans="7:16" s="1634" customFormat="1">
      <c r="G61367" s="3336"/>
      <c r="P61367" s="3337"/>
    </row>
    <row r="61368" spans="7:16" s="1634" customFormat="1">
      <c r="G61368" s="3336"/>
      <c r="P61368" s="3337"/>
    </row>
    <row r="61369" spans="7:16" s="1634" customFormat="1">
      <c r="G61369" s="3336"/>
      <c r="P61369" s="3337"/>
    </row>
    <row r="61370" spans="7:16" s="1634" customFormat="1">
      <c r="G61370" s="3336"/>
      <c r="P61370" s="3337"/>
    </row>
    <row r="61371" spans="7:16" s="1634" customFormat="1">
      <c r="G61371" s="3336"/>
      <c r="P61371" s="3337"/>
    </row>
    <row r="61372" spans="7:16" s="1634" customFormat="1">
      <c r="G61372" s="3336"/>
      <c r="P61372" s="3337"/>
    </row>
    <row r="61373" spans="7:16" s="1634" customFormat="1">
      <c r="G61373" s="3336"/>
      <c r="P61373" s="3337"/>
    </row>
    <row r="61374" spans="7:16" s="1634" customFormat="1">
      <c r="G61374" s="3336"/>
      <c r="P61374" s="3337"/>
    </row>
    <row r="61375" spans="7:16" s="1634" customFormat="1">
      <c r="G61375" s="3336"/>
      <c r="P61375" s="3337"/>
    </row>
    <row r="61376" spans="7:16" s="1634" customFormat="1">
      <c r="G61376" s="3336"/>
      <c r="P61376" s="3337"/>
    </row>
    <row r="61377" spans="7:16" s="1634" customFormat="1">
      <c r="G61377" s="3336"/>
      <c r="P61377" s="3337"/>
    </row>
    <row r="61378" spans="7:16" s="1634" customFormat="1">
      <c r="G61378" s="3336"/>
      <c r="P61378" s="3337"/>
    </row>
    <row r="61379" spans="7:16" s="1634" customFormat="1">
      <c r="G61379" s="3336"/>
      <c r="P61379" s="3337"/>
    </row>
    <row r="61380" spans="7:16" s="1634" customFormat="1">
      <c r="G61380" s="3336"/>
      <c r="P61380" s="3337"/>
    </row>
    <row r="61381" spans="7:16" s="1634" customFormat="1">
      <c r="G61381" s="3336"/>
      <c r="P61381" s="3337"/>
    </row>
    <row r="61382" spans="7:16" s="1634" customFormat="1">
      <c r="G61382" s="3336"/>
      <c r="P61382" s="3337"/>
    </row>
    <row r="61383" spans="7:16" s="1634" customFormat="1">
      <c r="G61383" s="3336"/>
      <c r="P61383" s="3337"/>
    </row>
    <row r="61384" spans="7:16" s="1634" customFormat="1">
      <c r="G61384" s="3336"/>
      <c r="P61384" s="3337"/>
    </row>
    <row r="61385" spans="7:16" s="1634" customFormat="1">
      <c r="G61385" s="3336"/>
      <c r="P61385" s="3337"/>
    </row>
    <row r="61386" spans="7:16" s="1634" customFormat="1">
      <c r="G61386" s="3336"/>
      <c r="P61386" s="3337"/>
    </row>
    <row r="61387" spans="7:16" s="1634" customFormat="1">
      <c r="G61387" s="3336"/>
      <c r="P61387" s="3337"/>
    </row>
    <row r="61388" spans="7:16" s="1634" customFormat="1">
      <c r="G61388" s="3336"/>
      <c r="P61388" s="3337"/>
    </row>
    <row r="61389" spans="7:16" s="1634" customFormat="1">
      <c r="G61389" s="3336"/>
      <c r="P61389" s="3337"/>
    </row>
    <row r="61390" spans="7:16" s="1634" customFormat="1">
      <c r="G61390" s="3336"/>
      <c r="P61390" s="3337"/>
    </row>
    <row r="61391" spans="7:16" s="1634" customFormat="1">
      <c r="G61391" s="3336"/>
      <c r="P61391" s="3337"/>
    </row>
    <row r="61392" spans="7:16" s="1634" customFormat="1">
      <c r="G61392" s="3336"/>
      <c r="P61392" s="3337"/>
    </row>
    <row r="61393" spans="7:16" s="1634" customFormat="1">
      <c r="G61393" s="3336"/>
      <c r="P61393" s="3337"/>
    </row>
    <row r="61394" spans="7:16" s="1634" customFormat="1">
      <c r="G61394" s="3336"/>
      <c r="P61394" s="3337"/>
    </row>
    <row r="61395" spans="7:16" s="1634" customFormat="1">
      <c r="G61395" s="3336"/>
      <c r="P61395" s="3337"/>
    </row>
    <row r="61396" spans="7:16" s="1634" customFormat="1">
      <c r="G61396" s="3336"/>
      <c r="P61396" s="3337"/>
    </row>
    <row r="61397" spans="7:16" s="1634" customFormat="1">
      <c r="G61397" s="3336"/>
      <c r="P61397" s="3337"/>
    </row>
    <row r="61398" spans="7:16" s="1634" customFormat="1">
      <c r="G61398" s="3336"/>
      <c r="P61398" s="3337"/>
    </row>
    <row r="61399" spans="7:16" s="1634" customFormat="1">
      <c r="G61399" s="3336"/>
      <c r="P61399" s="3337"/>
    </row>
    <row r="61400" spans="7:16" s="1634" customFormat="1">
      <c r="G61400" s="3336"/>
      <c r="P61400" s="3337"/>
    </row>
    <row r="61401" spans="7:16" s="1634" customFormat="1">
      <c r="G61401" s="3336"/>
      <c r="P61401" s="3337"/>
    </row>
    <row r="61402" spans="7:16" s="1634" customFormat="1">
      <c r="G61402" s="3336"/>
      <c r="P61402" s="3337"/>
    </row>
    <row r="61403" spans="7:16" s="1634" customFormat="1">
      <c r="G61403" s="3336"/>
      <c r="P61403" s="3337"/>
    </row>
    <row r="61404" spans="7:16" s="1634" customFormat="1">
      <c r="G61404" s="3336"/>
      <c r="P61404" s="3337"/>
    </row>
    <row r="61405" spans="7:16" s="1634" customFormat="1">
      <c r="G61405" s="3336"/>
      <c r="P61405" s="3337"/>
    </row>
    <row r="61406" spans="7:16" s="1634" customFormat="1">
      <c r="G61406" s="3336"/>
      <c r="P61406" s="3337"/>
    </row>
    <row r="61407" spans="7:16" s="1634" customFormat="1">
      <c r="G61407" s="3336"/>
      <c r="P61407" s="3337"/>
    </row>
    <row r="61408" spans="7:16" s="1634" customFormat="1">
      <c r="G61408" s="3336"/>
      <c r="P61408" s="3337"/>
    </row>
    <row r="61409" spans="7:16" s="1634" customFormat="1">
      <c r="G61409" s="3336"/>
      <c r="P61409" s="3337"/>
    </row>
    <row r="61410" spans="7:16" s="1634" customFormat="1">
      <c r="G61410" s="3336"/>
      <c r="P61410" s="3337"/>
    </row>
    <row r="61411" spans="7:16" s="1634" customFormat="1">
      <c r="G61411" s="3336"/>
      <c r="P61411" s="3337"/>
    </row>
    <row r="61412" spans="7:16" s="1634" customFormat="1">
      <c r="G61412" s="3336"/>
      <c r="P61412" s="3337"/>
    </row>
    <row r="61413" spans="7:16" s="1634" customFormat="1">
      <c r="G61413" s="3336"/>
      <c r="P61413" s="3337"/>
    </row>
    <row r="61414" spans="7:16" s="1634" customFormat="1">
      <c r="G61414" s="3336"/>
      <c r="P61414" s="3337"/>
    </row>
    <row r="61415" spans="7:16" s="1634" customFormat="1">
      <c r="G61415" s="3336"/>
      <c r="P61415" s="3337"/>
    </row>
    <row r="61416" spans="7:16" s="1634" customFormat="1">
      <c r="G61416" s="3336"/>
      <c r="P61416" s="3337"/>
    </row>
    <row r="61417" spans="7:16" s="1634" customFormat="1">
      <c r="G61417" s="3336"/>
      <c r="P61417" s="3337"/>
    </row>
    <row r="61418" spans="7:16" s="1634" customFormat="1">
      <c r="G61418" s="3336"/>
      <c r="P61418" s="3337"/>
    </row>
    <row r="61419" spans="7:16" s="1634" customFormat="1">
      <c r="G61419" s="3336"/>
      <c r="P61419" s="3337"/>
    </row>
    <row r="61420" spans="7:16" s="1634" customFormat="1">
      <c r="G61420" s="3336"/>
      <c r="P61420" s="3337"/>
    </row>
    <row r="61421" spans="7:16" s="1634" customFormat="1">
      <c r="G61421" s="3336"/>
      <c r="P61421" s="3337"/>
    </row>
    <row r="61422" spans="7:16" s="1634" customFormat="1">
      <c r="G61422" s="3336"/>
      <c r="P61422" s="3337"/>
    </row>
    <row r="61423" spans="7:16" s="1634" customFormat="1">
      <c r="G61423" s="3336"/>
      <c r="P61423" s="3337"/>
    </row>
    <row r="61424" spans="7:16" s="1634" customFormat="1">
      <c r="G61424" s="3336"/>
      <c r="P61424" s="3337"/>
    </row>
    <row r="61425" spans="7:16" s="1634" customFormat="1">
      <c r="G61425" s="3336"/>
      <c r="P61425" s="3337"/>
    </row>
    <row r="61426" spans="7:16" s="1634" customFormat="1">
      <c r="G61426" s="3336"/>
      <c r="P61426" s="3337"/>
    </row>
    <row r="61427" spans="7:16" s="1634" customFormat="1">
      <c r="G61427" s="3336"/>
      <c r="P61427" s="3337"/>
    </row>
    <row r="61428" spans="7:16" s="1634" customFormat="1">
      <c r="G61428" s="3336"/>
      <c r="P61428" s="3337"/>
    </row>
    <row r="61429" spans="7:16" s="1634" customFormat="1">
      <c r="G61429" s="3336"/>
      <c r="P61429" s="3337"/>
    </row>
    <row r="61430" spans="7:16" s="1634" customFormat="1">
      <c r="G61430" s="3336"/>
      <c r="P61430" s="3337"/>
    </row>
    <row r="61431" spans="7:16" s="1634" customFormat="1">
      <c r="G61431" s="3336"/>
      <c r="P61431" s="3337"/>
    </row>
    <row r="61432" spans="7:16" s="1634" customFormat="1">
      <c r="G61432" s="3336"/>
      <c r="P61432" s="3337"/>
    </row>
    <row r="61433" spans="7:16" s="1634" customFormat="1">
      <c r="G61433" s="3336"/>
      <c r="P61433" s="3337"/>
    </row>
    <row r="61434" spans="7:16" s="1634" customFormat="1">
      <c r="G61434" s="3336"/>
      <c r="P61434" s="3337"/>
    </row>
    <row r="61435" spans="7:16" s="1634" customFormat="1">
      <c r="G61435" s="3336"/>
      <c r="P61435" s="3337"/>
    </row>
    <row r="61436" spans="7:16" s="1634" customFormat="1">
      <c r="G61436" s="3336"/>
      <c r="P61436" s="3337"/>
    </row>
    <row r="61437" spans="7:16" s="1634" customFormat="1">
      <c r="G61437" s="3336"/>
      <c r="P61437" s="3337"/>
    </row>
    <row r="61438" spans="7:16" s="1634" customFormat="1">
      <c r="G61438" s="3336"/>
      <c r="P61438" s="3337"/>
    </row>
    <row r="61439" spans="7:16" s="1634" customFormat="1">
      <c r="G61439" s="3336"/>
      <c r="P61439" s="3337"/>
    </row>
    <row r="61440" spans="7:16" s="1634" customFormat="1">
      <c r="G61440" s="3336"/>
      <c r="P61440" s="3337"/>
    </row>
    <row r="61441" spans="7:16" s="1634" customFormat="1">
      <c r="G61441" s="3336"/>
      <c r="P61441" s="3337"/>
    </row>
    <row r="61442" spans="7:16" s="1634" customFormat="1">
      <c r="G61442" s="3336"/>
      <c r="P61442" s="3337"/>
    </row>
    <row r="61443" spans="7:16" s="1634" customFormat="1">
      <c r="G61443" s="3336"/>
      <c r="P61443" s="3337"/>
    </row>
    <row r="61444" spans="7:16" s="1634" customFormat="1">
      <c r="G61444" s="3336"/>
      <c r="P61444" s="3337"/>
    </row>
    <row r="61445" spans="7:16" s="1634" customFormat="1">
      <c r="G61445" s="3336"/>
      <c r="P61445" s="3337"/>
    </row>
    <row r="61446" spans="7:16" s="1634" customFormat="1">
      <c r="G61446" s="3336"/>
      <c r="P61446" s="3337"/>
    </row>
    <row r="61447" spans="7:16" s="1634" customFormat="1">
      <c r="G61447" s="3336"/>
      <c r="P61447" s="3337"/>
    </row>
    <row r="61448" spans="7:16" s="1634" customFormat="1">
      <c r="G61448" s="3336"/>
      <c r="P61448" s="3337"/>
    </row>
    <row r="61449" spans="7:16" s="1634" customFormat="1">
      <c r="G61449" s="3336"/>
      <c r="P61449" s="3337"/>
    </row>
    <row r="61450" spans="7:16" s="1634" customFormat="1">
      <c r="G61450" s="3336"/>
      <c r="P61450" s="3337"/>
    </row>
    <row r="61451" spans="7:16" s="1634" customFormat="1">
      <c r="G61451" s="3336"/>
      <c r="P61451" s="3337"/>
    </row>
    <row r="61452" spans="7:16" s="1634" customFormat="1">
      <c r="G61452" s="3336"/>
      <c r="P61452" s="3337"/>
    </row>
    <row r="61453" spans="7:16" s="1634" customFormat="1">
      <c r="G61453" s="3336"/>
      <c r="P61453" s="3337"/>
    </row>
    <row r="61454" spans="7:16" s="1634" customFormat="1">
      <c r="G61454" s="3336"/>
      <c r="P61454" s="3337"/>
    </row>
    <row r="61455" spans="7:16" s="1634" customFormat="1">
      <c r="G61455" s="3336"/>
      <c r="P61455" s="3337"/>
    </row>
    <row r="61456" spans="7:16" s="1634" customFormat="1">
      <c r="G61456" s="3336"/>
      <c r="P61456" s="3337"/>
    </row>
    <row r="61457" spans="7:16" s="1634" customFormat="1">
      <c r="G61457" s="3336"/>
      <c r="P61457" s="3337"/>
    </row>
    <row r="61458" spans="7:16" s="1634" customFormat="1">
      <c r="G61458" s="3336"/>
      <c r="P61458" s="3337"/>
    </row>
    <row r="61459" spans="7:16" s="1634" customFormat="1">
      <c r="G61459" s="3336"/>
      <c r="P61459" s="3337"/>
    </row>
    <row r="61460" spans="7:16" s="1634" customFormat="1">
      <c r="G61460" s="3336"/>
      <c r="P61460" s="3337"/>
    </row>
    <row r="61461" spans="7:16" s="1634" customFormat="1">
      <c r="G61461" s="3336"/>
      <c r="P61461" s="3337"/>
    </row>
    <row r="61462" spans="7:16" s="1634" customFormat="1">
      <c r="G61462" s="3336"/>
      <c r="P61462" s="3337"/>
    </row>
    <row r="61463" spans="7:16" s="1634" customFormat="1">
      <c r="G61463" s="3336"/>
      <c r="P61463" s="3337"/>
    </row>
    <row r="61464" spans="7:16" s="1634" customFormat="1">
      <c r="G61464" s="3336"/>
      <c r="P61464" s="3337"/>
    </row>
    <row r="61465" spans="7:16" s="1634" customFormat="1">
      <c r="G61465" s="3336"/>
      <c r="P61465" s="3337"/>
    </row>
    <row r="61466" spans="7:16" s="1634" customFormat="1">
      <c r="G61466" s="3336"/>
      <c r="P61466" s="3337"/>
    </row>
    <row r="61467" spans="7:16" s="1634" customFormat="1">
      <c r="G61467" s="3336"/>
      <c r="P61467" s="3337"/>
    </row>
    <row r="61468" spans="7:16" s="1634" customFormat="1">
      <c r="G61468" s="3336"/>
      <c r="P61468" s="3337"/>
    </row>
    <row r="61469" spans="7:16" s="1634" customFormat="1">
      <c r="G61469" s="3336"/>
      <c r="P61469" s="3337"/>
    </row>
    <row r="61470" spans="7:16" s="1634" customFormat="1">
      <c r="G61470" s="3336"/>
      <c r="P61470" s="3337"/>
    </row>
    <row r="61471" spans="7:16" s="1634" customFormat="1">
      <c r="G61471" s="3336"/>
      <c r="P61471" s="3337"/>
    </row>
    <row r="61472" spans="7:16" s="1634" customFormat="1">
      <c r="G61472" s="3336"/>
      <c r="P61472" s="3337"/>
    </row>
    <row r="61473" spans="7:16" s="1634" customFormat="1">
      <c r="G61473" s="3336"/>
      <c r="P61473" s="3337"/>
    </row>
    <row r="61474" spans="7:16" s="1634" customFormat="1">
      <c r="G61474" s="3336"/>
      <c r="P61474" s="3337"/>
    </row>
    <row r="61475" spans="7:16" s="1634" customFormat="1">
      <c r="G61475" s="3336"/>
      <c r="P61475" s="3337"/>
    </row>
    <row r="61476" spans="7:16" s="1634" customFormat="1">
      <c r="G61476" s="3336"/>
      <c r="P61476" s="3337"/>
    </row>
    <row r="61477" spans="7:16" s="1634" customFormat="1">
      <c r="G61477" s="3336"/>
      <c r="P61477" s="3337"/>
    </row>
    <row r="61478" spans="7:16" s="1634" customFormat="1">
      <c r="G61478" s="3336"/>
      <c r="P61478" s="3337"/>
    </row>
    <row r="61479" spans="7:16" s="1634" customFormat="1">
      <c r="G61479" s="3336"/>
      <c r="P61479" s="3337"/>
    </row>
    <row r="61480" spans="7:16" s="1634" customFormat="1">
      <c r="G61480" s="3336"/>
      <c r="P61480" s="3337"/>
    </row>
    <row r="61481" spans="7:16" s="1634" customFormat="1">
      <c r="G61481" s="3336"/>
      <c r="P61481" s="3337"/>
    </row>
    <row r="61482" spans="7:16" s="1634" customFormat="1">
      <c r="G61482" s="3336"/>
      <c r="P61482" s="3337"/>
    </row>
    <row r="61483" spans="7:16" s="1634" customFormat="1">
      <c r="G61483" s="3336"/>
      <c r="P61483" s="3337"/>
    </row>
    <row r="61484" spans="7:16" s="1634" customFormat="1">
      <c r="G61484" s="3336"/>
      <c r="P61484" s="3337"/>
    </row>
    <row r="61485" spans="7:16" s="1634" customFormat="1">
      <c r="G61485" s="3336"/>
      <c r="P61485" s="3337"/>
    </row>
    <row r="61486" spans="7:16" s="1634" customFormat="1">
      <c r="G61486" s="3336"/>
      <c r="P61486" s="3337"/>
    </row>
    <row r="61487" spans="7:16" s="1634" customFormat="1">
      <c r="G61487" s="3336"/>
      <c r="P61487" s="3337"/>
    </row>
    <row r="61488" spans="7:16" s="1634" customFormat="1">
      <c r="G61488" s="3336"/>
      <c r="P61488" s="3337"/>
    </row>
    <row r="61489" spans="7:16" s="1634" customFormat="1">
      <c r="G61489" s="3336"/>
      <c r="P61489" s="3337"/>
    </row>
    <row r="61490" spans="7:16" s="1634" customFormat="1">
      <c r="G61490" s="3336"/>
      <c r="P61490" s="3337"/>
    </row>
    <row r="61491" spans="7:16" s="1634" customFormat="1">
      <c r="G61491" s="3336"/>
      <c r="P61491" s="3337"/>
    </row>
    <row r="61492" spans="7:16" s="1634" customFormat="1">
      <c r="G61492" s="3336"/>
      <c r="P61492" s="3337"/>
    </row>
    <row r="61493" spans="7:16" s="1634" customFormat="1">
      <c r="G61493" s="3336"/>
      <c r="P61493" s="3337"/>
    </row>
    <row r="61494" spans="7:16" s="1634" customFormat="1">
      <c r="G61494" s="3336"/>
      <c r="P61494" s="3337"/>
    </row>
    <row r="61495" spans="7:16" s="1634" customFormat="1">
      <c r="G61495" s="3336"/>
      <c r="P61495" s="3337"/>
    </row>
    <row r="61496" spans="7:16" s="1634" customFormat="1">
      <c r="G61496" s="3336"/>
      <c r="P61496" s="3337"/>
    </row>
    <row r="61497" spans="7:16" s="1634" customFormat="1">
      <c r="G61497" s="3336"/>
      <c r="P61497" s="3337"/>
    </row>
    <row r="61498" spans="7:16" s="1634" customFormat="1">
      <c r="G61498" s="3336"/>
      <c r="P61498" s="3337"/>
    </row>
    <row r="61499" spans="7:16" s="1634" customFormat="1">
      <c r="G61499" s="3336"/>
      <c r="P61499" s="3337"/>
    </row>
    <row r="61500" spans="7:16" s="1634" customFormat="1">
      <c r="G61500" s="3336"/>
      <c r="P61500" s="3337"/>
    </row>
    <row r="61501" spans="7:16" s="1634" customFormat="1">
      <c r="G61501" s="3336"/>
      <c r="P61501" s="3337"/>
    </row>
    <row r="61502" spans="7:16" s="1634" customFormat="1">
      <c r="G61502" s="3336"/>
      <c r="P61502" s="3337"/>
    </row>
    <row r="61503" spans="7:16" s="1634" customFormat="1">
      <c r="G61503" s="3336"/>
      <c r="P61503" s="3337"/>
    </row>
    <row r="61504" spans="7:16" s="1634" customFormat="1">
      <c r="G61504" s="3336"/>
      <c r="P61504" s="3337"/>
    </row>
    <row r="61505" spans="7:16" s="1634" customFormat="1">
      <c r="G61505" s="3336"/>
      <c r="P61505" s="3337"/>
    </row>
    <row r="61506" spans="7:16" s="1634" customFormat="1">
      <c r="G61506" s="3336"/>
      <c r="P61506" s="3337"/>
    </row>
    <row r="61507" spans="7:16" s="1634" customFormat="1">
      <c r="G61507" s="3336"/>
      <c r="P61507" s="3337"/>
    </row>
    <row r="61508" spans="7:16" s="1634" customFormat="1">
      <c r="G61508" s="3336"/>
      <c r="P61508" s="3337"/>
    </row>
    <row r="61509" spans="7:16" s="1634" customFormat="1">
      <c r="G61509" s="3336"/>
      <c r="P61509" s="3337"/>
    </row>
    <row r="61510" spans="7:16" s="1634" customFormat="1">
      <c r="G61510" s="3336"/>
      <c r="P61510" s="3337"/>
    </row>
    <row r="61511" spans="7:16" s="1634" customFormat="1">
      <c r="G61511" s="3336"/>
      <c r="P61511" s="3337"/>
    </row>
    <row r="61512" spans="7:16" s="1634" customFormat="1">
      <c r="G61512" s="3336"/>
      <c r="P61512" s="3337"/>
    </row>
    <row r="61513" spans="7:16" s="1634" customFormat="1">
      <c r="G61513" s="3336"/>
      <c r="P61513" s="3337"/>
    </row>
    <row r="61514" spans="7:16" s="1634" customFormat="1">
      <c r="G61514" s="3336"/>
      <c r="P61514" s="3337"/>
    </row>
    <row r="61515" spans="7:16" s="1634" customFormat="1">
      <c r="G61515" s="3336"/>
      <c r="P61515" s="3337"/>
    </row>
    <row r="61516" spans="7:16" s="1634" customFormat="1">
      <c r="G61516" s="3336"/>
      <c r="P61516" s="3337"/>
    </row>
    <row r="61517" spans="7:16" s="1634" customFormat="1">
      <c r="G61517" s="3336"/>
      <c r="P61517" s="3337"/>
    </row>
    <row r="61518" spans="7:16" s="1634" customFormat="1">
      <c r="G61518" s="3336"/>
      <c r="P61518" s="3337"/>
    </row>
    <row r="61519" spans="7:16" s="1634" customFormat="1">
      <c r="G61519" s="3336"/>
      <c r="P61519" s="3337"/>
    </row>
    <row r="61520" spans="7:16" s="1634" customFormat="1">
      <c r="G61520" s="3336"/>
      <c r="P61520" s="3337"/>
    </row>
    <row r="61521" spans="7:16" s="1634" customFormat="1">
      <c r="G61521" s="3336"/>
      <c r="P61521" s="3337"/>
    </row>
    <row r="61522" spans="7:16" s="1634" customFormat="1">
      <c r="G61522" s="3336"/>
      <c r="P61522" s="3337"/>
    </row>
    <row r="61523" spans="7:16" s="1634" customFormat="1">
      <c r="G61523" s="3336"/>
      <c r="P61523" s="3337"/>
    </row>
    <row r="61524" spans="7:16" s="1634" customFormat="1">
      <c r="G61524" s="3336"/>
      <c r="P61524" s="3337"/>
    </row>
    <row r="61525" spans="7:16" s="1634" customFormat="1">
      <c r="G61525" s="3336"/>
      <c r="P61525" s="3337"/>
    </row>
    <row r="61526" spans="7:16" s="1634" customFormat="1">
      <c r="G61526" s="3336"/>
      <c r="P61526" s="3337"/>
    </row>
    <row r="61527" spans="7:16" s="1634" customFormat="1">
      <c r="G61527" s="3336"/>
      <c r="P61527" s="3337"/>
    </row>
    <row r="61528" spans="7:16" s="1634" customFormat="1">
      <c r="G61528" s="3336"/>
      <c r="P61528" s="3337"/>
    </row>
    <row r="61529" spans="7:16" s="1634" customFormat="1">
      <c r="G61529" s="3336"/>
      <c r="P61529" s="3337"/>
    </row>
    <row r="61530" spans="7:16" s="1634" customFormat="1">
      <c r="G61530" s="3336"/>
      <c r="P61530" s="3337"/>
    </row>
    <row r="61531" spans="7:16" s="1634" customFormat="1">
      <c r="G61531" s="3336"/>
      <c r="P61531" s="3337"/>
    </row>
    <row r="61532" spans="7:16" s="1634" customFormat="1">
      <c r="G61532" s="3336"/>
      <c r="P61532" s="3337"/>
    </row>
    <row r="61533" spans="7:16" s="1634" customFormat="1">
      <c r="G61533" s="3336"/>
      <c r="P61533" s="3337"/>
    </row>
    <row r="61534" spans="7:16" s="1634" customFormat="1">
      <c r="G61534" s="3336"/>
      <c r="P61534" s="3337"/>
    </row>
    <row r="61535" spans="7:16" s="1634" customFormat="1">
      <c r="G61535" s="3336"/>
      <c r="P61535" s="3337"/>
    </row>
    <row r="61536" spans="7:16" s="1634" customFormat="1">
      <c r="G61536" s="3336"/>
      <c r="P61536" s="3337"/>
    </row>
    <row r="61537" spans="7:16" s="1634" customFormat="1">
      <c r="G61537" s="3336"/>
      <c r="P61537" s="3337"/>
    </row>
    <row r="61538" spans="7:16" s="1634" customFormat="1">
      <c r="G61538" s="3336"/>
      <c r="P61538" s="3337"/>
    </row>
    <row r="61539" spans="7:16" s="1634" customFormat="1">
      <c r="G61539" s="3336"/>
      <c r="P61539" s="3337"/>
    </row>
    <row r="61540" spans="7:16" s="1634" customFormat="1">
      <c r="G61540" s="3336"/>
      <c r="P61540" s="3337"/>
    </row>
    <row r="61541" spans="7:16" s="1634" customFormat="1">
      <c r="G61541" s="3336"/>
      <c r="P61541" s="3337"/>
    </row>
    <row r="61542" spans="7:16" s="1634" customFormat="1">
      <c r="G61542" s="3336"/>
      <c r="P61542" s="3337"/>
    </row>
    <row r="61543" spans="7:16" s="1634" customFormat="1">
      <c r="G61543" s="3336"/>
      <c r="P61543" s="3337"/>
    </row>
    <row r="61544" spans="7:16" s="1634" customFormat="1">
      <c r="G61544" s="3336"/>
      <c r="P61544" s="3337"/>
    </row>
    <row r="61545" spans="7:16" s="1634" customFormat="1">
      <c r="G61545" s="3336"/>
      <c r="P61545" s="3337"/>
    </row>
    <row r="61546" spans="7:16" s="1634" customFormat="1">
      <c r="G61546" s="3336"/>
      <c r="P61546" s="3337"/>
    </row>
    <row r="61547" spans="7:16" s="1634" customFormat="1">
      <c r="G61547" s="3336"/>
      <c r="P61547" s="3337"/>
    </row>
    <row r="61548" spans="7:16" s="1634" customFormat="1">
      <c r="G61548" s="3336"/>
      <c r="P61548" s="3337"/>
    </row>
    <row r="61549" spans="7:16" s="1634" customFormat="1">
      <c r="G61549" s="3336"/>
      <c r="P61549" s="3337"/>
    </row>
    <row r="61550" spans="7:16" s="1634" customFormat="1">
      <c r="G61550" s="3336"/>
      <c r="P61550" s="3337"/>
    </row>
    <row r="61551" spans="7:16" s="1634" customFormat="1">
      <c r="G61551" s="3336"/>
      <c r="P61551" s="3337"/>
    </row>
    <row r="61552" spans="7:16" s="1634" customFormat="1">
      <c r="G61552" s="3336"/>
      <c r="P61552" s="3337"/>
    </row>
    <row r="61553" spans="7:16" s="1634" customFormat="1">
      <c r="G61553" s="3336"/>
      <c r="P61553" s="3337"/>
    </row>
    <row r="61554" spans="7:16" s="1634" customFormat="1">
      <c r="G61554" s="3336"/>
      <c r="P61554" s="3337"/>
    </row>
    <row r="61555" spans="7:16" s="1634" customFormat="1">
      <c r="G61555" s="3336"/>
      <c r="P61555" s="3337"/>
    </row>
    <row r="61556" spans="7:16" s="1634" customFormat="1">
      <c r="G61556" s="3336"/>
      <c r="P61556" s="3337"/>
    </row>
    <row r="61557" spans="7:16" s="1634" customFormat="1">
      <c r="G61557" s="3336"/>
      <c r="P61557" s="3337"/>
    </row>
    <row r="61558" spans="7:16" s="1634" customFormat="1">
      <c r="G61558" s="3336"/>
      <c r="P61558" s="3337"/>
    </row>
    <row r="61559" spans="7:16" s="1634" customFormat="1">
      <c r="G61559" s="3336"/>
      <c r="P61559" s="3337"/>
    </row>
    <row r="61560" spans="7:16" s="1634" customFormat="1">
      <c r="G61560" s="3336"/>
      <c r="P61560" s="3337"/>
    </row>
    <row r="61561" spans="7:16" s="1634" customFormat="1">
      <c r="G61561" s="3336"/>
      <c r="P61561" s="3337"/>
    </row>
    <row r="61562" spans="7:16" s="1634" customFormat="1">
      <c r="G61562" s="3336"/>
      <c r="P61562" s="3337"/>
    </row>
    <row r="61563" spans="7:16" s="1634" customFormat="1">
      <c r="G61563" s="3336"/>
      <c r="P61563" s="3337"/>
    </row>
    <row r="61564" spans="7:16" s="1634" customFormat="1">
      <c r="G61564" s="3336"/>
      <c r="P61564" s="3337"/>
    </row>
    <row r="61565" spans="7:16" s="1634" customFormat="1">
      <c r="G61565" s="3336"/>
      <c r="P61565" s="3337"/>
    </row>
    <row r="61566" spans="7:16" s="1634" customFormat="1">
      <c r="G61566" s="3336"/>
      <c r="P61566" s="3337"/>
    </row>
    <row r="61567" spans="7:16" s="1634" customFormat="1">
      <c r="G61567" s="3336"/>
      <c r="P61567" s="3337"/>
    </row>
    <row r="61568" spans="7:16" s="1634" customFormat="1">
      <c r="G61568" s="3336"/>
      <c r="P61568" s="3337"/>
    </row>
    <row r="61569" spans="7:16" s="1634" customFormat="1">
      <c r="G61569" s="3336"/>
      <c r="P61569" s="3337"/>
    </row>
    <row r="61570" spans="7:16" s="1634" customFormat="1">
      <c r="G61570" s="3336"/>
      <c r="P61570" s="3337"/>
    </row>
    <row r="61571" spans="7:16" s="1634" customFormat="1">
      <c r="G61571" s="3336"/>
      <c r="P61571" s="3337"/>
    </row>
    <row r="61572" spans="7:16" s="1634" customFormat="1">
      <c r="G61572" s="3336"/>
      <c r="P61572" s="3337"/>
    </row>
    <row r="61573" spans="7:16" s="1634" customFormat="1">
      <c r="G61573" s="3336"/>
      <c r="P61573" s="3337"/>
    </row>
    <row r="61574" spans="7:16" s="1634" customFormat="1">
      <c r="G61574" s="3336"/>
      <c r="P61574" s="3337"/>
    </row>
    <row r="61575" spans="7:16" s="1634" customFormat="1">
      <c r="G61575" s="3336"/>
      <c r="P61575" s="3337"/>
    </row>
    <row r="61576" spans="7:16" s="1634" customFormat="1">
      <c r="G61576" s="3336"/>
      <c r="P61576" s="3337"/>
    </row>
    <row r="61577" spans="7:16" s="1634" customFormat="1">
      <c r="G61577" s="3336"/>
      <c r="P61577" s="3337"/>
    </row>
    <row r="61578" spans="7:16" s="1634" customFormat="1">
      <c r="G61578" s="3336"/>
      <c r="P61578" s="3337"/>
    </row>
    <row r="61579" spans="7:16" s="1634" customFormat="1">
      <c r="G61579" s="3336"/>
      <c r="P61579" s="3337"/>
    </row>
    <row r="61580" spans="7:16" s="1634" customFormat="1">
      <c r="G61580" s="3336"/>
      <c r="P61580" s="3337"/>
    </row>
    <row r="61581" spans="7:16" s="1634" customFormat="1">
      <c r="G61581" s="3336"/>
      <c r="P61581" s="3337"/>
    </row>
    <row r="61582" spans="7:16" s="1634" customFormat="1">
      <c r="G61582" s="3336"/>
      <c r="P61582" s="3337"/>
    </row>
    <row r="61583" spans="7:16" s="1634" customFormat="1">
      <c r="G61583" s="3336"/>
      <c r="P61583" s="3337"/>
    </row>
    <row r="61584" spans="7:16" s="1634" customFormat="1">
      <c r="G61584" s="3336"/>
      <c r="P61584" s="3337"/>
    </row>
    <row r="61585" spans="7:16" s="1634" customFormat="1">
      <c r="G61585" s="3336"/>
      <c r="P61585" s="3337"/>
    </row>
    <row r="61586" spans="7:16" s="1634" customFormat="1">
      <c r="G61586" s="3336"/>
      <c r="P61586" s="3337"/>
    </row>
    <row r="61587" spans="7:16" s="1634" customFormat="1">
      <c r="G61587" s="3336"/>
      <c r="P61587" s="3337"/>
    </row>
    <row r="61588" spans="7:16" s="1634" customFormat="1">
      <c r="G61588" s="3336"/>
      <c r="P61588" s="3337"/>
    </row>
    <row r="61589" spans="7:16" s="1634" customFormat="1">
      <c r="G61589" s="3336"/>
      <c r="P61589" s="3337"/>
    </row>
    <row r="61590" spans="7:16" s="1634" customFormat="1">
      <c r="G61590" s="3336"/>
      <c r="P61590" s="3337"/>
    </row>
    <row r="61591" spans="7:16" s="1634" customFormat="1">
      <c r="G61591" s="3336"/>
      <c r="P61591" s="3337"/>
    </row>
    <row r="61592" spans="7:16" s="1634" customFormat="1">
      <c r="G61592" s="3336"/>
      <c r="P61592" s="3337"/>
    </row>
    <row r="61593" spans="7:16" s="1634" customFormat="1">
      <c r="G61593" s="3336"/>
      <c r="P61593" s="3337"/>
    </row>
    <row r="61594" spans="7:16" s="1634" customFormat="1">
      <c r="G61594" s="3336"/>
      <c r="P61594" s="3337"/>
    </row>
    <row r="61595" spans="7:16" s="1634" customFormat="1">
      <c r="G61595" s="3336"/>
      <c r="P61595" s="3337"/>
    </row>
    <row r="61596" spans="7:16" s="1634" customFormat="1">
      <c r="G61596" s="3336"/>
      <c r="P61596" s="3337"/>
    </row>
    <row r="61597" spans="7:16" s="1634" customFormat="1">
      <c r="G61597" s="3336"/>
      <c r="P61597" s="3337"/>
    </row>
    <row r="61598" spans="7:16" s="1634" customFormat="1">
      <c r="G61598" s="3336"/>
      <c r="P61598" s="3337"/>
    </row>
    <row r="61599" spans="7:16" s="1634" customFormat="1">
      <c r="G61599" s="3336"/>
      <c r="P61599" s="3337"/>
    </row>
    <row r="61600" spans="7:16" s="1634" customFormat="1">
      <c r="G61600" s="3336"/>
      <c r="P61600" s="3337"/>
    </row>
    <row r="61601" spans="7:16" s="1634" customFormat="1">
      <c r="G61601" s="3336"/>
      <c r="P61601" s="3337"/>
    </row>
    <row r="61602" spans="7:16" s="1634" customFormat="1">
      <c r="G61602" s="3336"/>
      <c r="P61602" s="3337"/>
    </row>
    <row r="61603" spans="7:16" s="1634" customFormat="1">
      <c r="G61603" s="3336"/>
      <c r="P61603" s="3337"/>
    </row>
    <row r="61604" spans="7:16" s="1634" customFormat="1">
      <c r="G61604" s="3336"/>
      <c r="P61604" s="3337"/>
    </row>
    <row r="61605" spans="7:16" s="1634" customFormat="1">
      <c r="G61605" s="3336"/>
      <c r="P61605" s="3337"/>
    </row>
    <row r="61606" spans="7:16" s="1634" customFormat="1">
      <c r="G61606" s="3336"/>
      <c r="P61606" s="3337"/>
    </row>
    <row r="61607" spans="7:16" s="1634" customFormat="1">
      <c r="G61607" s="3336"/>
      <c r="P61607" s="3337"/>
    </row>
    <row r="61608" spans="7:16" s="1634" customFormat="1">
      <c r="G61608" s="3336"/>
      <c r="P61608" s="3337"/>
    </row>
    <row r="61609" spans="7:16" s="1634" customFormat="1">
      <c r="G61609" s="3336"/>
      <c r="P61609" s="3337"/>
    </row>
    <row r="61610" spans="7:16" s="1634" customFormat="1">
      <c r="G61610" s="3336"/>
      <c r="P61610" s="3337"/>
    </row>
    <row r="61611" spans="7:16" s="1634" customFormat="1">
      <c r="G61611" s="3336"/>
      <c r="P61611" s="3337"/>
    </row>
    <row r="61612" spans="7:16" s="1634" customFormat="1">
      <c r="G61612" s="3336"/>
      <c r="P61612" s="3337"/>
    </row>
    <row r="61613" spans="7:16" s="1634" customFormat="1">
      <c r="G61613" s="3336"/>
      <c r="P61613" s="3337"/>
    </row>
    <row r="61614" spans="7:16" s="1634" customFormat="1">
      <c r="G61614" s="3336"/>
      <c r="P61614" s="3337"/>
    </row>
    <row r="61615" spans="7:16" s="1634" customFormat="1">
      <c r="G61615" s="3336"/>
      <c r="P61615" s="3337"/>
    </row>
    <row r="61616" spans="7:16" s="1634" customFormat="1">
      <c r="G61616" s="3336"/>
      <c r="P61616" s="3337"/>
    </row>
    <row r="61617" spans="7:16" s="1634" customFormat="1">
      <c r="G61617" s="3336"/>
      <c r="P61617" s="3337"/>
    </row>
    <row r="61618" spans="7:16" s="1634" customFormat="1">
      <c r="G61618" s="3336"/>
      <c r="P61618" s="3337"/>
    </row>
    <row r="61619" spans="7:16" s="1634" customFormat="1">
      <c r="G61619" s="3336"/>
      <c r="P61619" s="3337"/>
    </row>
    <row r="61620" spans="7:16" s="1634" customFormat="1">
      <c r="G61620" s="3336"/>
      <c r="P61620" s="3337"/>
    </row>
    <row r="61621" spans="7:16" s="1634" customFormat="1">
      <c r="G61621" s="3336"/>
      <c r="P61621" s="3337"/>
    </row>
    <row r="61622" spans="7:16" s="1634" customFormat="1">
      <c r="G61622" s="3336"/>
      <c r="P61622" s="3337"/>
    </row>
    <row r="61623" spans="7:16" s="1634" customFormat="1">
      <c r="G61623" s="3336"/>
      <c r="P61623" s="3337"/>
    </row>
    <row r="61624" spans="7:16" s="1634" customFormat="1">
      <c r="G61624" s="3336"/>
      <c r="P61624" s="3337"/>
    </row>
    <row r="61625" spans="7:16" s="1634" customFormat="1">
      <c r="G61625" s="3336"/>
      <c r="P61625" s="3337"/>
    </row>
    <row r="61626" spans="7:16" s="1634" customFormat="1">
      <c r="G61626" s="3336"/>
      <c r="P61626" s="3337"/>
    </row>
    <row r="61627" spans="7:16" s="1634" customFormat="1">
      <c r="G61627" s="3336"/>
      <c r="P61627" s="3337"/>
    </row>
    <row r="61628" spans="7:16" s="1634" customFormat="1">
      <c r="G61628" s="3336"/>
      <c r="P61628" s="3337"/>
    </row>
    <row r="61629" spans="7:16" s="1634" customFormat="1">
      <c r="G61629" s="3336"/>
      <c r="P61629" s="3337"/>
    </row>
    <row r="61630" spans="7:16" s="1634" customFormat="1">
      <c r="G61630" s="3336"/>
      <c r="P61630" s="3337"/>
    </row>
    <row r="61631" spans="7:16" s="1634" customFormat="1">
      <c r="G61631" s="3336"/>
      <c r="P61631" s="3337"/>
    </row>
    <row r="61632" spans="7:16" s="1634" customFormat="1">
      <c r="G61632" s="3336"/>
      <c r="P61632" s="3337"/>
    </row>
    <row r="61633" spans="7:16" s="1634" customFormat="1">
      <c r="G61633" s="3336"/>
      <c r="P61633" s="3337"/>
    </row>
    <row r="61634" spans="7:16" s="1634" customFormat="1">
      <c r="G61634" s="3336"/>
      <c r="P61634" s="3337"/>
    </row>
    <row r="61635" spans="7:16" s="1634" customFormat="1">
      <c r="G61635" s="3336"/>
      <c r="P61635" s="3337"/>
    </row>
    <row r="61636" spans="7:16" s="1634" customFormat="1">
      <c r="G61636" s="3336"/>
      <c r="P61636" s="3337"/>
    </row>
    <row r="61637" spans="7:16" s="1634" customFormat="1">
      <c r="G61637" s="3336"/>
      <c r="P61637" s="3337"/>
    </row>
    <row r="61638" spans="7:16" s="1634" customFormat="1">
      <c r="G61638" s="3336"/>
      <c r="P61638" s="3337"/>
    </row>
    <row r="61639" spans="7:16" s="1634" customFormat="1">
      <c r="G61639" s="3336"/>
      <c r="P61639" s="3337"/>
    </row>
    <row r="61640" spans="7:16" s="1634" customFormat="1">
      <c r="G61640" s="3336"/>
      <c r="P61640" s="3337"/>
    </row>
    <row r="61641" spans="7:16" s="1634" customFormat="1">
      <c r="G61641" s="3336"/>
      <c r="P61641" s="3337"/>
    </row>
    <row r="61642" spans="7:16" s="1634" customFormat="1">
      <c r="G61642" s="3336"/>
      <c r="P61642" s="3337"/>
    </row>
    <row r="61643" spans="7:16" s="1634" customFormat="1">
      <c r="G61643" s="3336"/>
      <c r="P61643" s="3337"/>
    </row>
    <row r="61644" spans="7:16" s="1634" customFormat="1">
      <c r="G61644" s="3336"/>
      <c r="P61644" s="3337"/>
    </row>
    <row r="61645" spans="7:16" s="1634" customFormat="1">
      <c r="G61645" s="3336"/>
      <c r="P61645" s="3337"/>
    </row>
    <row r="61646" spans="7:16" s="1634" customFormat="1">
      <c r="G61646" s="3336"/>
      <c r="P61646" s="3337"/>
    </row>
    <row r="61647" spans="7:16" s="1634" customFormat="1">
      <c r="G61647" s="3336"/>
      <c r="P61647" s="3337"/>
    </row>
    <row r="61648" spans="7:16" s="1634" customFormat="1">
      <c r="G61648" s="3336"/>
      <c r="P61648" s="3337"/>
    </row>
    <row r="61649" spans="7:16" s="1634" customFormat="1">
      <c r="G61649" s="3336"/>
      <c r="P61649" s="3337"/>
    </row>
    <row r="61650" spans="7:16" s="1634" customFormat="1">
      <c r="G61650" s="3336"/>
      <c r="P61650" s="3337"/>
    </row>
    <row r="61651" spans="7:16" s="1634" customFormat="1">
      <c r="G61651" s="3336"/>
      <c r="P61651" s="3337"/>
    </row>
    <row r="61652" spans="7:16" s="1634" customFormat="1">
      <c r="G61652" s="3336"/>
      <c r="P61652" s="3337"/>
    </row>
    <row r="61653" spans="7:16" s="1634" customFormat="1">
      <c r="G61653" s="3336"/>
      <c r="P61653" s="3337"/>
    </row>
    <row r="61654" spans="7:16" s="1634" customFormat="1">
      <c r="G61654" s="3336"/>
      <c r="P61654" s="3337"/>
    </row>
    <row r="61655" spans="7:16" s="1634" customFormat="1">
      <c r="G61655" s="3336"/>
      <c r="P61655" s="3337"/>
    </row>
    <row r="61656" spans="7:16" s="1634" customFormat="1">
      <c r="G61656" s="3336"/>
      <c r="P61656" s="3337"/>
    </row>
    <row r="61657" spans="7:16" s="1634" customFormat="1">
      <c r="G61657" s="3336"/>
      <c r="P61657" s="3337"/>
    </row>
    <row r="61658" spans="7:16" s="1634" customFormat="1">
      <c r="G61658" s="3336"/>
      <c r="P61658" s="3337"/>
    </row>
    <row r="61659" spans="7:16" s="1634" customFormat="1">
      <c r="G61659" s="3336"/>
      <c r="P61659" s="3337"/>
    </row>
    <row r="61660" spans="7:16" s="1634" customFormat="1">
      <c r="G61660" s="3336"/>
      <c r="P61660" s="3337"/>
    </row>
    <row r="61661" spans="7:16" s="1634" customFormat="1">
      <c r="G61661" s="3336"/>
      <c r="P61661" s="3337"/>
    </row>
    <row r="61662" spans="7:16" s="1634" customFormat="1">
      <c r="G61662" s="3336"/>
      <c r="P61662" s="3337"/>
    </row>
    <row r="61663" spans="7:16" s="1634" customFormat="1">
      <c r="G61663" s="3336"/>
      <c r="P61663" s="3337"/>
    </row>
    <row r="61664" spans="7:16" s="1634" customFormat="1">
      <c r="G61664" s="3336"/>
      <c r="P61664" s="3337"/>
    </row>
    <row r="61665" spans="7:16" s="1634" customFormat="1">
      <c r="G61665" s="3336"/>
      <c r="P61665" s="3337"/>
    </row>
    <row r="61666" spans="7:16" s="1634" customFormat="1">
      <c r="G61666" s="3336"/>
      <c r="P61666" s="3337"/>
    </row>
    <row r="61667" spans="7:16" s="1634" customFormat="1">
      <c r="G61667" s="3336"/>
      <c r="P61667" s="3337"/>
    </row>
    <row r="61668" spans="7:16" s="1634" customFormat="1">
      <c r="G61668" s="3336"/>
      <c r="P61668" s="3337"/>
    </row>
    <row r="61669" spans="7:16" s="1634" customFormat="1">
      <c r="G61669" s="3336"/>
      <c r="P61669" s="3337"/>
    </row>
    <row r="61670" spans="7:16" s="1634" customFormat="1">
      <c r="G61670" s="3336"/>
      <c r="P61670" s="3337"/>
    </row>
    <row r="61671" spans="7:16" s="1634" customFormat="1">
      <c r="G61671" s="3336"/>
      <c r="P61671" s="3337"/>
    </row>
    <row r="61672" spans="7:16" s="1634" customFormat="1">
      <c r="G61672" s="3336"/>
      <c r="P61672" s="3337"/>
    </row>
    <row r="61673" spans="7:16" s="1634" customFormat="1">
      <c r="G61673" s="3336"/>
      <c r="P61673" s="3337"/>
    </row>
    <row r="61674" spans="7:16" s="1634" customFormat="1">
      <c r="G61674" s="3336"/>
      <c r="P61674" s="3337"/>
    </row>
    <row r="61675" spans="7:16" s="1634" customFormat="1">
      <c r="G61675" s="3336"/>
      <c r="P61675" s="3337"/>
    </row>
    <row r="61676" spans="7:16" s="1634" customFormat="1">
      <c r="G61676" s="3336"/>
      <c r="P61676" s="3337"/>
    </row>
    <row r="61677" spans="7:16" s="1634" customFormat="1">
      <c r="G61677" s="3336"/>
      <c r="P61677" s="3337"/>
    </row>
    <row r="61678" spans="7:16" s="1634" customFormat="1">
      <c r="G61678" s="3336"/>
      <c r="P61678" s="3337"/>
    </row>
    <row r="61679" spans="7:16" s="1634" customFormat="1">
      <c r="G61679" s="3336"/>
      <c r="P61679" s="3337"/>
    </row>
    <row r="61680" spans="7:16" s="1634" customFormat="1">
      <c r="G61680" s="3336"/>
      <c r="P61680" s="3337"/>
    </row>
    <row r="61681" spans="7:16" s="1634" customFormat="1">
      <c r="G61681" s="3336"/>
      <c r="P61681" s="3337"/>
    </row>
    <row r="61682" spans="7:16" s="1634" customFormat="1">
      <c r="G61682" s="3336"/>
      <c r="P61682" s="3337"/>
    </row>
    <row r="61683" spans="7:16" s="1634" customFormat="1">
      <c r="G61683" s="3336"/>
      <c r="P61683" s="3337"/>
    </row>
    <row r="61684" spans="7:16" s="1634" customFormat="1">
      <c r="G61684" s="3336"/>
      <c r="P61684" s="3337"/>
    </row>
    <row r="61685" spans="7:16" s="1634" customFormat="1">
      <c r="G61685" s="3336"/>
      <c r="P61685" s="3337"/>
    </row>
    <row r="61686" spans="7:16" s="1634" customFormat="1">
      <c r="G61686" s="3336"/>
      <c r="P61686" s="3337"/>
    </row>
    <row r="61687" spans="7:16" s="1634" customFormat="1">
      <c r="G61687" s="3336"/>
      <c r="P61687" s="3337"/>
    </row>
    <row r="61688" spans="7:16" s="1634" customFormat="1">
      <c r="G61688" s="3336"/>
      <c r="P61688" s="3337"/>
    </row>
    <row r="61689" spans="7:16" s="1634" customFormat="1">
      <c r="G61689" s="3336"/>
      <c r="P61689" s="3337"/>
    </row>
    <row r="61690" spans="7:16" s="1634" customFormat="1">
      <c r="G61690" s="3336"/>
      <c r="P61690" s="3337"/>
    </row>
    <row r="61691" spans="7:16" s="1634" customFormat="1">
      <c r="G61691" s="3336"/>
      <c r="P61691" s="3337"/>
    </row>
    <row r="61692" spans="7:16" s="1634" customFormat="1">
      <c r="G61692" s="3336"/>
      <c r="P61692" s="3337"/>
    </row>
    <row r="61693" spans="7:16" s="1634" customFormat="1">
      <c r="G61693" s="3336"/>
      <c r="P61693" s="3337"/>
    </row>
    <row r="61694" spans="7:16" s="1634" customFormat="1">
      <c r="G61694" s="3336"/>
      <c r="P61694" s="3337"/>
    </row>
    <row r="61695" spans="7:16" s="1634" customFormat="1">
      <c r="G61695" s="3336"/>
      <c r="P61695" s="3337"/>
    </row>
    <row r="61696" spans="7:16" s="1634" customFormat="1">
      <c r="G61696" s="3336"/>
      <c r="P61696" s="3337"/>
    </row>
    <row r="61697" spans="7:16" s="1634" customFormat="1">
      <c r="G61697" s="3336"/>
      <c r="P61697" s="3337"/>
    </row>
    <row r="61698" spans="7:16" s="1634" customFormat="1">
      <c r="G61698" s="3336"/>
      <c r="P61698" s="3337"/>
    </row>
    <row r="61699" spans="7:16" s="1634" customFormat="1">
      <c r="G61699" s="3336"/>
      <c r="P61699" s="3337"/>
    </row>
    <row r="61700" spans="7:16" s="1634" customFormat="1">
      <c r="G61700" s="3336"/>
      <c r="P61700" s="3337"/>
    </row>
    <row r="61701" spans="7:16" s="1634" customFormat="1">
      <c r="G61701" s="3336"/>
      <c r="P61701" s="3337"/>
    </row>
    <row r="61702" spans="7:16" s="1634" customFormat="1">
      <c r="G61702" s="3336"/>
      <c r="P61702" s="3337"/>
    </row>
    <row r="61703" spans="7:16" s="1634" customFormat="1">
      <c r="G61703" s="3336"/>
      <c r="P61703" s="3337"/>
    </row>
    <row r="61704" spans="7:16" s="1634" customFormat="1">
      <c r="G61704" s="3336"/>
      <c r="P61704" s="3337"/>
    </row>
    <row r="61705" spans="7:16" s="1634" customFormat="1">
      <c r="G61705" s="3336"/>
      <c r="P61705" s="3337"/>
    </row>
    <row r="61706" spans="7:16" s="1634" customFormat="1">
      <c r="G61706" s="3336"/>
      <c r="P61706" s="3337"/>
    </row>
    <row r="61707" spans="7:16" s="1634" customFormat="1">
      <c r="G61707" s="3336"/>
      <c r="P61707" s="3337"/>
    </row>
    <row r="61708" spans="7:16" s="1634" customFormat="1">
      <c r="G61708" s="3336"/>
      <c r="P61708" s="3337"/>
    </row>
    <row r="61709" spans="7:16" s="1634" customFormat="1">
      <c r="G61709" s="3336"/>
      <c r="P61709" s="3337"/>
    </row>
    <row r="61710" spans="7:16" s="1634" customFormat="1">
      <c r="G61710" s="3336"/>
      <c r="P61710" s="3337"/>
    </row>
    <row r="61711" spans="7:16" s="1634" customFormat="1">
      <c r="G61711" s="3336"/>
      <c r="P61711" s="3337"/>
    </row>
    <row r="61712" spans="7:16" s="1634" customFormat="1">
      <c r="G61712" s="3336"/>
      <c r="P61712" s="3337"/>
    </row>
    <row r="61713" spans="7:16" s="1634" customFormat="1">
      <c r="G61713" s="3336"/>
      <c r="P61713" s="3337"/>
    </row>
    <row r="61714" spans="7:16" s="1634" customFormat="1">
      <c r="G61714" s="3336"/>
      <c r="P61714" s="3337"/>
    </row>
    <row r="61715" spans="7:16" s="1634" customFormat="1">
      <c r="G61715" s="3336"/>
      <c r="P61715" s="3337"/>
    </row>
    <row r="61716" spans="7:16" s="1634" customFormat="1">
      <c r="G61716" s="3336"/>
      <c r="P61716" s="3337"/>
    </row>
    <row r="61717" spans="7:16" s="1634" customFormat="1">
      <c r="G61717" s="3336"/>
      <c r="P61717" s="3337"/>
    </row>
    <row r="61718" spans="7:16" s="1634" customFormat="1">
      <c r="G61718" s="3336"/>
      <c r="P61718" s="3337"/>
    </row>
    <row r="61719" spans="7:16" s="1634" customFormat="1">
      <c r="G61719" s="3336"/>
      <c r="P61719" s="3337"/>
    </row>
    <row r="61720" spans="7:16" s="1634" customFormat="1">
      <c r="G61720" s="3336"/>
      <c r="P61720" s="3337"/>
    </row>
    <row r="61721" spans="7:16" s="1634" customFormat="1">
      <c r="G61721" s="3336"/>
      <c r="P61721" s="3337"/>
    </row>
    <row r="61722" spans="7:16" s="1634" customFormat="1">
      <c r="G61722" s="3336"/>
      <c r="P61722" s="3337"/>
    </row>
    <row r="61723" spans="7:16" s="1634" customFormat="1">
      <c r="G61723" s="3336"/>
      <c r="P61723" s="3337"/>
    </row>
    <row r="61724" spans="7:16" s="1634" customFormat="1">
      <c r="G61724" s="3336"/>
      <c r="P61724" s="3337"/>
    </row>
    <row r="61725" spans="7:16" s="1634" customFormat="1">
      <c r="G61725" s="3336"/>
      <c r="P61725" s="3337"/>
    </row>
    <row r="61726" spans="7:16" s="1634" customFormat="1">
      <c r="G61726" s="3336"/>
      <c r="P61726" s="3337"/>
    </row>
    <row r="61727" spans="7:16" s="1634" customFormat="1">
      <c r="G61727" s="3336"/>
      <c r="P61727" s="3337"/>
    </row>
    <row r="61728" spans="7:16" s="1634" customFormat="1">
      <c r="G61728" s="3336"/>
      <c r="P61728" s="3337"/>
    </row>
    <row r="61729" spans="7:16" s="1634" customFormat="1">
      <c r="G61729" s="3336"/>
      <c r="P61729" s="3337"/>
    </row>
    <row r="61730" spans="7:16" s="1634" customFormat="1">
      <c r="G61730" s="3336"/>
      <c r="P61730" s="3337"/>
    </row>
    <row r="61731" spans="7:16" s="1634" customFormat="1">
      <c r="G61731" s="3336"/>
      <c r="P61731" s="3337"/>
    </row>
    <row r="61732" spans="7:16" s="1634" customFormat="1">
      <c r="G61732" s="3336"/>
      <c r="P61732" s="3337"/>
    </row>
    <row r="61733" spans="7:16" s="1634" customFormat="1">
      <c r="G61733" s="3336"/>
      <c r="P61733" s="3337"/>
    </row>
    <row r="61734" spans="7:16" s="1634" customFormat="1">
      <c r="G61734" s="3336"/>
      <c r="P61734" s="3337"/>
    </row>
    <row r="61735" spans="7:16" s="1634" customFormat="1">
      <c r="G61735" s="3336"/>
      <c r="P61735" s="3337"/>
    </row>
    <row r="61736" spans="7:16" s="1634" customFormat="1">
      <c r="G61736" s="3336"/>
      <c r="P61736" s="3337"/>
    </row>
    <row r="61737" spans="7:16" s="1634" customFormat="1">
      <c r="G61737" s="3336"/>
      <c r="P61737" s="3337"/>
    </row>
    <row r="61738" spans="7:16" s="1634" customFormat="1">
      <c r="G61738" s="3336"/>
      <c r="P61738" s="3337"/>
    </row>
    <row r="61739" spans="7:16" s="1634" customFormat="1">
      <c r="G61739" s="3336"/>
      <c r="P61739" s="3337"/>
    </row>
    <row r="61740" spans="7:16" s="1634" customFormat="1">
      <c r="G61740" s="3336"/>
      <c r="P61740" s="3337"/>
    </row>
    <row r="61741" spans="7:16" s="1634" customFormat="1">
      <c r="G61741" s="3336"/>
      <c r="P61741" s="3337"/>
    </row>
    <row r="61742" spans="7:16" s="1634" customFormat="1">
      <c r="G61742" s="3336"/>
      <c r="P61742" s="3337"/>
    </row>
    <row r="61743" spans="7:16" s="1634" customFormat="1">
      <c r="G61743" s="3336"/>
      <c r="P61743" s="3337"/>
    </row>
    <row r="61744" spans="7:16" s="1634" customFormat="1">
      <c r="G61744" s="3336"/>
      <c r="P61744" s="3337"/>
    </row>
    <row r="61745" spans="7:16" s="1634" customFormat="1">
      <c r="G61745" s="3336"/>
      <c r="P61745" s="3337"/>
    </row>
    <row r="61746" spans="7:16" s="1634" customFormat="1">
      <c r="G61746" s="3336"/>
      <c r="P61746" s="3337"/>
    </row>
    <row r="61747" spans="7:16" s="1634" customFormat="1">
      <c r="G61747" s="3336"/>
      <c r="P61747" s="3337"/>
    </row>
    <row r="61748" spans="7:16" s="1634" customFormat="1">
      <c r="G61748" s="3336"/>
      <c r="P61748" s="3337"/>
    </row>
    <row r="61749" spans="7:16" s="1634" customFormat="1">
      <c r="G61749" s="3336"/>
      <c r="P61749" s="3337"/>
    </row>
    <row r="61750" spans="7:16" s="1634" customFormat="1">
      <c r="G61750" s="3336"/>
      <c r="P61750" s="3337"/>
    </row>
    <row r="61751" spans="7:16" s="1634" customFormat="1">
      <c r="G61751" s="3336"/>
      <c r="P61751" s="3337"/>
    </row>
    <row r="61752" spans="7:16" s="1634" customFormat="1">
      <c r="G61752" s="3336"/>
      <c r="P61752" s="3337"/>
    </row>
    <row r="61753" spans="7:16" s="1634" customFormat="1">
      <c r="G61753" s="3336"/>
      <c r="P61753" s="3337"/>
    </row>
    <row r="61754" spans="7:16" s="1634" customFormat="1">
      <c r="G61754" s="3336"/>
      <c r="P61754" s="3337"/>
    </row>
    <row r="61755" spans="7:16" s="1634" customFormat="1">
      <c r="G61755" s="3336"/>
      <c r="P61755" s="3337"/>
    </row>
    <row r="61756" spans="7:16" s="1634" customFormat="1">
      <c r="G61756" s="3336"/>
      <c r="P61756" s="3337"/>
    </row>
    <row r="61757" spans="7:16" s="1634" customFormat="1">
      <c r="G61757" s="3336"/>
      <c r="P61757" s="3337"/>
    </row>
    <row r="61758" spans="7:16" s="1634" customFormat="1">
      <c r="G61758" s="3336"/>
      <c r="P61758" s="3337"/>
    </row>
    <row r="61759" spans="7:16" s="1634" customFormat="1">
      <c r="G61759" s="3336"/>
      <c r="P61759" s="3337"/>
    </row>
    <row r="61760" spans="7:16" s="1634" customFormat="1">
      <c r="G61760" s="3336"/>
      <c r="P61760" s="3337"/>
    </row>
    <row r="61761" spans="7:16" s="1634" customFormat="1">
      <c r="G61761" s="3336"/>
      <c r="P61761" s="3337"/>
    </row>
    <row r="61762" spans="7:16" s="1634" customFormat="1">
      <c r="G61762" s="3336"/>
      <c r="P61762" s="3337"/>
    </row>
    <row r="61763" spans="7:16" s="1634" customFormat="1">
      <c r="G61763" s="3336"/>
      <c r="P61763" s="3337"/>
    </row>
    <row r="61764" spans="7:16" s="1634" customFormat="1">
      <c r="G61764" s="3336"/>
      <c r="P61764" s="3337"/>
    </row>
    <row r="61765" spans="7:16" s="1634" customFormat="1">
      <c r="G61765" s="3336"/>
      <c r="P61765" s="3337"/>
    </row>
    <row r="61766" spans="7:16" s="1634" customFormat="1">
      <c r="G61766" s="3336"/>
      <c r="P61766" s="3337"/>
    </row>
    <row r="61767" spans="7:16" s="1634" customFormat="1">
      <c r="G61767" s="3336"/>
      <c r="P61767" s="3337"/>
    </row>
    <row r="61768" spans="7:16" s="1634" customFormat="1">
      <c r="G61768" s="3336"/>
      <c r="P61768" s="3337"/>
    </row>
    <row r="61769" spans="7:16" s="1634" customFormat="1">
      <c r="G61769" s="3336"/>
      <c r="P61769" s="3337"/>
    </row>
    <row r="61770" spans="7:16" s="1634" customFormat="1">
      <c r="G61770" s="3336"/>
      <c r="P61770" s="3337"/>
    </row>
    <row r="61771" spans="7:16" s="1634" customFormat="1">
      <c r="G61771" s="3336"/>
      <c r="P61771" s="3337"/>
    </row>
    <row r="61772" spans="7:16" s="1634" customFormat="1">
      <c r="G61772" s="3336"/>
      <c r="P61772" s="3337"/>
    </row>
    <row r="61773" spans="7:16" s="1634" customFormat="1">
      <c r="G61773" s="3336"/>
      <c r="P61773" s="3337"/>
    </row>
    <row r="61774" spans="7:16" s="1634" customFormat="1">
      <c r="G61774" s="3336"/>
      <c r="P61774" s="3337"/>
    </row>
    <row r="61775" spans="7:16" s="1634" customFormat="1">
      <c r="G61775" s="3336"/>
      <c r="P61775" s="3337"/>
    </row>
    <row r="61776" spans="7:16" s="1634" customFormat="1">
      <c r="G61776" s="3336"/>
      <c r="P61776" s="3337"/>
    </row>
    <row r="61777" spans="7:16" s="1634" customFormat="1">
      <c r="G61777" s="3336"/>
      <c r="P61777" s="3337"/>
    </row>
    <row r="61778" spans="7:16" s="1634" customFormat="1">
      <c r="G61778" s="3336"/>
      <c r="P61778" s="3337"/>
    </row>
    <row r="61779" spans="7:16" s="1634" customFormat="1">
      <c r="G61779" s="3336"/>
      <c r="P61779" s="3337"/>
    </row>
    <row r="61780" spans="7:16" s="1634" customFormat="1">
      <c r="G61780" s="3336"/>
      <c r="P61780" s="3337"/>
    </row>
    <row r="61781" spans="7:16" s="1634" customFormat="1">
      <c r="G61781" s="3336"/>
      <c r="P61781" s="3337"/>
    </row>
    <row r="61782" spans="7:16" s="1634" customFormat="1">
      <c r="G61782" s="3336"/>
      <c r="P61782" s="3337"/>
    </row>
    <row r="61783" spans="7:16" s="1634" customFormat="1">
      <c r="G61783" s="3336"/>
      <c r="P61783" s="3337"/>
    </row>
    <row r="61784" spans="7:16" s="1634" customFormat="1">
      <c r="G61784" s="3336"/>
      <c r="P61784" s="3337"/>
    </row>
    <row r="61785" spans="7:16" s="1634" customFormat="1">
      <c r="G61785" s="3336"/>
      <c r="P61785" s="3337"/>
    </row>
    <row r="61786" spans="7:16" s="1634" customFormat="1">
      <c r="G61786" s="3336"/>
      <c r="P61786" s="3337"/>
    </row>
    <row r="61787" spans="7:16" s="1634" customFormat="1">
      <c r="G61787" s="3336"/>
      <c r="P61787" s="3337"/>
    </row>
    <row r="61788" spans="7:16" s="1634" customFormat="1">
      <c r="G61788" s="3336"/>
      <c r="P61788" s="3337"/>
    </row>
    <row r="61789" spans="7:16" s="1634" customFormat="1">
      <c r="G61789" s="3336"/>
      <c r="P61789" s="3337"/>
    </row>
    <row r="61790" spans="7:16" s="1634" customFormat="1">
      <c r="G61790" s="3336"/>
      <c r="P61790" s="3337"/>
    </row>
    <row r="61791" spans="7:16" s="1634" customFormat="1">
      <c r="G61791" s="3336"/>
      <c r="P61791" s="3337"/>
    </row>
    <row r="61792" spans="7:16" s="1634" customFormat="1">
      <c r="G61792" s="3336"/>
      <c r="P61792" s="3337"/>
    </row>
    <row r="61793" spans="7:16" s="1634" customFormat="1">
      <c r="G61793" s="3336"/>
      <c r="P61793" s="3337"/>
    </row>
    <row r="61794" spans="7:16" s="1634" customFormat="1">
      <c r="G61794" s="3336"/>
      <c r="P61794" s="3337"/>
    </row>
    <row r="61795" spans="7:16" s="1634" customFormat="1">
      <c r="G61795" s="3336"/>
      <c r="P61795" s="3337"/>
    </row>
    <row r="61796" spans="7:16" s="1634" customFormat="1">
      <c r="G61796" s="3336"/>
      <c r="P61796" s="3337"/>
    </row>
    <row r="61797" spans="7:16" s="1634" customFormat="1">
      <c r="G61797" s="3336"/>
      <c r="P61797" s="3337"/>
    </row>
    <row r="61798" spans="7:16" s="1634" customFormat="1">
      <c r="G61798" s="3336"/>
      <c r="P61798" s="3337"/>
    </row>
    <row r="61799" spans="7:16" s="1634" customFormat="1">
      <c r="G61799" s="3336"/>
      <c r="P61799" s="3337"/>
    </row>
    <row r="61800" spans="7:16" s="1634" customFormat="1">
      <c r="G61800" s="3336"/>
      <c r="P61800" s="3337"/>
    </row>
    <row r="61801" spans="7:16" s="1634" customFormat="1">
      <c r="G61801" s="3336"/>
      <c r="P61801" s="3337"/>
    </row>
    <row r="61802" spans="7:16" s="1634" customFormat="1">
      <c r="G61802" s="3336"/>
      <c r="P61802" s="3337"/>
    </row>
    <row r="61803" spans="7:16" s="1634" customFormat="1">
      <c r="G61803" s="3336"/>
      <c r="P61803" s="3337"/>
    </row>
    <row r="61804" spans="7:16" s="1634" customFormat="1">
      <c r="G61804" s="3336"/>
      <c r="P61804" s="3337"/>
    </row>
    <row r="61805" spans="7:16" s="1634" customFormat="1">
      <c r="G61805" s="3336"/>
      <c r="P61805" s="3337"/>
    </row>
    <row r="61806" spans="7:16" s="1634" customFormat="1">
      <c r="G61806" s="3336"/>
      <c r="P61806" s="3337"/>
    </row>
    <row r="61807" spans="7:16" s="1634" customFormat="1">
      <c r="G61807" s="3336"/>
      <c r="P61807" s="3337"/>
    </row>
    <row r="61808" spans="7:16" s="1634" customFormat="1">
      <c r="G61808" s="3336"/>
      <c r="P61808" s="3337"/>
    </row>
    <row r="61809" spans="7:16" s="1634" customFormat="1">
      <c r="G61809" s="3336"/>
      <c r="P61809" s="3337"/>
    </row>
    <row r="61810" spans="7:16" s="1634" customFormat="1">
      <c r="G61810" s="3336"/>
      <c r="P61810" s="3337"/>
    </row>
    <row r="61811" spans="7:16" s="1634" customFormat="1">
      <c r="G61811" s="3336"/>
      <c r="P61811" s="3337"/>
    </row>
    <row r="61812" spans="7:16" s="1634" customFormat="1">
      <c r="G61812" s="3336"/>
      <c r="P61812" s="3337"/>
    </row>
    <row r="61813" spans="7:16" s="1634" customFormat="1">
      <c r="G61813" s="3336"/>
      <c r="P61813" s="3337"/>
    </row>
    <row r="61814" spans="7:16" s="1634" customFormat="1">
      <c r="G61814" s="3336"/>
      <c r="P61814" s="3337"/>
    </row>
    <row r="61815" spans="7:16" s="1634" customFormat="1">
      <c r="G61815" s="3336"/>
      <c r="P61815" s="3337"/>
    </row>
    <row r="61816" spans="7:16" s="1634" customFormat="1">
      <c r="G61816" s="3336"/>
      <c r="P61816" s="3337"/>
    </row>
    <row r="61817" spans="7:16" s="1634" customFormat="1">
      <c r="G61817" s="3336"/>
      <c r="P61817" s="3337"/>
    </row>
    <row r="61818" spans="7:16" s="1634" customFormat="1">
      <c r="G61818" s="3336"/>
      <c r="P61818" s="3337"/>
    </row>
    <row r="61819" spans="7:16" s="1634" customFormat="1">
      <c r="G61819" s="3336"/>
      <c r="P61819" s="3337"/>
    </row>
    <row r="61820" spans="7:16" s="1634" customFormat="1">
      <c r="G61820" s="3336"/>
      <c r="P61820" s="3337"/>
    </row>
    <row r="61821" spans="7:16" s="1634" customFormat="1">
      <c r="G61821" s="3336"/>
      <c r="P61821" s="3337"/>
    </row>
    <row r="61822" spans="7:16" s="1634" customFormat="1">
      <c r="G61822" s="3336"/>
      <c r="P61822" s="3337"/>
    </row>
    <row r="61823" spans="7:16" s="1634" customFormat="1">
      <c r="G61823" s="3336"/>
      <c r="P61823" s="3337"/>
    </row>
    <row r="61824" spans="7:16" s="1634" customFormat="1">
      <c r="G61824" s="3336"/>
      <c r="P61824" s="3337"/>
    </row>
    <row r="61825" spans="7:16" s="1634" customFormat="1">
      <c r="G61825" s="3336"/>
      <c r="P61825" s="3337"/>
    </row>
    <row r="61826" spans="7:16" s="1634" customFormat="1">
      <c r="G61826" s="3336"/>
      <c r="P61826" s="3337"/>
    </row>
    <row r="61827" spans="7:16" s="1634" customFormat="1">
      <c r="G61827" s="3336"/>
      <c r="P61827" s="3337"/>
    </row>
    <row r="61828" spans="7:16" s="1634" customFormat="1">
      <c r="G61828" s="3336"/>
      <c r="P61828" s="3337"/>
    </row>
    <row r="61829" spans="7:16" s="1634" customFormat="1">
      <c r="G61829" s="3336"/>
      <c r="P61829" s="3337"/>
    </row>
    <row r="61830" spans="7:16" s="1634" customFormat="1">
      <c r="G61830" s="3336"/>
      <c r="P61830" s="3337"/>
    </row>
    <row r="61831" spans="7:16" s="1634" customFormat="1">
      <c r="G61831" s="3336"/>
      <c r="P61831" s="3337"/>
    </row>
    <row r="61832" spans="7:16" s="1634" customFormat="1">
      <c r="G61832" s="3336"/>
      <c r="P61832" s="3337"/>
    </row>
    <row r="61833" spans="7:16" s="1634" customFormat="1">
      <c r="G61833" s="3336"/>
      <c r="P61833" s="3337"/>
    </row>
    <row r="61834" spans="7:16" s="1634" customFormat="1">
      <c r="G61834" s="3336"/>
      <c r="P61834" s="3337"/>
    </row>
    <row r="61835" spans="7:16" s="1634" customFormat="1">
      <c r="G61835" s="3336"/>
      <c r="P61835" s="3337"/>
    </row>
    <row r="61836" spans="7:16" s="1634" customFormat="1">
      <c r="G61836" s="3336"/>
      <c r="P61836" s="3337"/>
    </row>
    <row r="61837" spans="7:16" s="1634" customFormat="1">
      <c r="G61837" s="3336"/>
      <c r="P61837" s="3337"/>
    </row>
    <row r="61838" spans="7:16" s="1634" customFormat="1">
      <c r="G61838" s="3336"/>
      <c r="P61838" s="3337"/>
    </row>
    <row r="61839" spans="7:16" s="1634" customFormat="1">
      <c r="G61839" s="3336"/>
      <c r="P61839" s="3337"/>
    </row>
    <row r="61840" spans="7:16" s="1634" customFormat="1">
      <c r="G61840" s="3336"/>
      <c r="P61840" s="3337"/>
    </row>
    <row r="61841" spans="7:16" s="1634" customFormat="1">
      <c r="G61841" s="3336"/>
      <c r="P61841" s="3337"/>
    </row>
    <row r="61842" spans="7:16" s="1634" customFormat="1">
      <c r="G61842" s="3336"/>
      <c r="P61842" s="3337"/>
    </row>
    <row r="61843" spans="7:16" s="1634" customFormat="1">
      <c r="G61843" s="3336"/>
      <c r="P61843" s="3337"/>
    </row>
    <row r="61844" spans="7:16" s="1634" customFormat="1">
      <c r="G61844" s="3336"/>
      <c r="P61844" s="3337"/>
    </row>
    <row r="61845" spans="7:16" s="1634" customFormat="1">
      <c r="G61845" s="3336"/>
      <c r="P61845" s="3337"/>
    </row>
    <row r="61846" spans="7:16" s="1634" customFormat="1">
      <c r="G61846" s="3336"/>
      <c r="P61846" s="3337"/>
    </row>
    <row r="61847" spans="7:16" s="1634" customFormat="1">
      <c r="G61847" s="3336"/>
      <c r="P61847" s="3337"/>
    </row>
    <row r="61848" spans="7:16" s="1634" customFormat="1">
      <c r="G61848" s="3336"/>
      <c r="P61848" s="3337"/>
    </row>
    <row r="61849" spans="7:16" s="1634" customFormat="1">
      <c r="G61849" s="3336"/>
      <c r="P61849" s="3337"/>
    </row>
    <row r="61850" spans="7:16" s="1634" customFormat="1">
      <c r="G61850" s="3336"/>
      <c r="P61850" s="3337"/>
    </row>
    <row r="61851" spans="7:16" s="1634" customFormat="1">
      <c r="G61851" s="3336"/>
      <c r="P61851" s="3337"/>
    </row>
    <row r="61852" spans="7:16" s="1634" customFormat="1">
      <c r="G61852" s="3336"/>
      <c r="P61852" s="3337"/>
    </row>
    <row r="61853" spans="7:16" s="1634" customFormat="1">
      <c r="G61853" s="3336"/>
      <c r="P61853" s="3337"/>
    </row>
    <row r="61854" spans="7:16" s="1634" customFormat="1">
      <c r="G61854" s="3336"/>
      <c r="P61854" s="3337"/>
    </row>
    <row r="61855" spans="7:16" s="1634" customFormat="1">
      <c r="G61855" s="3336"/>
      <c r="P61855" s="3337"/>
    </row>
    <row r="61856" spans="7:16" s="1634" customFormat="1">
      <c r="G61856" s="3336"/>
      <c r="P61856" s="3337"/>
    </row>
    <row r="61857" spans="7:16" s="1634" customFormat="1">
      <c r="G61857" s="3336"/>
      <c r="P61857" s="3337"/>
    </row>
    <row r="61858" spans="7:16" s="1634" customFormat="1">
      <c r="G61858" s="3336"/>
      <c r="P61858" s="3337"/>
    </row>
    <row r="61859" spans="7:16" s="1634" customFormat="1">
      <c r="G61859" s="3336"/>
      <c r="P61859" s="3337"/>
    </row>
    <row r="61860" spans="7:16" s="1634" customFormat="1">
      <c r="G61860" s="3336"/>
      <c r="P61860" s="3337"/>
    </row>
    <row r="61861" spans="7:16" s="1634" customFormat="1">
      <c r="G61861" s="3336"/>
      <c r="P61861" s="3337"/>
    </row>
    <row r="61862" spans="7:16" s="1634" customFormat="1">
      <c r="G61862" s="3336"/>
      <c r="P61862" s="3337"/>
    </row>
    <row r="61863" spans="7:16" s="1634" customFormat="1">
      <c r="G61863" s="3336"/>
      <c r="P61863" s="3337"/>
    </row>
    <row r="61864" spans="7:16" s="1634" customFormat="1">
      <c r="G61864" s="3336"/>
      <c r="P61864" s="3337"/>
    </row>
    <row r="61865" spans="7:16" s="1634" customFormat="1">
      <c r="G61865" s="3336"/>
      <c r="P61865" s="3337"/>
    </row>
    <row r="61866" spans="7:16" s="1634" customFormat="1">
      <c r="G61866" s="3336"/>
      <c r="P61866" s="3337"/>
    </row>
    <row r="61867" spans="7:16" s="1634" customFormat="1">
      <c r="G61867" s="3336"/>
      <c r="P61867" s="3337"/>
    </row>
    <row r="61868" spans="7:16" s="1634" customFormat="1">
      <c r="G61868" s="3336"/>
      <c r="P61868" s="3337"/>
    </row>
    <row r="61869" spans="7:16" s="1634" customFormat="1">
      <c r="G61869" s="3336"/>
      <c r="P61869" s="3337"/>
    </row>
    <row r="61870" spans="7:16" s="1634" customFormat="1">
      <c r="G61870" s="3336"/>
      <c r="P61870" s="3337"/>
    </row>
    <row r="61871" spans="7:16" s="1634" customFormat="1">
      <c r="G61871" s="3336"/>
      <c r="P61871" s="3337"/>
    </row>
    <row r="61872" spans="7:16" s="1634" customFormat="1">
      <c r="G61872" s="3336"/>
      <c r="P61872" s="3337"/>
    </row>
    <row r="61873" spans="7:16" s="1634" customFormat="1">
      <c r="G61873" s="3336"/>
      <c r="P61873" s="3337"/>
    </row>
    <row r="61874" spans="7:16" s="1634" customFormat="1">
      <c r="G61874" s="3336"/>
      <c r="P61874" s="3337"/>
    </row>
    <row r="61875" spans="7:16" s="1634" customFormat="1">
      <c r="G61875" s="3336"/>
      <c r="P61875" s="3337"/>
    </row>
    <row r="61876" spans="7:16" s="1634" customFormat="1">
      <c r="G61876" s="3336"/>
      <c r="P61876" s="3337"/>
    </row>
    <row r="61877" spans="7:16" s="1634" customFormat="1">
      <c r="G61877" s="3336"/>
      <c r="P61877" s="3337"/>
    </row>
    <row r="61878" spans="7:16" s="1634" customFormat="1">
      <c r="G61878" s="3336"/>
      <c r="P61878" s="3337"/>
    </row>
    <row r="61879" spans="7:16" s="1634" customFormat="1">
      <c r="G61879" s="3336"/>
      <c r="P61879" s="3337"/>
    </row>
    <row r="61880" spans="7:16" s="1634" customFormat="1">
      <c r="G61880" s="3336"/>
      <c r="P61880" s="3337"/>
    </row>
    <row r="61881" spans="7:16" s="1634" customFormat="1">
      <c r="G61881" s="3336"/>
      <c r="P61881" s="3337"/>
    </row>
    <row r="61882" spans="7:16" s="1634" customFormat="1">
      <c r="G61882" s="3336"/>
      <c r="P61882" s="3337"/>
    </row>
    <row r="61883" spans="7:16" s="1634" customFormat="1">
      <c r="G61883" s="3336"/>
      <c r="P61883" s="3337"/>
    </row>
    <row r="61884" spans="7:16" s="1634" customFormat="1">
      <c r="G61884" s="3336"/>
      <c r="P61884" s="3337"/>
    </row>
    <row r="61885" spans="7:16" s="1634" customFormat="1">
      <c r="G61885" s="3336"/>
      <c r="P61885" s="3337"/>
    </row>
    <row r="61886" spans="7:16" s="1634" customFormat="1">
      <c r="G61886" s="3336"/>
      <c r="P61886" s="3337"/>
    </row>
    <row r="61887" spans="7:16" s="1634" customFormat="1">
      <c r="G61887" s="3336"/>
      <c r="P61887" s="3337"/>
    </row>
    <row r="61888" spans="7:16" s="1634" customFormat="1">
      <c r="G61888" s="3336"/>
      <c r="P61888" s="3337"/>
    </row>
    <row r="61889" spans="7:16" s="1634" customFormat="1">
      <c r="G61889" s="3336"/>
      <c r="P61889" s="3337"/>
    </row>
    <row r="61890" spans="7:16" s="1634" customFormat="1">
      <c r="G61890" s="3336"/>
      <c r="P61890" s="3337"/>
    </row>
    <row r="61891" spans="7:16" s="1634" customFormat="1">
      <c r="G61891" s="3336"/>
      <c r="P61891" s="3337"/>
    </row>
    <row r="61892" spans="7:16" s="1634" customFormat="1">
      <c r="G61892" s="3336"/>
      <c r="P61892" s="3337"/>
    </row>
    <row r="61893" spans="7:16" s="1634" customFormat="1">
      <c r="G61893" s="3336"/>
      <c r="P61893" s="3337"/>
    </row>
    <row r="61894" spans="7:16" s="1634" customFormat="1">
      <c r="G61894" s="3336"/>
      <c r="P61894" s="3337"/>
    </row>
    <row r="61895" spans="7:16" s="1634" customFormat="1">
      <c r="G61895" s="3336"/>
      <c r="P61895" s="3337"/>
    </row>
    <row r="61896" spans="7:16" s="1634" customFormat="1">
      <c r="G61896" s="3336"/>
      <c r="P61896" s="3337"/>
    </row>
    <row r="61897" spans="7:16" s="1634" customFormat="1">
      <c r="G61897" s="3336"/>
      <c r="P61897" s="3337"/>
    </row>
    <row r="61898" spans="7:16" s="1634" customFormat="1">
      <c r="G61898" s="3336"/>
      <c r="P61898" s="3337"/>
    </row>
    <row r="61899" spans="7:16" s="1634" customFormat="1">
      <c r="G61899" s="3336"/>
      <c r="P61899" s="3337"/>
    </row>
    <row r="61900" spans="7:16" s="1634" customFormat="1">
      <c r="G61900" s="3336"/>
      <c r="P61900" s="3337"/>
    </row>
    <row r="61901" spans="7:16" s="1634" customFormat="1">
      <c r="G61901" s="3336"/>
      <c r="P61901" s="3337"/>
    </row>
    <row r="61902" spans="7:16" s="1634" customFormat="1">
      <c r="G61902" s="3336"/>
      <c r="P61902" s="3337"/>
    </row>
    <row r="61903" spans="7:16" s="1634" customFormat="1">
      <c r="G61903" s="3336"/>
      <c r="P61903" s="3337"/>
    </row>
    <row r="61904" spans="7:16" s="1634" customFormat="1">
      <c r="G61904" s="3336"/>
      <c r="P61904" s="3337"/>
    </row>
    <row r="61905" spans="7:16" s="1634" customFormat="1">
      <c r="G61905" s="3336"/>
      <c r="P61905" s="3337"/>
    </row>
    <row r="61906" spans="7:16" s="1634" customFormat="1">
      <c r="G61906" s="3336"/>
      <c r="P61906" s="3337"/>
    </row>
    <row r="61907" spans="7:16" s="1634" customFormat="1">
      <c r="G61907" s="3336"/>
      <c r="P61907" s="3337"/>
    </row>
    <row r="61908" spans="7:16" s="1634" customFormat="1">
      <c r="G61908" s="3336"/>
      <c r="P61908" s="3337"/>
    </row>
    <row r="61909" spans="7:16" s="1634" customFormat="1">
      <c r="G61909" s="3336"/>
      <c r="P61909" s="3337"/>
    </row>
    <row r="61910" spans="7:16" s="1634" customFormat="1">
      <c r="G61910" s="3336"/>
      <c r="P61910" s="3337"/>
    </row>
    <row r="61911" spans="7:16" s="1634" customFormat="1">
      <c r="G61911" s="3336"/>
      <c r="P61911" s="3337"/>
    </row>
    <row r="61912" spans="7:16" s="1634" customFormat="1">
      <c r="G61912" s="3336"/>
      <c r="P61912" s="3337"/>
    </row>
    <row r="61913" spans="7:16" s="1634" customFormat="1">
      <c r="G61913" s="3336"/>
      <c r="P61913" s="3337"/>
    </row>
    <row r="61914" spans="7:16" s="1634" customFormat="1">
      <c r="G61914" s="3336"/>
      <c r="P61914" s="3337"/>
    </row>
    <row r="61915" spans="7:16" s="1634" customFormat="1">
      <c r="G61915" s="3336"/>
      <c r="P61915" s="3337"/>
    </row>
    <row r="61916" spans="7:16" s="1634" customFormat="1">
      <c r="G61916" s="3336"/>
      <c r="P61916" s="3337"/>
    </row>
    <row r="61917" spans="7:16" s="1634" customFormat="1">
      <c r="G61917" s="3336"/>
      <c r="P61917" s="3337"/>
    </row>
    <row r="61918" spans="7:16" s="1634" customFormat="1">
      <c r="G61918" s="3336"/>
      <c r="P61918" s="3337"/>
    </row>
    <row r="61919" spans="7:16" s="1634" customFormat="1">
      <c r="G61919" s="3336"/>
      <c r="P61919" s="3337"/>
    </row>
    <row r="61920" spans="7:16" s="1634" customFormat="1">
      <c r="G61920" s="3336"/>
      <c r="P61920" s="3337"/>
    </row>
    <row r="61921" spans="7:16" s="1634" customFormat="1">
      <c r="G61921" s="3336"/>
      <c r="P61921" s="3337"/>
    </row>
    <row r="61922" spans="7:16" s="1634" customFormat="1">
      <c r="G61922" s="3336"/>
      <c r="P61922" s="3337"/>
    </row>
    <row r="61923" spans="7:16" s="1634" customFormat="1">
      <c r="G61923" s="3336"/>
      <c r="P61923" s="3337"/>
    </row>
    <row r="61924" spans="7:16" s="1634" customFormat="1">
      <c r="G61924" s="3336"/>
      <c r="P61924" s="3337"/>
    </row>
    <row r="61925" spans="7:16" s="1634" customFormat="1">
      <c r="G61925" s="3336"/>
      <c r="P61925" s="3337"/>
    </row>
    <row r="61926" spans="7:16" s="1634" customFormat="1">
      <c r="G61926" s="3336"/>
      <c r="P61926" s="3337"/>
    </row>
    <row r="61927" spans="7:16" s="1634" customFormat="1">
      <c r="G61927" s="3336"/>
      <c r="P61927" s="3337"/>
    </row>
    <row r="61928" spans="7:16" s="1634" customFormat="1">
      <c r="G61928" s="3336"/>
      <c r="P61928" s="3337"/>
    </row>
    <row r="61929" spans="7:16" s="1634" customFormat="1">
      <c r="G61929" s="3336"/>
      <c r="P61929" s="3337"/>
    </row>
    <row r="61930" spans="7:16" s="1634" customFormat="1">
      <c r="G61930" s="3336"/>
      <c r="P61930" s="3337"/>
    </row>
    <row r="61931" spans="7:16" s="1634" customFormat="1">
      <c r="G61931" s="3336"/>
      <c r="P61931" s="3337"/>
    </row>
    <row r="61932" spans="7:16" s="1634" customFormat="1">
      <c r="G61932" s="3336"/>
      <c r="P61932" s="3337"/>
    </row>
    <row r="61933" spans="7:16" s="1634" customFormat="1">
      <c r="G61933" s="3336"/>
      <c r="P61933" s="3337"/>
    </row>
    <row r="61934" spans="7:16" s="1634" customFormat="1">
      <c r="G61934" s="3336"/>
      <c r="P61934" s="3337"/>
    </row>
    <row r="61935" spans="7:16" s="1634" customFormat="1">
      <c r="G61935" s="3336"/>
      <c r="P61935" s="3337"/>
    </row>
    <row r="61936" spans="7:16" s="1634" customFormat="1">
      <c r="G61936" s="3336"/>
      <c r="P61936" s="3337"/>
    </row>
    <row r="61937" spans="7:16" s="1634" customFormat="1">
      <c r="G61937" s="3336"/>
      <c r="P61937" s="3337"/>
    </row>
    <row r="61938" spans="7:16" s="1634" customFormat="1">
      <c r="G61938" s="3336"/>
      <c r="P61938" s="3337"/>
    </row>
    <row r="61939" spans="7:16" s="1634" customFormat="1">
      <c r="G61939" s="3336"/>
      <c r="P61939" s="3337"/>
    </row>
    <row r="61940" spans="7:16" s="1634" customFormat="1">
      <c r="G61940" s="3336"/>
      <c r="P61940" s="3337"/>
    </row>
    <row r="61941" spans="7:16" s="1634" customFormat="1">
      <c r="G61941" s="3336"/>
      <c r="P61941" s="3337"/>
    </row>
    <row r="61942" spans="7:16" s="1634" customFormat="1">
      <c r="G61942" s="3336"/>
      <c r="P61942" s="3337"/>
    </row>
    <row r="61943" spans="7:16" s="1634" customFormat="1">
      <c r="G61943" s="3336"/>
      <c r="P61943" s="3337"/>
    </row>
    <row r="61944" spans="7:16" s="1634" customFormat="1">
      <c r="G61944" s="3336"/>
      <c r="P61944" s="3337"/>
    </row>
    <row r="61945" spans="7:16" s="1634" customFormat="1">
      <c r="G61945" s="3336"/>
      <c r="P61945" s="3337"/>
    </row>
    <row r="61946" spans="7:16" s="1634" customFormat="1">
      <c r="G61946" s="3336"/>
      <c r="P61946" s="3337"/>
    </row>
    <row r="61947" spans="7:16" s="1634" customFormat="1">
      <c r="G61947" s="3336"/>
      <c r="P61947" s="3337"/>
    </row>
    <row r="61948" spans="7:16" s="1634" customFormat="1">
      <c r="G61948" s="3336"/>
      <c r="P61948" s="3337"/>
    </row>
    <row r="61949" spans="7:16" s="1634" customFormat="1">
      <c r="G61949" s="3336"/>
      <c r="P61949" s="3337"/>
    </row>
    <row r="61950" spans="7:16" s="1634" customFormat="1">
      <c r="G61950" s="3336"/>
      <c r="P61950" s="3337"/>
    </row>
    <row r="61951" spans="7:16" s="1634" customFormat="1">
      <c r="G61951" s="3336"/>
      <c r="P61951" s="3337"/>
    </row>
    <row r="61952" spans="7:16" s="1634" customFormat="1">
      <c r="G61952" s="3336"/>
      <c r="P61952" s="3337"/>
    </row>
    <row r="61953" spans="7:16" s="1634" customFormat="1">
      <c r="G61953" s="3336"/>
      <c r="P61953" s="3337"/>
    </row>
    <row r="61954" spans="7:16" s="1634" customFormat="1">
      <c r="G61954" s="3336"/>
      <c r="P61954" s="3337"/>
    </row>
    <row r="61955" spans="7:16" s="1634" customFormat="1">
      <c r="G61955" s="3336"/>
      <c r="P61955" s="3337"/>
    </row>
    <row r="61956" spans="7:16" s="1634" customFormat="1">
      <c r="G61956" s="3336"/>
      <c r="P61956" s="3337"/>
    </row>
    <row r="61957" spans="7:16" s="1634" customFormat="1">
      <c r="G61957" s="3336"/>
      <c r="P61957" s="3337"/>
    </row>
    <row r="61958" spans="7:16" s="1634" customFormat="1">
      <c r="G61958" s="3336"/>
      <c r="P61958" s="3337"/>
    </row>
    <row r="61959" spans="7:16" s="1634" customFormat="1">
      <c r="G61959" s="3336"/>
      <c r="P61959" s="3337"/>
    </row>
    <row r="61960" spans="7:16" s="1634" customFormat="1">
      <c r="G61960" s="3336"/>
      <c r="P61960" s="3337"/>
    </row>
    <row r="61961" spans="7:16" s="1634" customFormat="1">
      <c r="G61961" s="3336"/>
      <c r="P61961" s="3337"/>
    </row>
    <row r="61962" spans="7:16" s="1634" customFormat="1">
      <c r="G61962" s="3336"/>
      <c r="P61962" s="3337"/>
    </row>
    <row r="61963" spans="7:16" s="1634" customFormat="1">
      <c r="G61963" s="3336"/>
      <c r="P61963" s="3337"/>
    </row>
    <row r="61964" spans="7:16" s="1634" customFormat="1">
      <c r="G61964" s="3336"/>
      <c r="P61964" s="3337"/>
    </row>
    <row r="61965" spans="7:16" s="1634" customFormat="1">
      <c r="G61965" s="3336"/>
      <c r="P61965" s="3337"/>
    </row>
    <row r="61966" spans="7:16" s="1634" customFormat="1">
      <c r="G61966" s="3336"/>
      <c r="P61966" s="3337"/>
    </row>
    <row r="61967" spans="7:16" s="1634" customFormat="1">
      <c r="G61967" s="3336"/>
      <c r="P61967" s="3337"/>
    </row>
    <row r="61968" spans="7:16" s="1634" customFormat="1">
      <c r="G61968" s="3336"/>
      <c r="P61968" s="3337"/>
    </row>
    <row r="61969" spans="7:16" s="1634" customFormat="1">
      <c r="G61969" s="3336"/>
      <c r="P61969" s="3337"/>
    </row>
    <row r="61970" spans="7:16" s="1634" customFormat="1">
      <c r="G61970" s="3336"/>
      <c r="P61970" s="3337"/>
    </row>
    <row r="61971" spans="7:16" s="1634" customFormat="1">
      <c r="G61971" s="3336"/>
      <c r="P61971" s="3337"/>
    </row>
    <row r="61972" spans="7:16" s="1634" customFormat="1">
      <c r="G61972" s="3336"/>
      <c r="P61972" s="3337"/>
    </row>
    <row r="61973" spans="7:16" s="1634" customFormat="1">
      <c r="G61973" s="3336"/>
      <c r="P61973" s="3337"/>
    </row>
    <row r="61974" spans="7:16" s="1634" customFormat="1">
      <c r="G61974" s="3336"/>
      <c r="P61974" s="3337"/>
    </row>
    <row r="61975" spans="7:16" s="1634" customFormat="1">
      <c r="G61975" s="3336"/>
      <c r="P61975" s="3337"/>
    </row>
    <row r="61976" spans="7:16" s="1634" customFormat="1">
      <c r="G61976" s="3336"/>
      <c r="P61976" s="3337"/>
    </row>
    <row r="61977" spans="7:16" s="1634" customFormat="1">
      <c r="G61977" s="3336"/>
      <c r="P61977" s="3337"/>
    </row>
    <row r="61978" spans="7:16" s="1634" customFormat="1">
      <c r="G61978" s="3336"/>
      <c r="P61978" s="3337"/>
    </row>
    <row r="61979" spans="7:16" s="1634" customFormat="1">
      <c r="G61979" s="3336"/>
      <c r="P61979" s="3337"/>
    </row>
    <row r="61980" spans="7:16" s="1634" customFormat="1">
      <c r="G61980" s="3336"/>
      <c r="P61980" s="3337"/>
    </row>
    <row r="61981" spans="7:16" s="1634" customFormat="1">
      <c r="G61981" s="3336"/>
      <c r="P61981" s="3337"/>
    </row>
    <row r="61982" spans="7:16" s="1634" customFormat="1">
      <c r="G61982" s="3336"/>
      <c r="P61982" s="3337"/>
    </row>
    <row r="61983" spans="7:16" s="1634" customFormat="1">
      <c r="G61983" s="3336"/>
      <c r="P61983" s="3337"/>
    </row>
    <row r="61984" spans="7:16" s="1634" customFormat="1">
      <c r="G61984" s="3336"/>
      <c r="P61984" s="3337"/>
    </row>
    <row r="61985" spans="7:16" s="1634" customFormat="1">
      <c r="G61985" s="3336"/>
      <c r="P61985" s="3337"/>
    </row>
    <row r="61986" spans="7:16" s="1634" customFormat="1">
      <c r="G61986" s="3336"/>
      <c r="P61986" s="3337"/>
    </row>
    <row r="61987" spans="7:16" s="1634" customFormat="1">
      <c r="G61987" s="3336"/>
      <c r="P61987" s="3337"/>
    </row>
    <row r="61988" spans="7:16" s="1634" customFormat="1">
      <c r="G61988" s="3336"/>
      <c r="P61988" s="3337"/>
    </row>
    <row r="61989" spans="7:16" s="1634" customFormat="1">
      <c r="G61989" s="3336"/>
      <c r="P61989" s="3337"/>
    </row>
    <row r="61990" spans="7:16" s="1634" customFormat="1">
      <c r="G61990" s="3336"/>
      <c r="P61990" s="3337"/>
    </row>
    <row r="61991" spans="7:16" s="1634" customFormat="1">
      <c r="G61991" s="3336"/>
      <c r="P61991" s="3337"/>
    </row>
    <row r="61992" spans="7:16" s="1634" customFormat="1">
      <c r="G61992" s="3336"/>
      <c r="P61992" s="3337"/>
    </row>
    <row r="61993" spans="7:16" s="1634" customFormat="1">
      <c r="G61993" s="3336"/>
      <c r="P61993" s="3337"/>
    </row>
    <row r="61994" spans="7:16" s="1634" customFormat="1">
      <c r="G61994" s="3336"/>
      <c r="P61994" s="3337"/>
    </row>
    <row r="61995" spans="7:16" s="1634" customFormat="1">
      <c r="G61995" s="3336"/>
      <c r="P61995" s="3337"/>
    </row>
    <row r="61996" spans="7:16" s="1634" customFormat="1">
      <c r="G61996" s="3336"/>
      <c r="P61996" s="3337"/>
    </row>
    <row r="61997" spans="7:16" s="1634" customFormat="1">
      <c r="G61997" s="3336"/>
      <c r="P61997" s="3337"/>
    </row>
    <row r="61998" spans="7:16" s="1634" customFormat="1">
      <c r="G61998" s="3336"/>
      <c r="P61998" s="3337"/>
    </row>
    <row r="61999" spans="7:16" s="1634" customFormat="1">
      <c r="G61999" s="3336"/>
      <c r="P61999" s="3337"/>
    </row>
    <row r="62000" spans="7:16" s="1634" customFormat="1">
      <c r="G62000" s="3336"/>
      <c r="P62000" s="3337"/>
    </row>
    <row r="62001" spans="7:16" s="1634" customFormat="1">
      <c r="G62001" s="3336"/>
      <c r="P62001" s="3337"/>
    </row>
    <row r="62002" spans="7:16" s="1634" customFormat="1">
      <c r="G62002" s="3336"/>
      <c r="P62002" s="3337"/>
    </row>
    <row r="62003" spans="7:16" s="1634" customFormat="1">
      <c r="G62003" s="3336"/>
      <c r="P62003" s="3337"/>
    </row>
    <row r="62004" spans="7:16" s="1634" customFormat="1">
      <c r="G62004" s="3336"/>
      <c r="P62004" s="3337"/>
    </row>
    <row r="62005" spans="7:16" s="1634" customFormat="1">
      <c r="G62005" s="3336"/>
      <c r="P62005" s="3337"/>
    </row>
    <row r="62006" spans="7:16" s="1634" customFormat="1">
      <c r="G62006" s="3336"/>
      <c r="P62006" s="3337"/>
    </row>
    <row r="62007" spans="7:16" s="1634" customFormat="1">
      <c r="G62007" s="3336"/>
      <c r="P62007" s="3337"/>
    </row>
    <row r="62008" spans="7:16" s="1634" customFormat="1">
      <c r="G62008" s="3336"/>
      <c r="P62008" s="3337"/>
    </row>
    <row r="62009" spans="7:16" s="1634" customFormat="1">
      <c r="G62009" s="3336"/>
      <c r="P62009" s="3337"/>
    </row>
    <row r="62010" spans="7:16" s="1634" customFormat="1">
      <c r="G62010" s="3336"/>
      <c r="P62010" s="3337"/>
    </row>
    <row r="62011" spans="7:16" s="1634" customFormat="1">
      <c r="G62011" s="3336"/>
      <c r="P62011" s="3337"/>
    </row>
    <row r="62012" spans="7:16" s="1634" customFormat="1">
      <c r="G62012" s="3336"/>
      <c r="P62012" s="3337"/>
    </row>
    <row r="62013" spans="7:16" s="1634" customFormat="1">
      <c r="G62013" s="3336"/>
      <c r="P62013" s="3337"/>
    </row>
    <row r="62014" spans="7:16" s="1634" customFormat="1">
      <c r="G62014" s="3336"/>
      <c r="P62014" s="3337"/>
    </row>
    <row r="62015" spans="7:16" s="1634" customFormat="1">
      <c r="G62015" s="3336"/>
      <c r="P62015" s="3337"/>
    </row>
    <row r="62016" spans="7:16" s="1634" customFormat="1">
      <c r="G62016" s="3336"/>
      <c r="P62016" s="3337"/>
    </row>
    <row r="62017" spans="7:16" s="1634" customFormat="1">
      <c r="G62017" s="3336"/>
      <c r="P62017" s="3337"/>
    </row>
    <row r="62018" spans="7:16" s="1634" customFormat="1">
      <c r="G62018" s="3336"/>
      <c r="P62018" s="3337"/>
    </row>
    <row r="62019" spans="7:16" s="1634" customFormat="1">
      <c r="G62019" s="3336"/>
      <c r="P62019" s="3337"/>
    </row>
    <row r="62020" spans="7:16" s="1634" customFormat="1">
      <c r="G62020" s="3336"/>
      <c r="P62020" s="3337"/>
    </row>
    <row r="62021" spans="7:16" s="1634" customFormat="1">
      <c r="G62021" s="3336"/>
      <c r="P62021" s="3337"/>
    </row>
    <row r="62022" spans="7:16" s="1634" customFormat="1">
      <c r="G62022" s="3336"/>
      <c r="P62022" s="3337"/>
    </row>
    <row r="62023" spans="7:16" s="1634" customFormat="1">
      <c r="G62023" s="3336"/>
      <c r="P62023" s="3337"/>
    </row>
    <row r="62024" spans="7:16" s="1634" customFormat="1">
      <c r="G62024" s="3336"/>
      <c r="P62024" s="3337"/>
    </row>
    <row r="62025" spans="7:16" s="1634" customFormat="1">
      <c r="G62025" s="3336"/>
      <c r="P62025" s="3337"/>
    </row>
    <row r="62026" spans="7:16" s="1634" customFormat="1">
      <c r="G62026" s="3336"/>
      <c r="P62026" s="3337"/>
    </row>
    <row r="62027" spans="7:16" s="1634" customFormat="1">
      <c r="G62027" s="3336"/>
      <c r="P62027" s="3337"/>
    </row>
    <row r="62028" spans="7:16" s="1634" customFormat="1">
      <c r="G62028" s="3336"/>
      <c r="P62028" s="3337"/>
    </row>
    <row r="62029" spans="7:16" s="1634" customFormat="1">
      <c r="G62029" s="3336"/>
      <c r="P62029" s="3337"/>
    </row>
    <row r="62030" spans="7:16" s="1634" customFormat="1">
      <c r="G62030" s="3336"/>
      <c r="P62030" s="3337"/>
    </row>
    <row r="62031" spans="7:16" s="1634" customFormat="1">
      <c r="G62031" s="3336"/>
      <c r="P62031" s="3337"/>
    </row>
    <row r="62032" spans="7:16" s="1634" customFormat="1">
      <c r="G62032" s="3336"/>
      <c r="P62032" s="3337"/>
    </row>
    <row r="62033" spans="7:16" s="1634" customFormat="1">
      <c r="G62033" s="3336"/>
      <c r="P62033" s="3337"/>
    </row>
    <row r="62034" spans="7:16" s="1634" customFormat="1">
      <c r="G62034" s="3336"/>
      <c r="P62034" s="3337"/>
    </row>
    <row r="62035" spans="7:16" s="1634" customFormat="1">
      <c r="G62035" s="3336"/>
      <c r="P62035" s="3337"/>
    </row>
    <row r="62036" spans="7:16" s="1634" customFormat="1">
      <c r="G62036" s="3336"/>
      <c r="P62036" s="3337"/>
    </row>
    <row r="62037" spans="7:16" s="1634" customFormat="1">
      <c r="G62037" s="3336"/>
      <c r="P62037" s="3337"/>
    </row>
    <row r="62038" spans="7:16" s="1634" customFormat="1">
      <c r="G62038" s="3336"/>
      <c r="P62038" s="3337"/>
    </row>
    <row r="62039" spans="7:16" s="1634" customFormat="1">
      <c r="G62039" s="3336"/>
      <c r="P62039" s="3337"/>
    </row>
    <row r="62040" spans="7:16" s="1634" customFormat="1">
      <c r="G62040" s="3336"/>
      <c r="P62040" s="3337"/>
    </row>
    <row r="62041" spans="7:16" s="1634" customFormat="1">
      <c r="G62041" s="3336"/>
      <c r="P62041" s="3337"/>
    </row>
    <row r="62042" spans="7:16" s="1634" customFormat="1">
      <c r="G62042" s="3336"/>
      <c r="P62042" s="3337"/>
    </row>
    <row r="62043" spans="7:16" s="1634" customFormat="1">
      <c r="G62043" s="3336"/>
      <c r="P62043" s="3337"/>
    </row>
    <row r="62044" spans="7:16" s="1634" customFormat="1">
      <c r="G62044" s="3336"/>
      <c r="P62044" s="3337"/>
    </row>
    <row r="62045" spans="7:16" s="1634" customFormat="1">
      <c r="G62045" s="3336"/>
      <c r="P62045" s="3337"/>
    </row>
    <row r="62046" spans="7:16" s="1634" customFormat="1">
      <c r="G62046" s="3336"/>
      <c r="P62046" s="3337"/>
    </row>
    <row r="62047" spans="7:16" s="1634" customFormat="1">
      <c r="G62047" s="3336"/>
      <c r="P62047" s="3337"/>
    </row>
    <row r="62048" spans="7:16" s="1634" customFormat="1">
      <c r="G62048" s="3336"/>
      <c r="P62048" s="3337"/>
    </row>
    <row r="62049" spans="7:16" s="1634" customFormat="1">
      <c r="G62049" s="3336"/>
      <c r="P62049" s="3337"/>
    </row>
    <row r="62050" spans="7:16" s="1634" customFormat="1">
      <c r="G62050" s="3336"/>
      <c r="P62050" s="3337"/>
    </row>
    <row r="62051" spans="7:16" s="1634" customFormat="1">
      <c r="G62051" s="3336"/>
      <c r="P62051" s="3337"/>
    </row>
    <row r="62052" spans="7:16" s="1634" customFormat="1">
      <c r="G62052" s="3336"/>
      <c r="P62052" s="3337"/>
    </row>
    <row r="62053" spans="7:16" s="1634" customFormat="1">
      <c r="G62053" s="3336"/>
      <c r="P62053" s="3337"/>
    </row>
    <row r="62054" spans="7:16" s="1634" customFormat="1">
      <c r="G62054" s="3336"/>
      <c r="P62054" s="3337"/>
    </row>
    <row r="62055" spans="7:16" s="1634" customFormat="1">
      <c r="G62055" s="3336"/>
      <c r="P62055" s="3337"/>
    </row>
    <row r="62056" spans="7:16" s="1634" customFormat="1">
      <c r="G62056" s="3336"/>
      <c r="P62056" s="3337"/>
    </row>
    <row r="62057" spans="7:16" s="1634" customFormat="1">
      <c r="G62057" s="3336"/>
      <c r="P62057" s="3337"/>
    </row>
    <row r="62058" spans="7:16" s="1634" customFormat="1">
      <c r="G62058" s="3336"/>
      <c r="P62058" s="3337"/>
    </row>
    <row r="62059" spans="7:16" s="1634" customFormat="1">
      <c r="G62059" s="3336"/>
      <c r="P62059" s="3337"/>
    </row>
    <row r="62060" spans="7:16" s="1634" customFormat="1">
      <c r="G62060" s="3336"/>
      <c r="P62060" s="3337"/>
    </row>
    <row r="62061" spans="7:16" s="1634" customFormat="1">
      <c r="G62061" s="3336"/>
      <c r="P62061" s="3337"/>
    </row>
    <row r="62062" spans="7:16" s="1634" customFormat="1">
      <c r="G62062" s="3336"/>
      <c r="P62062" s="3337"/>
    </row>
    <row r="62063" spans="7:16" s="1634" customFormat="1">
      <c r="G62063" s="3336"/>
      <c r="P62063" s="3337"/>
    </row>
    <row r="62064" spans="7:16" s="1634" customFormat="1">
      <c r="G62064" s="3336"/>
      <c r="P62064" s="3337"/>
    </row>
    <row r="62065" spans="7:16" s="1634" customFormat="1">
      <c r="G62065" s="3336"/>
      <c r="P62065" s="3337"/>
    </row>
    <row r="62066" spans="7:16" s="1634" customFormat="1">
      <c r="G62066" s="3336"/>
      <c r="P62066" s="3337"/>
    </row>
    <row r="62067" spans="7:16" s="1634" customFormat="1">
      <c r="G62067" s="3336"/>
      <c r="P62067" s="3337"/>
    </row>
    <row r="62068" spans="7:16" s="1634" customFormat="1">
      <c r="G62068" s="3336"/>
      <c r="P62068" s="3337"/>
    </row>
    <row r="62069" spans="7:16" s="1634" customFormat="1">
      <c r="G62069" s="3336"/>
      <c r="P62069" s="3337"/>
    </row>
    <row r="62070" spans="7:16" s="1634" customFormat="1">
      <c r="G62070" s="3336"/>
      <c r="P62070" s="3337"/>
    </row>
    <row r="62071" spans="7:16" s="1634" customFormat="1">
      <c r="G62071" s="3336"/>
      <c r="P62071" s="3337"/>
    </row>
    <row r="62072" spans="7:16" s="1634" customFormat="1">
      <c r="G62072" s="3336"/>
      <c r="P62072" s="3337"/>
    </row>
    <row r="62073" spans="7:16" s="1634" customFormat="1">
      <c r="G62073" s="3336"/>
      <c r="P62073" s="3337"/>
    </row>
    <row r="62074" spans="7:16" s="1634" customFormat="1">
      <c r="G62074" s="3336"/>
      <c r="P62074" s="3337"/>
    </row>
    <row r="62075" spans="7:16" s="1634" customFormat="1">
      <c r="G62075" s="3336"/>
      <c r="P62075" s="3337"/>
    </row>
    <row r="62076" spans="7:16" s="1634" customFormat="1">
      <c r="G62076" s="3336"/>
      <c r="P62076" s="3337"/>
    </row>
    <row r="62077" spans="7:16" s="1634" customFormat="1">
      <c r="G62077" s="3336"/>
      <c r="P62077" s="3337"/>
    </row>
    <row r="62078" spans="7:16" s="1634" customFormat="1">
      <c r="G62078" s="3336"/>
      <c r="P62078" s="3337"/>
    </row>
    <row r="62079" spans="7:16" s="1634" customFormat="1">
      <c r="G62079" s="3336"/>
      <c r="P62079" s="3337"/>
    </row>
    <row r="62080" spans="7:16" s="1634" customFormat="1">
      <c r="G62080" s="3336"/>
      <c r="P62080" s="3337"/>
    </row>
    <row r="62081" spans="7:16" s="1634" customFormat="1">
      <c r="G62081" s="3336"/>
      <c r="P62081" s="3337"/>
    </row>
    <row r="62082" spans="7:16" s="1634" customFormat="1">
      <c r="G62082" s="3336"/>
      <c r="P62082" s="3337"/>
    </row>
    <row r="62083" spans="7:16" s="1634" customFormat="1">
      <c r="G62083" s="3336"/>
      <c r="P62083" s="3337"/>
    </row>
    <row r="62084" spans="7:16" s="1634" customFormat="1">
      <c r="G62084" s="3336"/>
      <c r="P62084" s="3337"/>
    </row>
    <row r="62085" spans="7:16" s="1634" customFormat="1">
      <c r="G62085" s="3336"/>
      <c r="P62085" s="3337"/>
    </row>
    <row r="62086" spans="7:16" s="1634" customFormat="1">
      <c r="G62086" s="3336"/>
      <c r="P62086" s="3337"/>
    </row>
    <row r="62087" spans="7:16" s="1634" customFormat="1">
      <c r="G62087" s="3336"/>
      <c r="P62087" s="3337"/>
    </row>
    <row r="62088" spans="7:16" s="1634" customFormat="1">
      <c r="G62088" s="3336"/>
      <c r="P62088" s="3337"/>
    </row>
    <row r="62089" spans="7:16" s="1634" customFormat="1">
      <c r="G62089" s="3336"/>
      <c r="P62089" s="3337"/>
    </row>
    <row r="62090" spans="7:16" s="1634" customFormat="1">
      <c r="G62090" s="3336"/>
      <c r="P62090" s="3337"/>
    </row>
    <row r="62091" spans="7:16" s="1634" customFormat="1">
      <c r="G62091" s="3336"/>
      <c r="P62091" s="3337"/>
    </row>
    <row r="62092" spans="7:16" s="1634" customFormat="1">
      <c r="G62092" s="3336"/>
      <c r="P62092" s="3337"/>
    </row>
    <row r="62093" spans="7:16" s="1634" customFormat="1">
      <c r="G62093" s="3336"/>
      <c r="P62093" s="3337"/>
    </row>
    <row r="62094" spans="7:16" s="1634" customFormat="1">
      <c r="G62094" s="3336"/>
      <c r="P62094" s="3337"/>
    </row>
    <row r="62095" spans="7:16" s="1634" customFormat="1">
      <c r="G62095" s="3336"/>
      <c r="P62095" s="3337"/>
    </row>
    <row r="62096" spans="7:16" s="1634" customFormat="1">
      <c r="G62096" s="3336"/>
      <c r="P62096" s="3337"/>
    </row>
    <row r="62097" spans="7:16" s="1634" customFormat="1">
      <c r="G62097" s="3336"/>
      <c r="P62097" s="3337"/>
    </row>
    <row r="62098" spans="7:16" s="1634" customFormat="1">
      <c r="G62098" s="3336"/>
      <c r="P62098" s="3337"/>
    </row>
    <row r="62099" spans="7:16" s="1634" customFormat="1">
      <c r="G62099" s="3336"/>
      <c r="P62099" s="3337"/>
    </row>
    <row r="62100" spans="7:16" s="1634" customFormat="1">
      <c r="G62100" s="3336"/>
      <c r="P62100" s="3337"/>
    </row>
    <row r="62101" spans="7:16" s="1634" customFormat="1">
      <c r="G62101" s="3336"/>
      <c r="P62101" s="3337"/>
    </row>
    <row r="62102" spans="7:16" s="1634" customFormat="1">
      <c r="G62102" s="3336"/>
      <c r="P62102" s="3337"/>
    </row>
    <row r="62103" spans="7:16" s="1634" customFormat="1">
      <c r="G62103" s="3336"/>
      <c r="P62103" s="3337"/>
    </row>
    <row r="62104" spans="7:16" s="1634" customFormat="1">
      <c r="G62104" s="3336"/>
      <c r="P62104" s="3337"/>
    </row>
    <row r="62105" spans="7:16" s="1634" customFormat="1">
      <c r="G62105" s="3336"/>
      <c r="P62105" s="3337"/>
    </row>
    <row r="62106" spans="7:16" s="1634" customFormat="1">
      <c r="G62106" s="3336"/>
      <c r="P62106" s="3337"/>
    </row>
    <row r="62107" spans="7:16" s="1634" customFormat="1">
      <c r="G62107" s="3336"/>
      <c r="P62107" s="3337"/>
    </row>
    <row r="62108" spans="7:16" s="1634" customFormat="1">
      <c r="G62108" s="3336"/>
      <c r="P62108" s="3337"/>
    </row>
    <row r="62109" spans="7:16" s="1634" customFormat="1">
      <c r="G62109" s="3336"/>
      <c r="P62109" s="3337"/>
    </row>
    <row r="62110" spans="7:16" s="1634" customFormat="1">
      <c r="G62110" s="3336"/>
      <c r="P62110" s="3337"/>
    </row>
    <row r="62111" spans="7:16" s="1634" customFormat="1">
      <c r="G62111" s="3336"/>
      <c r="P62111" s="3337"/>
    </row>
    <row r="62112" spans="7:16" s="1634" customFormat="1">
      <c r="G62112" s="3336"/>
      <c r="P62112" s="3337"/>
    </row>
    <row r="62113" spans="7:16" s="1634" customFormat="1">
      <c r="G62113" s="3336"/>
      <c r="P62113" s="3337"/>
    </row>
    <row r="62114" spans="7:16" s="1634" customFormat="1">
      <c r="G62114" s="3336"/>
      <c r="P62114" s="3337"/>
    </row>
    <row r="62115" spans="7:16" s="1634" customFormat="1">
      <c r="G62115" s="3336"/>
      <c r="P62115" s="3337"/>
    </row>
    <row r="62116" spans="7:16" s="1634" customFormat="1">
      <c r="G62116" s="3336"/>
      <c r="P62116" s="3337"/>
    </row>
    <row r="62117" spans="7:16" s="1634" customFormat="1">
      <c r="G62117" s="3336"/>
      <c r="P62117" s="3337"/>
    </row>
    <row r="62118" spans="7:16" s="1634" customFormat="1">
      <c r="G62118" s="3336"/>
      <c r="P62118" s="3337"/>
    </row>
    <row r="62119" spans="7:16" s="1634" customFormat="1">
      <c r="G62119" s="3336"/>
      <c r="P62119" s="3337"/>
    </row>
    <row r="62120" spans="7:16" s="1634" customFormat="1">
      <c r="G62120" s="3336"/>
      <c r="P62120" s="3337"/>
    </row>
    <row r="62121" spans="7:16" s="1634" customFormat="1">
      <c r="G62121" s="3336"/>
      <c r="P62121" s="3337"/>
    </row>
    <row r="62122" spans="7:16" s="1634" customFormat="1">
      <c r="G62122" s="3336"/>
      <c r="P62122" s="3337"/>
    </row>
    <row r="62123" spans="7:16" s="1634" customFormat="1">
      <c r="G62123" s="3336"/>
      <c r="P62123" s="3337"/>
    </row>
    <row r="62124" spans="7:16" s="1634" customFormat="1">
      <c r="G62124" s="3336"/>
      <c r="P62124" s="3337"/>
    </row>
    <row r="62125" spans="7:16" s="1634" customFormat="1">
      <c r="G62125" s="3336"/>
      <c r="P62125" s="3337"/>
    </row>
    <row r="62126" spans="7:16" s="1634" customFormat="1">
      <c r="G62126" s="3336"/>
      <c r="P62126" s="3337"/>
    </row>
    <row r="62127" spans="7:16" s="1634" customFormat="1">
      <c r="G62127" s="3336"/>
      <c r="P62127" s="3337"/>
    </row>
    <row r="62128" spans="7:16" s="1634" customFormat="1">
      <c r="G62128" s="3336"/>
      <c r="P62128" s="3337"/>
    </row>
    <row r="62129" spans="7:16" s="1634" customFormat="1">
      <c r="G62129" s="3336"/>
      <c r="P62129" s="3337"/>
    </row>
    <row r="62130" spans="7:16" s="1634" customFormat="1">
      <c r="G62130" s="3336"/>
      <c r="P62130" s="3337"/>
    </row>
    <row r="62131" spans="7:16" s="1634" customFormat="1">
      <c r="G62131" s="3336"/>
      <c r="P62131" s="3337"/>
    </row>
    <row r="62132" spans="7:16" s="1634" customFormat="1">
      <c r="G62132" s="3336"/>
      <c r="P62132" s="3337"/>
    </row>
    <row r="62133" spans="7:16" s="1634" customFormat="1">
      <c r="G62133" s="3336"/>
      <c r="P62133" s="3337"/>
    </row>
    <row r="62134" spans="7:16" s="1634" customFormat="1">
      <c r="G62134" s="3336"/>
      <c r="P62134" s="3337"/>
    </row>
    <row r="62135" spans="7:16" s="1634" customFormat="1">
      <c r="G62135" s="3336"/>
      <c r="P62135" s="3337"/>
    </row>
    <row r="62136" spans="7:16" s="1634" customFormat="1">
      <c r="G62136" s="3336"/>
      <c r="P62136" s="3337"/>
    </row>
    <row r="62137" spans="7:16" s="1634" customFormat="1">
      <c r="G62137" s="3336"/>
      <c r="P62137" s="3337"/>
    </row>
    <row r="62138" spans="7:16" s="1634" customFormat="1">
      <c r="G62138" s="3336"/>
      <c r="P62138" s="3337"/>
    </row>
    <row r="62139" spans="7:16" s="1634" customFormat="1">
      <c r="G62139" s="3336"/>
      <c r="P62139" s="3337"/>
    </row>
    <row r="62140" spans="7:16" s="1634" customFormat="1">
      <c r="G62140" s="3336"/>
      <c r="P62140" s="3337"/>
    </row>
    <row r="62141" spans="7:16" s="1634" customFormat="1">
      <c r="G62141" s="3336"/>
      <c r="P62141" s="3337"/>
    </row>
    <row r="62142" spans="7:16" s="1634" customFormat="1">
      <c r="G62142" s="3336"/>
      <c r="P62142" s="3337"/>
    </row>
    <row r="62143" spans="7:16" s="1634" customFormat="1">
      <c r="G62143" s="3336"/>
      <c r="P62143" s="3337"/>
    </row>
    <row r="62144" spans="7:16" s="1634" customFormat="1">
      <c r="G62144" s="3336"/>
      <c r="P62144" s="3337"/>
    </row>
    <row r="62145" spans="7:16" s="1634" customFormat="1">
      <c r="G62145" s="3336"/>
      <c r="P62145" s="3337"/>
    </row>
    <row r="62146" spans="7:16" s="1634" customFormat="1">
      <c r="G62146" s="3336"/>
      <c r="P62146" s="3337"/>
    </row>
    <row r="62147" spans="7:16" s="1634" customFormat="1">
      <c r="G62147" s="3336"/>
      <c r="P62147" s="3337"/>
    </row>
    <row r="62148" spans="7:16" s="1634" customFormat="1">
      <c r="G62148" s="3336"/>
      <c r="P62148" s="3337"/>
    </row>
    <row r="62149" spans="7:16" s="1634" customFormat="1">
      <c r="G62149" s="3336"/>
      <c r="P62149" s="3337"/>
    </row>
    <row r="62150" spans="7:16" s="1634" customFormat="1">
      <c r="G62150" s="3336"/>
      <c r="P62150" s="3337"/>
    </row>
    <row r="62151" spans="7:16" s="1634" customFormat="1">
      <c r="G62151" s="3336"/>
      <c r="P62151" s="3337"/>
    </row>
    <row r="62152" spans="7:16" s="1634" customFormat="1">
      <c r="G62152" s="3336"/>
      <c r="P62152" s="3337"/>
    </row>
    <row r="62153" spans="7:16" s="1634" customFormat="1">
      <c r="G62153" s="3336"/>
      <c r="P62153" s="3337"/>
    </row>
    <row r="62154" spans="7:16" s="1634" customFormat="1">
      <c r="G62154" s="3336"/>
      <c r="P62154" s="3337"/>
    </row>
    <row r="62155" spans="7:16" s="1634" customFormat="1">
      <c r="G62155" s="3336"/>
      <c r="P62155" s="3337"/>
    </row>
    <row r="62156" spans="7:16" s="1634" customFormat="1">
      <c r="G62156" s="3336"/>
      <c r="P62156" s="3337"/>
    </row>
    <row r="62157" spans="7:16" s="1634" customFormat="1">
      <c r="G62157" s="3336"/>
      <c r="P62157" s="3337"/>
    </row>
    <row r="62158" spans="7:16" s="1634" customFormat="1">
      <c r="G62158" s="3336"/>
      <c r="P62158" s="3337"/>
    </row>
    <row r="62159" spans="7:16" s="1634" customFormat="1">
      <c r="G62159" s="3336"/>
      <c r="P62159" s="3337"/>
    </row>
    <row r="62160" spans="7:16" s="1634" customFormat="1">
      <c r="G62160" s="3336"/>
      <c r="P62160" s="3337"/>
    </row>
    <row r="62161" spans="7:16" s="1634" customFormat="1">
      <c r="G62161" s="3336"/>
      <c r="P62161" s="3337"/>
    </row>
    <row r="62162" spans="7:16" s="1634" customFormat="1">
      <c r="G62162" s="3336"/>
      <c r="P62162" s="3337"/>
    </row>
    <row r="62163" spans="7:16" s="1634" customFormat="1">
      <c r="G62163" s="3336"/>
      <c r="P62163" s="3337"/>
    </row>
    <row r="62164" spans="7:16" s="1634" customFormat="1">
      <c r="G62164" s="3336"/>
      <c r="P62164" s="3337"/>
    </row>
    <row r="62165" spans="7:16" s="1634" customFormat="1">
      <c r="G62165" s="3336"/>
      <c r="P62165" s="3337"/>
    </row>
    <row r="62166" spans="7:16" s="1634" customFormat="1">
      <c r="G62166" s="3336"/>
      <c r="P62166" s="3337"/>
    </row>
    <row r="62167" spans="7:16" s="1634" customFormat="1">
      <c r="G62167" s="3336"/>
      <c r="P62167" s="3337"/>
    </row>
    <row r="62168" spans="7:16" s="1634" customFormat="1">
      <c r="G62168" s="3336"/>
      <c r="P62168" s="3337"/>
    </row>
    <row r="62169" spans="7:16" s="1634" customFormat="1">
      <c r="G62169" s="3336"/>
      <c r="P62169" s="3337"/>
    </row>
    <row r="62170" spans="7:16" s="1634" customFormat="1">
      <c r="G62170" s="3336"/>
      <c r="P62170" s="3337"/>
    </row>
    <row r="62171" spans="7:16" s="1634" customFormat="1">
      <c r="G62171" s="3336"/>
      <c r="P62171" s="3337"/>
    </row>
    <row r="62172" spans="7:16" s="1634" customFormat="1">
      <c r="G62172" s="3336"/>
      <c r="P62172" s="3337"/>
    </row>
    <row r="62173" spans="7:16" s="1634" customFormat="1">
      <c r="G62173" s="3336"/>
      <c r="P62173" s="3337"/>
    </row>
    <row r="62174" spans="7:16" s="1634" customFormat="1">
      <c r="G62174" s="3336"/>
      <c r="P62174" s="3337"/>
    </row>
    <row r="62175" spans="7:16" s="1634" customFormat="1">
      <c r="G62175" s="3336"/>
      <c r="P62175" s="3337"/>
    </row>
    <row r="62176" spans="7:16" s="1634" customFormat="1">
      <c r="G62176" s="3336"/>
      <c r="P62176" s="3337"/>
    </row>
    <row r="62177" spans="7:16" s="1634" customFormat="1">
      <c r="G62177" s="3336"/>
      <c r="P62177" s="3337"/>
    </row>
    <row r="62178" spans="7:16" s="1634" customFormat="1">
      <c r="G62178" s="3336"/>
      <c r="P62178" s="3337"/>
    </row>
    <row r="62179" spans="7:16" s="1634" customFormat="1">
      <c r="G62179" s="3336"/>
      <c r="P62179" s="3337"/>
    </row>
    <row r="62180" spans="7:16" s="1634" customFormat="1">
      <c r="G62180" s="3336"/>
      <c r="P62180" s="3337"/>
    </row>
    <row r="62181" spans="7:16" s="1634" customFormat="1">
      <c r="G62181" s="3336"/>
      <c r="P62181" s="3337"/>
    </row>
    <row r="62182" spans="7:16" s="1634" customFormat="1">
      <c r="G62182" s="3336"/>
      <c r="P62182" s="3337"/>
    </row>
    <row r="62183" spans="7:16" s="1634" customFormat="1">
      <c r="G62183" s="3336"/>
      <c r="P62183" s="3337"/>
    </row>
    <row r="62184" spans="7:16" s="1634" customFormat="1">
      <c r="G62184" s="3336"/>
      <c r="P62184" s="3337"/>
    </row>
    <row r="62185" spans="7:16" s="1634" customFormat="1">
      <c r="G62185" s="3336"/>
      <c r="P62185" s="3337"/>
    </row>
    <row r="62186" spans="7:16" s="1634" customFormat="1">
      <c r="G62186" s="3336"/>
      <c r="P62186" s="3337"/>
    </row>
    <row r="62187" spans="7:16" s="1634" customFormat="1">
      <c r="G62187" s="3336"/>
      <c r="P62187" s="3337"/>
    </row>
    <row r="62188" spans="7:16" s="1634" customFormat="1">
      <c r="G62188" s="3336"/>
      <c r="P62188" s="3337"/>
    </row>
    <row r="62189" spans="7:16" s="1634" customFormat="1">
      <c r="G62189" s="3336"/>
      <c r="P62189" s="3337"/>
    </row>
    <row r="62190" spans="7:16" s="1634" customFormat="1">
      <c r="G62190" s="3336"/>
      <c r="P62190" s="3337"/>
    </row>
    <row r="62191" spans="7:16" s="1634" customFormat="1">
      <c r="G62191" s="3336"/>
      <c r="P62191" s="3337"/>
    </row>
    <row r="62192" spans="7:16" s="1634" customFormat="1">
      <c r="G62192" s="3336"/>
      <c r="P62192" s="3337"/>
    </row>
    <row r="62193" spans="7:16" s="1634" customFormat="1">
      <c r="G62193" s="3336"/>
      <c r="P62193" s="3337"/>
    </row>
    <row r="62194" spans="7:16" s="1634" customFormat="1">
      <c r="G62194" s="3336"/>
      <c r="P62194" s="3337"/>
    </row>
    <row r="62195" spans="7:16" s="1634" customFormat="1">
      <c r="G62195" s="3336"/>
      <c r="P62195" s="3337"/>
    </row>
    <row r="62196" spans="7:16" s="1634" customFormat="1">
      <c r="G62196" s="3336"/>
      <c r="P62196" s="3337"/>
    </row>
    <row r="62197" spans="7:16" s="1634" customFormat="1">
      <c r="G62197" s="3336"/>
      <c r="P62197" s="3337"/>
    </row>
    <row r="62198" spans="7:16" s="1634" customFormat="1">
      <c r="G62198" s="3336"/>
      <c r="P62198" s="3337"/>
    </row>
    <row r="62199" spans="7:16" s="1634" customFormat="1">
      <c r="G62199" s="3336"/>
      <c r="P62199" s="3337"/>
    </row>
    <row r="62200" spans="7:16" s="1634" customFormat="1">
      <c r="G62200" s="3336"/>
      <c r="P62200" s="3337"/>
    </row>
    <row r="62201" spans="7:16" s="1634" customFormat="1">
      <c r="G62201" s="3336"/>
      <c r="P62201" s="3337"/>
    </row>
    <row r="62202" spans="7:16" s="1634" customFormat="1">
      <c r="G62202" s="3336"/>
      <c r="P62202" s="3337"/>
    </row>
    <row r="62203" spans="7:16" s="1634" customFormat="1">
      <c r="G62203" s="3336"/>
      <c r="P62203" s="3337"/>
    </row>
    <row r="62204" spans="7:16" s="1634" customFormat="1">
      <c r="G62204" s="3336"/>
      <c r="P62204" s="3337"/>
    </row>
    <row r="62205" spans="7:16" s="1634" customFormat="1">
      <c r="G62205" s="3336"/>
      <c r="P62205" s="3337"/>
    </row>
    <row r="62206" spans="7:16" s="1634" customFormat="1">
      <c r="G62206" s="3336"/>
      <c r="P62206" s="3337"/>
    </row>
    <row r="62207" spans="7:16" s="1634" customFormat="1">
      <c r="G62207" s="3336"/>
      <c r="P62207" s="3337"/>
    </row>
    <row r="62208" spans="7:16" s="1634" customFormat="1">
      <c r="G62208" s="3336"/>
      <c r="P62208" s="3337"/>
    </row>
    <row r="62209" spans="7:16" s="1634" customFormat="1">
      <c r="G62209" s="3336"/>
      <c r="P62209" s="3337"/>
    </row>
    <row r="62210" spans="7:16" s="1634" customFormat="1">
      <c r="G62210" s="3336"/>
      <c r="P62210" s="3337"/>
    </row>
    <row r="62211" spans="7:16" s="1634" customFormat="1">
      <c r="G62211" s="3336"/>
      <c r="P62211" s="3337"/>
    </row>
    <row r="62212" spans="7:16" s="1634" customFormat="1">
      <c r="G62212" s="3336"/>
      <c r="P62212" s="3337"/>
    </row>
    <row r="62213" spans="7:16" s="1634" customFormat="1">
      <c r="G62213" s="3336"/>
      <c r="P62213" s="3337"/>
    </row>
    <row r="62214" spans="7:16" s="1634" customFormat="1">
      <c r="G62214" s="3336"/>
      <c r="P62214" s="3337"/>
    </row>
    <row r="62215" spans="7:16" s="1634" customFormat="1">
      <c r="G62215" s="3336"/>
      <c r="P62215" s="3337"/>
    </row>
    <row r="62216" spans="7:16" s="1634" customFormat="1">
      <c r="G62216" s="3336"/>
      <c r="P62216" s="3337"/>
    </row>
    <row r="62217" spans="7:16" s="1634" customFormat="1">
      <c r="G62217" s="3336"/>
      <c r="P62217" s="3337"/>
    </row>
    <row r="62218" spans="7:16" s="1634" customFormat="1">
      <c r="G62218" s="3336"/>
      <c r="P62218" s="3337"/>
    </row>
    <row r="62219" spans="7:16" s="1634" customFormat="1">
      <c r="G62219" s="3336"/>
      <c r="P62219" s="3337"/>
    </row>
    <row r="62220" spans="7:16" s="1634" customFormat="1">
      <c r="G62220" s="3336"/>
      <c r="P62220" s="3337"/>
    </row>
    <row r="62221" spans="7:16" s="1634" customFormat="1">
      <c r="G62221" s="3336"/>
      <c r="P62221" s="3337"/>
    </row>
    <row r="62222" spans="7:16" s="1634" customFormat="1">
      <c r="G62222" s="3336"/>
      <c r="P62222" s="3337"/>
    </row>
    <row r="62223" spans="7:16" s="1634" customFormat="1">
      <c r="G62223" s="3336"/>
      <c r="P62223" s="3337"/>
    </row>
    <row r="62224" spans="7:16" s="1634" customFormat="1">
      <c r="G62224" s="3336"/>
      <c r="P62224" s="3337"/>
    </row>
    <row r="62225" spans="7:16" s="1634" customFormat="1">
      <c r="G62225" s="3336"/>
      <c r="P62225" s="3337"/>
    </row>
    <row r="62226" spans="7:16" s="1634" customFormat="1">
      <c r="G62226" s="3336"/>
      <c r="P62226" s="3337"/>
    </row>
    <row r="62227" spans="7:16" s="1634" customFormat="1">
      <c r="G62227" s="3336"/>
      <c r="P62227" s="3337"/>
    </row>
    <row r="62228" spans="7:16" s="1634" customFormat="1">
      <c r="G62228" s="3336"/>
      <c r="P62228" s="3337"/>
    </row>
    <row r="62229" spans="7:16" s="1634" customFormat="1">
      <c r="G62229" s="3336"/>
      <c r="P62229" s="3337"/>
    </row>
    <row r="62230" spans="7:16" s="1634" customFormat="1">
      <c r="G62230" s="3336"/>
      <c r="P62230" s="3337"/>
    </row>
    <row r="62231" spans="7:16" s="1634" customFormat="1">
      <c r="G62231" s="3336"/>
      <c r="P62231" s="3337"/>
    </row>
    <row r="62232" spans="7:16" s="1634" customFormat="1">
      <c r="G62232" s="3336"/>
      <c r="P62232" s="3337"/>
    </row>
    <row r="62233" spans="7:16" s="1634" customFormat="1">
      <c r="G62233" s="3336"/>
      <c r="P62233" s="3337"/>
    </row>
    <row r="62234" spans="7:16" s="1634" customFormat="1">
      <c r="G62234" s="3336"/>
      <c r="P62234" s="3337"/>
    </row>
    <row r="62235" spans="7:16" s="1634" customFormat="1">
      <c r="G62235" s="3336"/>
      <c r="P62235" s="3337"/>
    </row>
    <row r="62236" spans="7:16" s="1634" customFormat="1">
      <c r="G62236" s="3336"/>
      <c r="P62236" s="3337"/>
    </row>
    <row r="62237" spans="7:16" s="1634" customFormat="1">
      <c r="G62237" s="3336"/>
      <c r="P62237" s="3337"/>
    </row>
    <row r="62238" spans="7:16" s="1634" customFormat="1">
      <c r="G62238" s="3336"/>
      <c r="P62238" s="3337"/>
    </row>
    <row r="62239" spans="7:16" s="1634" customFormat="1">
      <c r="G62239" s="3336"/>
      <c r="P62239" s="3337"/>
    </row>
    <row r="62240" spans="7:16" s="1634" customFormat="1">
      <c r="G62240" s="3336"/>
      <c r="P62240" s="3337"/>
    </row>
    <row r="62241" spans="7:16" s="1634" customFormat="1">
      <c r="G62241" s="3336"/>
      <c r="P62241" s="3337"/>
    </row>
    <row r="62242" spans="7:16" s="1634" customFormat="1">
      <c r="G62242" s="3336"/>
      <c r="P62242" s="3337"/>
    </row>
    <row r="62243" spans="7:16" s="1634" customFormat="1">
      <c r="G62243" s="3336"/>
      <c r="P62243" s="3337"/>
    </row>
    <row r="62244" spans="7:16" s="1634" customFormat="1">
      <c r="G62244" s="3336"/>
      <c r="P62244" s="3337"/>
    </row>
    <row r="62245" spans="7:16" s="1634" customFormat="1">
      <c r="G62245" s="3336"/>
      <c r="P62245" s="3337"/>
    </row>
    <row r="62246" spans="7:16" s="1634" customFormat="1">
      <c r="G62246" s="3336"/>
      <c r="P62246" s="3337"/>
    </row>
    <row r="62247" spans="7:16" s="1634" customFormat="1">
      <c r="G62247" s="3336"/>
      <c r="P62247" s="3337"/>
    </row>
    <row r="62248" spans="7:16" s="1634" customFormat="1">
      <c r="G62248" s="3336"/>
      <c r="P62248" s="3337"/>
    </row>
    <row r="62249" spans="7:16" s="1634" customFormat="1">
      <c r="G62249" s="3336"/>
      <c r="P62249" s="3337"/>
    </row>
    <row r="62250" spans="7:16" s="1634" customFormat="1">
      <c r="G62250" s="3336"/>
      <c r="P62250" s="3337"/>
    </row>
    <row r="62251" spans="7:16" s="1634" customFormat="1">
      <c r="G62251" s="3336"/>
      <c r="P62251" s="3337"/>
    </row>
    <row r="62252" spans="7:16" s="1634" customFormat="1">
      <c r="G62252" s="3336"/>
      <c r="P62252" s="3337"/>
    </row>
    <row r="62253" spans="7:16" s="1634" customFormat="1">
      <c r="G62253" s="3336"/>
      <c r="P62253" s="3337"/>
    </row>
    <row r="62254" spans="7:16" s="1634" customFormat="1">
      <c r="G62254" s="3336"/>
      <c r="P62254" s="3337"/>
    </row>
    <row r="62255" spans="7:16" s="1634" customFormat="1">
      <c r="G62255" s="3336"/>
      <c r="P62255" s="3337"/>
    </row>
    <row r="62256" spans="7:16" s="1634" customFormat="1">
      <c r="G62256" s="3336"/>
      <c r="P62256" s="3337"/>
    </row>
    <row r="62257" spans="7:16" s="1634" customFormat="1">
      <c r="G62257" s="3336"/>
      <c r="P62257" s="3337"/>
    </row>
    <row r="62258" spans="7:16" s="1634" customFormat="1">
      <c r="G62258" s="3336"/>
      <c r="P62258" s="3337"/>
    </row>
    <row r="62259" spans="7:16" s="1634" customFormat="1">
      <c r="G62259" s="3336"/>
      <c r="P62259" s="3337"/>
    </row>
    <row r="62260" spans="7:16" s="1634" customFormat="1">
      <c r="G62260" s="3336"/>
      <c r="P62260" s="3337"/>
    </row>
    <row r="62261" spans="7:16" s="1634" customFormat="1">
      <c r="G62261" s="3336"/>
      <c r="P62261" s="3337"/>
    </row>
    <row r="62262" spans="7:16" s="1634" customFormat="1">
      <c r="G62262" s="3336"/>
      <c r="P62262" s="3337"/>
    </row>
    <row r="62263" spans="7:16" s="1634" customFormat="1">
      <c r="G62263" s="3336"/>
      <c r="P62263" s="3337"/>
    </row>
    <row r="62264" spans="7:16" s="1634" customFormat="1">
      <c r="G62264" s="3336"/>
      <c r="P62264" s="3337"/>
    </row>
    <row r="62265" spans="7:16" s="1634" customFormat="1">
      <c r="G62265" s="3336"/>
      <c r="P62265" s="3337"/>
    </row>
    <row r="62266" spans="7:16" s="1634" customFormat="1">
      <c r="G62266" s="3336"/>
      <c r="P62266" s="3337"/>
    </row>
    <row r="62267" spans="7:16" s="1634" customFormat="1">
      <c r="G62267" s="3336"/>
      <c r="P62267" s="3337"/>
    </row>
    <row r="62268" spans="7:16" s="1634" customFormat="1">
      <c r="G62268" s="3336"/>
      <c r="P62268" s="3337"/>
    </row>
    <row r="62269" spans="7:16" s="1634" customFormat="1">
      <c r="G62269" s="3336"/>
      <c r="P62269" s="3337"/>
    </row>
    <row r="62270" spans="7:16" s="1634" customFormat="1">
      <c r="G62270" s="3336"/>
      <c r="P62270" s="3337"/>
    </row>
    <row r="62271" spans="7:16" s="1634" customFormat="1">
      <c r="G62271" s="3336"/>
      <c r="P62271" s="3337"/>
    </row>
    <row r="62272" spans="7:16" s="1634" customFormat="1">
      <c r="G62272" s="3336"/>
      <c r="P62272" s="3337"/>
    </row>
    <row r="62273" spans="7:16" s="1634" customFormat="1">
      <c r="G62273" s="3336"/>
      <c r="P62273" s="3337"/>
    </row>
    <row r="62274" spans="7:16" s="1634" customFormat="1">
      <c r="G62274" s="3336"/>
      <c r="P62274" s="3337"/>
    </row>
    <row r="62275" spans="7:16" s="1634" customFormat="1">
      <c r="G62275" s="3336"/>
      <c r="P62275" s="3337"/>
    </row>
    <row r="62276" spans="7:16" s="1634" customFormat="1">
      <c r="G62276" s="3336"/>
      <c r="P62276" s="3337"/>
    </row>
    <row r="62277" spans="7:16" s="1634" customFormat="1">
      <c r="G62277" s="3336"/>
      <c r="P62277" s="3337"/>
    </row>
    <row r="62278" spans="7:16" s="1634" customFormat="1">
      <c r="G62278" s="3336"/>
      <c r="P62278" s="3337"/>
    </row>
    <row r="62279" spans="7:16" s="1634" customFormat="1">
      <c r="G62279" s="3336"/>
      <c r="P62279" s="3337"/>
    </row>
    <row r="62280" spans="7:16" s="1634" customFormat="1">
      <c r="G62280" s="3336"/>
      <c r="P62280" s="3337"/>
    </row>
    <row r="62281" spans="7:16" s="1634" customFormat="1">
      <c r="G62281" s="3336"/>
      <c r="P62281" s="3337"/>
    </row>
    <row r="62282" spans="7:16" s="1634" customFormat="1">
      <c r="G62282" s="3336"/>
      <c r="P62282" s="3337"/>
    </row>
    <row r="62283" spans="7:16" s="1634" customFormat="1">
      <c r="G62283" s="3336"/>
      <c r="P62283" s="3337"/>
    </row>
    <row r="62284" spans="7:16" s="1634" customFormat="1">
      <c r="G62284" s="3336"/>
      <c r="P62284" s="3337"/>
    </row>
    <row r="62285" spans="7:16" s="1634" customFormat="1">
      <c r="G62285" s="3336"/>
      <c r="P62285" s="3337"/>
    </row>
    <row r="62286" spans="7:16" s="1634" customFormat="1">
      <c r="G62286" s="3336"/>
      <c r="P62286" s="3337"/>
    </row>
    <row r="62287" spans="7:16" s="1634" customFormat="1">
      <c r="G62287" s="3336"/>
      <c r="P62287" s="3337"/>
    </row>
    <row r="62288" spans="7:16" s="1634" customFormat="1">
      <c r="G62288" s="3336"/>
      <c r="P62288" s="3337"/>
    </row>
    <row r="62289" spans="7:16" s="1634" customFormat="1">
      <c r="G62289" s="3336"/>
      <c r="P62289" s="3337"/>
    </row>
    <row r="62290" spans="7:16" s="1634" customFormat="1">
      <c r="G62290" s="3336"/>
      <c r="P62290" s="3337"/>
    </row>
    <row r="62291" spans="7:16" s="1634" customFormat="1">
      <c r="G62291" s="3336"/>
      <c r="P62291" s="3337"/>
    </row>
    <row r="62292" spans="7:16" s="1634" customFormat="1">
      <c r="G62292" s="3336"/>
      <c r="P62292" s="3337"/>
    </row>
    <row r="62293" spans="7:16" s="1634" customFormat="1">
      <c r="G62293" s="3336"/>
      <c r="P62293" s="3337"/>
    </row>
    <row r="62294" spans="7:16" s="1634" customFormat="1">
      <c r="G62294" s="3336"/>
      <c r="P62294" s="3337"/>
    </row>
    <row r="62295" spans="7:16" s="1634" customFormat="1">
      <c r="G62295" s="3336"/>
      <c r="P62295" s="3337"/>
    </row>
    <row r="62296" spans="7:16" s="1634" customFormat="1">
      <c r="G62296" s="3336"/>
      <c r="P62296" s="3337"/>
    </row>
    <row r="62297" spans="7:16" s="1634" customFormat="1">
      <c r="G62297" s="3336"/>
      <c r="P62297" s="3337"/>
    </row>
    <row r="62298" spans="7:16" s="1634" customFormat="1">
      <c r="G62298" s="3336"/>
      <c r="P62298" s="3337"/>
    </row>
    <row r="62299" spans="7:16" s="1634" customFormat="1">
      <c r="G62299" s="3336"/>
      <c r="P62299" s="3337"/>
    </row>
    <row r="62300" spans="7:16" s="1634" customFormat="1">
      <c r="G62300" s="3336"/>
      <c r="P62300" s="3337"/>
    </row>
    <row r="62301" spans="7:16" s="1634" customFormat="1">
      <c r="G62301" s="3336"/>
      <c r="P62301" s="3337"/>
    </row>
    <row r="62302" spans="7:16" s="1634" customFormat="1">
      <c r="G62302" s="3336"/>
      <c r="P62302" s="3337"/>
    </row>
    <row r="62303" spans="7:16" s="1634" customFormat="1">
      <c r="G62303" s="3336"/>
      <c r="P62303" s="3337"/>
    </row>
    <row r="62304" spans="7:16" s="1634" customFormat="1">
      <c r="G62304" s="3336"/>
      <c r="P62304" s="3337"/>
    </row>
    <row r="62305" spans="7:16" s="1634" customFormat="1">
      <c r="G62305" s="3336"/>
      <c r="P62305" s="3337"/>
    </row>
    <row r="62306" spans="7:16" s="1634" customFormat="1">
      <c r="G62306" s="3336"/>
      <c r="P62306" s="3337"/>
    </row>
    <row r="62307" spans="7:16" s="1634" customFormat="1">
      <c r="G62307" s="3336"/>
      <c r="P62307" s="3337"/>
    </row>
    <row r="62308" spans="7:16" s="1634" customFormat="1">
      <c r="G62308" s="3336"/>
      <c r="P62308" s="3337"/>
    </row>
    <row r="62309" spans="7:16" s="1634" customFormat="1">
      <c r="G62309" s="3336"/>
      <c r="P62309" s="3337"/>
    </row>
    <row r="62310" spans="7:16" s="1634" customFormat="1">
      <c r="G62310" s="3336"/>
      <c r="P62310" s="3337"/>
    </row>
    <row r="62311" spans="7:16" s="1634" customFormat="1">
      <c r="G62311" s="3336"/>
      <c r="P62311" s="3337"/>
    </row>
    <row r="62312" spans="7:16" s="1634" customFormat="1">
      <c r="G62312" s="3336"/>
      <c r="P62312" s="3337"/>
    </row>
    <row r="62313" spans="7:16" s="1634" customFormat="1">
      <c r="G62313" s="3336"/>
      <c r="P62313" s="3337"/>
    </row>
    <row r="62314" spans="7:16" s="1634" customFormat="1">
      <c r="G62314" s="3336"/>
      <c r="P62314" s="3337"/>
    </row>
    <row r="62315" spans="7:16" s="1634" customFormat="1">
      <c r="G62315" s="3336"/>
      <c r="P62315" s="3337"/>
    </row>
    <row r="62316" spans="7:16" s="1634" customFormat="1">
      <c r="G62316" s="3336"/>
      <c r="P62316" s="3337"/>
    </row>
    <row r="62317" spans="7:16" s="1634" customFormat="1">
      <c r="G62317" s="3336"/>
      <c r="P62317" s="3337"/>
    </row>
    <row r="62318" spans="7:16" s="1634" customFormat="1">
      <c r="G62318" s="3336"/>
      <c r="P62318" s="3337"/>
    </row>
    <row r="62319" spans="7:16" s="1634" customFormat="1">
      <c r="G62319" s="3336"/>
      <c r="P62319" s="3337"/>
    </row>
    <row r="62320" spans="7:16" s="1634" customFormat="1">
      <c r="G62320" s="3336"/>
      <c r="P62320" s="3337"/>
    </row>
    <row r="62321" spans="7:16" s="1634" customFormat="1">
      <c r="G62321" s="3336"/>
      <c r="P62321" s="3337"/>
    </row>
    <row r="62322" spans="7:16" s="1634" customFormat="1">
      <c r="G62322" s="3336"/>
      <c r="P62322" s="3337"/>
    </row>
    <row r="62323" spans="7:16" s="1634" customFormat="1">
      <c r="G62323" s="3336"/>
      <c r="P62323" s="3337"/>
    </row>
    <row r="62324" spans="7:16" s="1634" customFormat="1">
      <c r="G62324" s="3336"/>
      <c r="P62324" s="3337"/>
    </row>
    <row r="62325" spans="7:16" s="1634" customFormat="1">
      <c r="G62325" s="3336"/>
      <c r="P62325" s="3337"/>
    </row>
    <row r="62326" spans="7:16" s="1634" customFormat="1">
      <c r="G62326" s="3336"/>
      <c r="P62326" s="3337"/>
    </row>
    <row r="62327" spans="7:16" s="1634" customFormat="1">
      <c r="G62327" s="3336"/>
      <c r="P62327" s="3337"/>
    </row>
    <row r="62328" spans="7:16" s="1634" customFormat="1">
      <c r="G62328" s="3336"/>
      <c r="P62328" s="3337"/>
    </row>
    <row r="62329" spans="7:16" s="1634" customFormat="1">
      <c r="G62329" s="3336"/>
      <c r="P62329" s="3337"/>
    </row>
    <row r="62330" spans="7:16" s="1634" customFormat="1">
      <c r="G62330" s="3336"/>
      <c r="P62330" s="3337"/>
    </row>
    <row r="62331" spans="7:16" s="1634" customFormat="1">
      <c r="G62331" s="3336"/>
      <c r="P62331" s="3337"/>
    </row>
    <row r="62332" spans="7:16" s="1634" customFormat="1">
      <c r="G62332" s="3336"/>
      <c r="P62332" s="3337"/>
    </row>
    <row r="62333" spans="7:16" s="1634" customFormat="1">
      <c r="G62333" s="3336"/>
      <c r="P62333" s="3337"/>
    </row>
    <row r="62334" spans="7:16" s="1634" customFormat="1">
      <c r="G62334" s="3336"/>
      <c r="P62334" s="3337"/>
    </row>
    <row r="62335" spans="7:16" s="1634" customFormat="1">
      <c r="G62335" s="3336"/>
      <c r="P62335" s="3337"/>
    </row>
    <row r="62336" spans="7:16" s="1634" customFormat="1">
      <c r="G62336" s="3336"/>
      <c r="P62336" s="3337"/>
    </row>
    <row r="62337" spans="7:16" s="1634" customFormat="1">
      <c r="G62337" s="3336"/>
      <c r="P62337" s="3337"/>
    </row>
    <row r="62338" spans="7:16" s="1634" customFormat="1">
      <c r="G62338" s="3336"/>
      <c r="P62338" s="3337"/>
    </row>
    <row r="62339" spans="7:16" s="1634" customFormat="1">
      <c r="G62339" s="3336"/>
      <c r="P62339" s="3337"/>
    </row>
    <row r="62340" spans="7:16" s="1634" customFormat="1">
      <c r="G62340" s="3336"/>
      <c r="P62340" s="3337"/>
    </row>
    <row r="62341" spans="7:16" s="1634" customFormat="1">
      <c r="G62341" s="3336"/>
      <c r="P62341" s="3337"/>
    </row>
    <row r="62342" spans="7:16" s="1634" customFormat="1">
      <c r="G62342" s="3336"/>
      <c r="P62342" s="3337"/>
    </row>
    <row r="62343" spans="7:16" s="1634" customFormat="1">
      <c r="G62343" s="3336"/>
      <c r="P62343" s="3337"/>
    </row>
    <row r="62344" spans="7:16" s="1634" customFormat="1">
      <c r="G62344" s="3336"/>
      <c r="P62344" s="3337"/>
    </row>
    <row r="62345" spans="7:16" s="1634" customFormat="1">
      <c r="G62345" s="3336"/>
      <c r="P62345" s="3337"/>
    </row>
    <row r="62346" spans="7:16" s="1634" customFormat="1">
      <c r="G62346" s="3336"/>
      <c r="P62346" s="3337"/>
    </row>
    <row r="62347" spans="7:16" s="1634" customFormat="1">
      <c r="G62347" s="3336"/>
      <c r="P62347" s="3337"/>
    </row>
    <row r="62348" spans="7:16" s="1634" customFormat="1">
      <c r="G62348" s="3336"/>
      <c r="P62348" s="3337"/>
    </row>
    <row r="62349" spans="7:16" s="1634" customFormat="1">
      <c r="G62349" s="3336"/>
      <c r="P62349" s="3337"/>
    </row>
    <row r="62350" spans="7:16" s="1634" customFormat="1">
      <c r="G62350" s="3336"/>
      <c r="P62350" s="3337"/>
    </row>
    <row r="62351" spans="7:16" s="1634" customFormat="1">
      <c r="G62351" s="3336"/>
      <c r="P62351" s="3337"/>
    </row>
    <row r="62352" spans="7:16" s="1634" customFormat="1">
      <c r="G62352" s="3336"/>
      <c r="P62352" s="3337"/>
    </row>
    <row r="62353" spans="7:16" s="1634" customFormat="1">
      <c r="G62353" s="3336"/>
      <c r="P62353" s="3337"/>
    </row>
    <row r="62354" spans="7:16" s="1634" customFormat="1">
      <c r="G62354" s="3336"/>
      <c r="P62354" s="3337"/>
    </row>
    <row r="62355" spans="7:16" s="1634" customFormat="1">
      <c r="G62355" s="3336"/>
      <c r="P62355" s="3337"/>
    </row>
    <row r="62356" spans="7:16" s="1634" customFormat="1">
      <c r="G62356" s="3336"/>
      <c r="P62356" s="3337"/>
    </row>
    <row r="62357" spans="7:16" s="1634" customFormat="1">
      <c r="G62357" s="3336"/>
      <c r="P62357" s="3337"/>
    </row>
    <row r="62358" spans="7:16" s="1634" customFormat="1">
      <c r="G62358" s="3336"/>
      <c r="P62358" s="3337"/>
    </row>
    <row r="62359" spans="7:16" s="1634" customFormat="1">
      <c r="G62359" s="3336"/>
      <c r="P62359" s="3337"/>
    </row>
    <row r="62360" spans="7:16" s="1634" customFormat="1">
      <c r="G62360" s="3336"/>
      <c r="P62360" s="3337"/>
    </row>
    <row r="62361" spans="7:16" s="1634" customFormat="1">
      <c r="G62361" s="3336"/>
      <c r="P62361" s="3337"/>
    </row>
    <row r="62362" spans="7:16" s="1634" customFormat="1">
      <c r="G62362" s="3336"/>
      <c r="P62362" s="3337"/>
    </row>
    <row r="62363" spans="7:16" s="1634" customFormat="1">
      <c r="G62363" s="3336"/>
      <c r="P62363" s="3337"/>
    </row>
    <row r="62364" spans="7:16" s="1634" customFormat="1">
      <c r="G62364" s="3336"/>
      <c r="P62364" s="3337"/>
    </row>
    <row r="62365" spans="7:16" s="1634" customFormat="1">
      <c r="G62365" s="3336"/>
      <c r="P62365" s="3337"/>
    </row>
    <row r="62366" spans="7:16" s="1634" customFormat="1">
      <c r="G62366" s="3336"/>
      <c r="P62366" s="3337"/>
    </row>
    <row r="62367" spans="7:16" s="1634" customFormat="1">
      <c r="G62367" s="3336"/>
      <c r="P62367" s="3337"/>
    </row>
    <row r="62368" spans="7:16" s="1634" customFormat="1">
      <c r="G62368" s="3336"/>
      <c r="P62368" s="3337"/>
    </row>
    <row r="62369" spans="7:16" s="1634" customFormat="1">
      <c r="G62369" s="3336"/>
      <c r="P62369" s="3337"/>
    </row>
    <row r="62370" spans="7:16" s="1634" customFormat="1">
      <c r="G62370" s="3336"/>
      <c r="P62370" s="3337"/>
    </row>
    <row r="62371" spans="7:16" s="1634" customFormat="1">
      <c r="G62371" s="3336"/>
      <c r="P62371" s="3337"/>
    </row>
    <row r="62372" spans="7:16" s="1634" customFormat="1">
      <c r="G62372" s="3336"/>
      <c r="P62372" s="3337"/>
    </row>
    <row r="62373" spans="7:16" s="1634" customFormat="1">
      <c r="G62373" s="3336"/>
      <c r="P62373" s="3337"/>
    </row>
    <row r="62374" spans="7:16" s="1634" customFormat="1">
      <c r="G62374" s="3336"/>
      <c r="P62374" s="3337"/>
    </row>
    <row r="62375" spans="7:16" s="1634" customFormat="1">
      <c r="G62375" s="3336"/>
      <c r="P62375" s="3337"/>
    </row>
    <row r="62376" spans="7:16" s="1634" customFormat="1">
      <c r="G62376" s="3336"/>
      <c r="P62376" s="3337"/>
    </row>
    <row r="62377" spans="7:16" s="1634" customFormat="1">
      <c r="G62377" s="3336"/>
      <c r="P62377" s="3337"/>
    </row>
    <row r="62378" spans="7:16" s="1634" customFormat="1">
      <c r="G62378" s="3336"/>
      <c r="P62378" s="3337"/>
    </row>
    <row r="62379" spans="7:16" s="1634" customFormat="1">
      <c r="G62379" s="3336"/>
      <c r="P62379" s="3337"/>
    </row>
    <row r="62380" spans="7:16" s="1634" customFormat="1">
      <c r="G62380" s="3336"/>
      <c r="P62380" s="3337"/>
    </row>
    <row r="62381" spans="7:16" s="1634" customFormat="1">
      <c r="G62381" s="3336"/>
      <c r="P62381" s="3337"/>
    </row>
    <row r="62382" spans="7:16" s="1634" customFormat="1">
      <c r="G62382" s="3336"/>
      <c r="P62382" s="3337"/>
    </row>
    <row r="62383" spans="7:16" s="1634" customFormat="1">
      <c r="G62383" s="3336"/>
      <c r="P62383" s="3337"/>
    </row>
    <row r="62384" spans="7:16" s="1634" customFormat="1">
      <c r="G62384" s="3336"/>
      <c r="P62384" s="3337"/>
    </row>
    <row r="62385" spans="7:16" s="1634" customFormat="1">
      <c r="G62385" s="3336"/>
      <c r="P62385" s="3337"/>
    </row>
    <row r="62386" spans="7:16" s="1634" customFormat="1">
      <c r="G62386" s="3336"/>
      <c r="P62386" s="3337"/>
    </row>
    <row r="62387" spans="7:16" s="1634" customFormat="1">
      <c r="G62387" s="3336"/>
      <c r="P62387" s="3337"/>
    </row>
    <row r="62388" spans="7:16" s="1634" customFormat="1">
      <c r="G62388" s="3336"/>
      <c r="P62388" s="3337"/>
    </row>
    <row r="62389" spans="7:16" s="1634" customFormat="1">
      <c r="G62389" s="3336"/>
      <c r="P62389" s="3337"/>
    </row>
    <row r="62390" spans="7:16" s="1634" customFormat="1">
      <c r="G62390" s="3336"/>
      <c r="P62390" s="3337"/>
    </row>
    <row r="62391" spans="7:16" s="1634" customFormat="1">
      <c r="G62391" s="3336"/>
      <c r="P62391" s="3337"/>
    </row>
    <row r="62392" spans="7:16" s="1634" customFormat="1">
      <c r="G62392" s="3336"/>
      <c r="P62392" s="3337"/>
    </row>
    <row r="62393" spans="7:16" s="1634" customFormat="1">
      <c r="G62393" s="3336"/>
      <c r="P62393" s="3337"/>
    </row>
    <row r="62394" spans="7:16" s="1634" customFormat="1">
      <c r="G62394" s="3336"/>
      <c r="P62394" s="3337"/>
    </row>
    <row r="62395" spans="7:16" s="1634" customFormat="1">
      <c r="G62395" s="3336"/>
      <c r="P62395" s="3337"/>
    </row>
    <row r="62396" spans="7:16" s="1634" customFormat="1">
      <c r="G62396" s="3336"/>
      <c r="P62396" s="3337"/>
    </row>
    <row r="62397" spans="7:16" s="1634" customFormat="1">
      <c r="G62397" s="3336"/>
      <c r="P62397" s="3337"/>
    </row>
    <row r="62398" spans="7:16" s="1634" customFormat="1">
      <c r="G62398" s="3336"/>
      <c r="P62398" s="3337"/>
    </row>
    <row r="62399" spans="7:16" s="1634" customFormat="1">
      <c r="G62399" s="3336"/>
      <c r="P62399" s="3337"/>
    </row>
    <row r="62400" spans="7:16" s="1634" customFormat="1">
      <c r="G62400" s="3336"/>
      <c r="P62400" s="3337"/>
    </row>
    <row r="62401" spans="7:16" s="1634" customFormat="1">
      <c r="G62401" s="3336"/>
      <c r="P62401" s="3337"/>
    </row>
    <row r="62402" spans="7:16" s="1634" customFormat="1">
      <c r="G62402" s="3336"/>
      <c r="P62402" s="3337"/>
    </row>
    <row r="62403" spans="7:16" s="1634" customFormat="1">
      <c r="G62403" s="3336"/>
      <c r="P62403" s="3337"/>
    </row>
    <row r="62404" spans="7:16" s="1634" customFormat="1">
      <c r="G62404" s="3336"/>
      <c r="P62404" s="3337"/>
    </row>
    <row r="62405" spans="7:16" s="1634" customFormat="1">
      <c r="G62405" s="3336"/>
      <c r="P62405" s="3337"/>
    </row>
    <row r="62406" spans="7:16" s="1634" customFormat="1">
      <c r="G62406" s="3336"/>
      <c r="P62406" s="3337"/>
    </row>
    <row r="62407" spans="7:16" s="1634" customFormat="1">
      <c r="G62407" s="3336"/>
      <c r="P62407" s="3337"/>
    </row>
    <row r="62408" spans="7:16" s="1634" customFormat="1">
      <c r="G62408" s="3336"/>
      <c r="P62408" s="3337"/>
    </row>
    <row r="62409" spans="7:16" s="1634" customFormat="1">
      <c r="G62409" s="3336"/>
      <c r="P62409" s="3337"/>
    </row>
    <row r="62410" spans="7:16" s="1634" customFormat="1">
      <c r="G62410" s="3336"/>
      <c r="P62410" s="3337"/>
    </row>
    <row r="62411" spans="7:16" s="1634" customFormat="1">
      <c r="G62411" s="3336"/>
      <c r="P62411" s="3337"/>
    </row>
    <row r="62412" spans="7:16" s="1634" customFormat="1">
      <c r="G62412" s="3336"/>
      <c r="P62412" s="3337"/>
    </row>
    <row r="62413" spans="7:16" s="1634" customFormat="1">
      <c r="G62413" s="3336"/>
      <c r="P62413" s="3337"/>
    </row>
    <row r="62414" spans="7:16" s="1634" customFormat="1">
      <c r="G62414" s="3336"/>
      <c r="P62414" s="3337"/>
    </row>
    <row r="62415" spans="7:16" s="1634" customFormat="1">
      <c r="G62415" s="3336"/>
      <c r="P62415" s="3337"/>
    </row>
    <row r="62416" spans="7:16" s="1634" customFormat="1">
      <c r="G62416" s="3336"/>
      <c r="P62416" s="3337"/>
    </row>
    <row r="62417" spans="7:16" s="1634" customFormat="1">
      <c r="G62417" s="3336"/>
      <c r="P62417" s="3337"/>
    </row>
    <row r="62418" spans="7:16" s="1634" customFormat="1">
      <c r="G62418" s="3336"/>
      <c r="P62418" s="3337"/>
    </row>
    <row r="62419" spans="7:16" s="1634" customFormat="1">
      <c r="G62419" s="3336"/>
      <c r="P62419" s="3337"/>
    </row>
    <row r="62420" spans="7:16" s="1634" customFormat="1">
      <c r="G62420" s="3336"/>
      <c r="P62420" s="3337"/>
    </row>
    <row r="62421" spans="7:16" s="1634" customFormat="1">
      <c r="G62421" s="3336"/>
      <c r="P62421" s="3337"/>
    </row>
    <row r="62422" spans="7:16" s="1634" customFormat="1">
      <c r="G62422" s="3336"/>
      <c r="P62422" s="3337"/>
    </row>
    <row r="62423" spans="7:16" s="1634" customFormat="1">
      <c r="G62423" s="3336"/>
      <c r="P62423" s="3337"/>
    </row>
    <row r="62424" spans="7:16" s="1634" customFormat="1">
      <c r="G62424" s="3336"/>
      <c r="P62424" s="3337"/>
    </row>
    <row r="62425" spans="7:16" s="1634" customFormat="1">
      <c r="G62425" s="3336"/>
      <c r="P62425" s="3337"/>
    </row>
    <row r="62426" spans="7:16" s="1634" customFormat="1">
      <c r="G62426" s="3336"/>
      <c r="P62426" s="3337"/>
    </row>
    <row r="62427" spans="7:16" s="1634" customFormat="1">
      <c r="G62427" s="3336"/>
      <c r="P62427" s="3337"/>
    </row>
    <row r="62428" spans="7:16" s="1634" customFormat="1">
      <c r="G62428" s="3336"/>
      <c r="P62428" s="3337"/>
    </row>
    <row r="62429" spans="7:16" s="1634" customFormat="1">
      <c r="G62429" s="3336"/>
      <c r="P62429" s="3337"/>
    </row>
    <row r="62430" spans="7:16" s="1634" customFormat="1">
      <c r="G62430" s="3336"/>
      <c r="P62430" s="3337"/>
    </row>
    <row r="62431" spans="7:16" s="1634" customFormat="1">
      <c r="G62431" s="3336"/>
      <c r="P62431" s="3337"/>
    </row>
    <row r="62432" spans="7:16" s="1634" customFormat="1">
      <c r="G62432" s="3336"/>
      <c r="P62432" s="3337"/>
    </row>
    <row r="62433" spans="7:16" s="1634" customFormat="1">
      <c r="G62433" s="3336"/>
      <c r="P62433" s="3337"/>
    </row>
    <row r="62434" spans="7:16" s="1634" customFormat="1">
      <c r="G62434" s="3336"/>
      <c r="P62434" s="3337"/>
    </row>
    <row r="62435" spans="7:16" s="1634" customFormat="1">
      <c r="G62435" s="3336"/>
      <c r="P62435" s="3337"/>
    </row>
    <row r="62436" spans="7:16" s="1634" customFormat="1">
      <c r="G62436" s="3336"/>
      <c r="P62436" s="3337"/>
    </row>
    <row r="62437" spans="7:16" s="1634" customFormat="1">
      <c r="G62437" s="3336"/>
      <c r="P62437" s="3337"/>
    </row>
    <row r="62438" spans="7:16" s="1634" customFormat="1">
      <c r="G62438" s="3336"/>
      <c r="P62438" s="3337"/>
    </row>
    <row r="62439" spans="7:16" s="1634" customFormat="1">
      <c r="G62439" s="3336"/>
      <c r="P62439" s="3337"/>
    </row>
    <row r="62440" spans="7:16" s="1634" customFormat="1">
      <c r="G62440" s="3336"/>
      <c r="P62440" s="3337"/>
    </row>
    <row r="62441" spans="7:16" s="1634" customFormat="1">
      <c r="G62441" s="3336"/>
      <c r="P62441" s="3337"/>
    </row>
    <row r="62442" spans="7:16" s="1634" customFormat="1">
      <c r="G62442" s="3336"/>
      <c r="P62442" s="3337"/>
    </row>
    <row r="62443" spans="7:16" s="1634" customFormat="1">
      <c r="G62443" s="3336"/>
      <c r="P62443" s="3337"/>
    </row>
    <row r="62444" spans="7:16" s="1634" customFormat="1">
      <c r="G62444" s="3336"/>
      <c r="P62444" s="3337"/>
    </row>
    <row r="62445" spans="7:16" s="1634" customFormat="1">
      <c r="G62445" s="3336"/>
      <c r="P62445" s="3337"/>
    </row>
    <row r="62446" spans="7:16" s="1634" customFormat="1">
      <c r="G62446" s="3336"/>
      <c r="P62446" s="3337"/>
    </row>
    <row r="62447" spans="7:16" s="1634" customFormat="1">
      <c r="G62447" s="3336"/>
      <c r="P62447" s="3337"/>
    </row>
    <row r="62448" spans="7:16" s="1634" customFormat="1">
      <c r="G62448" s="3336"/>
      <c r="P62448" s="3337"/>
    </row>
    <row r="62449" spans="7:16" s="1634" customFormat="1">
      <c r="G62449" s="3336"/>
      <c r="P62449" s="3337"/>
    </row>
    <row r="62450" spans="7:16" s="1634" customFormat="1">
      <c r="G62450" s="3336"/>
      <c r="P62450" s="3337"/>
    </row>
    <row r="62451" spans="7:16" s="1634" customFormat="1">
      <c r="G62451" s="3336"/>
      <c r="P62451" s="3337"/>
    </row>
    <row r="62452" spans="7:16" s="1634" customFormat="1">
      <c r="G62452" s="3336"/>
      <c r="P62452" s="3337"/>
    </row>
    <row r="62453" spans="7:16" s="1634" customFormat="1">
      <c r="G62453" s="3336"/>
      <c r="P62453" s="3337"/>
    </row>
    <row r="62454" spans="7:16" s="1634" customFormat="1">
      <c r="G62454" s="3336"/>
      <c r="P62454" s="3337"/>
    </row>
    <row r="62455" spans="7:16" s="1634" customFormat="1">
      <c r="G62455" s="3336"/>
      <c r="P62455" s="3337"/>
    </row>
    <row r="62456" spans="7:16" s="1634" customFormat="1">
      <c r="G62456" s="3336"/>
      <c r="P62456" s="3337"/>
    </row>
    <row r="62457" spans="7:16" s="1634" customFormat="1">
      <c r="G62457" s="3336"/>
      <c r="P62457" s="3337"/>
    </row>
    <row r="62458" spans="7:16" s="1634" customFormat="1">
      <c r="G62458" s="3336"/>
      <c r="P62458" s="3337"/>
    </row>
    <row r="62459" spans="7:16" s="1634" customFormat="1">
      <c r="G62459" s="3336"/>
      <c r="P62459" s="3337"/>
    </row>
    <row r="62460" spans="7:16" s="1634" customFormat="1">
      <c r="G62460" s="3336"/>
      <c r="P62460" s="3337"/>
    </row>
    <row r="62461" spans="7:16" s="1634" customFormat="1">
      <c r="G62461" s="3336"/>
      <c r="P62461" s="3337"/>
    </row>
    <row r="62462" spans="7:16" s="1634" customFormat="1">
      <c r="G62462" s="3336"/>
      <c r="P62462" s="3337"/>
    </row>
    <row r="62463" spans="7:16" s="1634" customFormat="1">
      <c r="G62463" s="3336"/>
      <c r="P62463" s="3337"/>
    </row>
    <row r="62464" spans="7:16" s="1634" customFormat="1">
      <c r="G62464" s="3336"/>
      <c r="P62464" s="3337"/>
    </row>
    <row r="62465" spans="7:16" s="1634" customFormat="1">
      <c r="G62465" s="3336"/>
      <c r="P62465" s="3337"/>
    </row>
    <row r="62466" spans="7:16" s="1634" customFormat="1">
      <c r="G62466" s="3336"/>
      <c r="P62466" s="3337"/>
    </row>
    <row r="62467" spans="7:16" s="1634" customFormat="1">
      <c r="G62467" s="3336"/>
      <c r="P62467" s="3337"/>
    </row>
    <row r="62468" spans="7:16" s="1634" customFormat="1">
      <c r="G62468" s="3336"/>
      <c r="P62468" s="3337"/>
    </row>
    <row r="62469" spans="7:16" s="1634" customFormat="1">
      <c r="G62469" s="3336"/>
      <c r="P62469" s="3337"/>
    </row>
    <row r="62470" spans="7:16" s="1634" customFormat="1">
      <c r="G62470" s="3336"/>
      <c r="P62470" s="3337"/>
    </row>
    <row r="62471" spans="7:16" s="1634" customFormat="1">
      <c r="G62471" s="3336"/>
      <c r="P62471" s="3337"/>
    </row>
    <row r="62472" spans="7:16" s="1634" customFormat="1">
      <c r="G62472" s="3336"/>
      <c r="P62472" s="3337"/>
    </row>
    <row r="62473" spans="7:16" s="1634" customFormat="1">
      <c r="G62473" s="3336"/>
      <c r="P62473" s="3337"/>
    </row>
    <row r="62474" spans="7:16" s="1634" customFormat="1">
      <c r="G62474" s="3336"/>
      <c r="P62474" s="3337"/>
    </row>
    <row r="62475" spans="7:16" s="1634" customFormat="1">
      <c r="G62475" s="3336"/>
      <c r="P62475" s="3337"/>
    </row>
    <row r="62476" spans="7:16" s="1634" customFormat="1">
      <c r="G62476" s="3336"/>
      <c r="P62476" s="3337"/>
    </row>
    <row r="62477" spans="7:16" s="1634" customFormat="1">
      <c r="G62477" s="3336"/>
      <c r="P62477" s="3337"/>
    </row>
    <row r="62478" spans="7:16" s="1634" customFormat="1">
      <c r="G62478" s="3336"/>
      <c r="P62478" s="3337"/>
    </row>
    <row r="62479" spans="7:16" s="1634" customFormat="1">
      <c r="G62479" s="3336"/>
      <c r="P62479" s="3337"/>
    </row>
    <row r="62480" spans="7:16" s="1634" customFormat="1">
      <c r="G62480" s="3336"/>
      <c r="P62480" s="3337"/>
    </row>
    <row r="62481" spans="7:16" s="1634" customFormat="1">
      <c r="G62481" s="3336"/>
      <c r="P62481" s="3337"/>
    </row>
    <row r="62482" spans="7:16" s="1634" customFormat="1">
      <c r="G62482" s="3336"/>
      <c r="P62482" s="3337"/>
    </row>
    <row r="62483" spans="7:16" s="1634" customFormat="1">
      <c r="G62483" s="3336"/>
      <c r="P62483" s="3337"/>
    </row>
    <row r="62484" spans="7:16" s="1634" customFormat="1">
      <c r="G62484" s="3336"/>
      <c r="P62484" s="3337"/>
    </row>
    <row r="62485" spans="7:16" s="1634" customFormat="1">
      <c r="G62485" s="3336"/>
      <c r="P62485" s="3337"/>
    </row>
    <row r="62486" spans="7:16" s="1634" customFormat="1">
      <c r="G62486" s="3336"/>
      <c r="P62486" s="3337"/>
    </row>
    <row r="62487" spans="7:16" s="1634" customFormat="1">
      <c r="G62487" s="3336"/>
      <c r="P62487" s="3337"/>
    </row>
    <row r="62488" spans="7:16" s="1634" customFormat="1">
      <c r="G62488" s="3336"/>
      <c r="P62488" s="3337"/>
    </row>
    <row r="62489" spans="7:16" s="1634" customFormat="1">
      <c r="G62489" s="3336"/>
      <c r="P62489" s="3337"/>
    </row>
    <row r="62490" spans="7:16" s="1634" customFormat="1">
      <c r="G62490" s="3336"/>
      <c r="P62490" s="3337"/>
    </row>
    <row r="62491" spans="7:16" s="1634" customFormat="1">
      <c r="G62491" s="3336"/>
      <c r="P62491" s="3337"/>
    </row>
    <row r="62492" spans="7:16" s="1634" customFormat="1">
      <c r="G62492" s="3336"/>
      <c r="P62492" s="3337"/>
    </row>
    <row r="62493" spans="7:16" s="1634" customFormat="1">
      <c r="G62493" s="3336"/>
      <c r="P62493" s="3337"/>
    </row>
    <row r="62494" spans="7:16" s="1634" customFormat="1">
      <c r="G62494" s="3336"/>
      <c r="P62494" s="3337"/>
    </row>
    <row r="62495" spans="7:16" s="1634" customFormat="1">
      <c r="G62495" s="3336"/>
      <c r="P62495" s="3337"/>
    </row>
    <row r="62496" spans="7:16" s="1634" customFormat="1">
      <c r="G62496" s="3336"/>
      <c r="P62496" s="3337"/>
    </row>
    <row r="62497" spans="7:16" s="1634" customFormat="1">
      <c r="G62497" s="3336"/>
      <c r="P62497" s="3337"/>
    </row>
    <row r="62498" spans="7:16" s="1634" customFormat="1">
      <c r="G62498" s="3336"/>
      <c r="P62498" s="3337"/>
    </row>
    <row r="62499" spans="7:16" s="1634" customFormat="1">
      <c r="G62499" s="3336"/>
      <c r="P62499" s="3337"/>
    </row>
    <row r="62500" spans="7:16" s="1634" customFormat="1">
      <c r="G62500" s="3336"/>
      <c r="P62500" s="3337"/>
    </row>
    <row r="62501" spans="7:16" s="1634" customFormat="1">
      <c r="G62501" s="3336"/>
      <c r="P62501" s="3337"/>
    </row>
    <row r="62502" spans="7:16" s="1634" customFormat="1">
      <c r="G62502" s="3336"/>
      <c r="P62502" s="3337"/>
    </row>
    <row r="62503" spans="7:16" s="1634" customFormat="1">
      <c r="G62503" s="3336"/>
      <c r="P62503" s="3337"/>
    </row>
    <row r="62504" spans="7:16" s="1634" customFormat="1">
      <c r="G62504" s="3336"/>
      <c r="P62504" s="3337"/>
    </row>
    <row r="62505" spans="7:16" s="1634" customFormat="1">
      <c r="G62505" s="3336"/>
      <c r="P62505" s="3337"/>
    </row>
    <row r="62506" spans="7:16" s="1634" customFormat="1">
      <c r="G62506" s="3336"/>
      <c r="P62506" s="3337"/>
    </row>
    <row r="62507" spans="7:16" s="1634" customFormat="1">
      <c r="G62507" s="3336"/>
      <c r="P62507" s="3337"/>
    </row>
    <row r="62508" spans="7:16" s="1634" customFormat="1">
      <c r="G62508" s="3336"/>
      <c r="P62508" s="3337"/>
    </row>
    <row r="62509" spans="7:16" s="1634" customFormat="1">
      <c r="G62509" s="3336"/>
      <c r="P62509" s="3337"/>
    </row>
    <row r="62510" spans="7:16" s="1634" customFormat="1">
      <c r="G62510" s="3336"/>
      <c r="P62510" s="3337"/>
    </row>
    <row r="62511" spans="7:16" s="1634" customFormat="1">
      <c r="G62511" s="3336"/>
      <c r="P62511" s="3337"/>
    </row>
    <row r="62512" spans="7:16" s="1634" customFormat="1">
      <c r="G62512" s="3336"/>
      <c r="P62512" s="3337"/>
    </row>
    <row r="62513" spans="7:16" s="1634" customFormat="1">
      <c r="G62513" s="3336"/>
      <c r="P62513" s="3337"/>
    </row>
    <row r="62514" spans="7:16" s="1634" customFormat="1">
      <c r="G62514" s="3336"/>
      <c r="P62514" s="3337"/>
    </row>
    <row r="62515" spans="7:16" s="1634" customFormat="1">
      <c r="G62515" s="3336"/>
      <c r="P62515" s="3337"/>
    </row>
    <row r="62516" spans="7:16" s="1634" customFormat="1">
      <c r="G62516" s="3336"/>
      <c r="P62516" s="3337"/>
    </row>
    <row r="62517" spans="7:16" s="1634" customFormat="1">
      <c r="G62517" s="3336"/>
      <c r="P62517" s="3337"/>
    </row>
    <row r="62518" spans="7:16" s="1634" customFormat="1">
      <c r="G62518" s="3336"/>
      <c r="P62518" s="3337"/>
    </row>
    <row r="62519" spans="7:16" s="1634" customFormat="1">
      <c r="G62519" s="3336"/>
      <c r="P62519" s="3337"/>
    </row>
    <row r="62520" spans="7:16" s="1634" customFormat="1">
      <c r="G62520" s="3336"/>
      <c r="P62520" s="3337"/>
    </row>
    <row r="62521" spans="7:16" s="1634" customFormat="1">
      <c r="G62521" s="3336"/>
      <c r="P62521" s="3337"/>
    </row>
    <row r="62522" spans="7:16" s="1634" customFormat="1">
      <c r="G62522" s="3336"/>
      <c r="P62522" s="3337"/>
    </row>
    <row r="62523" spans="7:16" s="1634" customFormat="1">
      <c r="G62523" s="3336"/>
      <c r="P62523" s="3337"/>
    </row>
    <row r="62524" spans="7:16" s="1634" customFormat="1">
      <c r="G62524" s="3336"/>
      <c r="P62524" s="3337"/>
    </row>
    <row r="62525" spans="7:16" s="1634" customFormat="1">
      <c r="G62525" s="3336"/>
      <c r="P62525" s="3337"/>
    </row>
    <row r="62526" spans="7:16" s="1634" customFormat="1">
      <c r="G62526" s="3336"/>
      <c r="P62526" s="3337"/>
    </row>
    <row r="62527" spans="7:16" s="1634" customFormat="1">
      <c r="G62527" s="3336"/>
      <c r="P62527" s="3337"/>
    </row>
    <row r="62528" spans="7:16" s="1634" customFormat="1">
      <c r="G62528" s="3336"/>
      <c r="P62528" s="3337"/>
    </row>
    <row r="62529" spans="7:16" s="1634" customFormat="1">
      <c r="G62529" s="3336"/>
      <c r="P62529" s="3337"/>
    </row>
    <row r="62530" spans="7:16" s="1634" customFormat="1">
      <c r="G62530" s="3336"/>
      <c r="P62530" s="3337"/>
    </row>
    <row r="62531" spans="7:16" s="1634" customFormat="1">
      <c r="G62531" s="3336"/>
      <c r="P62531" s="3337"/>
    </row>
    <row r="62532" spans="7:16" s="1634" customFormat="1">
      <c r="G62532" s="3336"/>
      <c r="P62532" s="3337"/>
    </row>
    <row r="62533" spans="7:16" s="1634" customFormat="1">
      <c r="G62533" s="3336"/>
      <c r="P62533" s="3337"/>
    </row>
    <row r="62534" spans="7:16" s="1634" customFormat="1">
      <c r="G62534" s="3336"/>
      <c r="P62534" s="3337"/>
    </row>
    <row r="62535" spans="7:16" s="1634" customFormat="1">
      <c r="G62535" s="3336"/>
      <c r="P62535" s="3337"/>
    </row>
    <row r="62536" spans="7:16" s="1634" customFormat="1">
      <c r="G62536" s="3336"/>
      <c r="P62536" s="3337"/>
    </row>
    <row r="62537" spans="7:16" s="1634" customFormat="1">
      <c r="G62537" s="3336"/>
      <c r="P62537" s="3337"/>
    </row>
    <row r="62538" spans="7:16" s="1634" customFormat="1">
      <c r="G62538" s="3336"/>
      <c r="P62538" s="3337"/>
    </row>
    <row r="62539" spans="7:16" s="1634" customFormat="1">
      <c r="G62539" s="3336"/>
      <c r="P62539" s="3337"/>
    </row>
    <row r="62540" spans="7:16" s="1634" customFormat="1">
      <c r="G62540" s="3336"/>
      <c r="P62540" s="3337"/>
    </row>
    <row r="62541" spans="7:16" s="1634" customFormat="1">
      <c r="G62541" s="3336"/>
      <c r="P62541" s="3337"/>
    </row>
    <row r="62542" spans="7:16" s="1634" customFormat="1">
      <c r="G62542" s="3336"/>
      <c r="P62542" s="3337"/>
    </row>
    <row r="62543" spans="7:16" s="1634" customFormat="1">
      <c r="G62543" s="3336"/>
      <c r="P62543" s="3337"/>
    </row>
    <row r="62544" spans="7:16" s="1634" customFormat="1">
      <c r="G62544" s="3336"/>
      <c r="P62544" s="3337"/>
    </row>
    <row r="62545" spans="7:16" s="1634" customFormat="1">
      <c r="G62545" s="3336"/>
      <c r="P62545" s="3337"/>
    </row>
    <row r="62546" spans="7:16" s="1634" customFormat="1">
      <c r="G62546" s="3336"/>
      <c r="P62546" s="3337"/>
    </row>
    <row r="62547" spans="7:16" s="1634" customFormat="1">
      <c r="G62547" s="3336"/>
      <c r="P62547" s="3337"/>
    </row>
    <row r="62548" spans="7:16" s="1634" customFormat="1">
      <c r="G62548" s="3336"/>
      <c r="P62548" s="3337"/>
    </row>
    <row r="62549" spans="7:16" s="1634" customFormat="1">
      <c r="G62549" s="3336"/>
      <c r="P62549" s="3337"/>
    </row>
    <row r="62550" spans="7:16" s="1634" customFormat="1">
      <c r="G62550" s="3336"/>
      <c r="P62550" s="3337"/>
    </row>
    <row r="62551" spans="7:16" s="1634" customFormat="1">
      <c r="G62551" s="3336"/>
      <c r="P62551" s="3337"/>
    </row>
    <row r="62552" spans="7:16" s="1634" customFormat="1">
      <c r="G62552" s="3336"/>
      <c r="P62552" s="3337"/>
    </row>
    <row r="62553" spans="7:16" s="1634" customFormat="1">
      <c r="G62553" s="3336"/>
      <c r="P62553" s="3337"/>
    </row>
    <row r="62554" spans="7:16" s="1634" customFormat="1">
      <c r="G62554" s="3336"/>
      <c r="P62554" s="3337"/>
    </row>
    <row r="62555" spans="7:16" s="1634" customFormat="1">
      <c r="G62555" s="3336"/>
      <c r="P62555" s="3337"/>
    </row>
    <row r="62556" spans="7:16" s="1634" customFormat="1">
      <c r="G62556" s="3336"/>
      <c r="P62556" s="3337"/>
    </row>
    <row r="62557" spans="7:16" s="1634" customFormat="1">
      <c r="G62557" s="3336"/>
      <c r="P62557" s="3337"/>
    </row>
    <row r="62558" spans="7:16" s="1634" customFormat="1">
      <c r="G62558" s="3336"/>
      <c r="P62558" s="3337"/>
    </row>
    <row r="62559" spans="7:16" s="1634" customFormat="1">
      <c r="G62559" s="3336"/>
      <c r="P62559" s="3337"/>
    </row>
    <row r="62560" spans="7:16" s="1634" customFormat="1">
      <c r="G62560" s="3336"/>
      <c r="P62560" s="3337"/>
    </row>
    <row r="62561" spans="7:16" s="1634" customFormat="1">
      <c r="G62561" s="3336"/>
      <c r="P62561" s="3337"/>
    </row>
    <row r="62562" spans="7:16" s="1634" customFormat="1">
      <c r="G62562" s="3336"/>
      <c r="P62562" s="3337"/>
    </row>
    <row r="62563" spans="7:16" s="1634" customFormat="1">
      <c r="G62563" s="3336"/>
      <c r="P62563" s="3337"/>
    </row>
    <row r="62564" spans="7:16" s="1634" customFormat="1">
      <c r="G62564" s="3336"/>
      <c r="P62564" s="3337"/>
    </row>
    <row r="62565" spans="7:16" s="1634" customFormat="1">
      <c r="G62565" s="3336"/>
      <c r="P62565" s="3337"/>
    </row>
    <row r="62566" spans="7:16" s="1634" customFormat="1">
      <c r="G62566" s="3336"/>
      <c r="P62566" s="3337"/>
    </row>
    <row r="62567" spans="7:16" s="1634" customFormat="1">
      <c r="G62567" s="3336"/>
      <c r="P62567" s="3337"/>
    </row>
    <row r="62568" spans="7:16" s="1634" customFormat="1">
      <c r="G62568" s="3336"/>
      <c r="P62568" s="3337"/>
    </row>
    <row r="62569" spans="7:16" s="1634" customFormat="1">
      <c r="G62569" s="3336"/>
      <c r="P62569" s="3337"/>
    </row>
    <row r="62570" spans="7:16" s="1634" customFormat="1">
      <c r="G62570" s="3336"/>
      <c r="P62570" s="3337"/>
    </row>
    <row r="62571" spans="7:16" s="1634" customFormat="1">
      <c r="G62571" s="3336"/>
      <c r="P62571" s="3337"/>
    </row>
    <row r="62572" spans="7:16" s="1634" customFormat="1">
      <c r="G62572" s="3336"/>
      <c r="P62572" s="3337"/>
    </row>
    <row r="62573" spans="7:16" s="1634" customFormat="1">
      <c r="G62573" s="3336"/>
      <c r="P62573" s="3337"/>
    </row>
    <row r="62574" spans="7:16" s="1634" customFormat="1">
      <c r="G62574" s="3336"/>
      <c r="P62574" s="3337"/>
    </row>
    <row r="62575" spans="7:16" s="1634" customFormat="1">
      <c r="G62575" s="3336"/>
      <c r="P62575" s="3337"/>
    </row>
    <row r="62576" spans="7:16" s="1634" customFormat="1">
      <c r="G62576" s="3336"/>
      <c r="P62576" s="3337"/>
    </row>
    <row r="62577" spans="7:16" s="1634" customFormat="1">
      <c r="G62577" s="3336"/>
      <c r="P62577" s="3337"/>
    </row>
    <row r="62578" spans="7:16" s="1634" customFormat="1">
      <c r="G62578" s="3336"/>
      <c r="P62578" s="3337"/>
    </row>
    <row r="62579" spans="7:16" s="1634" customFormat="1">
      <c r="G62579" s="3336"/>
      <c r="P62579" s="3337"/>
    </row>
    <row r="62580" spans="7:16" s="1634" customFormat="1">
      <c r="G62580" s="3336"/>
      <c r="P62580" s="3337"/>
    </row>
    <row r="62581" spans="7:16" s="1634" customFormat="1">
      <c r="G62581" s="3336"/>
      <c r="P62581" s="3337"/>
    </row>
    <row r="62582" spans="7:16" s="1634" customFormat="1">
      <c r="G62582" s="3336"/>
      <c r="P62582" s="3337"/>
    </row>
    <row r="62583" spans="7:16" s="1634" customFormat="1">
      <c r="G62583" s="3336"/>
      <c r="P62583" s="3337"/>
    </row>
    <row r="62584" spans="7:16" s="1634" customFormat="1">
      <c r="G62584" s="3336"/>
      <c r="P62584" s="3337"/>
    </row>
    <row r="62585" spans="7:16" s="1634" customFormat="1">
      <c r="G62585" s="3336"/>
      <c r="P62585" s="3337"/>
    </row>
    <row r="62586" spans="7:16" s="1634" customFormat="1">
      <c r="G62586" s="3336"/>
      <c r="P62586" s="3337"/>
    </row>
    <row r="62587" spans="7:16" s="1634" customFormat="1">
      <c r="G62587" s="3336"/>
      <c r="P62587" s="3337"/>
    </row>
    <row r="62588" spans="7:16" s="1634" customFormat="1">
      <c r="G62588" s="3336"/>
      <c r="P62588" s="3337"/>
    </row>
    <row r="62589" spans="7:16" s="1634" customFormat="1">
      <c r="G62589" s="3336"/>
      <c r="P62589" s="3337"/>
    </row>
    <row r="62590" spans="7:16" s="1634" customFormat="1">
      <c r="G62590" s="3336"/>
      <c r="P62590" s="3337"/>
    </row>
    <row r="62591" spans="7:16" s="1634" customFormat="1">
      <c r="G62591" s="3336"/>
      <c r="P62591" s="3337"/>
    </row>
    <row r="62592" spans="7:16" s="1634" customFormat="1">
      <c r="G62592" s="3336"/>
      <c r="P62592" s="3337"/>
    </row>
    <row r="62593" spans="7:16" s="1634" customFormat="1">
      <c r="G62593" s="3336"/>
      <c r="P62593" s="3337"/>
    </row>
    <row r="62594" spans="7:16" s="1634" customFormat="1">
      <c r="G62594" s="3336"/>
      <c r="P62594" s="3337"/>
    </row>
    <row r="62595" spans="7:16" s="1634" customFormat="1">
      <c r="G62595" s="3336"/>
      <c r="P62595" s="3337"/>
    </row>
    <row r="62596" spans="7:16" s="1634" customFormat="1">
      <c r="G62596" s="3336"/>
      <c r="P62596" s="3337"/>
    </row>
    <row r="62597" spans="7:16" s="1634" customFormat="1">
      <c r="G62597" s="3336"/>
      <c r="P62597" s="3337"/>
    </row>
    <row r="62598" spans="7:16" s="1634" customFormat="1">
      <c r="G62598" s="3336"/>
      <c r="P62598" s="3337"/>
    </row>
    <row r="62599" spans="7:16" s="1634" customFormat="1">
      <c r="G62599" s="3336"/>
      <c r="P62599" s="3337"/>
    </row>
    <row r="62600" spans="7:16" s="1634" customFormat="1">
      <c r="G62600" s="3336"/>
      <c r="P62600" s="3337"/>
    </row>
    <row r="62601" spans="7:16" s="1634" customFormat="1">
      <c r="G62601" s="3336"/>
      <c r="P62601" s="3337"/>
    </row>
    <row r="62602" spans="7:16" s="1634" customFormat="1">
      <c r="G62602" s="3336"/>
      <c r="P62602" s="3337"/>
    </row>
    <row r="62603" spans="7:16" s="1634" customFormat="1">
      <c r="G62603" s="3336"/>
      <c r="P62603" s="3337"/>
    </row>
    <row r="62604" spans="7:16" s="1634" customFormat="1">
      <c r="G62604" s="3336"/>
      <c r="P62604" s="3337"/>
    </row>
    <row r="62605" spans="7:16" s="1634" customFormat="1">
      <c r="G62605" s="3336"/>
      <c r="P62605" s="3337"/>
    </row>
    <row r="62606" spans="7:16" s="1634" customFormat="1">
      <c r="G62606" s="3336"/>
      <c r="P62606" s="3337"/>
    </row>
    <row r="62607" spans="7:16" s="1634" customFormat="1">
      <c r="G62607" s="3336"/>
      <c r="P62607" s="3337"/>
    </row>
    <row r="62608" spans="7:16" s="1634" customFormat="1">
      <c r="G62608" s="3336"/>
      <c r="P62608" s="3337"/>
    </row>
    <row r="62609" spans="7:16" s="1634" customFormat="1">
      <c r="G62609" s="3336"/>
      <c r="P62609" s="3337"/>
    </row>
    <row r="62610" spans="7:16" s="1634" customFormat="1">
      <c r="G62610" s="3336"/>
      <c r="P62610" s="3337"/>
    </row>
    <row r="62611" spans="7:16" s="1634" customFormat="1">
      <c r="G62611" s="3336"/>
      <c r="P62611" s="3337"/>
    </row>
    <row r="62612" spans="7:16" s="1634" customFormat="1">
      <c r="G62612" s="3336"/>
      <c r="P62612" s="3337"/>
    </row>
    <row r="62613" spans="7:16" s="1634" customFormat="1">
      <c r="G62613" s="3336"/>
      <c r="P62613" s="3337"/>
    </row>
    <row r="62614" spans="7:16" s="1634" customFormat="1">
      <c r="G62614" s="3336"/>
      <c r="P62614" s="3337"/>
    </row>
    <row r="62615" spans="7:16" s="1634" customFormat="1">
      <c r="G62615" s="3336"/>
      <c r="P62615" s="3337"/>
    </row>
    <row r="62616" spans="7:16" s="1634" customFormat="1">
      <c r="G62616" s="3336"/>
      <c r="P62616" s="3337"/>
    </row>
    <row r="62617" spans="7:16" s="1634" customFormat="1">
      <c r="G62617" s="3336"/>
      <c r="P62617" s="3337"/>
    </row>
    <row r="62618" spans="7:16" s="1634" customFormat="1">
      <c r="G62618" s="3336"/>
      <c r="P62618" s="3337"/>
    </row>
    <row r="62619" spans="7:16" s="1634" customFormat="1">
      <c r="G62619" s="3336"/>
      <c r="P62619" s="3337"/>
    </row>
    <row r="62620" spans="7:16" s="1634" customFormat="1">
      <c r="G62620" s="3336"/>
      <c r="P62620" s="3337"/>
    </row>
    <row r="62621" spans="7:16" s="1634" customFormat="1">
      <c r="G62621" s="3336"/>
      <c r="P62621" s="3337"/>
    </row>
    <row r="62622" spans="7:16" s="1634" customFormat="1">
      <c r="G62622" s="3336"/>
      <c r="P62622" s="3337"/>
    </row>
    <row r="62623" spans="7:16" s="1634" customFormat="1">
      <c r="G62623" s="3336"/>
      <c r="P62623" s="3337"/>
    </row>
    <row r="62624" spans="7:16" s="1634" customFormat="1">
      <c r="G62624" s="3336"/>
      <c r="P62624" s="3337"/>
    </row>
    <row r="62625" spans="7:16" s="1634" customFormat="1">
      <c r="G62625" s="3336"/>
      <c r="P62625" s="3337"/>
    </row>
    <row r="62626" spans="7:16" s="1634" customFormat="1">
      <c r="G62626" s="3336"/>
      <c r="P62626" s="3337"/>
    </row>
    <row r="62627" spans="7:16" s="1634" customFormat="1">
      <c r="G62627" s="3336"/>
      <c r="P62627" s="3337"/>
    </row>
    <row r="62628" spans="7:16" s="1634" customFormat="1">
      <c r="G62628" s="3336"/>
      <c r="P62628" s="3337"/>
    </row>
    <row r="62629" spans="7:16" s="1634" customFormat="1">
      <c r="G62629" s="3336"/>
      <c r="P62629" s="3337"/>
    </row>
    <row r="62630" spans="7:16" s="1634" customFormat="1">
      <c r="G62630" s="3336"/>
      <c r="P62630" s="3337"/>
    </row>
    <row r="62631" spans="7:16" s="1634" customFormat="1">
      <c r="G62631" s="3336"/>
      <c r="P62631" s="3337"/>
    </row>
    <row r="62632" spans="7:16" s="1634" customFormat="1">
      <c r="G62632" s="3336"/>
      <c r="P62632" s="3337"/>
    </row>
    <row r="62633" spans="7:16" s="1634" customFormat="1">
      <c r="G62633" s="3336"/>
      <c r="P62633" s="3337"/>
    </row>
    <row r="62634" spans="7:16" s="1634" customFormat="1">
      <c r="G62634" s="3336"/>
      <c r="P62634" s="3337"/>
    </row>
    <row r="62635" spans="7:16" s="1634" customFormat="1">
      <c r="G62635" s="3336"/>
      <c r="P62635" s="3337"/>
    </row>
    <row r="62636" spans="7:16" s="1634" customFormat="1">
      <c r="G62636" s="3336"/>
      <c r="P62636" s="3337"/>
    </row>
    <row r="62637" spans="7:16" s="1634" customFormat="1">
      <c r="G62637" s="3336"/>
      <c r="P62637" s="3337"/>
    </row>
    <row r="62638" spans="7:16" s="1634" customFormat="1">
      <c r="G62638" s="3336"/>
      <c r="P62638" s="3337"/>
    </row>
    <row r="62639" spans="7:16" s="1634" customFormat="1">
      <c r="G62639" s="3336"/>
      <c r="P62639" s="3337"/>
    </row>
    <row r="62640" spans="7:16" s="1634" customFormat="1">
      <c r="G62640" s="3336"/>
      <c r="P62640" s="3337"/>
    </row>
    <row r="62641" spans="7:16" s="1634" customFormat="1">
      <c r="G62641" s="3336"/>
      <c r="P62641" s="3337"/>
    </row>
    <row r="62642" spans="7:16" s="1634" customFormat="1">
      <c r="G62642" s="3336"/>
      <c r="P62642" s="3337"/>
    </row>
    <row r="62643" spans="7:16" s="1634" customFormat="1">
      <c r="G62643" s="3336"/>
      <c r="P62643" s="3337"/>
    </row>
    <row r="62644" spans="7:16" s="1634" customFormat="1">
      <c r="G62644" s="3336"/>
      <c r="P62644" s="3337"/>
    </row>
    <row r="62645" spans="7:16" s="1634" customFormat="1">
      <c r="G62645" s="3336"/>
      <c r="P62645" s="3337"/>
    </row>
    <row r="62646" spans="7:16" s="1634" customFormat="1">
      <c r="G62646" s="3336"/>
      <c r="P62646" s="3337"/>
    </row>
    <row r="62647" spans="7:16" s="1634" customFormat="1">
      <c r="G62647" s="3336"/>
      <c r="P62647" s="3337"/>
    </row>
    <row r="62648" spans="7:16" s="1634" customFormat="1">
      <c r="G62648" s="3336"/>
      <c r="P62648" s="3337"/>
    </row>
    <row r="62649" spans="7:16" s="1634" customFormat="1">
      <c r="G62649" s="3336"/>
      <c r="P62649" s="3337"/>
    </row>
    <row r="62650" spans="7:16" s="1634" customFormat="1">
      <c r="G62650" s="3336"/>
      <c r="P62650" s="3337"/>
    </row>
    <row r="62651" spans="7:16" s="1634" customFormat="1">
      <c r="G62651" s="3336"/>
      <c r="P62651" s="3337"/>
    </row>
    <row r="62652" spans="7:16" s="1634" customFormat="1">
      <c r="G62652" s="3336"/>
      <c r="P62652" s="3337"/>
    </row>
    <row r="62653" spans="7:16" s="1634" customFormat="1">
      <c r="G62653" s="3336"/>
      <c r="P62653" s="3337"/>
    </row>
    <row r="62654" spans="7:16" s="1634" customFormat="1">
      <c r="G62654" s="3336"/>
      <c r="P62654" s="3337"/>
    </row>
    <row r="62655" spans="7:16" s="1634" customFormat="1">
      <c r="G62655" s="3336"/>
      <c r="P62655" s="3337"/>
    </row>
    <row r="62656" spans="7:16" s="1634" customFormat="1">
      <c r="G62656" s="3336"/>
      <c r="P62656" s="3337"/>
    </row>
    <row r="62657" spans="7:16" s="1634" customFormat="1">
      <c r="G62657" s="3336"/>
      <c r="P62657" s="3337"/>
    </row>
    <row r="62658" spans="7:16" s="1634" customFormat="1">
      <c r="G62658" s="3336"/>
      <c r="P62658" s="3337"/>
    </row>
    <row r="62659" spans="7:16" s="1634" customFormat="1">
      <c r="G62659" s="3336"/>
      <c r="P62659" s="3337"/>
    </row>
    <row r="62660" spans="7:16" s="1634" customFormat="1">
      <c r="G62660" s="3336"/>
      <c r="P62660" s="3337"/>
    </row>
    <row r="62661" spans="7:16" s="1634" customFormat="1">
      <c r="G62661" s="3336"/>
      <c r="P62661" s="3337"/>
    </row>
    <row r="62662" spans="7:16" s="1634" customFormat="1">
      <c r="G62662" s="3336"/>
      <c r="P62662" s="3337"/>
    </row>
    <row r="62663" spans="7:16" s="1634" customFormat="1">
      <c r="G62663" s="3336"/>
      <c r="P62663" s="3337"/>
    </row>
    <row r="62664" spans="7:16" s="1634" customFormat="1">
      <c r="G62664" s="3336"/>
      <c r="P62664" s="3337"/>
    </row>
    <row r="62665" spans="7:16" s="1634" customFormat="1">
      <c r="G62665" s="3336"/>
      <c r="P62665" s="3337"/>
    </row>
    <row r="62666" spans="7:16" s="1634" customFormat="1">
      <c r="G62666" s="3336"/>
      <c r="P62666" s="3337"/>
    </row>
    <row r="62667" spans="7:16" s="1634" customFormat="1">
      <c r="G62667" s="3336"/>
      <c r="P62667" s="3337"/>
    </row>
    <row r="62668" spans="7:16" s="1634" customFormat="1">
      <c r="G62668" s="3336"/>
      <c r="P62668" s="3337"/>
    </row>
    <row r="62669" spans="7:16" s="1634" customFormat="1">
      <c r="G62669" s="3336"/>
      <c r="P62669" s="3337"/>
    </row>
    <row r="62670" spans="7:16" s="1634" customFormat="1">
      <c r="G62670" s="3336"/>
      <c r="P62670" s="3337"/>
    </row>
    <row r="62671" spans="7:16" s="1634" customFormat="1">
      <c r="G62671" s="3336"/>
      <c r="P62671" s="3337"/>
    </row>
    <row r="62672" spans="7:16" s="1634" customFormat="1">
      <c r="G62672" s="3336"/>
      <c r="P62672" s="3337"/>
    </row>
    <row r="62673" spans="7:16" s="1634" customFormat="1">
      <c r="G62673" s="3336"/>
      <c r="P62673" s="3337"/>
    </row>
    <row r="62674" spans="7:16" s="1634" customFormat="1">
      <c r="G62674" s="3336"/>
      <c r="P62674" s="3337"/>
    </row>
    <row r="62675" spans="7:16" s="1634" customFormat="1">
      <c r="G62675" s="3336"/>
      <c r="P62675" s="3337"/>
    </row>
    <row r="62676" spans="7:16" s="1634" customFormat="1">
      <c r="G62676" s="3336"/>
      <c r="P62676" s="3337"/>
    </row>
    <row r="62677" spans="7:16" s="1634" customFormat="1">
      <c r="G62677" s="3336"/>
      <c r="P62677" s="3337"/>
    </row>
    <row r="62678" spans="7:16" s="1634" customFormat="1">
      <c r="G62678" s="3336"/>
      <c r="P62678" s="3337"/>
    </row>
    <row r="62679" spans="7:16" s="1634" customFormat="1">
      <c r="G62679" s="3336"/>
      <c r="P62679" s="3337"/>
    </row>
    <row r="62680" spans="7:16" s="1634" customFormat="1">
      <c r="G62680" s="3336"/>
      <c r="P62680" s="3337"/>
    </row>
    <row r="62681" spans="7:16" s="1634" customFormat="1">
      <c r="G62681" s="3336"/>
      <c r="P62681" s="3337"/>
    </row>
    <row r="62682" spans="7:16" s="1634" customFormat="1">
      <c r="G62682" s="3336"/>
      <c r="P62682" s="3337"/>
    </row>
    <row r="62683" spans="7:16" s="1634" customFormat="1">
      <c r="G62683" s="3336"/>
      <c r="P62683" s="3337"/>
    </row>
    <row r="62684" spans="7:16" s="1634" customFormat="1">
      <c r="G62684" s="3336"/>
      <c r="P62684" s="3337"/>
    </row>
    <row r="62685" spans="7:16" s="1634" customFormat="1">
      <c r="G62685" s="3336"/>
      <c r="P62685" s="3337"/>
    </row>
    <row r="62686" spans="7:16" s="1634" customFormat="1">
      <c r="G62686" s="3336"/>
      <c r="P62686" s="3337"/>
    </row>
    <row r="62687" spans="7:16" s="1634" customFormat="1">
      <c r="G62687" s="3336"/>
      <c r="P62687" s="3337"/>
    </row>
    <row r="62688" spans="7:16" s="1634" customFormat="1">
      <c r="G62688" s="3336"/>
      <c r="P62688" s="3337"/>
    </row>
    <row r="62689" spans="7:16" s="1634" customFormat="1">
      <c r="G62689" s="3336"/>
      <c r="P62689" s="3337"/>
    </row>
    <row r="62690" spans="7:16" s="1634" customFormat="1">
      <c r="G62690" s="3336"/>
      <c r="P62690" s="3337"/>
    </row>
    <row r="62691" spans="7:16" s="1634" customFormat="1">
      <c r="G62691" s="3336"/>
      <c r="P62691" s="3337"/>
    </row>
    <row r="62692" spans="7:16" s="1634" customFormat="1">
      <c r="G62692" s="3336"/>
      <c r="P62692" s="3337"/>
    </row>
    <row r="62693" spans="7:16" s="1634" customFormat="1">
      <c r="G62693" s="3336"/>
      <c r="P62693" s="3337"/>
    </row>
    <row r="62694" spans="7:16" s="1634" customFormat="1">
      <c r="G62694" s="3336"/>
      <c r="P62694" s="3337"/>
    </row>
    <row r="62695" spans="7:16" s="1634" customFormat="1">
      <c r="G62695" s="3336"/>
      <c r="P62695" s="3337"/>
    </row>
    <row r="62696" spans="7:16" s="1634" customFormat="1">
      <c r="G62696" s="3336"/>
      <c r="P62696" s="3337"/>
    </row>
    <row r="62697" spans="7:16" s="1634" customFormat="1">
      <c r="G62697" s="3336"/>
      <c r="P62697" s="3337"/>
    </row>
    <row r="62698" spans="7:16" s="1634" customFormat="1">
      <c r="G62698" s="3336"/>
      <c r="P62698" s="3337"/>
    </row>
    <row r="62699" spans="7:16" s="1634" customFormat="1">
      <c r="G62699" s="3336"/>
      <c r="P62699" s="3337"/>
    </row>
    <row r="62700" spans="7:16" s="1634" customFormat="1">
      <c r="G62700" s="3336"/>
      <c r="P62700" s="3337"/>
    </row>
    <row r="62701" spans="7:16" s="1634" customFormat="1">
      <c r="G62701" s="3336"/>
      <c r="P62701" s="3337"/>
    </row>
    <row r="62702" spans="7:16" s="1634" customFormat="1">
      <c r="G62702" s="3336"/>
      <c r="P62702" s="3337"/>
    </row>
    <row r="62703" spans="7:16" s="1634" customFormat="1">
      <c r="G62703" s="3336"/>
      <c r="P62703" s="3337"/>
    </row>
    <row r="62704" spans="7:16" s="1634" customFormat="1">
      <c r="G62704" s="3336"/>
      <c r="P62704" s="3337"/>
    </row>
    <row r="62705" spans="7:16" s="1634" customFormat="1">
      <c r="G62705" s="3336"/>
      <c r="P62705" s="3337"/>
    </row>
    <row r="62706" spans="7:16" s="1634" customFormat="1">
      <c r="G62706" s="3336"/>
      <c r="P62706" s="3337"/>
    </row>
    <row r="62707" spans="7:16" s="1634" customFormat="1">
      <c r="G62707" s="3336"/>
      <c r="P62707" s="3337"/>
    </row>
    <row r="62708" spans="7:16" s="1634" customFormat="1">
      <c r="G62708" s="3336"/>
      <c r="P62708" s="3337"/>
    </row>
    <row r="62709" spans="7:16" s="1634" customFormat="1">
      <c r="G62709" s="3336"/>
      <c r="P62709" s="3337"/>
    </row>
    <row r="62710" spans="7:16" s="1634" customFormat="1">
      <c r="G62710" s="3336"/>
      <c r="P62710" s="3337"/>
    </row>
    <row r="62711" spans="7:16" s="1634" customFormat="1">
      <c r="G62711" s="3336"/>
      <c r="P62711" s="3337"/>
    </row>
    <row r="62712" spans="7:16" s="1634" customFormat="1">
      <c r="G62712" s="3336"/>
      <c r="P62712" s="3337"/>
    </row>
    <row r="62713" spans="7:16" s="1634" customFormat="1">
      <c r="G62713" s="3336"/>
      <c r="P62713" s="3337"/>
    </row>
    <row r="62714" spans="7:16" s="1634" customFormat="1">
      <c r="G62714" s="3336"/>
      <c r="P62714" s="3337"/>
    </row>
    <row r="62715" spans="7:16" s="1634" customFormat="1">
      <c r="G62715" s="3336"/>
      <c r="P62715" s="3337"/>
    </row>
    <row r="62716" spans="7:16" s="1634" customFormat="1">
      <c r="G62716" s="3336"/>
      <c r="P62716" s="3337"/>
    </row>
    <row r="62717" spans="7:16" s="1634" customFormat="1">
      <c r="G62717" s="3336"/>
      <c r="P62717" s="3337"/>
    </row>
    <row r="62718" spans="7:16" s="1634" customFormat="1">
      <c r="G62718" s="3336"/>
      <c r="P62718" s="3337"/>
    </row>
    <row r="62719" spans="7:16" s="1634" customFormat="1">
      <c r="G62719" s="3336"/>
      <c r="P62719" s="3337"/>
    </row>
    <row r="62720" spans="7:16" s="1634" customFormat="1">
      <c r="G62720" s="3336"/>
      <c r="P62720" s="3337"/>
    </row>
    <row r="62721" spans="7:16" s="1634" customFormat="1">
      <c r="G62721" s="3336"/>
      <c r="P62721" s="3337"/>
    </row>
    <row r="62722" spans="7:16" s="1634" customFormat="1">
      <c r="G62722" s="3336"/>
      <c r="P62722" s="3337"/>
    </row>
    <row r="62723" spans="7:16" s="1634" customFormat="1">
      <c r="G62723" s="3336"/>
      <c r="P62723" s="3337"/>
    </row>
    <row r="62724" spans="7:16" s="1634" customFormat="1">
      <c r="G62724" s="3336"/>
      <c r="P62724" s="3337"/>
    </row>
    <row r="62725" spans="7:16" s="1634" customFormat="1">
      <c r="G62725" s="3336"/>
      <c r="P62725" s="3337"/>
    </row>
    <row r="62726" spans="7:16" s="1634" customFormat="1">
      <c r="G62726" s="3336"/>
      <c r="P62726" s="3337"/>
    </row>
    <row r="62727" spans="7:16" s="1634" customFormat="1">
      <c r="G62727" s="3336"/>
      <c r="P62727" s="3337"/>
    </row>
    <row r="62728" spans="7:16" s="1634" customFormat="1">
      <c r="G62728" s="3336"/>
      <c r="P62728" s="3337"/>
    </row>
    <row r="62729" spans="7:16" s="1634" customFormat="1">
      <c r="G62729" s="3336"/>
      <c r="P62729" s="3337"/>
    </row>
    <row r="62730" spans="7:16" s="1634" customFormat="1">
      <c r="G62730" s="3336"/>
      <c r="P62730" s="3337"/>
    </row>
    <row r="62731" spans="7:16" s="1634" customFormat="1">
      <c r="G62731" s="3336"/>
      <c r="P62731" s="3337"/>
    </row>
    <row r="62732" spans="7:16" s="1634" customFormat="1">
      <c r="G62732" s="3336"/>
      <c r="P62732" s="3337"/>
    </row>
    <row r="62733" spans="7:16" s="1634" customFormat="1">
      <c r="G62733" s="3336"/>
      <c r="P62733" s="3337"/>
    </row>
    <row r="62734" spans="7:16" s="1634" customFormat="1">
      <c r="G62734" s="3336"/>
      <c r="P62734" s="3337"/>
    </row>
    <row r="62735" spans="7:16" s="1634" customFormat="1">
      <c r="G62735" s="3336"/>
      <c r="P62735" s="3337"/>
    </row>
    <row r="62736" spans="7:16" s="1634" customFormat="1">
      <c r="G62736" s="3336"/>
      <c r="P62736" s="3337"/>
    </row>
    <row r="62737" spans="7:16" s="1634" customFormat="1">
      <c r="G62737" s="3336"/>
      <c r="P62737" s="3337"/>
    </row>
    <row r="62738" spans="7:16" s="1634" customFormat="1">
      <c r="G62738" s="3336"/>
      <c r="P62738" s="3337"/>
    </row>
    <row r="62739" spans="7:16" s="1634" customFormat="1">
      <c r="G62739" s="3336"/>
      <c r="P62739" s="3337"/>
    </row>
    <row r="62740" spans="7:16" s="1634" customFormat="1">
      <c r="G62740" s="3336"/>
      <c r="P62740" s="3337"/>
    </row>
    <row r="62741" spans="7:16" s="1634" customFormat="1">
      <c r="G62741" s="3336"/>
      <c r="P62741" s="3337"/>
    </row>
    <row r="62742" spans="7:16" s="1634" customFormat="1">
      <c r="G62742" s="3336"/>
      <c r="P62742" s="3337"/>
    </row>
    <row r="62743" spans="7:16" s="1634" customFormat="1">
      <c r="G62743" s="3336"/>
      <c r="P62743" s="3337"/>
    </row>
    <row r="62744" spans="7:16" s="1634" customFormat="1">
      <c r="G62744" s="3336"/>
      <c r="P62744" s="3337"/>
    </row>
    <row r="62745" spans="7:16" s="1634" customFormat="1">
      <c r="G62745" s="3336"/>
      <c r="P62745" s="3337"/>
    </row>
    <row r="62746" spans="7:16" s="1634" customFormat="1">
      <c r="G62746" s="3336"/>
      <c r="P62746" s="3337"/>
    </row>
    <row r="62747" spans="7:16" s="1634" customFormat="1">
      <c r="G62747" s="3336"/>
      <c r="P62747" s="3337"/>
    </row>
    <row r="62748" spans="7:16" s="1634" customFormat="1">
      <c r="G62748" s="3336"/>
      <c r="P62748" s="3337"/>
    </row>
    <row r="62749" spans="7:16" s="1634" customFormat="1">
      <c r="G62749" s="3336"/>
      <c r="P62749" s="3337"/>
    </row>
    <row r="62750" spans="7:16" s="1634" customFormat="1">
      <c r="G62750" s="3336"/>
      <c r="P62750" s="3337"/>
    </row>
    <row r="62751" spans="7:16" s="1634" customFormat="1">
      <c r="G62751" s="3336"/>
      <c r="P62751" s="3337"/>
    </row>
    <row r="62752" spans="7:16" s="1634" customFormat="1">
      <c r="G62752" s="3336"/>
      <c r="P62752" s="3337"/>
    </row>
    <row r="62753" spans="7:16" s="1634" customFormat="1">
      <c r="G62753" s="3336"/>
      <c r="P62753" s="3337"/>
    </row>
    <row r="62754" spans="7:16" s="1634" customFormat="1">
      <c r="G62754" s="3336"/>
      <c r="P62754" s="3337"/>
    </row>
    <row r="62755" spans="7:16" s="1634" customFormat="1">
      <c r="G62755" s="3336"/>
      <c r="P62755" s="3337"/>
    </row>
    <row r="62756" spans="7:16" s="1634" customFormat="1">
      <c r="G62756" s="3336"/>
      <c r="P62756" s="3337"/>
    </row>
    <row r="62757" spans="7:16" s="1634" customFormat="1">
      <c r="G62757" s="3336"/>
      <c r="P62757" s="3337"/>
    </row>
    <row r="62758" spans="7:16" s="1634" customFormat="1">
      <c r="G62758" s="3336"/>
      <c r="P62758" s="3337"/>
    </row>
    <row r="62759" spans="7:16" s="1634" customFormat="1">
      <c r="G62759" s="3336"/>
      <c r="P62759" s="3337"/>
    </row>
    <row r="62760" spans="7:16" s="1634" customFormat="1">
      <c r="G62760" s="3336"/>
      <c r="P62760" s="3337"/>
    </row>
    <row r="62761" spans="7:16" s="1634" customFormat="1">
      <c r="G62761" s="3336"/>
      <c r="P62761" s="3337"/>
    </row>
    <row r="62762" spans="7:16" s="1634" customFormat="1">
      <c r="G62762" s="3336"/>
      <c r="P62762" s="3337"/>
    </row>
    <row r="62763" spans="7:16" s="1634" customFormat="1">
      <c r="G62763" s="3336"/>
      <c r="P62763" s="3337"/>
    </row>
    <row r="62764" spans="7:16" s="1634" customFormat="1">
      <c r="G62764" s="3336"/>
      <c r="P62764" s="3337"/>
    </row>
    <row r="62765" spans="7:16" s="1634" customFormat="1">
      <c r="G62765" s="3336"/>
      <c r="P62765" s="3337"/>
    </row>
    <row r="62766" spans="7:16" s="1634" customFormat="1">
      <c r="G62766" s="3336"/>
      <c r="P62766" s="3337"/>
    </row>
    <row r="62767" spans="7:16" s="1634" customFormat="1">
      <c r="G62767" s="3336"/>
      <c r="P62767" s="3337"/>
    </row>
    <row r="62768" spans="7:16" s="1634" customFormat="1">
      <c r="G62768" s="3336"/>
      <c r="P62768" s="3337"/>
    </row>
    <row r="62769" spans="7:16" s="1634" customFormat="1">
      <c r="G62769" s="3336"/>
      <c r="P62769" s="3337"/>
    </row>
    <row r="62770" spans="7:16" s="1634" customFormat="1">
      <c r="G62770" s="3336"/>
      <c r="P62770" s="3337"/>
    </row>
    <row r="62771" spans="7:16" s="1634" customFormat="1">
      <c r="G62771" s="3336"/>
      <c r="P62771" s="3337"/>
    </row>
    <row r="62772" spans="7:16" s="1634" customFormat="1">
      <c r="G62772" s="3336"/>
      <c r="P62772" s="3337"/>
    </row>
    <row r="62773" spans="7:16" s="1634" customFormat="1">
      <c r="G62773" s="3336"/>
      <c r="P62773" s="3337"/>
    </row>
    <row r="62774" spans="7:16" s="1634" customFormat="1">
      <c r="G62774" s="3336"/>
      <c r="P62774" s="3337"/>
    </row>
    <row r="62775" spans="7:16" s="1634" customFormat="1">
      <c r="G62775" s="3336"/>
      <c r="P62775" s="3337"/>
    </row>
    <row r="62776" spans="7:16" s="1634" customFormat="1">
      <c r="G62776" s="3336"/>
      <c r="P62776" s="3337"/>
    </row>
    <row r="62777" spans="7:16" s="1634" customFormat="1">
      <c r="G62777" s="3336"/>
      <c r="P62777" s="3337"/>
    </row>
    <row r="62778" spans="7:16" s="1634" customFormat="1">
      <c r="G62778" s="3336"/>
      <c r="P62778" s="3337"/>
    </row>
    <row r="62779" spans="7:16" s="1634" customFormat="1">
      <c r="G62779" s="3336"/>
      <c r="P62779" s="3337"/>
    </row>
    <row r="62780" spans="7:16" s="1634" customFormat="1">
      <c r="G62780" s="3336"/>
      <c r="P62780" s="3337"/>
    </row>
    <row r="62781" spans="7:16" s="1634" customFormat="1">
      <c r="G62781" s="3336"/>
      <c r="P62781" s="3337"/>
    </row>
    <row r="62782" spans="7:16" s="1634" customFormat="1">
      <c r="G62782" s="3336"/>
      <c r="P62782" s="3337"/>
    </row>
    <row r="62783" spans="7:16" s="1634" customFormat="1">
      <c r="G62783" s="3336"/>
      <c r="P62783" s="3337"/>
    </row>
    <row r="62784" spans="7:16" s="1634" customFormat="1">
      <c r="G62784" s="3336"/>
      <c r="P62784" s="3337"/>
    </row>
    <row r="62785" spans="7:16" s="1634" customFormat="1">
      <c r="G62785" s="3336"/>
      <c r="P62785" s="3337"/>
    </row>
    <row r="62786" spans="7:16" s="1634" customFormat="1">
      <c r="G62786" s="3336"/>
      <c r="P62786" s="3337"/>
    </row>
    <row r="62787" spans="7:16" s="1634" customFormat="1">
      <c r="G62787" s="3336"/>
      <c r="P62787" s="3337"/>
    </row>
    <row r="62788" spans="7:16" s="1634" customFormat="1">
      <c r="G62788" s="3336"/>
      <c r="P62788" s="3337"/>
    </row>
    <row r="62789" spans="7:16" s="1634" customFormat="1">
      <c r="G62789" s="3336"/>
      <c r="P62789" s="3337"/>
    </row>
    <row r="62790" spans="7:16" s="1634" customFormat="1">
      <c r="G62790" s="3336"/>
      <c r="P62790" s="3337"/>
    </row>
    <row r="62791" spans="7:16" s="1634" customFormat="1">
      <c r="G62791" s="3336"/>
      <c r="P62791" s="3337"/>
    </row>
    <row r="62792" spans="7:16" s="1634" customFormat="1">
      <c r="G62792" s="3336"/>
      <c r="P62792" s="3337"/>
    </row>
    <row r="62793" spans="7:16" s="1634" customFormat="1">
      <c r="G62793" s="3336"/>
      <c r="P62793" s="3337"/>
    </row>
    <row r="62794" spans="7:16" s="1634" customFormat="1">
      <c r="G62794" s="3336"/>
      <c r="P62794" s="3337"/>
    </row>
    <row r="62795" spans="7:16" s="1634" customFormat="1">
      <c r="G62795" s="3336"/>
      <c r="P62795" s="3337"/>
    </row>
    <row r="62796" spans="7:16" s="1634" customFormat="1">
      <c r="G62796" s="3336"/>
      <c r="P62796" s="3337"/>
    </row>
    <row r="62797" spans="7:16" s="1634" customFormat="1">
      <c r="G62797" s="3336"/>
      <c r="P62797" s="3337"/>
    </row>
    <row r="62798" spans="7:16" s="1634" customFormat="1">
      <c r="G62798" s="3336"/>
      <c r="P62798" s="3337"/>
    </row>
    <row r="62799" spans="7:16" s="1634" customFormat="1">
      <c r="G62799" s="3336"/>
      <c r="P62799" s="3337"/>
    </row>
    <row r="62800" spans="7:16" s="1634" customFormat="1">
      <c r="G62800" s="3336"/>
      <c r="P62800" s="3337"/>
    </row>
    <row r="62801" spans="7:16" s="1634" customFormat="1">
      <c r="G62801" s="3336"/>
      <c r="P62801" s="3337"/>
    </row>
    <row r="62802" spans="7:16" s="1634" customFormat="1">
      <c r="G62802" s="3336"/>
      <c r="P62802" s="3337"/>
    </row>
    <row r="62803" spans="7:16" s="1634" customFormat="1">
      <c r="G62803" s="3336"/>
      <c r="P62803" s="3337"/>
    </row>
    <row r="62804" spans="7:16" s="1634" customFormat="1">
      <c r="G62804" s="3336"/>
      <c r="P62804" s="3337"/>
    </row>
    <row r="62805" spans="7:16" s="1634" customFormat="1">
      <c r="G62805" s="3336"/>
      <c r="P62805" s="3337"/>
    </row>
    <row r="62806" spans="7:16" s="1634" customFormat="1">
      <c r="G62806" s="3336"/>
      <c r="P62806" s="3337"/>
    </row>
    <row r="62807" spans="7:16" s="1634" customFormat="1">
      <c r="G62807" s="3336"/>
      <c r="P62807" s="3337"/>
    </row>
    <row r="62808" spans="7:16" s="1634" customFormat="1">
      <c r="G62808" s="3336"/>
      <c r="P62808" s="3337"/>
    </row>
    <row r="62809" spans="7:16" s="1634" customFormat="1">
      <c r="G62809" s="3336"/>
      <c r="P62809" s="3337"/>
    </row>
    <row r="62810" spans="7:16" s="1634" customFormat="1">
      <c r="G62810" s="3336"/>
      <c r="P62810" s="3337"/>
    </row>
    <row r="62811" spans="7:16" s="1634" customFormat="1">
      <c r="G62811" s="3336"/>
      <c r="P62811" s="3337"/>
    </row>
    <row r="62812" spans="7:16" s="1634" customFormat="1">
      <c r="G62812" s="3336"/>
      <c r="P62812" s="3337"/>
    </row>
    <row r="62813" spans="7:16" s="1634" customFormat="1">
      <c r="G62813" s="3336"/>
      <c r="P62813" s="3337"/>
    </row>
    <row r="62814" spans="7:16" s="1634" customFormat="1">
      <c r="G62814" s="3336"/>
      <c r="P62814" s="3337"/>
    </row>
    <row r="62815" spans="7:16" s="1634" customFormat="1">
      <c r="G62815" s="3336"/>
      <c r="P62815" s="3337"/>
    </row>
    <row r="62816" spans="7:16" s="1634" customFormat="1">
      <c r="G62816" s="3336"/>
      <c r="P62816" s="3337"/>
    </row>
    <row r="62817" spans="7:16" s="1634" customFormat="1">
      <c r="G62817" s="3336"/>
      <c r="P62817" s="3337"/>
    </row>
    <row r="62818" spans="7:16" s="1634" customFormat="1">
      <c r="G62818" s="3336"/>
      <c r="P62818" s="3337"/>
    </row>
    <row r="62819" spans="7:16" s="1634" customFormat="1">
      <c r="G62819" s="3336"/>
      <c r="P62819" s="3337"/>
    </row>
    <row r="62820" spans="7:16" s="1634" customFormat="1">
      <c r="G62820" s="3336"/>
      <c r="P62820" s="3337"/>
    </row>
    <row r="62821" spans="7:16" s="1634" customFormat="1">
      <c r="G62821" s="3336"/>
      <c r="P62821" s="3337"/>
    </row>
    <row r="62822" spans="7:16" s="1634" customFormat="1">
      <c r="G62822" s="3336"/>
      <c r="P62822" s="3337"/>
    </row>
    <row r="62823" spans="7:16" s="1634" customFormat="1">
      <c r="G62823" s="3336"/>
      <c r="P62823" s="3337"/>
    </row>
    <row r="62824" spans="7:16" s="1634" customFormat="1">
      <c r="G62824" s="3336"/>
      <c r="P62824" s="3337"/>
    </row>
    <row r="62825" spans="7:16" s="1634" customFormat="1">
      <c r="G62825" s="3336"/>
      <c r="P62825" s="3337"/>
    </row>
    <row r="62826" spans="7:16" s="1634" customFormat="1">
      <c r="G62826" s="3336"/>
      <c r="P62826" s="3337"/>
    </row>
    <row r="62827" spans="7:16" s="1634" customFormat="1">
      <c r="G62827" s="3336"/>
      <c r="P62827" s="3337"/>
    </row>
    <row r="62828" spans="7:16" s="1634" customFormat="1">
      <c r="G62828" s="3336"/>
      <c r="P62828" s="3337"/>
    </row>
    <row r="62829" spans="7:16" s="1634" customFormat="1">
      <c r="G62829" s="3336"/>
      <c r="P62829" s="3337"/>
    </row>
    <row r="62830" spans="7:16" s="1634" customFormat="1">
      <c r="G62830" s="3336"/>
      <c r="P62830" s="3337"/>
    </row>
    <row r="62831" spans="7:16" s="1634" customFormat="1">
      <c r="G62831" s="3336"/>
      <c r="P62831" s="3337"/>
    </row>
    <row r="62832" spans="7:16" s="1634" customFormat="1">
      <c r="G62832" s="3336"/>
      <c r="P62832" s="3337"/>
    </row>
    <row r="62833" spans="7:16" s="1634" customFormat="1">
      <c r="G62833" s="3336"/>
      <c r="P62833" s="3337"/>
    </row>
    <row r="62834" spans="7:16" s="1634" customFormat="1">
      <c r="G62834" s="3336"/>
      <c r="P62834" s="3337"/>
    </row>
    <row r="62835" spans="7:16" s="1634" customFormat="1">
      <c r="G62835" s="3336"/>
      <c r="P62835" s="3337"/>
    </row>
    <row r="62836" spans="7:16" s="1634" customFormat="1">
      <c r="G62836" s="3336"/>
      <c r="P62836" s="3337"/>
    </row>
    <row r="62837" spans="7:16" s="1634" customFormat="1">
      <c r="G62837" s="3336"/>
      <c r="P62837" s="3337"/>
    </row>
    <row r="62838" spans="7:16" s="1634" customFormat="1">
      <c r="G62838" s="3336"/>
      <c r="P62838" s="3337"/>
    </row>
    <row r="62839" spans="7:16" s="1634" customFormat="1">
      <c r="G62839" s="3336"/>
      <c r="P62839" s="3337"/>
    </row>
    <row r="62840" spans="7:16" s="1634" customFormat="1">
      <c r="G62840" s="3336"/>
      <c r="P62840" s="3337"/>
    </row>
    <row r="62841" spans="7:16" s="1634" customFormat="1">
      <c r="G62841" s="3336"/>
      <c r="P62841" s="3337"/>
    </row>
    <row r="62842" spans="7:16" s="1634" customFormat="1">
      <c r="G62842" s="3336"/>
      <c r="P62842" s="3337"/>
    </row>
    <row r="62843" spans="7:16" s="1634" customFormat="1">
      <c r="G62843" s="3336"/>
      <c r="P62843" s="3337"/>
    </row>
    <row r="62844" spans="7:16" s="1634" customFormat="1">
      <c r="G62844" s="3336"/>
      <c r="P62844" s="3337"/>
    </row>
    <row r="62845" spans="7:16" s="1634" customFormat="1">
      <c r="G62845" s="3336"/>
      <c r="P62845" s="3337"/>
    </row>
    <row r="62846" spans="7:16" s="1634" customFormat="1">
      <c r="G62846" s="3336"/>
      <c r="P62846" s="3337"/>
    </row>
    <row r="62847" spans="7:16" s="1634" customFormat="1">
      <c r="G62847" s="3336"/>
      <c r="P62847" s="3337"/>
    </row>
    <row r="62848" spans="7:16" s="1634" customFormat="1">
      <c r="G62848" s="3336"/>
      <c r="P62848" s="3337"/>
    </row>
    <row r="62849" spans="7:16" s="1634" customFormat="1">
      <c r="G62849" s="3336"/>
      <c r="P62849" s="3337"/>
    </row>
    <row r="62850" spans="7:16" s="1634" customFormat="1">
      <c r="G62850" s="3336"/>
      <c r="P62850" s="3337"/>
    </row>
    <row r="62851" spans="7:16" s="1634" customFormat="1">
      <c r="G62851" s="3336"/>
      <c r="P62851" s="3337"/>
    </row>
    <row r="62852" spans="7:16" s="1634" customFormat="1">
      <c r="G62852" s="3336"/>
      <c r="P62852" s="3337"/>
    </row>
    <row r="62853" spans="7:16" s="1634" customFormat="1">
      <c r="G62853" s="3336"/>
      <c r="P62853" s="3337"/>
    </row>
    <row r="62854" spans="7:16" s="1634" customFormat="1">
      <c r="G62854" s="3336"/>
      <c r="P62854" s="3337"/>
    </row>
    <row r="62855" spans="7:16" s="1634" customFormat="1">
      <c r="G62855" s="3336"/>
      <c r="P62855" s="3337"/>
    </row>
    <row r="62856" spans="7:16" s="1634" customFormat="1">
      <c r="G62856" s="3336"/>
      <c r="P62856" s="3337"/>
    </row>
    <row r="62857" spans="7:16" s="1634" customFormat="1">
      <c r="G62857" s="3336"/>
      <c r="P62857" s="3337"/>
    </row>
    <row r="62858" spans="7:16" s="1634" customFormat="1">
      <c r="G62858" s="3336"/>
      <c r="P62858" s="3337"/>
    </row>
    <row r="62859" spans="7:16" s="1634" customFormat="1">
      <c r="G62859" s="3336"/>
      <c r="P62859" s="3337"/>
    </row>
    <row r="62860" spans="7:16" s="1634" customFormat="1">
      <c r="G62860" s="3336"/>
      <c r="P62860" s="3337"/>
    </row>
    <row r="62861" spans="7:16" s="1634" customFormat="1">
      <c r="G62861" s="3336"/>
      <c r="P62861" s="3337"/>
    </row>
    <row r="62862" spans="7:16" s="1634" customFormat="1">
      <c r="G62862" s="3336"/>
      <c r="P62862" s="3337"/>
    </row>
    <row r="62863" spans="7:16" s="1634" customFormat="1">
      <c r="G62863" s="3336"/>
      <c r="P62863" s="3337"/>
    </row>
    <row r="62864" spans="7:16" s="1634" customFormat="1">
      <c r="G62864" s="3336"/>
      <c r="P62864" s="3337"/>
    </row>
    <row r="62865" spans="7:16" s="1634" customFormat="1">
      <c r="G62865" s="3336"/>
      <c r="P62865" s="3337"/>
    </row>
    <row r="62866" spans="7:16" s="1634" customFormat="1">
      <c r="G62866" s="3336"/>
      <c r="P62866" s="3337"/>
    </row>
    <row r="62867" spans="7:16" s="1634" customFormat="1">
      <c r="G62867" s="3336"/>
      <c r="P62867" s="3337"/>
    </row>
    <row r="62868" spans="7:16" s="1634" customFormat="1">
      <c r="G62868" s="3336"/>
      <c r="P62868" s="3337"/>
    </row>
    <row r="62869" spans="7:16" s="1634" customFormat="1">
      <c r="G62869" s="3336"/>
      <c r="P62869" s="3337"/>
    </row>
    <row r="62870" spans="7:16" s="1634" customFormat="1">
      <c r="G62870" s="3336"/>
      <c r="P62870" s="3337"/>
    </row>
    <row r="62871" spans="7:16" s="1634" customFormat="1">
      <c r="G62871" s="3336"/>
      <c r="P62871" s="3337"/>
    </row>
    <row r="62872" spans="7:16" s="1634" customFormat="1">
      <c r="G62872" s="3336"/>
      <c r="P62872" s="3337"/>
    </row>
    <row r="62873" spans="7:16" s="1634" customFormat="1">
      <c r="G62873" s="3336"/>
      <c r="P62873" s="3337"/>
    </row>
    <row r="62874" spans="7:16" s="1634" customFormat="1">
      <c r="G62874" s="3336"/>
      <c r="P62874" s="3337"/>
    </row>
    <row r="62875" spans="7:16" s="1634" customFormat="1">
      <c r="G62875" s="3336"/>
      <c r="P62875" s="3337"/>
    </row>
    <row r="62876" spans="7:16" s="1634" customFormat="1">
      <c r="G62876" s="3336"/>
      <c r="P62876" s="3337"/>
    </row>
    <row r="62877" spans="7:16" s="1634" customFormat="1">
      <c r="G62877" s="3336"/>
      <c r="P62877" s="3337"/>
    </row>
    <row r="62878" spans="7:16" s="1634" customFormat="1">
      <c r="G62878" s="3336"/>
      <c r="P62878" s="3337"/>
    </row>
    <row r="62879" spans="7:16" s="1634" customFormat="1">
      <c r="G62879" s="3336"/>
      <c r="P62879" s="3337"/>
    </row>
    <row r="62880" spans="7:16" s="1634" customFormat="1">
      <c r="G62880" s="3336"/>
      <c r="P62880" s="3337"/>
    </row>
    <row r="62881" spans="7:16" s="1634" customFormat="1">
      <c r="G62881" s="3336"/>
      <c r="P62881" s="3337"/>
    </row>
    <row r="62882" spans="7:16" s="1634" customFormat="1">
      <c r="G62882" s="3336"/>
      <c r="P62882" s="3337"/>
    </row>
    <row r="62883" spans="7:16" s="1634" customFormat="1">
      <c r="G62883" s="3336"/>
      <c r="P62883" s="3337"/>
    </row>
    <row r="62884" spans="7:16" s="1634" customFormat="1">
      <c r="G62884" s="3336"/>
      <c r="P62884" s="3337"/>
    </row>
    <row r="62885" spans="7:16" s="1634" customFormat="1">
      <c r="G62885" s="3336"/>
      <c r="P62885" s="3337"/>
    </row>
    <row r="62886" spans="7:16" s="1634" customFormat="1">
      <c r="G62886" s="3336"/>
      <c r="P62886" s="3337"/>
    </row>
    <row r="62887" spans="7:16" s="1634" customFormat="1">
      <c r="G62887" s="3336"/>
      <c r="P62887" s="3337"/>
    </row>
    <row r="62888" spans="7:16" s="1634" customFormat="1">
      <c r="G62888" s="3336"/>
      <c r="P62888" s="3337"/>
    </row>
    <row r="62889" spans="7:16" s="1634" customFormat="1">
      <c r="G62889" s="3336"/>
      <c r="P62889" s="3337"/>
    </row>
    <row r="62890" spans="7:16" s="1634" customFormat="1">
      <c r="G62890" s="3336"/>
      <c r="P62890" s="3337"/>
    </row>
    <row r="62891" spans="7:16" s="1634" customFormat="1">
      <c r="G62891" s="3336"/>
      <c r="P62891" s="3337"/>
    </row>
    <row r="62892" spans="7:16" s="1634" customFormat="1">
      <c r="G62892" s="3336"/>
      <c r="P62892" s="3337"/>
    </row>
    <row r="62893" spans="7:16" s="1634" customFormat="1">
      <c r="G62893" s="3336"/>
      <c r="P62893" s="3337"/>
    </row>
    <row r="62894" spans="7:16" s="1634" customFormat="1">
      <c r="G62894" s="3336"/>
      <c r="P62894" s="3337"/>
    </row>
    <row r="62895" spans="7:16" s="1634" customFormat="1">
      <c r="G62895" s="3336"/>
      <c r="P62895" s="3337"/>
    </row>
    <row r="62896" spans="7:16" s="1634" customFormat="1">
      <c r="G62896" s="3336"/>
      <c r="P62896" s="3337"/>
    </row>
    <row r="62897" spans="7:16" s="1634" customFormat="1">
      <c r="G62897" s="3336"/>
      <c r="P62897" s="3337"/>
    </row>
    <row r="62898" spans="7:16" s="1634" customFormat="1">
      <c r="G62898" s="3336"/>
      <c r="P62898" s="3337"/>
    </row>
    <row r="62899" spans="7:16" s="1634" customFormat="1">
      <c r="G62899" s="3336"/>
      <c r="P62899" s="3337"/>
    </row>
    <row r="62900" spans="7:16" s="1634" customFormat="1">
      <c r="G62900" s="3336"/>
      <c r="P62900" s="3337"/>
    </row>
    <row r="62901" spans="7:16" s="1634" customFormat="1">
      <c r="G62901" s="3336"/>
      <c r="P62901" s="3337"/>
    </row>
    <row r="62902" spans="7:16" s="1634" customFormat="1">
      <c r="G62902" s="3336"/>
      <c r="P62902" s="3337"/>
    </row>
    <row r="62903" spans="7:16" s="1634" customFormat="1">
      <c r="G62903" s="3336"/>
      <c r="P62903" s="3337"/>
    </row>
    <row r="62904" spans="7:16" s="1634" customFormat="1">
      <c r="G62904" s="3336"/>
      <c r="P62904" s="3337"/>
    </row>
    <row r="62905" spans="7:16" s="1634" customFormat="1">
      <c r="G62905" s="3336"/>
      <c r="P62905" s="3337"/>
    </row>
    <row r="62906" spans="7:16" s="1634" customFormat="1">
      <c r="G62906" s="3336"/>
      <c r="P62906" s="3337"/>
    </row>
    <row r="62907" spans="7:16" s="1634" customFormat="1">
      <c r="G62907" s="3336"/>
      <c r="P62907" s="3337"/>
    </row>
    <row r="62908" spans="7:16" s="1634" customFormat="1">
      <c r="G62908" s="3336"/>
      <c r="P62908" s="3337"/>
    </row>
    <row r="62909" spans="7:16" s="1634" customFormat="1">
      <c r="G62909" s="3336"/>
      <c r="P62909" s="3337"/>
    </row>
    <row r="62910" spans="7:16" s="1634" customFormat="1">
      <c r="G62910" s="3336"/>
      <c r="P62910" s="3337"/>
    </row>
    <row r="62911" spans="7:16" s="1634" customFormat="1">
      <c r="G62911" s="3336"/>
      <c r="P62911" s="3337"/>
    </row>
    <row r="62912" spans="7:16" s="1634" customFormat="1">
      <c r="G62912" s="3336"/>
      <c r="P62912" s="3337"/>
    </row>
    <row r="62913" spans="7:16" s="1634" customFormat="1">
      <c r="G62913" s="3336"/>
      <c r="P62913" s="3337"/>
    </row>
    <row r="62914" spans="7:16" s="1634" customFormat="1">
      <c r="G62914" s="3336"/>
      <c r="P62914" s="3337"/>
    </row>
    <row r="62915" spans="7:16" s="1634" customFormat="1">
      <c r="G62915" s="3336"/>
      <c r="P62915" s="3337"/>
    </row>
    <row r="62916" spans="7:16" s="1634" customFormat="1">
      <c r="G62916" s="3336"/>
      <c r="P62916" s="3337"/>
    </row>
    <row r="62917" spans="7:16" s="1634" customFormat="1">
      <c r="G62917" s="3336"/>
      <c r="P62917" s="3337"/>
    </row>
    <row r="62918" spans="7:16" s="1634" customFormat="1">
      <c r="G62918" s="3336"/>
      <c r="P62918" s="3337"/>
    </row>
    <row r="62919" spans="7:16" s="1634" customFormat="1">
      <c r="G62919" s="3336"/>
      <c r="P62919" s="3337"/>
    </row>
    <row r="62920" spans="7:16" s="1634" customFormat="1">
      <c r="G62920" s="3336"/>
      <c r="P62920" s="3337"/>
    </row>
    <row r="62921" spans="7:16" s="1634" customFormat="1">
      <c r="G62921" s="3336"/>
      <c r="P62921" s="3337"/>
    </row>
    <row r="62922" spans="7:16" s="1634" customFormat="1">
      <c r="G62922" s="3336"/>
      <c r="P62922" s="3337"/>
    </row>
    <row r="62923" spans="7:16" s="1634" customFormat="1">
      <c r="G62923" s="3336"/>
      <c r="P62923" s="3337"/>
    </row>
    <row r="62924" spans="7:16" s="1634" customFormat="1">
      <c r="G62924" s="3336"/>
      <c r="P62924" s="3337"/>
    </row>
    <row r="62925" spans="7:16" s="1634" customFormat="1">
      <c r="G62925" s="3336"/>
      <c r="P62925" s="3337"/>
    </row>
    <row r="62926" spans="7:16" s="1634" customFormat="1">
      <c r="G62926" s="3336"/>
      <c r="P62926" s="3337"/>
    </row>
    <row r="62927" spans="7:16" s="1634" customFormat="1">
      <c r="G62927" s="3336"/>
      <c r="P62927" s="3337"/>
    </row>
    <row r="62928" spans="7:16" s="1634" customFormat="1">
      <c r="G62928" s="3336"/>
      <c r="P62928" s="3337"/>
    </row>
    <row r="62929" spans="7:16" s="1634" customFormat="1">
      <c r="G62929" s="3336"/>
      <c r="P62929" s="3337"/>
    </row>
    <row r="62930" spans="7:16" s="1634" customFormat="1">
      <c r="G62930" s="3336"/>
      <c r="P62930" s="3337"/>
    </row>
    <row r="62931" spans="7:16" s="1634" customFormat="1">
      <c r="G62931" s="3336"/>
      <c r="P62931" s="3337"/>
    </row>
    <row r="62932" spans="7:16" s="1634" customFormat="1">
      <c r="G62932" s="3336"/>
      <c r="P62932" s="3337"/>
    </row>
    <row r="62933" spans="7:16" s="1634" customFormat="1">
      <c r="G62933" s="3336"/>
      <c r="P62933" s="3337"/>
    </row>
    <row r="62934" spans="7:16" s="1634" customFormat="1">
      <c r="G62934" s="3336"/>
      <c r="P62934" s="3337"/>
    </row>
    <row r="62935" spans="7:16" s="1634" customFormat="1">
      <c r="G62935" s="3336"/>
      <c r="P62935" s="3337"/>
    </row>
    <row r="62936" spans="7:16" s="1634" customFormat="1">
      <c r="G62936" s="3336"/>
      <c r="P62936" s="3337"/>
    </row>
    <row r="62937" spans="7:16" s="1634" customFormat="1">
      <c r="G62937" s="3336"/>
      <c r="P62937" s="3337"/>
    </row>
    <row r="62938" spans="7:16" s="1634" customFormat="1">
      <c r="G62938" s="3336"/>
      <c r="P62938" s="3337"/>
    </row>
    <row r="62939" spans="7:16" s="1634" customFormat="1">
      <c r="G62939" s="3336"/>
      <c r="P62939" s="3337"/>
    </row>
    <row r="62940" spans="7:16" s="1634" customFormat="1">
      <c r="G62940" s="3336"/>
      <c r="P62940" s="3337"/>
    </row>
    <row r="62941" spans="7:16" s="1634" customFormat="1">
      <c r="G62941" s="3336"/>
      <c r="P62941" s="3337"/>
    </row>
    <row r="62942" spans="7:16" s="1634" customFormat="1">
      <c r="G62942" s="3336"/>
      <c r="P62942" s="3337"/>
    </row>
    <row r="62943" spans="7:16" s="1634" customFormat="1">
      <c r="G62943" s="3336"/>
      <c r="P62943" s="3337"/>
    </row>
    <row r="62944" spans="7:16" s="1634" customFormat="1">
      <c r="G62944" s="3336"/>
      <c r="P62944" s="3337"/>
    </row>
    <row r="62945" spans="7:16" s="1634" customFormat="1">
      <c r="G62945" s="3336"/>
      <c r="P62945" s="3337"/>
    </row>
    <row r="62946" spans="7:16" s="1634" customFormat="1">
      <c r="G62946" s="3336"/>
      <c r="P62946" s="3337"/>
    </row>
    <row r="62947" spans="7:16" s="1634" customFormat="1">
      <c r="G62947" s="3336"/>
      <c r="P62947" s="3337"/>
    </row>
    <row r="62948" spans="7:16" s="1634" customFormat="1">
      <c r="G62948" s="3336"/>
      <c r="P62948" s="3337"/>
    </row>
    <row r="62949" spans="7:16" s="1634" customFormat="1">
      <c r="G62949" s="3336"/>
      <c r="P62949" s="3337"/>
    </row>
    <row r="62950" spans="7:16" s="1634" customFormat="1">
      <c r="G62950" s="3336"/>
      <c r="P62950" s="3337"/>
    </row>
    <row r="62951" spans="7:16" s="1634" customFormat="1">
      <c r="G62951" s="3336"/>
      <c r="P62951" s="3337"/>
    </row>
    <row r="62952" spans="7:16" s="1634" customFormat="1">
      <c r="G62952" s="3336"/>
      <c r="P62952" s="3337"/>
    </row>
    <row r="62953" spans="7:16" s="1634" customFormat="1">
      <c r="G62953" s="3336"/>
      <c r="P62953" s="3337"/>
    </row>
    <row r="62954" spans="7:16" s="1634" customFormat="1">
      <c r="G62954" s="3336"/>
      <c r="P62954" s="3337"/>
    </row>
    <row r="62955" spans="7:16" s="1634" customFormat="1">
      <c r="G62955" s="3336"/>
      <c r="P62955" s="3337"/>
    </row>
    <row r="62956" spans="7:16" s="1634" customFormat="1">
      <c r="G62956" s="3336"/>
      <c r="P62956" s="3337"/>
    </row>
    <row r="62957" spans="7:16" s="1634" customFormat="1">
      <c r="G62957" s="3336"/>
      <c r="P62957" s="3337"/>
    </row>
    <row r="62958" spans="7:16" s="1634" customFormat="1">
      <c r="G62958" s="3336"/>
      <c r="P62958" s="3337"/>
    </row>
    <row r="62959" spans="7:16" s="1634" customFormat="1">
      <c r="G62959" s="3336"/>
      <c r="P62959" s="3337"/>
    </row>
    <row r="62960" spans="7:16" s="1634" customFormat="1">
      <c r="G62960" s="3336"/>
      <c r="P62960" s="3337"/>
    </row>
    <row r="62961" spans="7:16" s="1634" customFormat="1">
      <c r="G62961" s="3336"/>
      <c r="P62961" s="3337"/>
    </row>
    <row r="62962" spans="7:16" s="1634" customFormat="1">
      <c r="G62962" s="3336"/>
      <c r="P62962" s="3337"/>
    </row>
    <row r="62963" spans="7:16" s="1634" customFormat="1">
      <c r="G62963" s="3336"/>
      <c r="P62963" s="3337"/>
    </row>
    <row r="62964" spans="7:16" s="1634" customFormat="1">
      <c r="G62964" s="3336"/>
      <c r="P62964" s="3337"/>
    </row>
    <row r="62965" spans="7:16" s="1634" customFormat="1">
      <c r="G62965" s="3336"/>
      <c r="P62965" s="3337"/>
    </row>
    <row r="62966" spans="7:16" s="1634" customFormat="1">
      <c r="G62966" s="3336"/>
      <c r="P62966" s="3337"/>
    </row>
    <row r="62967" spans="7:16" s="1634" customFormat="1">
      <c r="G62967" s="3336"/>
      <c r="P62967" s="3337"/>
    </row>
    <row r="62968" spans="7:16" s="1634" customFormat="1">
      <c r="G62968" s="3336"/>
      <c r="P62968" s="3337"/>
    </row>
    <row r="62969" spans="7:16" s="1634" customFormat="1">
      <c r="G62969" s="3336"/>
      <c r="P62969" s="3337"/>
    </row>
    <row r="62970" spans="7:16" s="1634" customFormat="1">
      <c r="G62970" s="3336"/>
      <c r="P62970" s="3337"/>
    </row>
    <row r="62971" spans="7:16" s="1634" customFormat="1">
      <c r="G62971" s="3336"/>
      <c r="P62971" s="3337"/>
    </row>
    <row r="62972" spans="7:16" s="1634" customFormat="1">
      <c r="G62972" s="3336"/>
      <c r="P62972" s="3337"/>
    </row>
    <row r="62973" spans="7:16" s="1634" customFormat="1">
      <c r="G62973" s="3336"/>
      <c r="P62973" s="3337"/>
    </row>
    <row r="62974" spans="7:16" s="1634" customFormat="1">
      <c r="G62974" s="3336"/>
      <c r="P62974" s="3337"/>
    </row>
    <row r="62975" spans="7:16" s="1634" customFormat="1">
      <c r="G62975" s="3336"/>
      <c r="P62975" s="3337"/>
    </row>
    <row r="62976" spans="7:16" s="1634" customFormat="1">
      <c r="G62976" s="3336"/>
      <c r="P62976" s="3337"/>
    </row>
    <row r="62977" spans="7:16" s="1634" customFormat="1">
      <c r="G62977" s="3336"/>
      <c r="P62977" s="3337"/>
    </row>
    <row r="62978" spans="7:16" s="1634" customFormat="1">
      <c r="G62978" s="3336"/>
      <c r="P62978" s="3337"/>
    </row>
    <row r="62979" spans="7:16" s="1634" customFormat="1">
      <c r="G62979" s="3336"/>
      <c r="P62979" s="3337"/>
    </row>
    <row r="62980" spans="7:16" s="1634" customFormat="1">
      <c r="G62980" s="3336"/>
      <c r="P62980" s="3337"/>
    </row>
    <row r="62981" spans="7:16" s="1634" customFormat="1">
      <c r="G62981" s="3336"/>
      <c r="P62981" s="3337"/>
    </row>
    <row r="62982" spans="7:16" s="1634" customFormat="1">
      <c r="G62982" s="3336"/>
      <c r="P62982" s="3337"/>
    </row>
    <row r="62983" spans="7:16" s="1634" customFormat="1">
      <c r="G62983" s="3336"/>
      <c r="P62983" s="3337"/>
    </row>
    <row r="62984" spans="7:16" s="1634" customFormat="1">
      <c r="G62984" s="3336"/>
      <c r="P62984" s="3337"/>
    </row>
    <row r="62985" spans="7:16" s="1634" customFormat="1">
      <c r="G62985" s="3336"/>
      <c r="P62985" s="3337"/>
    </row>
    <row r="62986" spans="7:16" s="1634" customFormat="1">
      <c r="G62986" s="3336"/>
      <c r="P62986" s="3337"/>
    </row>
    <row r="62987" spans="7:16" s="1634" customFormat="1">
      <c r="G62987" s="3336"/>
      <c r="P62987" s="3337"/>
    </row>
    <row r="62988" spans="7:16" s="1634" customFormat="1">
      <c r="G62988" s="3336"/>
      <c r="P62988" s="3337"/>
    </row>
    <row r="62989" spans="7:16" s="1634" customFormat="1">
      <c r="G62989" s="3336"/>
      <c r="P62989" s="3337"/>
    </row>
    <row r="62990" spans="7:16" s="1634" customFormat="1">
      <c r="G62990" s="3336"/>
      <c r="P62990" s="3337"/>
    </row>
    <row r="62991" spans="7:16" s="1634" customFormat="1">
      <c r="G62991" s="3336"/>
      <c r="P62991" s="3337"/>
    </row>
    <row r="62992" spans="7:16" s="1634" customFormat="1">
      <c r="G62992" s="3336"/>
      <c r="P62992" s="3337"/>
    </row>
    <row r="62993" spans="7:16" s="1634" customFormat="1">
      <c r="G62993" s="3336"/>
      <c r="P62993" s="3337"/>
    </row>
    <row r="62994" spans="7:16" s="1634" customFormat="1">
      <c r="G62994" s="3336"/>
      <c r="P62994" s="3337"/>
    </row>
    <row r="62995" spans="7:16" s="1634" customFormat="1">
      <c r="G62995" s="3336"/>
      <c r="P62995" s="3337"/>
    </row>
    <row r="62996" spans="7:16" s="1634" customFormat="1">
      <c r="G62996" s="3336"/>
      <c r="P62996" s="3337"/>
    </row>
    <row r="62997" spans="7:16" s="1634" customFormat="1">
      <c r="G62997" s="3336"/>
      <c r="P62997" s="3337"/>
    </row>
    <row r="62998" spans="7:16" s="1634" customFormat="1">
      <c r="G62998" s="3336"/>
      <c r="P62998" s="3337"/>
    </row>
    <row r="62999" spans="7:16" s="1634" customFormat="1">
      <c r="G62999" s="3336"/>
      <c r="P62999" s="3337"/>
    </row>
    <row r="63000" spans="7:16" s="1634" customFormat="1">
      <c r="G63000" s="3336"/>
      <c r="P63000" s="3337"/>
    </row>
    <row r="63001" spans="7:16" s="1634" customFormat="1">
      <c r="G63001" s="3336"/>
      <c r="P63001" s="3337"/>
    </row>
    <row r="63002" spans="7:16" s="1634" customFormat="1">
      <c r="G63002" s="3336"/>
      <c r="P63002" s="3337"/>
    </row>
    <row r="63003" spans="7:16" s="1634" customFormat="1">
      <c r="G63003" s="3336"/>
      <c r="P63003" s="3337"/>
    </row>
    <row r="63004" spans="7:16" s="1634" customFormat="1">
      <c r="G63004" s="3336"/>
      <c r="P63004" s="3337"/>
    </row>
    <row r="63005" spans="7:16" s="1634" customFormat="1">
      <c r="G63005" s="3336"/>
      <c r="P63005" s="3337"/>
    </row>
    <row r="63006" spans="7:16" s="1634" customFormat="1">
      <c r="G63006" s="3336"/>
      <c r="P63006" s="3337"/>
    </row>
    <row r="63007" spans="7:16" s="1634" customFormat="1">
      <c r="G63007" s="3336"/>
      <c r="P63007" s="3337"/>
    </row>
    <row r="63008" spans="7:16" s="1634" customFormat="1">
      <c r="G63008" s="3336"/>
      <c r="P63008" s="3337"/>
    </row>
    <row r="63009" spans="7:16" s="1634" customFormat="1">
      <c r="G63009" s="3336"/>
      <c r="P63009" s="3337"/>
    </row>
    <row r="63010" spans="7:16" s="1634" customFormat="1">
      <c r="G63010" s="3336"/>
      <c r="P63010" s="3337"/>
    </row>
    <row r="63011" spans="7:16" s="1634" customFormat="1">
      <c r="G63011" s="3336"/>
      <c r="P63011" s="3337"/>
    </row>
    <row r="63012" spans="7:16" s="1634" customFormat="1">
      <c r="G63012" s="3336"/>
      <c r="P63012" s="3337"/>
    </row>
    <row r="63013" spans="7:16" s="1634" customFormat="1">
      <c r="G63013" s="3336"/>
      <c r="P63013" s="3337"/>
    </row>
    <row r="63014" spans="7:16" s="1634" customFormat="1">
      <c r="G63014" s="3336"/>
      <c r="P63014" s="3337"/>
    </row>
    <row r="63015" spans="7:16" s="1634" customFormat="1">
      <c r="G63015" s="3336"/>
      <c r="P63015" s="3337"/>
    </row>
    <row r="63016" spans="7:16" s="1634" customFormat="1">
      <c r="G63016" s="3336"/>
      <c r="P63016" s="3337"/>
    </row>
    <row r="63017" spans="7:16" s="1634" customFormat="1">
      <c r="G63017" s="3336"/>
      <c r="P63017" s="3337"/>
    </row>
    <row r="63018" spans="7:16" s="1634" customFormat="1">
      <c r="G63018" s="3336"/>
      <c r="P63018" s="3337"/>
    </row>
    <row r="63019" spans="7:16" s="1634" customFormat="1">
      <c r="G63019" s="3336"/>
      <c r="P63019" s="3337"/>
    </row>
    <row r="63020" spans="7:16" s="1634" customFormat="1">
      <c r="G63020" s="3336"/>
      <c r="P63020" s="3337"/>
    </row>
    <row r="63021" spans="7:16" s="1634" customFormat="1">
      <c r="G63021" s="3336"/>
      <c r="P63021" s="3337"/>
    </row>
    <row r="63022" spans="7:16" s="1634" customFormat="1">
      <c r="G63022" s="3336"/>
      <c r="P63022" s="3337"/>
    </row>
    <row r="63023" spans="7:16" s="1634" customFormat="1">
      <c r="G63023" s="3336"/>
      <c r="P63023" s="3337"/>
    </row>
    <row r="63024" spans="7:16" s="1634" customFormat="1">
      <c r="G63024" s="3336"/>
      <c r="P63024" s="3337"/>
    </row>
    <row r="63025" spans="7:16" s="1634" customFormat="1">
      <c r="G63025" s="3336"/>
      <c r="P63025" s="3337"/>
    </row>
    <row r="63026" spans="7:16" s="1634" customFormat="1">
      <c r="G63026" s="3336"/>
      <c r="P63026" s="3337"/>
    </row>
    <row r="63027" spans="7:16" s="1634" customFormat="1">
      <c r="G63027" s="3336"/>
      <c r="P63027" s="3337"/>
    </row>
    <row r="63028" spans="7:16" s="1634" customFormat="1">
      <c r="G63028" s="3336"/>
      <c r="P63028" s="3337"/>
    </row>
    <row r="63029" spans="7:16" s="1634" customFormat="1">
      <c r="G63029" s="3336"/>
      <c r="P63029" s="3337"/>
    </row>
    <row r="63030" spans="7:16" s="1634" customFormat="1">
      <c r="G63030" s="3336"/>
      <c r="P63030" s="3337"/>
    </row>
    <row r="63031" spans="7:16" s="1634" customFormat="1">
      <c r="G63031" s="3336"/>
      <c r="P63031" s="3337"/>
    </row>
    <row r="63032" spans="7:16" s="1634" customFormat="1">
      <c r="G63032" s="3336"/>
      <c r="P63032" s="3337"/>
    </row>
    <row r="63033" spans="7:16" s="1634" customFormat="1">
      <c r="G63033" s="3336"/>
      <c r="P63033" s="3337"/>
    </row>
    <row r="63034" spans="7:16" s="1634" customFormat="1">
      <c r="G63034" s="3336"/>
      <c r="P63034" s="3337"/>
    </row>
    <row r="63035" spans="7:16" s="1634" customFormat="1">
      <c r="G63035" s="3336"/>
      <c r="P63035" s="3337"/>
    </row>
    <row r="63036" spans="7:16" s="1634" customFormat="1">
      <c r="G63036" s="3336"/>
      <c r="P63036" s="3337"/>
    </row>
    <row r="63037" spans="7:16" s="1634" customFormat="1">
      <c r="G63037" s="3336"/>
      <c r="P63037" s="3337"/>
    </row>
    <row r="63038" spans="7:16" s="1634" customFormat="1">
      <c r="G63038" s="3336"/>
      <c r="P63038" s="3337"/>
    </row>
    <row r="63039" spans="7:16" s="1634" customFormat="1">
      <c r="G63039" s="3336"/>
      <c r="P63039" s="3337"/>
    </row>
    <row r="63040" spans="7:16" s="1634" customFormat="1">
      <c r="G63040" s="3336"/>
      <c r="P63040" s="3337"/>
    </row>
    <row r="63041" spans="7:16" s="1634" customFormat="1">
      <c r="G63041" s="3336"/>
      <c r="P63041" s="3337"/>
    </row>
    <row r="63042" spans="7:16" s="1634" customFormat="1">
      <c r="G63042" s="3336"/>
      <c r="P63042" s="3337"/>
    </row>
    <row r="63043" spans="7:16" s="1634" customFormat="1">
      <c r="G63043" s="3336"/>
      <c r="P63043" s="3337"/>
    </row>
    <row r="63044" spans="7:16" s="1634" customFormat="1">
      <c r="G63044" s="3336"/>
      <c r="P63044" s="3337"/>
    </row>
    <row r="63045" spans="7:16" s="1634" customFormat="1">
      <c r="G63045" s="3336"/>
      <c r="P63045" s="3337"/>
    </row>
    <row r="63046" spans="7:16" s="1634" customFormat="1">
      <c r="G63046" s="3336"/>
      <c r="P63046" s="3337"/>
    </row>
    <row r="63047" spans="7:16" s="1634" customFormat="1">
      <c r="G63047" s="3336"/>
      <c r="P63047" s="3337"/>
    </row>
    <row r="63048" spans="7:16" s="1634" customFormat="1">
      <c r="G63048" s="3336"/>
      <c r="P63048" s="3337"/>
    </row>
    <row r="63049" spans="7:16" s="1634" customFormat="1">
      <c r="G63049" s="3336"/>
      <c r="P63049" s="3337"/>
    </row>
    <row r="63050" spans="7:16" s="1634" customFormat="1">
      <c r="G63050" s="3336"/>
      <c r="P63050" s="3337"/>
    </row>
    <row r="63051" spans="7:16" s="1634" customFormat="1">
      <c r="G63051" s="3336"/>
      <c r="P63051" s="3337"/>
    </row>
    <row r="63052" spans="7:16" s="1634" customFormat="1">
      <c r="G63052" s="3336"/>
      <c r="P63052" s="3337"/>
    </row>
    <row r="63053" spans="7:16" s="1634" customFormat="1">
      <c r="G63053" s="3336"/>
      <c r="P63053" s="3337"/>
    </row>
    <row r="63054" spans="7:16" s="1634" customFormat="1">
      <c r="G63054" s="3336"/>
      <c r="P63054" s="3337"/>
    </row>
    <row r="63055" spans="7:16" s="1634" customFormat="1">
      <c r="G63055" s="3336"/>
      <c r="P63055" s="3337"/>
    </row>
    <row r="63056" spans="7:16" s="1634" customFormat="1">
      <c r="G63056" s="3336"/>
      <c r="P63056" s="3337"/>
    </row>
    <row r="63057" spans="7:16" s="1634" customFormat="1">
      <c r="G63057" s="3336"/>
      <c r="P63057" s="3337"/>
    </row>
    <row r="63058" spans="7:16" s="1634" customFormat="1">
      <c r="G63058" s="3336"/>
      <c r="P63058" s="3337"/>
    </row>
    <row r="63059" spans="7:16" s="1634" customFormat="1">
      <c r="G63059" s="3336"/>
      <c r="P63059" s="3337"/>
    </row>
    <row r="63060" spans="7:16" s="1634" customFormat="1">
      <c r="G63060" s="3336"/>
      <c r="P63060" s="3337"/>
    </row>
    <row r="63061" spans="7:16" s="1634" customFormat="1">
      <c r="G63061" s="3336"/>
      <c r="P63061" s="3337"/>
    </row>
    <row r="63062" spans="7:16" s="1634" customFormat="1">
      <c r="G63062" s="3336"/>
      <c r="P63062" s="3337"/>
    </row>
    <row r="63063" spans="7:16" s="1634" customFormat="1">
      <c r="G63063" s="3336"/>
      <c r="P63063" s="3337"/>
    </row>
    <row r="63064" spans="7:16" s="1634" customFormat="1">
      <c r="G63064" s="3336"/>
      <c r="P63064" s="3337"/>
    </row>
    <row r="63065" spans="7:16" s="1634" customFormat="1">
      <c r="G63065" s="3336"/>
      <c r="P63065" s="3337"/>
    </row>
    <row r="63066" spans="7:16" s="1634" customFormat="1">
      <c r="G63066" s="3336"/>
      <c r="P63066" s="3337"/>
    </row>
    <row r="63067" spans="7:16" s="1634" customFormat="1">
      <c r="G63067" s="3336"/>
      <c r="P63067" s="3337"/>
    </row>
    <row r="63068" spans="7:16" s="1634" customFormat="1">
      <c r="G63068" s="3336"/>
      <c r="P63068" s="3337"/>
    </row>
    <row r="63069" spans="7:16" s="1634" customFormat="1">
      <c r="G63069" s="3336"/>
      <c r="P63069" s="3337"/>
    </row>
    <row r="63070" spans="7:16" s="1634" customFormat="1">
      <c r="G63070" s="3336"/>
      <c r="P63070" s="3337"/>
    </row>
    <row r="63071" spans="7:16" s="1634" customFormat="1">
      <c r="G63071" s="3336"/>
      <c r="P63071" s="3337"/>
    </row>
    <row r="63072" spans="7:16" s="1634" customFormat="1">
      <c r="G63072" s="3336"/>
      <c r="P63072" s="3337"/>
    </row>
    <row r="63073" spans="7:16" s="1634" customFormat="1">
      <c r="G63073" s="3336"/>
      <c r="P63073" s="3337"/>
    </row>
    <row r="63074" spans="7:16" s="1634" customFormat="1">
      <c r="G63074" s="3336"/>
      <c r="P63074" s="3337"/>
    </row>
    <row r="63075" spans="7:16" s="1634" customFormat="1">
      <c r="G63075" s="3336"/>
      <c r="P63075" s="3337"/>
    </row>
    <row r="63076" spans="7:16" s="1634" customFormat="1">
      <c r="G63076" s="3336"/>
      <c r="P63076" s="3337"/>
    </row>
    <row r="63077" spans="7:16" s="1634" customFormat="1">
      <c r="G63077" s="3336"/>
      <c r="P63077" s="3337"/>
    </row>
    <row r="63078" spans="7:16" s="1634" customFormat="1">
      <c r="G63078" s="3336"/>
      <c r="P63078" s="3337"/>
    </row>
    <row r="63079" spans="7:16" s="1634" customFormat="1">
      <c r="G63079" s="3336"/>
      <c r="P63079" s="3337"/>
    </row>
    <row r="63080" spans="7:16" s="1634" customFormat="1">
      <c r="G63080" s="3336"/>
      <c r="P63080" s="3337"/>
    </row>
    <row r="63081" spans="7:16" s="1634" customFormat="1">
      <c r="G63081" s="3336"/>
      <c r="P63081" s="3337"/>
    </row>
    <row r="63082" spans="7:16" s="1634" customFormat="1">
      <c r="G63082" s="3336"/>
      <c r="P63082" s="3337"/>
    </row>
    <row r="63083" spans="7:16" s="1634" customFormat="1">
      <c r="G63083" s="3336"/>
      <c r="P63083" s="3337"/>
    </row>
    <row r="63084" spans="7:16" s="1634" customFormat="1">
      <c r="G63084" s="3336"/>
      <c r="P63084" s="3337"/>
    </row>
    <row r="63085" spans="7:16" s="1634" customFormat="1">
      <c r="G63085" s="3336"/>
      <c r="P63085" s="3337"/>
    </row>
    <row r="63086" spans="7:16" s="1634" customFormat="1">
      <c r="G63086" s="3336"/>
      <c r="P63086" s="3337"/>
    </row>
    <row r="63087" spans="7:16" s="1634" customFormat="1">
      <c r="G63087" s="3336"/>
      <c r="P63087" s="3337"/>
    </row>
    <row r="63088" spans="7:16" s="1634" customFormat="1">
      <c r="G63088" s="3336"/>
      <c r="P63088" s="3337"/>
    </row>
    <row r="63089" spans="7:16" s="1634" customFormat="1">
      <c r="G63089" s="3336"/>
      <c r="P63089" s="3337"/>
    </row>
    <row r="63090" spans="7:16" s="1634" customFormat="1">
      <c r="G63090" s="3336"/>
      <c r="P63090" s="3337"/>
    </row>
    <row r="63091" spans="7:16" s="1634" customFormat="1">
      <c r="G63091" s="3336"/>
      <c r="P63091" s="3337"/>
    </row>
    <row r="63092" spans="7:16" s="1634" customFormat="1">
      <c r="G63092" s="3336"/>
      <c r="P63092" s="3337"/>
    </row>
    <row r="63093" spans="7:16" s="1634" customFormat="1">
      <c r="G63093" s="3336"/>
      <c r="P63093" s="3337"/>
    </row>
    <row r="63094" spans="7:16" s="1634" customFormat="1">
      <c r="G63094" s="3336"/>
      <c r="P63094" s="3337"/>
    </row>
    <row r="63095" spans="7:16" s="1634" customFormat="1">
      <c r="G63095" s="3336"/>
      <c r="P63095" s="3337"/>
    </row>
    <row r="63096" spans="7:16" s="1634" customFormat="1">
      <c r="G63096" s="3336"/>
      <c r="P63096" s="3337"/>
    </row>
    <row r="63097" spans="7:16" s="1634" customFormat="1">
      <c r="G63097" s="3336"/>
      <c r="P63097" s="3337"/>
    </row>
    <row r="63098" spans="7:16" s="1634" customFormat="1">
      <c r="G63098" s="3336"/>
      <c r="P63098" s="3337"/>
    </row>
    <row r="63099" spans="7:16" s="1634" customFormat="1">
      <c r="G63099" s="3336"/>
      <c r="P63099" s="3337"/>
    </row>
    <row r="63100" spans="7:16" s="1634" customFormat="1">
      <c r="G63100" s="3336"/>
      <c r="P63100" s="3337"/>
    </row>
    <row r="63101" spans="7:16" s="1634" customFormat="1">
      <c r="G63101" s="3336"/>
      <c r="P63101" s="3337"/>
    </row>
    <row r="63102" spans="7:16" s="1634" customFormat="1">
      <c r="G63102" s="3336"/>
      <c r="P63102" s="3337"/>
    </row>
    <row r="63103" spans="7:16" s="1634" customFormat="1">
      <c r="G63103" s="3336"/>
      <c r="P63103" s="3337"/>
    </row>
    <row r="63104" spans="7:16" s="1634" customFormat="1">
      <c r="G63104" s="3336"/>
      <c r="P63104" s="3337"/>
    </row>
    <row r="63105" spans="7:16" s="1634" customFormat="1">
      <c r="G63105" s="3336"/>
      <c r="P63105" s="3337"/>
    </row>
    <row r="63106" spans="7:16" s="1634" customFormat="1">
      <c r="G63106" s="3336"/>
      <c r="P63106" s="3337"/>
    </row>
    <row r="63107" spans="7:16" s="1634" customFormat="1">
      <c r="G63107" s="3336"/>
      <c r="P63107" s="3337"/>
    </row>
    <row r="63108" spans="7:16" s="1634" customFormat="1">
      <c r="G63108" s="3336"/>
      <c r="P63108" s="3337"/>
    </row>
    <row r="63109" spans="7:16" s="1634" customFormat="1">
      <c r="G63109" s="3336"/>
      <c r="P63109" s="3337"/>
    </row>
    <row r="63110" spans="7:16" s="1634" customFormat="1">
      <c r="G63110" s="3336"/>
      <c r="P63110" s="3337"/>
    </row>
    <row r="63111" spans="7:16" s="1634" customFormat="1">
      <c r="G63111" s="3336"/>
      <c r="P63111" s="3337"/>
    </row>
    <row r="63112" spans="7:16" s="1634" customFormat="1">
      <c r="G63112" s="3336"/>
      <c r="P63112" s="3337"/>
    </row>
    <row r="63113" spans="7:16" s="1634" customFormat="1">
      <c r="G63113" s="3336"/>
      <c r="P63113" s="3337"/>
    </row>
    <row r="63114" spans="7:16" s="1634" customFormat="1">
      <c r="G63114" s="3336"/>
      <c r="P63114" s="3337"/>
    </row>
    <row r="63115" spans="7:16" s="1634" customFormat="1">
      <c r="G63115" s="3336"/>
      <c r="P63115" s="3337"/>
    </row>
    <row r="63116" spans="7:16" s="1634" customFormat="1">
      <c r="G63116" s="3336"/>
      <c r="P63116" s="3337"/>
    </row>
    <row r="63117" spans="7:16" s="1634" customFormat="1">
      <c r="G63117" s="3336"/>
      <c r="P63117" s="3337"/>
    </row>
    <row r="63118" spans="7:16" s="1634" customFormat="1">
      <c r="G63118" s="3336"/>
      <c r="P63118" s="3337"/>
    </row>
    <row r="63119" spans="7:16" s="1634" customFormat="1">
      <c r="G63119" s="3336"/>
      <c r="P63119" s="3337"/>
    </row>
    <row r="63120" spans="7:16" s="1634" customFormat="1">
      <c r="G63120" s="3336"/>
      <c r="P63120" s="3337"/>
    </row>
    <row r="63121" spans="7:16" s="1634" customFormat="1">
      <c r="G63121" s="3336"/>
      <c r="P63121" s="3337"/>
    </row>
    <row r="63122" spans="7:16" s="1634" customFormat="1">
      <c r="G63122" s="3336"/>
      <c r="P63122" s="3337"/>
    </row>
    <row r="63123" spans="7:16" s="1634" customFormat="1">
      <c r="G63123" s="3336"/>
      <c r="P63123" s="3337"/>
    </row>
    <row r="63124" spans="7:16" s="1634" customFormat="1">
      <c r="G63124" s="3336"/>
      <c r="P63124" s="3337"/>
    </row>
    <row r="63125" spans="7:16" s="1634" customFormat="1">
      <c r="G63125" s="3336"/>
      <c r="P63125" s="3337"/>
    </row>
    <row r="63126" spans="7:16" s="1634" customFormat="1">
      <c r="G63126" s="3336"/>
      <c r="P63126" s="3337"/>
    </row>
    <row r="63127" spans="7:16" s="1634" customFormat="1">
      <c r="G63127" s="3336"/>
      <c r="P63127" s="3337"/>
    </row>
    <row r="63128" spans="7:16" s="1634" customFormat="1">
      <c r="G63128" s="3336"/>
      <c r="P63128" s="3337"/>
    </row>
    <row r="63129" spans="7:16" s="1634" customFormat="1">
      <c r="G63129" s="3336"/>
      <c r="P63129" s="3337"/>
    </row>
    <row r="63130" spans="7:16" s="1634" customFormat="1">
      <c r="G63130" s="3336"/>
      <c r="P63130" s="3337"/>
    </row>
    <row r="63131" spans="7:16" s="1634" customFormat="1">
      <c r="G63131" s="3336"/>
      <c r="P63131" s="3337"/>
    </row>
    <row r="63132" spans="7:16" s="1634" customFormat="1">
      <c r="G63132" s="3336"/>
      <c r="P63132" s="3337"/>
    </row>
    <row r="63133" spans="7:16" s="1634" customFormat="1">
      <c r="G63133" s="3336"/>
      <c r="P63133" s="3337"/>
    </row>
    <row r="63134" spans="7:16" s="1634" customFormat="1">
      <c r="G63134" s="3336"/>
      <c r="P63134" s="3337"/>
    </row>
    <row r="63135" spans="7:16" s="1634" customFormat="1">
      <c r="G63135" s="3336"/>
      <c r="P63135" s="3337"/>
    </row>
    <row r="63136" spans="7:16" s="1634" customFormat="1">
      <c r="G63136" s="3336"/>
      <c r="P63136" s="3337"/>
    </row>
    <row r="63137" spans="7:16" s="1634" customFormat="1">
      <c r="G63137" s="3336"/>
      <c r="P63137" s="3337"/>
    </row>
    <row r="63138" spans="7:16" s="1634" customFormat="1">
      <c r="G63138" s="3336"/>
      <c r="P63138" s="3337"/>
    </row>
    <row r="63139" spans="7:16" s="1634" customFormat="1">
      <c r="G63139" s="3336"/>
      <c r="P63139" s="3337"/>
    </row>
    <row r="63140" spans="7:16" s="1634" customFormat="1">
      <c r="G63140" s="3336"/>
      <c r="P63140" s="3337"/>
    </row>
    <row r="63141" spans="7:16" s="1634" customFormat="1">
      <c r="G63141" s="3336"/>
      <c r="P63141" s="3337"/>
    </row>
    <row r="63142" spans="7:16" s="1634" customFormat="1">
      <c r="G63142" s="3336"/>
      <c r="P63142" s="3337"/>
    </row>
    <row r="63143" spans="7:16" s="1634" customFormat="1">
      <c r="G63143" s="3336"/>
      <c r="P63143" s="3337"/>
    </row>
    <row r="63144" spans="7:16" s="1634" customFormat="1">
      <c r="G63144" s="3336"/>
      <c r="P63144" s="3337"/>
    </row>
    <row r="63145" spans="7:16" s="1634" customFormat="1">
      <c r="G63145" s="3336"/>
      <c r="P63145" s="3337"/>
    </row>
    <row r="63146" spans="7:16" s="1634" customFormat="1">
      <c r="G63146" s="3336"/>
      <c r="P63146" s="3337"/>
    </row>
    <row r="63147" spans="7:16" s="1634" customFormat="1">
      <c r="G63147" s="3336"/>
      <c r="P63147" s="3337"/>
    </row>
    <row r="63148" spans="7:16" s="1634" customFormat="1">
      <c r="G63148" s="3336"/>
      <c r="P63148" s="3337"/>
    </row>
    <row r="63149" spans="7:16" s="1634" customFormat="1">
      <c r="G63149" s="3336"/>
      <c r="P63149" s="3337"/>
    </row>
    <row r="63150" spans="7:16" s="1634" customFormat="1">
      <c r="G63150" s="3336"/>
      <c r="P63150" s="3337"/>
    </row>
    <row r="63151" spans="7:16" s="1634" customFormat="1">
      <c r="G63151" s="3336"/>
      <c r="P63151" s="3337"/>
    </row>
    <row r="63152" spans="7:16" s="1634" customFormat="1">
      <c r="G63152" s="3336"/>
      <c r="P63152" s="3337"/>
    </row>
    <row r="63153" spans="7:16" s="1634" customFormat="1">
      <c r="G63153" s="3336"/>
      <c r="P63153" s="3337"/>
    </row>
    <row r="63154" spans="7:16" s="1634" customFormat="1">
      <c r="G63154" s="3336"/>
      <c r="P63154" s="3337"/>
    </row>
    <row r="63155" spans="7:16" s="1634" customFormat="1">
      <c r="G63155" s="3336"/>
      <c r="P63155" s="3337"/>
    </row>
    <row r="63156" spans="7:16" s="1634" customFormat="1">
      <c r="G63156" s="3336"/>
      <c r="P63156" s="3337"/>
    </row>
    <row r="63157" spans="7:16" s="1634" customFormat="1">
      <c r="G63157" s="3336"/>
      <c r="P63157" s="3337"/>
    </row>
    <row r="63158" spans="7:16" s="1634" customFormat="1">
      <c r="G63158" s="3336"/>
      <c r="P63158" s="3337"/>
    </row>
    <row r="63159" spans="7:16" s="1634" customFormat="1">
      <c r="G63159" s="3336"/>
      <c r="P63159" s="3337"/>
    </row>
    <row r="63160" spans="7:16" s="1634" customFormat="1">
      <c r="G63160" s="3336"/>
      <c r="P63160" s="3337"/>
    </row>
    <row r="63161" spans="7:16" s="1634" customFormat="1">
      <c r="G63161" s="3336"/>
      <c r="P63161" s="3337"/>
    </row>
    <row r="63162" spans="7:16" s="1634" customFormat="1">
      <c r="G63162" s="3336"/>
      <c r="P63162" s="3337"/>
    </row>
    <row r="63163" spans="7:16" s="1634" customFormat="1">
      <c r="G63163" s="3336"/>
      <c r="P63163" s="3337"/>
    </row>
    <row r="63164" spans="7:16" s="1634" customFormat="1">
      <c r="G63164" s="3336"/>
      <c r="P63164" s="3337"/>
    </row>
    <row r="63165" spans="7:16" s="1634" customFormat="1">
      <c r="G63165" s="3336"/>
      <c r="P63165" s="3337"/>
    </row>
    <row r="63166" spans="7:16" s="1634" customFormat="1">
      <c r="G63166" s="3336"/>
      <c r="P63166" s="3337"/>
    </row>
    <row r="63167" spans="7:16" s="1634" customFormat="1">
      <c r="G63167" s="3336"/>
      <c r="P63167" s="3337"/>
    </row>
    <row r="63168" spans="7:16" s="1634" customFormat="1">
      <c r="G63168" s="3336"/>
      <c r="P63168" s="3337"/>
    </row>
    <row r="63169" spans="7:16" s="1634" customFormat="1">
      <c r="G63169" s="3336"/>
      <c r="P63169" s="3337"/>
    </row>
    <row r="63170" spans="7:16" s="1634" customFormat="1">
      <c r="G63170" s="3336"/>
      <c r="P63170" s="3337"/>
    </row>
    <row r="63171" spans="7:16" s="1634" customFormat="1">
      <c r="G63171" s="3336"/>
      <c r="P63171" s="3337"/>
    </row>
    <row r="63172" spans="7:16" s="1634" customFormat="1">
      <c r="G63172" s="3336"/>
      <c r="P63172" s="3337"/>
    </row>
    <row r="63173" spans="7:16" s="1634" customFormat="1">
      <c r="G63173" s="3336"/>
      <c r="P63173" s="3337"/>
    </row>
    <row r="63174" spans="7:16" s="1634" customFormat="1">
      <c r="G63174" s="3336"/>
      <c r="P63174" s="3337"/>
    </row>
    <row r="63175" spans="7:16" s="1634" customFormat="1">
      <c r="G63175" s="3336"/>
      <c r="P63175" s="3337"/>
    </row>
    <row r="63176" spans="7:16" s="1634" customFormat="1">
      <c r="G63176" s="3336"/>
      <c r="P63176" s="3337"/>
    </row>
    <row r="63177" spans="7:16" s="1634" customFormat="1">
      <c r="G63177" s="3336"/>
      <c r="P63177" s="3337"/>
    </row>
    <row r="63178" spans="7:16" s="1634" customFormat="1">
      <c r="G63178" s="3336"/>
      <c r="P63178" s="3337"/>
    </row>
    <row r="63179" spans="7:16" s="1634" customFormat="1">
      <c r="G63179" s="3336"/>
      <c r="P63179" s="3337"/>
    </row>
    <row r="63180" spans="7:16" s="1634" customFormat="1">
      <c r="G63180" s="3336"/>
      <c r="P63180" s="3337"/>
    </row>
    <row r="63181" spans="7:16" s="1634" customFormat="1">
      <c r="G63181" s="3336"/>
      <c r="P63181" s="3337"/>
    </row>
    <row r="63182" spans="7:16" s="1634" customFormat="1">
      <c r="G63182" s="3336"/>
      <c r="P63182" s="3337"/>
    </row>
    <row r="63183" spans="7:16" s="1634" customFormat="1">
      <c r="G63183" s="3336"/>
      <c r="P63183" s="3337"/>
    </row>
    <row r="63184" spans="7:16" s="1634" customFormat="1">
      <c r="G63184" s="3336"/>
      <c r="P63184" s="3337"/>
    </row>
    <row r="63185" spans="7:16" s="1634" customFormat="1">
      <c r="G63185" s="3336"/>
      <c r="P63185" s="3337"/>
    </row>
    <row r="63186" spans="7:16" s="1634" customFormat="1">
      <c r="G63186" s="3336"/>
      <c r="P63186" s="3337"/>
    </row>
    <row r="63187" spans="7:16" s="1634" customFormat="1">
      <c r="G63187" s="3336"/>
      <c r="P63187" s="3337"/>
    </row>
    <row r="63188" spans="7:16" s="1634" customFormat="1">
      <c r="G63188" s="3336"/>
      <c r="P63188" s="3337"/>
    </row>
    <row r="63189" spans="7:16" s="1634" customFormat="1">
      <c r="G63189" s="3336"/>
      <c r="P63189" s="3337"/>
    </row>
    <row r="63190" spans="7:16" s="1634" customFormat="1">
      <c r="G63190" s="3336"/>
      <c r="P63190" s="3337"/>
    </row>
    <row r="63191" spans="7:16" s="1634" customFormat="1">
      <c r="G63191" s="3336"/>
      <c r="P63191" s="3337"/>
    </row>
    <row r="63192" spans="7:16" s="1634" customFormat="1">
      <c r="G63192" s="3336"/>
      <c r="P63192" s="3337"/>
    </row>
    <row r="63193" spans="7:16" s="1634" customFormat="1">
      <c r="G63193" s="3336"/>
      <c r="P63193" s="3337"/>
    </row>
    <row r="63194" spans="7:16" s="1634" customFormat="1">
      <c r="G63194" s="3336"/>
      <c r="P63194" s="3337"/>
    </row>
    <row r="63195" spans="7:16" s="1634" customFormat="1">
      <c r="G63195" s="3336"/>
      <c r="P63195" s="3337"/>
    </row>
    <row r="63196" spans="7:16" s="1634" customFormat="1">
      <c r="G63196" s="3336"/>
      <c r="P63196" s="3337"/>
    </row>
    <row r="63197" spans="7:16" s="1634" customFormat="1">
      <c r="G63197" s="3336"/>
      <c r="P63197" s="3337"/>
    </row>
    <row r="63198" spans="7:16" s="1634" customFormat="1">
      <c r="G63198" s="3336"/>
      <c r="P63198" s="3337"/>
    </row>
    <row r="63199" spans="7:16" s="1634" customFormat="1">
      <c r="G63199" s="3336"/>
      <c r="P63199" s="3337"/>
    </row>
    <row r="63200" spans="7:16" s="1634" customFormat="1">
      <c r="G63200" s="3336"/>
      <c r="P63200" s="3337"/>
    </row>
    <row r="63201" spans="7:16" s="1634" customFormat="1">
      <c r="G63201" s="3336"/>
      <c r="P63201" s="3337"/>
    </row>
    <row r="63202" spans="7:16" s="1634" customFormat="1">
      <c r="G63202" s="3336"/>
      <c r="P63202" s="3337"/>
    </row>
    <row r="63203" spans="7:16" s="1634" customFormat="1">
      <c r="G63203" s="3336"/>
      <c r="P63203" s="3337"/>
    </row>
    <row r="63204" spans="7:16" s="1634" customFormat="1">
      <c r="G63204" s="3336"/>
      <c r="P63204" s="3337"/>
    </row>
    <row r="63205" spans="7:16" s="1634" customFormat="1">
      <c r="G63205" s="3336"/>
      <c r="P63205" s="3337"/>
    </row>
    <row r="63206" spans="7:16" s="1634" customFormat="1">
      <c r="G63206" s="3336"/>
      <c r="P63206" s="3337"/>
    </row>
    <row r="63207" spans="7:16" s="1634" customFormat="1">
      <c r="G63207" s="3336"/>
      <c r="P63207" s="3337"/>
    </row>
    <row r="63208" spans="7:16" s="1634" customFormat="1">
      <c r="G63208" s="3336"/>
      <c r="P63208" s="3337"/>
    </row>
    <row r="63209" spans="7:16" s="1634" customFormat="1">
      <c r="G63209" s="3336"/>
      <c r="P63209" s="3337"/>
    </row>
    <row r="63210" spans="7:16" s="1634" customFormat="1">
      <c r="G63210" s="3336"/>
      <c r="P63210" s="3337"/>
    </row>
    <row r="63211" spans="7:16" s="1634" customFormat="1">
      <c r="G63211" s="3336"/>
      <c r="P63211" s="3337"/>
    </row>
    <row r="63212" spans="7:16" s="1634" customFormat="1">
      <c r="G63212" s="3336"/>
      <c r="P63212" s="3337"/>
    </row>
    <row r="63213" spans="7:16" s="1634" customFormat="1">
      <c r="G63213" s="3336"/>
      <c r="P63213" s="3337"/>
    </row>
    <row r="63214" spans="7:16" s="1634" customFormat="1">
      <c r="G63214" s="3336"/>
      <c r="P63214" s="3337"/>
    </row>
    <row r="63215" spans="7:16" s="1634" customFormat="1">
      <c r="G63215" s="3336"/>
      <c r="P63215" s="3337"/>
    </row>
    <row r="63216" spans="7:16" s="1634" customFormat="1">
      <c r="G63216" s="3336"/>
      <c r="P63216" s="3337"/>
    </row>
    <row r="63217" spans="7:16" s="1634" customFormat="1">
      <c r="G63217" s="3336"/>
      <c r="P63217" s="3337"/>
    </row>
    <row r="63218" spans="7:16" s="1634" customFormat="1">
      <c r="G63218" s="3336"/>
      <c r="P63218" s="3337"/>
    </row>
    <row r="63219" spans="7:16" s="1634" customFormat="1">
      <c r="G63219" s="3336"/>
      <c r="P63219" s="3337"/>
    </row>
    <row r="63220" spans="7:16" s="1634" customFormat="1">
      <c r="G63220" s="3336"/>
      <c r="P63220" s="3337"/>
    </row>
    <row r="63221" spans="7:16" s="1634" customFormat="1">
      <c r="G63221" s="3336"/>
      <c r="P63221" s="3337"/>
    </row>
    <row r="63222" spans="7:16" s="1634" customFormat="1">
      <c r="G63222" s="3336"/>
      <c r="P63222" s="3337"/>
    </row>
    <row r="63223" spans="7:16" s="1634" customFormat="1">
      <c r="G63223" s="3336"/>
      <c r="P63223" s="3337"/>
    </row>
    <row r="63224" spans="7:16" s="1634" customFormat="1">
      <c r="G63224" s="3336"/>
      <c r="P63224" s="3337"/>
    </row>
    <row r="63225" spans="7:16" s="1634" customFormat="1">
      <c r="G63225" s="3336"/>
      <c r="P63225" s="3337"/>
    </row>
    <row r="63226" spans="7:16" s="1634" customFormat="1">
      <c r="G63226" s="3336"/>
      <c r="P63226" s="3337"/>
    </row>
    <row r="63227" spans="7:16" s="1634" customFormat="1">
      <c r="G63227" s="3336"/>
      <c r="P63227" s="3337"/>
    </row>
    <row r="63228" spans="7:16" s="1634" customFormat="1">
      <c r="G63228" s="3336"/>
      <c r="P63228" s="3337"/>
    </row>
    <row r="63229" spans="7:16" s="1634" customFormat="1">
      <c r="G63229" s="3336"/>
      <c r="P63229" s="3337"/>
    </row>
    <row r="63230" spans="7:16" s="1634" customFormat="1">
      <c r="G63230" s="3336"/>
      <c r="P63230" s="3337"/>
    </row>
    <row r="63231" spans="7:16" s="1634" customFormat="1">
      <c r="G63231" s="3336"/>
      <c r="P63231" s="3337"/>
    </row>
    <row r="63232" spans="7:16" s="1634" customFormat="1">
      <c r="G63232" s="3336"/>
      <c r="P63232" s="3337"/>
    </row>
    <row r="63233" spans="7:16" s="1634" customFormat="1">
      <c r="G63233" s="3336"/>
      <c r="P63233" s="3337"/>
    </row>
    <row r="63234" spans="7:16" s="1634" customFormat="1">
      <c r="G63234" s="3336"/>
      <c r="P63234" s="3337"/>
    </row>
    <row r="63235" spans="7:16" s="1634" customFormat="1">
      <c r="G63235" s="3336"/>
      <c r="P63235" s="3337"/>
    </row>
    <row r="63236" spans="7:16" s="1634" customFormat="1">
      <c r="G63236" s="3336"/>
      <c r="P63236" s="3337"/>
    </row>
    <row r="63237" spans="7:16" s="1634" customFormat="1">
      <c r="G63237" s="3336"/>
      <c r="P63237" s="3337"/>
    </row>
    <row r="63238" spans="7:16" s="1634" customFormat="1">
      <c r="G63238" s="3336"/>
      <c r="P63238" s="3337"/>
    </row>
    <row r="63239" spans="7:16" s="1634" customFormat="1">
      <c r="G63239" s="3336"/>
      <c r="P63239" s="3337"/>
    </row>
    <row r="63240" spans="7:16" s="1634" customFormat="1">
      <c r="G63240" s="3336"/>
      <c r="P63240" s="3337"/>
    </row>
    <row r="63241" spans="7:16" s="1634" customFormat="1">
      <c r="G63241" s="3336"/>
      <c r="P63241" s="3337"/>
    </row>
    <row r="63242" spans="7:16" s="1634" customFormat="1">
      <c r="G63242" s="3336"/>
      <c r="P63242" s="3337"/>
    </row>
    <row r="63243" spans="7:16" s="1634" customFormat="1">
      <c r="G63243" s="3336"/>
      <c r="P63243" s="3337"/>
    </row>
    <row r="63244" spans="7:16" s="1634" customFormat="1">
      <c r="G63244" s="3336"/>
      <c r="P63244" s="3337"/>
    </row>
    <row r="63245" spans="7:16" s="1634" customFormat="1">
      <c r="G63245" s="3336"/>
      <c r="P63245" s="3337"/>
    </row>
    <row r="63246" spans="7:16" s="1634" customFormat="1">
      <c r="G63246" s="3336"/>
      <c r="P63246" s="3337"/>
    </row>
    <row r="63247" spans="7:16" s="1634" customFormat="1">
      <c r="G63247" s="3336"/>
      <c r="P63247" s="3337"/>
    </row>
    <row r="63248" spans="7:16" s="1634" customFormat="1">
      <c r="G63248" s="3336"/>
      <c r="P63248" s="3337"/>
    </row>
    <row r="63249" spans="7:16" s="1634" customFormat="1">
      <c r="G63249" s="3336"/>
      <c r="P63249" s="3337"/>
    </row>
    <row r="63250" spans="7:16" s="1634" customFormat="1">
      <c r="G63250" s="3336"/>
      <c r="P63250" s="3337"/>
    </row>
    <row r="63251" spans="7:16" s="1634" customFormat="1">
      <c r="G63251" s="3336"/>
      <c r="P63251" s="3337"/>
    </row>
    <row r="63252" spans="7:16" s="1634" customFormat="1">
      <c r="G63252" s="3336"/>
      <c r="P63252" s="3337"/>
    </row>
    <row r="63253" spans="7:16" s="1634" customFormat="1">
      <c r="G63253" s="3336"/>
      <c r="P63253" s="3337"/>
    </row>
    <row r="63254" spans="7:16" s="1634" customFormat="1">
      <c r="G63254" s="3336"/>
      <c r="P63254" s="3337"/>
    </row>
    <row r="63255" spans="7:16" s="1634" customFormat="1">
      <c r="G63255" s="3336"/>
      <c r="P63255" s="3337"/>
    </row>
    <row r="63256" spans="7:16" s="1634" customFormat="1">
      <c r="G63256" s="3336"/>
      <c r="P63256" s="3337"/>
    </row>
    <row r="63257" spans="7:16" s="1634" customFormat="1">
      <c r="G63257" s="3336"/>
      <c r="P63257" s="3337"/>
    </row>
    <row r="63258" spans="7:16" s="1634" customFormat="1">
      <c r="G63258" s="3336"/>
      <c r="P63258" s="3337"/>
    </row>
    <row r="63259" spans="7:16" s="1634" customFormat="1">
      <c r="G63259" s="3336"/>
      <c r="P63259" s="3337"/>
    </row>
    <row r="63260" spans="7:16" s="1634" customFormat="1">
      <c r="G63260" s="3336"/>
      <c r="P63260" s="3337"/>
    </row>
    <row r="63261" spans="7:16" s="1634" customFormat="1">
      <c r="G63261" s="3336"/>
      <c r="P63261" s="3337"/>
    </row>
    <row r="63262" spans="7:16" s="1634" customFormat="1">
      <c r="G63262" s="3336"/>
      <c r="P63262" s="3337"/>
    </row>
    <row r="63263" spans="7:16" s="1634" customFormat="1">
      <c r="G63263" s="3336"/>
      <c r="P63263" s="3337"/>
    </row>
    <row r="63264" spans="7:16" s="1634" customFormat="1">
      <c r="G63264" s="3336"/>
      <c r="P63264" s="3337"/>
    </row>
    <row r="63265" spans="7:16" s="1634" customFormat="1">
      <c r="G63265" s="3336"/>
      <c r="P63265" s="3337"/>
    </row>
    <row r="63266" spans="7:16" s="1634" customFormat="1">
      <c r="G63266" s="3336"/>
      <c r="P63266" s="3337"/>
    </row>
    <row r="63267" spans="7:16" s="1634" customFormat="1">
      <c r="G63267" s="3336"/>
      <c r="P63267" s="3337"/>
    </row>
    <row r="63268" spans="7:16" s="1634" customFormat="1">
      <c r="G63268" s="3336"/>
      <c r="P63268" s="3337"/>
    </row>
    <row r="63269" spans="7:16" s="1634" customFormat="1">
      <c r="G63269" s="3336"/>
      <c r="P63269" s="3337"/>
    </row>
    <row r="63270" spans="7:16" s="1634" customFormat="1">
      <c r="G63270" s="3336"/>
      <c r="P63270" s="3337"/>
    </row>
    <row r="63271" spans="7:16" s="1634" customFormat="1">
      <c r="G63271" s="3336"/>
      <c r="P63271" s="3337"/>
    </row>
    <row r="63272" spans="7:16" s="1634" customFormat="1">
      <c r="G63272" s="3336"/>
      <c r="P63272" s="3337"/>
    </row>
    <row r="63273" spans="7:16" s="1634" customFormat="1">
      <c r="G63273" s="3336"/>
      <c r="P63273" s="3337"/>
    </row>
    <row r="63274" spans="7:16" s="1634" customFormat="1">
      <c r="G63274" s="3336"/>
      <c r="P63274" s="3337"/>
    </row>
    <row r="63275" spans="7:16" s="1634" customFormat="1">
      <c r="G63275" s="3336"/>
      <c r="P63275" s="3337"/>
    </row>
    <row r="63276" spans="7:16" s="1634" customFormat="1">
      <c r="G63276" s="3336"/>
      <c r="P63276" s="3337"/>
    </row>
    <row r="63277" spans="7:16" s="1634" customFormat="1">
      <c r="G63277" s="3336"/>
      <c r="P63277" s="3337"/>
    </row>
    <row r="63278" spans="7:16" s="1634" customFormat="1">
      <c r="G63278" s="3336"/>
      <c r="P63278" s="3337"/>
    </row>
    <row r="63279" spans="7:16" s="1634" customFormat="1">
      <c r="G63279" s="3336"/>
      <c r="P63279" s="3337"/>
    </row>
    <row r="63280" spans="7:16" s="1634" customFormat="1">
      <c r="G63280" s="3336"/>
      <c r="P63280" s="3337"/>
    </row>
    <row r="63281" spans="7:16" s="1634" customFormat="1">
      <c r="G63281" s="3336"/>
      <c r="P63281" s="3337"/>
    </row>
    <row r="63282" spans="7:16" s="1634" customFormat="1">
      <c r="G63282" s="3336"/>
      <c r="P63282" s="3337"/>
    </row>
    <row r="63283" spans="7:16" s="1634" customFormat="1">
      <c r="G63283" s="3336"/>
      <c r="P63283" s="3337"/>
    </row>
    <row r="63284" spans="7:16" s="1634" customFormat="1">
      <c r="G63284" s="3336"/>
      <c r="P63284" s="3337"/>
    </row>
    <row r="63285" spans="7:16" s="1634" customFormat="1">
      <c r="G63285" s="3336"/>
      <c r="P63285" s="3337"/>
    </row>
    <row r="63286" spans="7:16" s="1634" customFormat="1">
      <c r="G63286" s="3336"/>
      <c r="P63286" s="3337"/>
    </row>
    <row r="63287" spans="7:16" s="1634" customFormat="1">
      <c r="G63287" s="3336"/>
      <c r="P63287" s="3337"/>
    </row>
    <row r="63288" spans="7:16" s="1634" customFormat="1">
      <c r="G63288" s="3336"/>
      <c r="P63288" s="3337"/>
    </row>
    <row r="63289" spans="7:16" s="1634" customFormat="1">
      <c r="G63289" s="3336"/>
      <c r="P63289" s="3337"/>
    </row>
    <row r="63290" spans="7:16" s="1634" customFormat="1">
      <c r="G63290" s="3336"/>
      <c r="P63290" s="3337"/>
    </row>
    <row r="63291" spans="7:16" s="1634" customFormat="1">
      <c r="G63291" s="3336"/>
      <c r="P63291" s="3337"/>
    </row>
    <row r="63292" spans="7:16" s="1634" customFormat="1">
      <c r="G63292" s="3336"/>
      <c r="P63292" s="3337"/>
    </row>
    <row r="63293" spans="7:16" s="1634" customFormat="1">
      <c r="G63293" s="3336"/>
      <c r="P63293" s="3337"/>
    </row>
    <row r="63294" spans="7:16" s="1634" customFormat="1">
      <c r="G63294" s="3336"/>
      <c r="P63294" s="3337"/>
    </row>
    <row r="63295" spans="7:16" s="1634" customFormat="1">
      <c r="G63295" s="3336"/>
      <c r="P63295" s="3337"/>
    </row>
    <row r="63296" spans="7:16" s="1634" customFormat="1">
      <c r="G63296" s="3336"/>
      <c r="P63296" s="3337"/>
    </row>
    <row r="63297" spans="7:16" s="1634" customFormat="1">
      <c r="G63297" s="3336"/>
      <c r="P63297" s="3337"/>
    </row>
    <row r="63298" spans="7:16" s="1634" customFormat="1">
      <c r="G63298" s="3336"/>
      <c r="P63298" s="3337"/>
    </row>
    <row r="63299" spans="7:16" s="1634" customFormat="1">
      <c r="G63299" s="3336"/>
      <c r="P63299" s="3337"/>
    </row>
    <row r="63300" spans="7:16" s="1634" customFormat="1">
      <c r="G63300" s="3336"/>
      <c r="P63300" s="3337"/>
    </row>
    <row r="63301" spans="7:16" s="1634" customFormat="1">
      <c r="G63301" s="3336"/>
      <c r="P63301" s="3337"/>
    </row>
    <row r="63302" spans="7:16" s="1634" customFormat="1">
      <c r="G63302" s="3336"/>
      <c r="P63302" s="3337"/>
    </row>
    <row r="63303" spans="7:16" s="1634" customFormat="1">
      <c r="G63303" s="3336"/>
      <c r="P63303" s="3337"/>
    </row>
    <row r="63304" spans="7:16" s="1634" customFormat="1">
      <c r="G63304" s="3336"/>
      <c r="P63304" s="3337"/>
    </row>
    <row r="63305" spans="7:16" s="1634" customFormat="1">
      <c r="G63305" s="3336"/>
      <c r="P63305" s="3337"/>
    </row>
    <row r="63306" spans="7:16" s="1634" customFormat="1">
      <c r="G63306" s="3336"/>
      <c r="P63306" s="3337"/>
    </row>
    <row r="63307" spans="7:16" s="1634" customFormat="1">
      <c r="G63307" s="3336"/>
      <c r="P63307" s="3337"/>
    </row>
    <row r="63308" spans="7:16" s="1634" customFormat="1">
      <c r="G63308" s="3336"/>
      <c r="P63308" s="3337"/>
    </row>
    <row r="63309" spans="7:16" s="1634" customFormat="1">
      <c r="G63309" s="3336"/>
      <c r="P63309" s="3337"/>
    </row>
    <row r="63310" spans="7:16" s="1634" customFormat="1">
      <c r="G63310" s="3336"/>
      <c r="P63310" s="3337"/>
    </row>
    <row r="63311" spans="7:16" s="1634" customFormat="1">
      <c r="G63311" s="3336"/>
      <c r="P63311" s="3337"/>
    </row>
    <row r="63312" spans="7:16" s="1634" customFormat="1">
      <c r="G63312" s="3336"/>
      <c r="P63312" s="3337"/>
    </row>
    <row r="63313" spans="7:16" s="1634" customFormat="1">
      <c r="G63313" s="3336"/>
      <c r="P63313" s="3337"/>
    </row>
    <row r="63314" spans="7:16" s="1634" customFormat="1">
      <c r="G63314" s="3336"/>
      <c r="P63314" s="3337"/>
    </row>
    <row r="63315" spans="7:16" s="1634" customFormat="1">
      <c r="G63315" s="3336"/>
      <c r="P63315" s="3337"/>
    </row>
    <row r="63316" spans="7:16" s="1634" customFormat="1">
      <c r="G63316" s="3336"/>
      <c r="P63316" s="3337"/>
    </row>
    <row r="63317" spans="7:16" s="1634" customFormat="1">
      <c r="G63317" s="3336"/>
      <c r="P63317" s="3337"/>
    </row>
    <row r="63318" spans="7:16" s="1634" customFormat="1">
      <c r="G63318" s="3336"/>
      <c r="P63318" s="3337"/>
    </row>
    <row r="63319" spans="7:16" s="1634" customFormat="1">
      <c r="G63319" s="3336"/>
      <c r="P63319" s="3337"/>
    </row>
    <row r="63320" spans="7:16" s="1634" customFormat="1">
      <c r="G63320" s="3336"/>
      <c r="P63320" s="3337"/>
    </row>
    <row r="63321" spans="7:16" s="1634" customFormat="1">
      <c r="G63321" s="3336"/>
      <c r="P63321" s="3337"/>
    </row>
    <row r="63322" spans="7:16" s="1634" customFormat="1">
      <c r="G63322" s="3336"/>
      <c r="P63322" s="3337"/>
    </row>
    <row r="63323" spans="7:16" s="1634" customFormat="1">
      <c r="G63323" s="3336"/>
      <c r="P63323" s="3337"/>
    </row>
    <row r="63324" spans="7:16" s="1634" customFormat="1">
      <c r="G63324" s="3336"/>
      <c r="P63324" s="3337"/>
    </row>
    <row r="63325" spans="7:16" s="1634" customFormat="1">
      <c r="G63325" s="3336"/>
      <c r="P63325" s="3337"/>
    </row>
    <row r="63326" spans="7:16" s="1634" customFormat="1">
      <c r="G63326" s="3336"/>
      <c r="P63326" s="3337"/>
    </row>
    <row r="63327" spans="7:16" s="1634" customFormat="1">
      <c r="G63327" s="3336"/>
      <c r="P63327" s="3337"/>
    </row>
    <row r="63328" spans="7:16" s="1634" customFormat="1">
      <c r="G63328" s="3336"/>
      <c r="P63328" s="3337"/>
    </row>
    <row r="63329" spans="7:16" s="1634" customFormat="1">
      <c r="G63329" s="3336"/>
      <c r="P63329" s="3337"/>
    </row>
    <row r="63330" spans="7:16" s="1634" customFormat="1">
      <c r="G63330" s="3336"/>
      <c r="P63330" s="3337"/>
    </row>
    <row r="63331" spans="7:16" s="1634" customFormat="1">
      <c r="G63331" s="3336"/>
      <c r="P63331" s="3337"/>
    </row>
    <row r="63332" spans="7:16" s="1634" customFormat="1">
      <c r="G63332" s="3336"/>
      <c r="P63332" s="3337"/>
    </row>
    <row r="63333" spans="7:16" s="1634" customFormat="1">
      <c r="G63333" s="3336"/>
      <c r="P63333" s="3337"/>
    </row>
    <row r="63334" spans="7:16" s="1634" customFormat="1">
      <c r="G63334" s="3336"/>
      <c r="P63334" s="3337"/>
    </row>
    <row r="63335" spans="7:16" s="1634" customFormat="1">
      <c r="G63335" s="3336"/>
      <c r="P63335" s="3337"/>
    </row>
    <row r="63336" spans="7:16" s="1634" customFormat="1">
      <c r="G63336" s="3336"/>
      <c r="P63336" s="3337"/>
    </row>
    <row r="63337" spans="7:16" s="1634" customFormat="1">
      <c r="G63337" s="3336"/>
      <c r="P63337" s="3337"/>
    </row>
    <row r="63338" spans="7:16" s="1634" customFormat="1">
      <c r="G63338" s="3336"/>
      <c r="P63338" s="3337"/>
    </row>
    <row r="63339" spans="7:16" s="1634" customFormat="1">
      <c r="G63339" s="3336"/>
      <c r="P63339" s="3337"/>
    </row>
    <row r="63340" spans="7:16" s="1634" customFormat="1">
      <c r="G63340" s="3336"/>
      <c r="P63340" s="3337"/>
    </row>
    <row r="63341" spans="7:16" s="1634" customFormat="1">
      <c r="G63341" s="3336"/>
      <c r="P63341" s="3337"/>
    </row>
    <row r="63342" spans="7:16" s="1634" customFormat="1">
      <c r="G63342" s="3336"/>
      <c r="P63342" s="3337"/>
    </row>
    <row r="63343" spans="7:16" s="1634" customFormat="1">
      <c r="G63343" s="3336"/>
      <c r="P63343" s="3337"/>
    </row>
    <row r="63344" spans="7:16" s="1634" customFormat="1">
      <c r="G63344" s="3336"/>
      <c r="P63344" s="3337"/>
    </row>
    <row r="63345" spans="7:16" s="1634" customFormat="1">
      <c r="G63345" s="3336"/>
      <c r="P63345" s="3337"/>
    </row>
    <row r="63346" spans="7:16" s="1634" customFormat="1">
      <c r="G63346" s="3336"/>
      <c r="P63346" s="3337"/>
    </row>
    <row r="63347" spans="7:16" s="1634" customFormat="1">
      <c r="G63347" s="3336"/>
      <c r="P63347" s="3337"/>
    </row>
    <row r="63348" spans="7:16" s="1634" customFormat="1">
      <c r="G63348" s="3336"/>
      <c r="P63348" s="3337"/>
    </row>
    <row r="63349" spans="7:16" s="1634" customFormat="1">
      <c r="G63349" s="3336"/>
      <c r="P63349" s="3337"/>
    </row>
    <row r="63350" spans="7:16" s="1634" customFormat="1">
      <c r="G63350" s="3336"/>
      <c r="P63350" s="3337"/>
    </row>
    <row r="63351" spans="7:16" s="1634" customFormat="1">
      <c r="G63351" s="3336"/>
      <c r="P63351" s="3337"/>
    </row>
    <row r="63352" spans="7:16" s="1634" customFormat="1">
      <c r="G63352" s="3336"/>
      <c r="P63352" s="3337"/>
    </row>
    <row r="63353" spans="7:16" s="1634" customFormat="1">
      <c r="G63353" s="3336"/>
      <c r="P63353" s="3337"/>
    </row>
    <row r="63354" spans="7:16" s="1634" customFormat="1">
      <c r="G63354" s="3336"/>
      <c r="P63354" s="3337"/>
    </row>
    <row r="63355" spans="7:16" s="1634" customFormat="1">
      <c r="G63355" s="3336"/>
      <c r="P63355" s="3337"/>
    </row>
    <row r="63356" spans="7:16" s="1634" customFormat="1">
      <c r="G63356" s="3336"/>
      <c r="P63356" s="3337"/>
    </row>
    <row r="63357" spans="7:16" s="1634" customFormat="1">
      <c r="G63357" s="3336"/>
      <c r="P63357" s="3337"/>
    </row>
    <row r="63358" spans="7:16" s="1634" customFormat="1">
      <c r="G63358" s="3336"/>
      <c r="P63358" s="3337"/>
    </row>
    <row r="63359" spans="7:16" s="1634" customFormat="1">
      <c r="G63359" s="3336"/>
      <c r="P63359" s="3337"/>
    </row>
    <row r="63360" spans="7:16" s="1634" customFormat="1">
      <c r="G63360" s="3336"/>
      <c r="P63360" s="3337"/>
    </row>
    <row r="63361" spans="7:16" s="1634" customFormat="1">
      <c r="G63361" s="3336"/>
      <c r="P63361" s="3337"/>
    </row>
    <row r="63362" spans="7:16" s="1634" customFormat="1">
      <c r="G63362" s="3336"/>
      <c r="P63362" s="3337"/>
    </row>
    <row r="63363" spans="7:16" s="1634" customFormat="1">
      <c r="G63363" s="3336"/>
      <c r="P63363" s="3337"/>
    </row>
    <row r="63364" spans="7:16" s="1634" customFormat="1">
      <c r="G63364" s="3336"/>
      <c r="P63364" s="3337"/>
    </row>
    <row r="63365" spans="7:16" s="1634" customFormat="1">
      <c r="G63365" s="3336"/>
      <c r="P63365" s="3337"/>
    </row>
    <row r="63366" spans="7:16" s="1634" customFormat="1">
      <c r="G63366" s="3336"/>
      <c r="P63366" s="3337"/>
    </row>
    <row r="63367" spans="7:16" s="1634" customFormat="1">
      <c r="G63367" s="3336"/>
      <c r="P63367" s="3337"/>
    </row>
    <row r="63368" spans="7:16" s="1634" customFormat="1">
      <c r="G63368" s="3336"/>
      <c r="P63368" s="3337"/>
    </row>
    <row r="63369" spans="7:16" s="1634" customFormat="1">
      <c r="G63369" s="3336"/>
      <c r="P63369" s="3337"/>
    </row>
    <row r="63370" spans="7:16" s="1634" customFormat="1">
      <c r="G63370" s="3336"/>
      <c r="P63370" s="3337"/>
    </row>
    <row r="63371" spans="7:16" s="1634" customFormat="1">
      <c r="G63371" s="3336"/>
      <c r="P63371" s="3337"/>
    </row>
    <row r="63372" spans="7:16" s="1634" customFormat="1">
      <c r="G63372" s="3336"/>
      <c r="P63372" s="3337"/>
    </row>
    <row r="63373" spans="7:16" s="1634" customFormat="1">
      <c r="G63373" s="3336"/>
      <c r="P63373" s="3337"/>
    </row>
    <row r="63374" spans="7:16" s="1634" customFormat="1">
      <c r="G63374" s="3336"/>
      <c r="P63374" s="3337"/>
    </row>
    <row r="63375" spans="7:16" s="1634" customFormat="1">
      <c r="G63375" s="3336"/>
      <c r="P63375" s="3337"/>
    </row>
    <row r="63376" spans="7:16" s="1634" customFormat="1">
      <c r="G63376" s="3336"/>
      <c r="P63376" s="3337"/>
    </row>
    <row r="63377" spans="7:16" s="1634" customFormat="1">
      <c r="G63377" s="3336"/>
      <c r="P63377" s="3337"/>
    </row>
    <row r="63378" spans="7:16" s="1634" customFormat="1">
      <c r="G63378" s="3336"/>
      <c r="P63378" s="3337"/>
    </row>
    <row r="63379" spans="7:16" s="1634" customFormat="1">
      <c r="G63379" s="3336"/>
      <c r="P63379" s="3337"/>
    </row>
    <row r="63380" spans="7:16" s="1634" customFormat="1">
      <c r="G63380" s="3336"/>
      <c r="P63380" s="3337"/>
    </row>
    <row r="63381" spans="7:16" s="1634" customFormat="1">
      <c r="G63381" s="3336"/>
      <c r="P63381" s="3337"/>
    </row>
    <row r="63382" spans="7:16" s="1634" customFormat="1">
      <c r="G63382" s="3336"/>
      <c r="P63382" s="3337"/>
    </row>
    <row r="63383" spans="7:16" s="1634" customFormat="1">
      <c r="G63383" s="3336"/>
      <c r="P63383" s="3337"/>
    </row>
    <row r="63384" spans="7:16" s="1634" customFormat="1">
      <c r="G63384" s="3336"/>
      <c r="P63384" s="3337"/>
    </row>
    <row r="63385" spans="7:16" s="1634" customFormat="1">
      <c r="G63385" s="3336"/>
      <c r="P63385" s="3337"/>
    </row>
    <row r="63386" spans="7:16" s="1634" customFormat="1">
      <c r="G63386" s="3336"/>
      <c r="P63386" s="3337"/>
    </row>
    <row r="63387" spans="7:16" s="1634" customFormat="1">
      <c r="G63387" s="3336"/>
      <c r="P63387" s="3337"/>
    </row>
    <row r="63388" spans="7:16" s="1634" customFormat="1">
      <c r="G63388" s="3336"/>
      <c r="P63388" s="3337"/>
    </row>
    <row r="63389" spans="7:16" s="1634" customFormat="1">
      <c r="G63389" s="3336"/>
      <c r="P63389" s="3337"/>
    </row>
    <row r="63390" spans="7:16" s="1634" customFormat="1">
      <c r="G63390" s="3336"/>
      <c r="P63390" s="3337"/>
    </row>
    <row r="63391" spans="7:16" s="1634" customFormat="1">
      <c r="G63391" s="3336"/>
      <c r="P63391" s="3337"/>
    </row>
    <row r="63392" spans="7:16" s="1634" customFormat="1">
      <c r="G63392" s="3336"/>
      <c r="P63392" s="3337"/>
    </row>
    <row r="63393" spans="7:16" s="1634" customFormat="1">
      <c r="G63393" s="3336"/>
      <c r="P63393" s="3337"/>
    </row>
    <row r="63394" spans="7:16" s="1634" customFormat="1">
      <c r="G63394" s="3336"/>
      <c r="P63394" s="3337"/>
    </row>
    <row r="63395" spans="7:16" s="1634" customFormat="1">
      <c r="G63395" s="3336"/>
      <c r="P63395" s="3337"/>
    </row>
    <row r="63396" spans="7:16" s="1634" customFormat="1">
      <c r="G63396" s="3336"/>
      <c r="P63396" s="3337"/>
    </row>
    <row r="63397" spans="7:16" s="1634" customFormat="1">
      <c r="G63397" s="3336"/>
      <c r="P63397" s="3337"/>
    </row>
    <row r="63398" spans="7:16" s="1634" customFormat="1">
      <c r="G63398" s="3336"/>
      <c r="P63398" s="3337"/>
    </row>
    <row r="63399" spans="7:16" s="1634" customFormat="1">
      <c r="G63399" s="3336"/>
      <c r="P63399" s="3337"/>
    </row>
    <row r="63400" spans="7:16" s="1634" customFormat="1">
      <c r="G63400" s="3336"/>
      <c r="P63400" s="3337"/>
    </row>
    <row r="63401" spans="7:16" s="1634" customFormat="1">
      <c r="G63401" s="3336"/>
      <c r="P63401" s="3337"/>
    </row>
    <row r="63402" spans="7:16" s="1634" customFormat="1">
      <c r="G63402" s="3336"/>
      <c r="P63402" s="3337"/>
    </row>
    <row r="63403" spans="7:16" s="1634" customFormat="1">
      <c r="G63403" s="3336"/>
      <c r="P63403" s="3337"/>
    </row>
    <row r="63404" spans="7:16" s="1634" customFormat="1">
      <c r="G63404" s="3336"/>
      <c r="P63404" s="3337"/>
    </row>
    <row r="63405" spans="7:16" s="1634" customFormat="1">
      <c r="G63405" s="3336"/>
      <c r="P63405" s="3337"/>
    </row>
    <row r="63406" spans="7:16" s="1634" customFormat="1">
      <c r="G63406" s="3336"/>
      <c r="P63406" s="3337"/>
    </row>
    <row r="63407" spans="7:16" s="1634" customFormat="1">
      <c r="G63407" s="3336"/>
      <c r="P63407" s="3337"/>
    </row>
    <row r="63408" spans="7:16" s="1634" customFormat="1">
      <c r="G63408" s="3336"/>
      <c r="P63408" s="3337"/>
    </row>
    <row r="63409" spans="7:16" s="1634" customFormat="1">
      <c r="G63409" s="3336"/>
      <c r="P63409" s="3337"/>
    </row>
    <row r="63410" spans="7:16" s="1634" customFormat="1">
      <c r="G63410" s="3336"/>
      <c r="P63410" s="3337"/>
    </row>
    <row r="63411" spans="7:16" s="1634" customFormat="1">
      <c r="G63411" s="3336"/>
      <c r="P63411" s="3337"/>
    </row>
    <row r="63412" spans="7:16" s="1634" customFormat="1">
      <c r="G63412" s="3336"/>
      <c r="P63412" s="3337"/>
    </row>
    <row r="63413" spans="7:16" s="1634" customFormat="1">
      <c r="G63413" s="3336"/>
      <c r="P63413" s="3337"/>
    </row>
    <row r="63414" spans="7:16" s="1634" customFormat="1">
      <c r="G63414" s="3336"/>
      <c r="P63414" s="3337"/>
    </row>
    <row r="63415" spans="7:16" s="1634" customFormat="1">
      <c r="G63415" s="3336"/>
      <c r="P63415" s="3337"/>
    </row>
    <row r="63416" spans="7:16" s="1634" customFormat="1">
      <c r="G63416" s="3336"/>
      <c r="P63416" s="3337"/>
    </row>
    <row r="63417" spans="7:16" s="1634" customFormat="1">
      <c r="G63417" s="3336"/>
      <c r="P63417" s="3337"/>
    </row>
    <row r="63418" spans="7:16" s="1634" customFormat="1">
      <c r="G63418" s="3336"/>
      <c r="P63418" s="3337"/>
    </row>
    <row r="63419" spans="7:16" s="1634" customFormat="1">
      <c r="G63419" s="3336"/>
      <c r="P63419" s="3337"/>
    </row>
    <row r="63420" spans="7:16" s="1634" customFormat="1">
      <c r="G63420" s="3336"/>
      <c r="P63420" s="3337"/>
    </row>
    <row r="63421" spans="7:16" s="1634" customFormat="1">
      <c r="G63421" s="3336"/>
      <c r="P63421" s="3337"/>
    </row>
    <row r="63422" spans="7:16" s="1634" customFormat="1">
      <c r="G63422" s="3336"/>
      <c r="P63422" s="3337"/>
    </row>
    <row r="63423" spans="7:16" s="1634" customFormat="1">
      <c r="G63423" s="3336"/>
      <c r="P63423" s="3337"/>
    </row>
    <row r="63424" spans="7:16" s="1634" customFormat="1">
      <c r="G63424" s="3336"/>
      <c r="P63424" s="3337"/>
    </row>
    <row r="63425" spans="7:16" s="1634" customFormat="1">
      <c r="G63425" s="3336"/>
      <c r="P63425" s="3337"/>
    </row>
    <row r="63426" spans="7:16" s="1634" customFormat="1">
      <c r="G63426" s="3336"/>
      <c r="P63426" s="3337"/>
    </row>
    <row r="63427" spans="7:16" s="1634" customFormat="1">
      <c r="G63427" s="3336"/>
      <c r="P63427" s="3337"/>
    </row>
    <row r="63428" spans="7:16" s="1634" customFormat="1">
      <c r="G63428" s="3336"/>
      <c r="P63428" s="3337"/>
    </row>
    <row r="63429" spans="7:16" s="1634" customFormat="1">
      <c r="G63429" s="3336"/>
      <c r="P63429" s="3337"/>
    </row>
    <row r="63430" spans="7:16" s="1634" customFormat="1">
      <c r="G63430" s="3336"/>
      <c r="P63430" s="3337"/>
    </row>
    <row r="63431" spans="7:16" s="1634" customFormat="1">
      <c r="G63431" s="3336"/>
      <c r="P63431" s="3337"/>
    </row>
    <row r="63432" spans="7:16" s="1634" customFormat="1">
      <c r="G63432" s="3336"/>
      <c r="P63432" s="3337"/>
    </row>
    <row r="63433" spans="7:16" s="1634" customFormat="1">
      <c r="G63433" s="3336"/>
      <c r="P63433" s="3337"/>
    </row>
    <row r="63434" spans="7:16" s="1634" customFormat="1">
      <c r="G63434" s="3336"/>
      <c r="P63434" s="3337"/>
    </row>
    <row r="63435" spans="7:16" s="1634" customFormat="1">
      <c r="G63435" s="3336"/>
      <c r="P63435" s="3337"/>
    </row>
    <row r="63436" spans="7:16" s="1634" customFormat="1">
      <c r="G63436" s="3336"/>
      <c r="P63436" s="3337"/>
    </row>
    <row r="63437" spans="7:16" s="1634" customFormat="1">
      <c r="G63437" s="3336"/>
      <c r="P63437" s="3337"/>
    </row>
    <row r="63438" spans="7:16" s="1634" customFormat="1">
      <c r="G63438" s="3336"/>
      <c r="P63438" s="3337"/>
    </row>
    <row r="63439" spans="7:16" s="1634" customFormat="1">
      <c r="G63439" s="3336"/>
      <c r="P63439" s="3337"/>
    </row>
    <row r="63440" spans="7:16" s="1634" customFormat="1">
      <c r="G63440" s="3336"/>
      <c r="P63440" s="3337"/>
    </row>
    <row r="63441" spans="7:16" s="1634" customFormat="1">
      <c r="G63441" s="3336"/>
      <c r="P63441" s="3337"/>
    </row>
    <row r="63442" spans="7:16" s="1634" customFormat="1">
      <c r="G63442" s="3336"/>
      <c r="P63442" s="3337"/>
    </row>
    <row r="63443" spans="7:16" s="1634" customFormat="1">
      <c r="G63443" s="3336"/>
      <c r="P63443" s="3337"/>
    </row>
    <row r="63444" spans="7:16" s="1634" customFormat="1">
      <c r="G63444" s="3336"/>
      <c r="P63444" s="3337"/>
    </row>
    <row r="63445" spans="7:16" s="1634" customFormat="1">
      <c r="G63445" s="3336"/>
      <c r="P63445" s="3337"/>
    </row>
    <row r="63446" spans="7:16" s="1634" customFormat="1">
      <c r="G63446" s="3336"/>
      <c r="P63446" s="3337"/>
    </row>
    <row r="63447" spans="7:16" s="1634" customFormat="1">
      <c r="G63447" s="3336"/>
      <c r="P63447" s="3337"/>
    </row>
    <row r="63448" spans="7:16" s="1634" customFormat="1">
      <c r="G63448" s="3336"/>
      <c r="P63448" s="3337"/>
    </row>
    <row r="63449" spans="7:16" s="1634" customFormat="1">
      <c r="G63449" s="3336"/>
      <c r="P63449" s="3337"/>
    </row>
    <row r="63450" spans="7:16" s="1634" customFormat="1">
      <c r="G63450" s="3336"/>
      <c r="P63450" s="3337"/>
    </row>
    <row r="63451" spans="7:16" s="1634" customFormat="1">
      <c r="G63451" s="3336"/>
      <c r="P63451" s="3337"/>
    </row>
    <row r="63452" spans="7:16" s="1634" customFormat="1">
      <c r="G63452" s="3336"/>
      <c r="P63452" s="3337"/>
    </row>
    <row r="63453" spans="7:16" s="1634" customFormat="1">
      <c r="G63453" s="3336"/>
      <c r="P63453" s="3337"/>
    </row>
    <row r="63454" spans="7:16" s="1634" customFormat="1">
      <c r="G63454" s="3336"/>
      <c r="P63454" s="3337"/>
    </row>
    <row r="63455" spans="7:16" s="1634" customFormat="1">
      <c r="G63455" s="3336"/>
      <c r="P63455" s="3337"/>
    </row>
    <row r="63456" spans="7:16" s="1634" customFormat="1">
      <c r="G63456" s="3336"/>
      <c r="P63456" s="3337"/>
    </row>
    <row r="63457" spans="7:16" s="1634" customFormat="1">
      <c r="G63457" s="3336"/>
      <c r="P63457" s="3337"/>
    </row>
    <row r="63458" spans="7:16" s="1634" customFormat="1">
      <c r="G63458" s="3336"/>
      <c r="P63458" s="3337"/>
    </row>
    <row r="63459" spans="7:16" s="1634" customFormat="1">
      <c r="G63459" s="3336"/>
      <c r="P63459" s="3337"/>
    </row>
    <row r="63460" spans="7:16" s="1634" customFormat="1">
      <c r="G63460" s="3336"/>
      <c r="P63460" s="3337"/>
    </row>
    <row r="63461" spans="7:16" s="1634" customFormat="1">
      <c r="G63461" s="3336"/>
      <c r="P63461" s="3337"/>
    </row>
    <row r="63462" spans="7:16" s="1634" customFormat="1">
      <c r="G63462" s="3336"/>
      <c r="P63462" s="3337"/>
    </row>
    <row r="63463" spans="7:16" s="1634" customFormat="1">
      <c r="G63463" s="3336"/>
      <c r="P63463" s="3337"/>
    </row>
    <row r="63464" spans="7:16" s="1634" customFormat="1">
      <c r="G63464" s="3336"/>
      <c r="P63464" s="3337"/>
    </row>
    <row r="63465" spans="7:16" s="1634" customFormat="1">
      <c r="G63465" s="3336"/>
      <c r="P63465" s="3337"/>
    </row>
    <row r="63466" spans="7:16" s="1634" customFormat="1">
      <c r="G63466" s="3336"/>
      <c r="P63466" s="3337"/>
    </row>
    <row r="63467" spans="7:16" s="1634" customFormat="1">
      <c r="G63467" s="3336"/>
      <c r="P63467" s="3337"/>
    </row>
    <row r="63468" spans="7:16" s="1634" customFormat="1">
      <c r="G63468" s="3336"/>
      <c r="P63468" s="3337"/>
    </row>
    <row r="63469" spans="7:16" s="1634" customFormat="1">
      <c r="G63469" s="3336"/>
      <c r="P63469" s="3337"/>
    </row>
    <row r="63470" spans="7:16" s="1634" customFormat="1">
      <c r="G63470" s="3336"/>
      <c r="P63470" s="3337"/>
    </row>
    <row r="63471" spans="7:16" s="1634" customFormat="1">
      <c r="G63471" s="3336"/>
      <c r="P63471" s="3337"/>
    </row>
    <row r="63472" spans="7:16" s="1634" customFormat="1">
      <c r="G63472" s="3336"/>
      <c r="P63472" s="3337"/>
    </row>
    <row r="63473" spans="7:16" s="1634" customFormat="1">
      <c r="G63473" s="3336"/>
      <c r="P63473" s="3337"/>
    </row>
    <row r="63474" spans="7:16" s="1634" customFormat="1">
      <c r="G63474" s="3336"/>
      <c r="P63474" s="3337"/>
    </row>
    <row r="63475" spans="7:16" s="1634" customFormat="1">
      <c r="G63475" s="3336"/>
      <c r="P63475" s="3337"/>
    </row>
    <row r="63476" spans="7:16" s="1634" customFormat="1">
      <c r="G63476" s="3336"/>
      <c r="P63476" s="3337"/>
    </row>
    <row r="63477" spans="7:16" s="1634" customFormat="1">
      <c r="G63477" s="3336"/>
      <c r="P63477" s="3337"/>
    </row>
    <row r="63478" spans="7:16" s="1634" customFormat="1">
      <c r="G63478" s="3336"/>
      <c r="P63478" s="3337"/>
    </row>
    <row r="63479" spans="7:16" s="1634" customFormat="1">
      <c r="G63479" s="3336"/>
      <c r="P63479" s="3337"/>
    </row>
    <row r="63480" spans="7:16" s="1634" customFormat="1">
      <c r="G63480" s="3336"/>
      <c r="P63480" s="3337"/>
    </row>
    <row r="63481" spans="7:16" s="1634" customFormat="1">
      <c r="G63481" s="3336"/>
      <c r="P63481" s="3337"/>
    </row>
    <row r="63482" spans="7:16" s="1634" customFormat="1">
      <c r="G63482" s="3336"/>
      <c r="P63482" s="3337"/>
    </row>
    <row r="63483" spans="7:16" s="1634" customFormat="1">
      <c r="G63483" s="3336"/>
      <c r="P63483" s="3337"/>
    </row>
    <row r="63484" spans="7:16" s="1634" customFormat="1">
      <c r="G63484" s="3336"/>
      <c r="P63484" s="3337"/>
    </row>
    <row r="63485" spans="7:16" s="1634" customFormat="1">
      <c r="G63485" s="3336"/>
      <c r="P63485" s="3337"/>
    </row>
    <row r="63486" spans="7:16" s="1634" customFormat="1">
      <c r="G63486" s="3336"/>
      <c r="P63486" s="3337"/>
    </row>
    <row r="63487" spans="7:16" s="1634" customFormat="1">
      <c r="G63487" s="3336"/>
      <c r="P63487" s="3337"/>
    </row>
    <row r="63488" spans="7:16" s="1634" customFormat="1">
      <c r="G63488" s="3336"/>
      <c r="P63488" s="3337"/>
    </row>
    <row r="63489" spans="7:16" s="1634" customFormat="1">
      <c r="G63489" s="3336"/>
      <c r="P63489" s="3337"/>
    </row>
    <row r="63490" spans="7:16" s="1634" customFormat="1">
      <c r="G63490" s="3336"/>
      <c r="P63490" s="3337"/>
    </row>
    <row r="63491" spans="7:16" s="1634" customFormat="1">
      <c r="G63491" s="3336"/>
      <c r="P63491" s="3337"/>
    </row>
    <row r="63492" spans="7:16" s="1634" customFormat="1">
      <c r="G63492" s="3336"/>
      <c r="P63492" s="3337"/>
    </row>
    <row r="63493" spans="7:16" s="1634" customFormat="1">
      <c r="G63493" s="3336"/>
      <c r="P63493" s="3337"/>
    </row>
    <row r="63494" spans="7:16" s="1634" customFormat="1">
      <c r="G63494" s="3336"/>
      <c r="P63494" s="3337"/>
    </row>
    <row r="63495" spans="7:16" s="1634" customFormat="1">
      <c r="G63495" s="3336"/>
      <c r="P63495" s="3337"/>
    </row>
    <row r="63496" spans="7:16" s="1634" customFormat="1">
      <c r="G63496" s="3336"/>
      <c r="P63496" s="3337"/>
    </row>
    <row r="63497" spans="7:16" s="1634" customFormat="1">
      <c r="G63497" s="3336"/>
      <c r="P63497" s="3337"/>
    </row>
    <row r="63498" spans="7:16" s="1634" customFormat="1">
      <c r="G63498" s="3336"/>
      <c r="P63498" s="3337"/>
    </row>
    <row r="63499" spans="7:16" s="1634" customFormat="1">
      <c r="G63499" s="3336"/>
      <c r="P63499" s="3337"/>
    </row>
    <row r="63500" spans="7:16" s="1634" customFormat="1">
      <c r="G63500" s="3336"/>
      <c r="P63500" s="3337"/>
    </row>
    <row r="63501" spans="7:16" s="1634" customFormat="1">
      <c r="G63501" s="3336"/>
      <c r="P63501" s="3337"/>
    </row>
    <row r="63502" spans="7:16" s="1634" customFormat="1">
      <c r="G63502" s="3336"/>
      <c r="P63502" s="3337"/>
    </row>
    <row r="63503" spans="7:16" s="1634" customFormat="1">
      <c r="G63503" s="3336"/>
      <c r="P63503" s="3337"/>
    </row>
    <row r="63504" spans="7:16" s="1634" customFormat="1">
      <c r="G63504" s="3336"/>
      <c r="P63504" s="3337"/>
    </row>
    <row r="63505" spans="7:16" s="1634" customFormat="1">
      <c r="G63505" s="3336"/>
      <c r="P63505" s="3337"/>
    </row>
    <row r="63506" spans="7:16" s="1634" customFormat="1">
      <c r="G63506" s="3336"/>
      <c r="P63506" s="3337"/>
    </row>
    <row r="63507" spans="7:16" s="1634" customFormat="1">
      <c r="G63507" s="3336"/>
      <c r="P63507" s="3337"/>
    </row>
    <row r="63508" spans="7:16" s="1634" customFormat="1">
      <c r="G63508" s="3336"/>
      <c r="P63508" s="3337"/>
    </row>
    <row r="63509" spans="7:16" s="1634" customFormat="1">
      <c r="G63509" s="3336"/>
      <c r="P63509" s="3337"/>
    </row>
    <row r="63510" spans="7:16" s="1634" customFormat="1">
      <c r="G63510" s="3336"/>
      <c r="P63510" s="3337"/>
    </row>
    <row r="63511" spans="7:16" s="1634" customFormat="1">
      <c r="G63511" s="3336"/>
      <c r="P63511" s="3337"/>
    </row>
    <row r="63512" spans="7:16" s="1634" customFormat="1">
      <c r="G63512" s="3336"/>
      <c r="P63512" s="3337"/>
    </row>
    <row r="63513" spans="7:16" s="1634" customFormat="1">
      <c r="G63513" s="3336"/>
      <c r="P63513" s="3337"/>
    </row>
    <row r="63514" spans="7:16" s="1634" customFormat="1">
      <c r="G63514" s="3336"/>
      <c r="P63514" s="3337"/>
    </row>
    <row r="63515" spans="7:16" s="1634" customFormat="1">
      <c r="G63515" s="3336"/>
      <c r="P63515" s="3337"/>
    </row>
    <row r="63516" spans="7:16" s="1634" customFormat="1">
      <c r="G63516" s="3336"/>
      <c r="P63516" s="3337"/>
    </row>
    <row r="63517" spans="7:16" s="1634" customFormat="1">
      <c r="G63517" s="3336"/>
      <c r="P63517" s="3337"/>
    </row>
    <row r="63518" spans="7:16" s="1634" customFormat="1">
      <c r="G63518" s="3336"/>
      <c r="P63518" s="3337"/>
    </row>
    <row r="63519" spans="7:16" s="1634" customFormat="1">
      <c r="G63519" s="3336"/>
      <c r="P63519" s="3337"/>
    </row>
    <row r="63520" spans="7:16" s="1634" customFormat="1">
      <c r="G63520" s="3336"/>
      <c r="P63520" s="3337"/>
    </row>
    <row r="63521" spans="7:16" s="1634" customFormat="1">
      <c r="G63521" s="3336"/>
      <c r="P63521" s="3337"/>
    </row>
    <row r="63522" spans="7:16" s="1634" customFormat="1">
      <c r="G63522" s="3336"/>
      <c r="P63522" s="3337"/>
    </row>
    <row r="63523" spans="7:16" s="1634" customFormat="1">
      <c r="G63523" s="3336"/>
      <c r="P63523" s="3337"/>
    </row>
    <row r="63524" spans="7:16" s="1634" customFormat="1">
      <c r="G63524" s="3336"/>
      <c r="P63524" s="3337"/>
    </row>
    <row r="63525" spans="7:16" s="1634" customFormat="1">
      <c r="G63525" s="3336"/>
      <c r="P63525" s="3337"/>
    </row>
    <row r="63526" spans="7:16" s="1634" customFormat="1">
      <c r="G63526" s="3336"/>
      <c r="P63526" s="3337"/>
    </row>
    <row r="63527" spans="7:16" s="1634" customFormat="1">
      <c r="G63527" s="3336"/>
      <c r="P63527" s="3337"/>
    </row>
    <row r="63528" spans="7:16" s="1634" customFormat="1">
      <c r="G63528" s="3336"/>
      <c r="P63528" s="3337"/>
    </row>
    <row r="63529" spans="7:16" s="1634" customFormat="1">
      <c r="G63529" s="3336"/>
      <c r="P63529" s="3337"/>
    </row>
    <row r="63530" spans="7:16" s="1634" customFormat="1">
      <c r="G63530" s="3336"/>
      <c r="P63530" s="3337"/>
    </row>
    <row r="63531" spans="7:16" s="1634" customFormat="1">
      <c r="G63531" s="3336"/>
      <c r="P63531" s="3337"/>
    </row>
    <row r="63532" spans="7:16" s="1634" customFormat="1">
      <c r="G63532" s="3336"/>
      <c r="P63532" s="3337"/>
    </row>
    <row r="63533" spans="7:16" s="1634" customFormat="1">
      <c r="G63533" s="3336"/>
      <c r="P63533" s="3337"/>
    </row>
    <row r="63534" spans="7:16" s="1634" customFormat="1">
      <c r="G63534" s="3336"/>
      <c r="P63534" s="3337"/>
    </row>
    <row r="63535" spans="7:16" s="1634" customFormat="1">
      <c r="G63535" s="3336"/>
      <c r="P63535" s="3337"/>
    </row>
    <row r="63536" spans="7:16" s="1634" customFormat="1">
      <c r="G63536" s="3336"/>
      <c r="P63536" s="3337"/>
    </row>
    <row r="63537" spans="7:16" s="1634" customFormat="1">
      <c r="G63537" s="3336"/>
      <c r="P63537" s="3337"/>
    </row>
    <row r="63538" spans="7:16" s="1634" customFormat="1">
      <c r="G63538" s="3336"/>
      <c r="P63538" s="3337"/>
    </row>
    <row r="63539" spans="7:16" s="1634" customFormat="1">
      <c r="G63539" s="3336"/>
      <c r="P63539" s="3337"/>
    </row>
    <row r="63540" spans="7:16" s="1634" customFormat="1">
      <c r="G63540" s="3336"/>
      <c r="P63540" s="3337"/>
    </row>
    <row r="63541" spans="7:16" s="1634" customFormat="1">
      <c r="G63541" s="3336"/>
      <c r="P63541" s="3337"/>
    </row>
    <row r="63542" spans="7:16" s="1634" customFormat="1">
      <c r="G63542" s="3336"/>
      <c r="P63542" s="3337"/>
    </row>
    <row r="63543" spans="7:16" s="1634" customFormat="1">
      <c r="G63543" s="3336"/>
      <c r="P63543" s="3337"/>
    </row>
    <row r="63544" spans="7:16" s="1634" customFormat="1">
      <c r="G63544" s="3336"/>
      <c r="P63544" s="3337"/>
    </row>
    <row r="63545" spans="7:16" s="1634" customFormat="1">
      <c r="G63545" s="3336"/>
      <c r="P63545" s="3337"/>
    </row>
    <row r="63546" spans="7:16" s="1634" customFormat="1">
      <c r="G63546" s="3336"/>
      <c r="P63546" s="3337"/>
    </row>
    <row r="63547" spans="7:16" s="1634" customFormat="1">
      <c r="G63547" s="3336"/>
      <c r="P63547" s="3337"/>
    </row>
    <row r="63548" spans="7:16" s="1634" customFormat="1">
      <c r="G63548" s="3336"/>
      <c r="P63548" s="3337"/>
    </row>
    <row r="63549" spans="7:16" s="1634" customFormat="1">
      <c r="G63549" s="3336"/>
      <c r="P63549" s="3337"/>
    </row>
    <row r="63550" spans="7:16" s="1634" customFormat="1">
      <c r="G63550" s="3336"/>
      <c r="P63550" s="3337"/>
    </row>
    <row r="63551" spans="7:16" s="1634" customFormat="1">
      <c r="G63551" s="3336"/>
      <c r="P63551" s="3337"/>
    </row>
    <row r="63552" spans="7:16" s="1634" customFormat="1">
      <c r="G63552" s="3336"/>
      <c r="P63552" s="3337"/>
    </row>
    <row r="63553" spans="7:16" s="1634" customFormat="1">
      <c r="G63553" s="3336"/>
      <c r="P63553" s="3337"/>
    </row>
    <row r="63554" spans="7:16" s="1634" customFormat="1">
      <c r="G63554" s="3336"/>
      <c r="P63554" s="3337"/>
    </row>
    <row r="63555" spans="7:16" s="1634" customFormat="1">
      <c r="G63555" s="3336"/>
      <c r="P63555" s="3337"/>
    </row>
    <row r="63556" spans="7:16" s="1634" customFormat="1">
      <c r="G63556" s="3336"/>
      <c r="P63556" s="3337"/>
    </row>
    <row r="63557" spans="7:16" s="1634" customFormat="1">
      <c r="G63557" s="3336"/>
      <c r="P63557" s="3337"/>
    </row>
    <row r="63558" spans="7:16" s="1634" customFormat="1">
      <c r="G63558" s="3336"/>
      <c r="P63558" s="3337"/>
    </row>
    <row r="63559" spans="7:16" s="1634" customFormat="1">
      <c r="G63559" s="3336"/>
      <c r="P63559" s="3337"/>
    </row>
    <row r="63560" spans="7:16" s="1634" customFormat="1">
      <c r="G63560" s="3336"/>
      <c r="P63560" s="3337"/>
    </row>
    <row r="63561" spans="7:16" s="1634" customFormat="1">
      <c r="G63561" s="3336"/>
      <c r="P63561" s="3337"/>
    </row>
    <row r="63562" spans="7:16" s="1634" customFormat="1">
      <c r="G63562" s="3336"/>
      <c r="P63562" s="3337"/>
    </row>
    <row r="63563" spans="7:16" s="1634" customFormat="1">
      <c r="G63563" s="3336"/>
      <c r="P63563" s="3337"/>
    </row>
    <row r="63564" spans="7:16" s="1634" customFormat="1">
      <c r="G63564" s="3336"/>
      <c r="P63564" s="3337"/>
    </row>
    <row r="63565" spans="7:16" s="1634" customFormat="1">
      <c r="G63565" s="3336"/>
      <c r="P63565" s="3337"/>
    </row>
    <row r="63566" spans="7:16" s="1634" customFormat="1">
      <c r="G63566" s="3336"/>
      <c r="P63566" s="3337"/>
    </row>
    <row r="63567" spans="7:16" s="1634" customFormat="1">
      <c r="G63567" s="3336"/>
      <c r="P63567" s="3337"/>
    </row>
    <row r="63568" spans="7:16" s="1634" customFormat="1">
      <c r="G63568" s="3336"/>
      <c r="P63568" s="3337"/>
    </row>
    <row r="63569" spans="7:16" s="1634" customFormat="1">
      <c r="G63569" s="3336"/>
      <c r="P63569" s="3337"/>
    </row>
    <row r="63570" spans="7:16" s="1634" customFormat="1">
      <c r="G63570" s="3336"/>
      <c r="P63570" s="3337"/>
    </row>
    <row r="63571" spans="7:16" s="1634" customFormat="1">
      <c r="G63571" s="3336"/>
      <c r="P63571" s="3337"/>
    </row>
    <row r="63572" spans="7:16" s="1634" customFormat="1">
      <c r="G63572" s="3336"/>
      <c r="P63572" s="3337"/>
    </row>
    <row r="63573" spans="7:16" s="1634" customFormat="1">
      <c r="G63573" s="3336"/>
      <c r="P63573" s="3337"/>
    </row>
    <row r="63574" spans="7:16" s="1634" customFormat="1">
      <c r="G63574" s="3336"/>
      <c r="P63574" s="3337"/>
    </row>
    <row r="63575" spans="7:16" s="1634" customFormat="1">
      <c r="G63575" s="3336"/>
      <c r="P63575" s="3337"/>
    </row>
    <row r="63576" spans="7:16" s="1634" customFormat="1">
      <c r="G63576" s="3336"/>
      <c r="P63576" s="3337"/>
    </row>
    <row r="63577" spans="7:16" s="1634" customFormat="1">
      <c r="G63577" s="3336"/>
      <c r="P63577" s="3337"/>
    </row>
    <row r="63578" spans="7:16" s="1634" customFormat="1">
      <c r="G63578" s="3336"/>
      <c r="P63578" s="3337"/>
    </row>
    <row r="63579" spans="7:16" s="1634" customFormat="1">
      <c r="G63579" s="3336"/>
      <c r="P63579" s="3337"/>
    </row>
    <row r="63580" spans="7:16" s="1634" customFormat="1">
      <c r="G63580" s="3336"/>
      <c r="P63580" s="3337"/>
    </row>
    <row r="63581" spans="7:16" s="1634" customFormat="1">
      <c r="G63581" s="3336"/>
      <c r="P63581" s="3337"/>
    </row>
    <row r="63582" spans="7:16" s="1634" customFormat="1">
      <c r="G63582" s="3336"/>
      <c r="P63582" s="3337"/>
    </row>
    <row r="63583" spans="7:16" s="1634" customFormat="1">
      <c r="G63583" s="3336"/>
      <c r="P63583" s="3337"/>
    </row>
    <row r="63584" spans="7:16" s="1634" customFormat="1">
      <c r="G63584" s="3336"/>
      <c r="P63584" s="3337"/>
    </row>
    <row r="63585" spans="7:16" s="1634" customFormat="1">
      <c r="G63585" s="3336"/>
      <c r="P63585" s="3337"/>
    </row>
    <row r="63586" spans="7:16" s="1634" customFormat="1">
      <c r="G63586" s="3336"/>
      <c r="P63586" s="3337"/>
    </row>
    <row r="63587" spans="7:16" s="1634" customFormat="1">
      <c r="G63587" s="3336"/>
      <c r="P63587" s="3337"/>
    </row>
    <row r="63588" spans="7:16" s="1634" customFormat="1">
      <c r="G63588" s="3336"/>
      <c r="P63588" s="3337"/>
    </row>
    <row r="63589" spans="7:16" s="1634" customFormat="1">
      <c r="G63589" s="3336"/>
      <c r="P63589" s="3337"/>
    </row>
    <row r="63590" spans="7:16" s="1634" customFormat="1">
      <c r="G63590" s="3336"/>
      <c r="P63590" s="3337"/>
    </row>
    <row r="63591" spans="7:16" s="1634" customFormat="1">
      <c r="G63591" s="3336"/>
      <c r="P63591" s="3337"/>
    </row>
    <row r="63592" spans="7:16" s="1634" customFormat="1">
      <c r="G63592" s="3336"/>
      <c r="P63592" s="3337"/>
    </row>
    <row r="63593" spans="7:16" s="1634" customFormat="1">
      <c r="G63593" s="3336"/>
      <c r="P63593" s="3337"/>
    </row>
    <row r="63594" spans="7:16" s="1634" customFormat="1">
      <c r="G63594" s="3336"/>
      <c r="P63594" s="3337"/>
    </row>
    <row r="63595" spans="7:16" s="1634" customFormat="1">
      <c r="G63595" s="3336"/>
      <c r="P63595" s="3337"/>
    </row>
    <row r="63596" spans="7:16" s="1634" customFormat="1">
      <c r="G63596" s="3336"/>
      <c r="P63596" s="3337"/>
    </row>
    <row r="63597" spans="7:16" s="1634" customFormat="1">
      <c r="G63597" s="3336"/>
      <c r="P63597" s="3337"/>
    </row>
    <row r="63598" spans="7:16" s="1634" customFormat="1">
      <c r="G63598" s="3336"/>
      <c r="P63598" s="3337"/>
    </row>
    <row r="63599" spans="7:16" s="1634" customFormat="1">
      <c r="G63599" s="3336"/>
      <c r="P63599" s="3337"/>
    </row>
    <row r="63600" spans="7:16" s="1634" customFormat="1">
      <c r="G63600" s="3336"/>
      <c r="P63600" s="3337"/>
    </row>
    <row r="63601" spans="7:16" s="1634" customFormat="1">
      <c r="G63601" s="3336"/>
      <c r="P63601" s="3337"/>
    </row>
    <row r="63602" spans="7:16" s="1634" customFormat="1">
      <c r="G63602" s="3336"/>
      <c r="P63602" s="3337"/>
    </row>
    <row r="63603" spans="7:16" s="1634" customFormat="1">
      <c r="G63603" s="3336"/>
      <c r="P63603" s="3337"/>
    </row>
    <row r="63604" spans="7:16" s="1634" customFormat="1">
      <c r="G63604" s="3336"/>
      <c r="P63604" s="3337"/>
    </row>
    <row r="63605" spans="7:16" s="1634" customFormat="1">
      <c r="G63605" s="3336"/>
      <c r="P63605" s="3337"/>
    </row>
    <row r="63606" spans="7:16" s="1634" customFormat="1">
      <c r="G63606" s="3336"/>
      <c r="P63606" s="3337"/>
    </row>
    <row r="63607" spans="7:16" s="1634" customFormat="1">
      <c r="G63607" s="3336"/>
      <c r="P63607" s="3337"/>
    </row>
    <row r="63608" spans="7:16" s="1634" customFormat="1">
      <c r="G63608" s="3336"/>
      <c r="P63608" s="3337"/>
    </row>
    <row r="63609" spans="7:16" s="1634" customFormat="1">
      <c r="G63609" s="3336"/>
      <c r="P63609" s="3337"/>
    </row>
    <row r="63610" spans="7:16" s="1634" customFormat="1">
      <c r="G63610" s="3336"/>
      <c r="P63610" s="3337"/>
    </row>
    <row r="63611" spans="7:16" s="1634" customFormat="1">
      <c r="G63611" s="3336"/>
      <c r="P63611" s="3337"/>
    </row>
    <row r="63612" spans="7:16" s="1634" customFormat="1">
      <c r="G63612" s="3336"/>
      <c r="P63612" s="3337"/>
    </row>
    <row r="63613" spans="7:16" s="1634" customFormat="1">
      <c r="G63613" s="3336"/>
      <c r="P63613" s="3337"/>
    </row>
    <row r="63614" spans="7:16" s="1634" customFormat="1">
      <c r="G63614" s="3336"/>
      <c r="P63614" s="3337"/>
    </row>
    <row r="63615" spans="7:16" s="1634" customFormat="1">
      <c r="G63615" s="3336"/>
      <c r="P63615" s="3337"/>
    </row>
    <row r="63616" spans="7:16" s="1634" customFormat="1">
      <c r="G63616" s="3336"/>
      <c r="P63616" s="3337"/>
    </row>
    <row r="63617" spans="7:16" s="1634" customFormat="1">
      <c r="G63617" s="3336"/>
      <c r="P63617" s="3337"/>
    </row>
    <row r="63618" spans="7:16" s="1634" customFormat="1">
      <c r="G63618" s="3336"/>
      <c r="P63618" s="3337"/>
    </row>
    <row r="63619" spans="7:16" s="1634" customFormat="1">
      <c r="G63619" s="3336"/>
      <c r="P63619" s="3337"/>
    </row>
    <row r="63620" spans="7:16" s="1634" customFormat="1">
      <c r="G63620" s="3336"/>
      <c r="P63620" s="3337"/>
    </row>
    <row r="63621" spans="7:16" s="1634" customFormat="1">
      <c r="G63621" s="3336"/>
      <c r="P63621" s="3337"/>
    </row>
    <row r="63622" spans="7:16" s="1634" customFormat="1">
      <c r="G63622" s="3336"/>
      <c r="P63622" s="3337"/>
    </row>
    <row r="63623" spans="7:16" s="1634" customFormat="1">
      <c r="G63623" s="3336"/>
      <c r="P63623" s="3337"/>
    </row>
    <row r="63624" spans="7:16" s="1634" customFormat="1">
      <c r="G63624" s="3336"/>
      <c r="P63624" s="3337"/>
    </row>
    <row r="63625" spans="7:16" s="1634" customFormat="1">
      <c r="G63625" s="3336"/>
      <c r="P63625" s="3337"/>
    </row>
    <row r="63626" spans="7:16" s="1634" customFormat="1">
      <c r="G63626" s="3336"/>
      <c r="P63626" s="3337"/>
    </row>
    <row r="63627" spans="7:16" s="1634" customFormat="1">
      <c r="G63627" s="3336"/>
      <c r="P63627" s="3337"/>
    </row>
    <row r="63628" spans="7:16" s="1634" customFormat="1">
      <c r="G63628" s="3336"/>
      <c r="P63628" s="3337"/>
    </row>
    <row r="63629" spans="7:16" s="1634" customFormat="1">
      <c r="G63629" s="3336"/>
      <c r="P63629" s="3337"/>
    </row>
    <row r="63630" spans="7:16" s="1634" customFormat="1">
      <c r="G63630" s="3336"/>
      <c r="P63630" s="3337"/>
    </row>
    <row r="63631" spans="7:16" s="1634" customFormat="1">
      <c r="G63631" s="3336"/>
      <c r="P63631" s="3337"/>
    </row>
    <row r="63632" spans="7:16" s="1634" customFormat="1">
      <c r="G63632" s="3336"/>
      <c r="P63632" s="3337"/>
    </row>
    <row r="63633" spans="7:16" s="1634" customFormat="1">
      <c r="G63633" s="3336"/>
      <c r="P63633" s="3337"/>
    </row>
    <row r="63634" spans="7:16" s="1634" customFormat="1">
      <c r="G63634" s="3336"/>
      <c r="P63634" s="3337"/>
    </row>
    <row r="63635" spans="7:16" s="1634" customFormat="1">
      <c r="G63635" s="3336"/>
      <c r="P63635" s="3337"/>
    </row>
    <row r="63636" spans="7:16" s="1634" customFormat="1">
      <c r="G63636" s="3336"/>
      <c r="P63636" s="3337"/>
    </row>
    <row r="63637" spans="7:16" s="1634" customFormat="1">
      <c r="G63637" s="3336"/>
      <c r="P63637" s="3337"/>
    </row>
    <row r="63638" spans="7:16" s="1634" customFormat="1">
      <c r="G63638" s="3336"/>
      <c r="P63638" s="3337"/>
    </row>
    <row r="63639" spans="7:16" s="1634" customFormat="1">
      <c r="G63639" s="3336"/>
      <c r="P63639" s="3337"/>
    </row>
    <row r="63640" spans="7:16" s="1634" customFormat="1">
      <c r="G63640" s="3336"/>
      <c r="P63640" s="3337"/>
    </row>
    <row r="63641" spans="7:16" s="1634" customFormat="1">
      <c r="G63641" s="3336"/>
      <c r="P63641" s="3337"/>
    </row>
    <row r="63642" spans="7:16" s="1634" customFormat="1">
      <c r="G63642" s="3336"/>
      <c r="P63642" s="3337"/>
    </row>
    <row r="63643" spans="7:16" s="1634" customFormat="1">
      <c r="G63643" s="3336"/>
      <c r="P63643" s="3337"/>
    </row>
    <row r="63644" spans="7:16" s="1634" customFormat="1">
      <c r="G63644" s="3336"/>
      <c r="P63644" s="3337"/>
    </row>
    <row r="63645" spans="7:16" s="1634" customFormat="1">
      <c r="G63645" s="3336"/>
      <c r="P63645" s="3337"/>
    </row>
    <row r="63646" spans="7:16" s="1634" customFormat="1">
      <c r="G63646" s="3336"/>
      <c r="P63646" s="3337"/>
    </row>
    <row r="63647" spans="7:16" s="1634" customFormat="1">
      <c r="G63647" s="3336"/>
      <c r="P63647" s="3337"/>
    </row>
    <row r="63648" spans="7:16" s="1634" customFormat="1">
      <c r="G63648" s="3336"/>
      <c r="P63648" s="3337"/>
    </row>
    <row r="63649" spans="7:16" s="1634" customFormat="1">
      <c r="G63649" s="3336"/>
      <c r="P63649" s="3337"/>
    </row>
    <row r="63650" spans="7:16" s="1634" customFormat="1">
      <c r="G63650" s="3336"/>
      <c r="P63650" s="3337"/>
    </row>
    <row r="63651" spans="7:16" s="1634" customFormat="1">
      <c r="G63651" s="3336"/>
      <c r="P63651" s="3337"/>
    </row>
    <row r="63652" spans="7:16" s="1634" customFormat="1">
      <c r="G63652" s="3336"/>
      <c r="P63652" s="3337"/>
    </row>
    <row r="63653" spans="7:16" s="1634" customFormat="1">
      <c r="G63653" s="3336"/>
      <c r="P63653" s="3337"/>
    </row>
    <row r="63654" spans="7:16" s="1634" customFormat="1">
      <c r="G63654" s="3336"/>
      <c r="P63654" s="3337"/>
    </row>
    <row r="63655" spans="7:16" s="1634" customFormat="1">
      <c r="G63655" s="3336"/>
      <c r="P63655" s="3337"/>
    </row>
    <row r="63656" spans="7:16" s="1634" customFormat="1">
      <c r="G63656" s="3336"/>
      <c r="P63656" s="3337"/>
    </row>
    <row r="63657" spans="7:16" s="1634" customFormat="1">
      <c r="G63657" s="3336"/>
      <c r="P63657" s="3337"/>
    </row>
    <row r="63658" spans="7:16" s="1634" customFormat="1">
      <c r="G63658" s="3336"/>
      <c r="P63658" s="3337"/>
    </row>
    <row r="63659" spans="7:16" s="1634" customFormat="1">
      <c r="G63659" s="3336"/>
      <c r="P63659" s="3337"/>
    </row>
    <row r="63660" spans="7:16" s="1634" customFormat="1">
      <c r="G63660" s="3336"/>
      <c r="P63660" s="3337"/>
    </row>
    <row r="63661" spans="7:16" s="1634" customFormat="1">
      <c r="G63661" s="3336"/>
      <c r="P63661" s="3337"/>
    </row>
    <row r="63662" spans="7:16" s="1634" customFormat="1">
      <c r="G63662" s="3336"/>
      <c r="P63662" s="3337"/>
    </row>
    <row r="63663" spans="7:16" s="1634" customFormat="1">
      <c r="G63663" s="3336"/>
      <c r="P63663" s="3337"/>
    </row>
    <row r="63664" spans="7:16" s="1634" customFormat="1">
      <c r="G63664" s="3336"/>
      <c r="P63664" s="3337"/>
    </row>
    <row r="63665" spans="7:16" s="1634" customFormat="1">
      <c r="G63665" s="3336"/>
      <c r="P63665" s="3337"/>
    </row>
    <row r="63666" spans="7:16" s="1634" customFormat="1">
      <c r="G63666" s="3336"/>
      <c r="P63666" s="3337"/>
    </row>
    <row r="63667" spans="7:16" s="1634" customFormat="1">
      <c r="G63667" s="3336"/>
      <c r="P63667" s="3337"/>
    </row>
    <row r="63668" spans="7:16" s="1634" customFormat="1">
      <c r="G63668" s="3336"/>
      <c r="P63668" s="3337"/>
    </row>
    <row r="63669" spans="7:16" s="1634" customFormat="1">
      <c r="G63669" s="3336"/>
      <c r="P63669" s="3337"/>
    </row>
    <row r="63670" spans="7:16" s="1634" customFormat="1">
      <c r="G63670" s="3336"/>
      <c r="P63670" s="3337"/>
    </row>
    <row r="63671" spans="7:16" s="1634" customFormat="1">
      <c r="G63671" s="3336"/>
      <c r="P63671" s="3337"/>
    </row>
    <row r="63672" spans="7:16" s="1634" customFormat="1">
      <c r="G63672" s="3336"/>
      <c r="P63672" s="3337"/>
    </row>
    <row r="63673" spans="7:16" s="1634" customFormat="1">
      <c r="G63673" s="3336"/>
      <c r="P63673" s="3337"/>
    </row>
    <row r="63674" spans="7:16" s="1634" customFormat="1">
      <c r="G63674" s="3336"/>
      <c r="P63674" s="3337"/>
    </row>
    <row r="63675" spans="7:16" s="1634" customFormat="1">
      <c r="G63675" s="3336"/>
      <c r="P63675" s="3337"/>
    </row>
    <row r="63676" spans="7:16" s="1634" customFormat="1">
      <c r="G63676" s="3336"/>
      <c r="P63676" s="3337"/>
    </row>
    <row r="63677" spans="7:16" s="1634" customFormat="1">
      <c r="G63677" s="3336"/>
      <c r="P63677" s="3337"/>
    </row>
    <row r="63678" spans="7:16" s="1634" customFormat="1">
      <c r="G63678" s="3336"/>
      <c r="P63678" s="3337"/>
    </row>
    <row r="63679" spans="7:16" s="1634" customFormat="1">
      <c r="G63679" s="3336"/>
      <c r="P63679" s="3337"/>
    </row>
    <row r="63680" spans="7:16" s="1634" customFormat="1">
      <c r="G63680" s="3336"/>
      <c r="P63680" s="3337"/>
    </row>
    <row r="63681" spans="7:16" s="1634" customFormat="1">
      <c r="G63681" s="3336"/>
      <c r="P63681" s="3337"/>
    </row>
    <row r="63682" spans="7:16" s="1634" customFormat="1">
      <c r="G63682" s="3336"/>
      <c r="P63682" s="3337"/>
    </row>
    <row r="63683" spans="7:16" s="1634" customFormat="1">
      <c r="G63683" s="3336"/>
      <c r="P63683" s="3337"/>
    </row>
    <row r="63684" spans="7:16" s="1634" customFormat="1">
      <c r="G63684" s="3336"/>
      <c r="P63684" s="3337"/>
    </row>
    <row r="63685" spans="7:16" s="1634" customFormat="1">
      <c r="G63685" s="3336"/>
      <c r="P63685" s="3337"/>
    </row>
    <row r="63686" spans="7:16" s="1634" customFormat="1">
      <c r="G63686" s="3336"/>
      <c r="P63686" s="3337"/>
    </row>
    <row r="63687" spans="7:16" s="1634" customFormat="1">
      <c r="G63687" s="3336"/>
      <c r="P63687" s="3337"/>
    </row>
    <row r="63688" spans="7:16" s="1634" customFormat="1">
      <c r="G63688" s="3336"/>
      <c r="P63688" s="3337"/>
    </row>
    <row r="63689" spans="7:16" s="1634" customFormat="1">
      <c r="G63689" s="3336"/>
      <c r="P63689" s="3337"/>
    </row>
    <row r="63690" spans="7:16" s="1634" customFormat="1">
      <c r="G63690" s="3336"/>
      <c r="P63690" s="3337"/>
    </row>
    <row r="63691" spans="7:16" s="1634" customFormat="1">
      <c r="G63691" s="3336"/>
      <c r="P63691" s="3337"/>
    </row>
    <row r="63692" spans="7:16" s="1634" customFormat="1">
      <c r="G63692" s="3336"/>
      <c r="P63692" s="3337"/>
    </row>
    <row r="63693" spans="7:16" s="1634" customFormat="1">
      <c r="G63693" s="3336"/>
      <c r="P63693" s="3337"/>
    </row>
    <row r="63694" spans="7:16" s="1634" customFormat="1">
      <c r="G63694" s="3336"/>
      <c r="P63694" s="3337"/>
    </row>
    <row r="63695" spans="7:16" s="1634" customFormat="1">
      <c r="G63695" s="3336"/>
      <c r="P63695" s="3337"/>
    </row>
    <row r="63696" spans="7:16" s="1634" customFormat="1">
      <c r="G63696" s="3336"/>
      <c r="P63696" s="3337"/>
    </row>
    <row r="63697" spans="7:16" s="1634" customFormat="1">
      <c r="G63697" s="3336"/>
      <c r="P63697" s="3337"/>
    </row>
    <row r="63698" spans="7:16" s="1634" customFormat="1">
      <c r="G63698" s="3336"/>
      <c r="P63698" s="3337"/>
    </row>
    <row r="63699" spans="7:16" s="1634" customFormat="1">
      <c r="G63699" s="3336"/>
      <c r="P63699" s="3337"/>
    </row>
    <row r="63700" spans="7:16" s="1634" customFormat="1">
      <c r="G63700" s="3336"/>
      <c r="P63700" s="3337"/>
    </row>
    <row r="63701" spans="7:16" s="1634" customFormat="1">
      <c r="G63701" s="3336"/>
      <c r="P63701" s="3337"/>
    </row>
    <row r="63702" spans="7:16" s="1634" customFormat="1">
      <c r="G63702" s="3336"/>
      <c r="P63702" s="3337"/>
    </row>
    <row r="63703" spans="7:16" s="1634" customFormat="1">
      <c r="G63703" s="3336"/>
      <c r="P63703" s="3337"/>
    </row>
    <row r="63704" spans="7:16" s="1634" customFormat="1">
      <c r="G63704" s="3336"/>
      <c r="P63704" s="3337"/>
    </row>
    <row r="63705" spans="7:16" s="1634" customFormat="1">
      <c r="G63705" s="3336"/>
      <c r="P63705" s="3337"/>
    </row>
    <row r="63706" spans="7:16" s="1634" customFormat="1">
      <c r="G63706" s="3336"/>
      <c r="P63706" s="3337"/>
    </row>
    <row r="63707" spans="7:16" s="1634" customFormat="1">
      <c r="G63707" s="3336"/>
      <c r="P63707" s="3337"/>
    </row>
    <row r="63708" spans="7:16" s="1634" customFormat="1">
      <c r="G63708" s="3336"/>
      <c r="P63708" s="3337"/>
    </row>
    <row r="63709" spans="7:16" s="1634" customFormat="1">
      <c r="G63709" s="3336"/>
      <c r="P63709" s="3337"/>
    </row>
    <row r="63710" spans="7:16" s="1634" customFormat="1">
      <c r="G63710" s="3336"/>
      <c r="P63710" s="3337"/>
    </row>
    <row r="63711" spans="7:16" s="1634" customFormat="1">
      <c r="G63711" s="3336"/>
      <c r="P63711" s="3337"/>
    </row>
    <row r="63712" spans="7:16" s="1634" customFormat="1">
      <c r="G63712" s="3336"/>
      <c r="P63712" s="3337"/>
    </row>
    <row r="63713" spans="7:16" s="1634" customFormat="1">
      <c r="G63713" s="3336"/>
      <c r="P63713" s="3337"/>
    </row>
    <row r="63714" spans="7:16" s="1634" customFormat="1">
      <c r="G63714" s="3336"/>
      <c r="P63714" s="3337"/>
    </row>
    <row r="63715" spans="7:16" s="1634" customFormat="1">
      <c r="G63715" s="3336"/>
      <c r="P63715" s="3337"/>
    </row>
    <row r="63716" spans="7:16" s="1634" customFormat="1">
      <c r="G63716" s="3336"/>
      <c r="P63716" s="3337"/>
    </row>
    <row r="63717" spans="7:16" s="1634" customFormat="1">
      <c r="G63717" s="3336"/>
      <c r="P63717" s="3337"/>
    </row>
    <row r="63718" spans="7:16" s="1634" customFormat="1">
      <c r="G63718" s="3336"/>
      <c r="P63718" s="3337"/>
    </row>
    <row r="63719" spans="7:16" s="1634" customFormat="1">
      <c r="G63719" s="3336"/>
      <c r="P63719" s="3337"/>
    </row>
    <row r="63720" spans="7:16" s="1634" customFormat="1">
      <c r="G63720" s="3336"/>
      <c r="P63720" s="3337"/>
    </row>
    <row r="63721" spans="7:16" s="1634" customFormat="1">
      <c r="G63721" s="3336"/>
      <c r="P63721" s="3337"/>
    </row>
    <row r="63722" spans="7:16" s="1634" customFormat="1">
      <c r="G63722" s="3336"/>
      <c r="P63722" s="3337"/>
    </row>
    <row r="63723" spans="7:16" s="1634" customFormat="1">
      <c r="G63723" s="3336"/>
      <c r="P63723" s="3337"/>
    </row>
    <row r="63724" spans="7:16" s="1634" customFormat="1">
      <c r="G63724" s="3336"/>
      <c r="P63724" s="3337"/>
    </row>
    <row r="63725" spans="7:16" s="1634" customFormat="1">
      <c r="G63725" s="3336"/>
      <c r="P63725" s="3337"/>
    </row>
    <row r="63726" spans="7:16" s="1634" customFormat="1">
      <c r="G63726" s="3336"/>
      <c r="P63726" s="3337"/>
    </row>
    <row r="63727" spans="7:16" s="1634" customFormat="1">
      <c r="G63727" s="3336"/>
      <c r="P63727" s="3337"/>
    </row>
    <row r="63728" spans="7:16" s="1634" customFormat="1">
      <c r="G63728" s="3336"/>
      <c r="P63728" s="3337"/>
    </row>
    <row r="63729" spans="7:16" s="1634" customFormat="1">
      <c r="G63729" s="3336"/>
      <c r="P63729" s="3337"/>
    </row>
    <row r="63730" spans="7:16" s="1634" customFormat="1">
      <c r="G63730" s="3336"/>
      <c r="P63730" s="3337"/>
    </row>
    <row r="63731" spans="7:16" s="1634" customFormat="1">
      <c r="G63731" s="3336"/>
      <c r="P63731" s="3337"/>
    </row>
    <row r="63732" spans="7:16" s="1634" customFormat="1">
      <c r="G63732" s="3336"/>
      <c r="P63732" s="3337"/>
    </row>
    <row r="63733" spans="7:16" s="1634" customFormat="1">
      <c r="G63733" s="3336"/>
      <c r="P63733" s="3337"/>
    </row>
    <row r="63734" spans="7:16" s="1634" customFormat="1">
      <c r="G63734" s="3336"/>
      <c r="P63734" s="3337"/>
    </row>
    <row r="63735" spans="7:16" s="1634" customFormat="1">
      <c r="G63735" s="3336"/>
      <c r="P63735" s="3337"/>
    </row>
    <row r="63736" spans="7:16" s="1634" customFormat="1">
      <c r="G63736" s="3336"/>
      <c r="P63736" s="3337"/>
    </row>
    <row r="63737" spans="7:16" s="1634" customFormat="1">
      <c r="G63737" s="3336"/>
      <c r="P63737" s="3337"/>
    </row>
    <row r="63738" spans="7:16" s="1634" customFormat="1">
      <c r="G63738" s="3336"/>
      <c r="P63738" s="3337"/>
    </row>
    <row r="63739" spans="7:16" s="1634" customFormat="1">
      <c r="G63739" s="3336"/>
      <c r="P63739" s="3337"/>
    </row>
    <row r="63740" spans="7:16" s="1634" customFormat="1">
      <c r="G63740" s="3336"/>
      <c r="P63740" s="3337"/>
    </row>
    <row r="63741" spans="7:16" s="1634" customFormat="1">
      <c r="G63741" s="3336"/>
      <c r="P63741" s="3337"/>
    </row>
    <row r="63742" spans="7:16" s="1634" customFormat="1">
      <c r="G63742" s="3336"/>
      <c r="P63742" s="3337"/>
    </row>
    <row r="63743" spans="7:16" s="1634" customFormat="1">
      <c r="G63743" s="3336"/>
      <c r="P63743" s="3337"/>
    </row>
    <row r="63744" spans="7:16" s="1634" customFormat="1">
      <c r="G63744" s="3336"/>
      <c r="P63744" s="3337"/>
    </row>
    <row r="63745" spans="7:16" s="1634" customFormat="1">
      <c r="G63745" s="3336"/>
      <c r="P63745" s="3337"/>
    </row>
    <row r="63746" spans="7:16" s="1634" customFormat="1">
      <c r="G63746" s="3336"/>
      <c r="P63746" s="3337"/>
    </row>
    <row r="63747" spans="7:16" s="1634" customFormat="1">
      <c r="G63747" s="3336"/>
      <c r="P63747" s="3337"/>
    </row>
    <row r="63748" spans="7:16" s="1634" customFormat="1">
      <c r="G63748" s="3336"/>
      <c r="P63748" s="3337"/>
    </row>
    <row r="63749" spans="7:16" s="1634" customFormat="1">
      <c r="G63749" s="3336"/>
      <c r="P63749" s="3337"/>
    </row>
    <row r="63750" spans="7:16" s="1634" customFormat="1">
      <c r="G63750" s="3336"/>
      <c r="P63750" s="3337"/>
    </row>
    <row r="63751" spans="7:16" s="1634" customFormat="1">
      <c r="G63751" s="3336"/>
      <c r="P63751" s="3337"/>
    </row>
    <row r="63752" spans="7:16" s="1634" customFormat="1">
      <c r="G63752" s="3336"/>
      <c r="P63752" s="3337"/>
    </row>
    <row r="63753" spans="7:16" s="1634" customFormat="1">
      <c r="G63753" s="3336"/>
      <c r="P63753" s="3337"/>
    </row>
    <row r="63754" spans="7:16" s="1634" customFormat="1">
      <c r="G63754" s="3336"/>
      <c r="P63754" s="3337"/>
    </row>
    <row r="63755" spans="7:16" s="1634" customFormat="1">
      <c r="G63755" s="3336"/>
      <c r="P63755" s="3337"/>
    </row>
    <row r="63756" spans="7:16" s="1634" customFormat="1">
      <c r="G63756" s="3336"/>
      <c r="P63756" s="3337"/>
    </row>
    <row r="63757" spans="7:16" s="1634" customFormat="1">
      <c r="G63757" s="3336"/>
      <c r="P63757" s="3337"/>
    </row>
    <row r="63758" spans="7:16" s="1634" customFormat="1">
      <c r="G63758" s="3336"/>
      <c r="P63758" s="3337"/>
    </row>
    <row r="63759" spans="7:16" s="1634" customFormat="1">
      <c r="G63759" s="3336"/>
      <c r="P63759" s="3337"/>
    </row>
    <row r="63760" spans="7:16" s="1634" customFormat="1">
      <c r="G63760" s="3336"/>
      <c r="P63760" s="3337"/>
    </row>
    <row r="63761" spans="7:16" s="1634" customFormat="1">
      <c r="G63761" s="3336"/>
      <c r="P63761" s="3337"/>
    </row>
    <row r="63762" spans="7:16" s="1634" customFormat="1">
      <c r="G63762" s="3336"/>
      <c r="P63762" s="3337"/>
    </row>
    <row r="63763" spans="7:16" s="1634" customFormat="1">
      <c r="G63763" s="3336"/>
      <c r="P63763" s="3337"/>
    </row>
    <row r="63764" spans="7:16" s="1634" customFormat="1">
      <c r="G63764" s="3336"/>
      <c r="P63764" s="3337"/>
    </row>
    <row r="63765" spans="7:16" s="1634" customFormat="1">
      <c r="G63765" s="3336"/>
      <c r="P63765" s="3337"/>
    </row>
    <row r="63766" spans="7:16" s="1634" customFormat="1">
      <c r="G63766" s="3336"/>
      <c r="P63766" s="3337"/>
    </row>
    <row r="63767" spans="7:16" s="1634" customFormat="1">
      <c r="G63767" s="3336"/>
      <c r="P63767" s="3337"/>
    </row>
    <row r="63768" spans="7:16" s="1634" customFormat="1">
      <c r="G63768" s="3336"/>
      <c r="P63768" s="3337"/>
    </row>
    <row r="63769" spans="7:16" s="1634" customFormat="1">
      <c r="G63769" s="3336"/>
      <c r="P63769" s="3337"/>
    </row>
    <row r="63770" spans="7:16" s="1634" customFormat="1">
      <c r="G63770" s="3336"/>
      <c r="P63770" s="3337"/>
    </row>
    <row r="63771" spans="7:16" s="1634" customFormat="1">
      <c r="G63771" s="3336"/>
      <c r="P63771" s="3337"/>
    </row>
    <row r="63772" spans="7:16" s="1634" customFormat="1">
      <c r="G63772" s="3336"/>
      <c r="P63772" s="3337"/>
    </row>
    <row r="63773" spans="7:16" s="1634" customFormat="1">
      <c r="G63773" s="3336"/>
      <c r="P63773" s="3337"/>
    </row>
    <row r="63774" spans="7:16" s="1634" customFormat="1">
      <c r="G63774" s="3336"/>
      <c r="P63774" s="3337"/>
    </row>
    <row r="63775" spans="7:16" s="1634" customFormat="1">
      <c r="G63775" s="3336"/>
      <c r="P63775" s="3337"/>
    </row>
    <row r="63776" spans="7:16" s="1634" customFormat="1">
      <c r="G63776" s="3336"/>
      <c r="P63776" s="3337"/>
    </row>
    <row r="63777" spans="7:16" s="1634" customFormat="1">
      <c r="G63777" s="3336"/>
      <c r="P63777" s="3337"/>
    </row>
    <row r="63778" spans="7:16" s="1634" customFormat="1">
      <c r="G63778" s="3336"/>
      <c r="P63778" s="3337"/>
    </row>
    <row r="63779" spans="7:16" s="1634" customFormat="1">
      <c r="G63779" s="3336"/>
      <c r="P63779" s="3337"/>
    </row>
    <row r="63780" spans="7:16" s="1634" customFormat="1">
      <c r="G63780" s="3336"/>
      <c r="P63780" s="3337"/>
    </row>
    <row r="63781" spans="7:16" s="1634" customFormat="1">
      <c r="G63781" s="3336"/>
      <c r="P63781" s="3337"/>
    </row>
    <row r="63782" spans="7:16" s="1634" customFormat="1">
      <c r="G63782" s="3336"/>
      <c r="P63782" s="3337"/>
    </row>
    <row r="63783" spans="7:16" s="1634" customFormat="1">
      <c r="G63783" s="3336"/>
      <c r="P63783" s="3337"/>
    </row>
    <row r="63784" spans="7:16" s="1634" customFormat="1">
      <c r="G63784" s="3336"/>
      <c r="P63784" s="3337"/>
    </row>
    <row r="63785" spans="7:16" s="1634" customFormat="1">
      <c r="G63785" s="3336"/>
      <c r="P63785" s="3337"/>
    </row>
    <row r="63786" spans="7:16" s="1634" customFormat="1">
      <c r="G63786" s="3336"/>
      <c r="P63786" s="3337"/>
    </row>
    <row r="63787" spans="7:16" s="1634" customFormat="1">
      <c r="G63787" s="3336"/>
      <c r="P63787" s="3337"/>
    </row>
    <row r="63788" spans="7:16" s="1634" customFormat="1">
      <c r="G63788" s="3336"/>
      <c r="P63788" s="3337"/>
    </row>
    <row r="63789" spans="7:16" s="1634" customFormat="1">
      <c r="G63789" s="3336"/>
      <c r="P63789" s="3337"/>
    </row>
    <row r="63790" spans="7:16" s="1634" customFormat="1">
      <c r="G63790" s="3336"/>
      <c r="P63790" s="3337"/>
    </row>
    <row r="63791" spans="7:16" s="1634" customFormat="1">
      <c r="G63791" s="3336"/>
      <c r="P63791" s="3337"/>
    </row>
    <row r="63792" spans="7:16" s="1634" customFormat="1">
      <c r="G63792" s="3336"/>
      <c r="P63792" s="3337"/>
    </row>
    <row r="63793" spans="7:16" s="1634" customFormat="1">
      <c r="G63793" s="3336"/>
      <c r="P63793" s="3337"/>
    </row>
    <row r="63794" spans="7:16" s="1634" customFormat="1">
      <c r="G63794" s="3336"/>
      <c r="P63794" s="3337"/>
    </row>
    <row r="63795" spans="7:16" s="1634" customFormat="1">
      <c r="G63795" s="3336"/>
      <c r="P63795" s="3337"/>
    </row>
    <row r="63796" spans="7:16" s="1634" customFormat="1">
      <c r="G63796" s="3336"/>
      <c r="P63796" s="3337"/>
    </row>
    <row r="63797" spans="7:16" s="1634" customFormat="1">
      <c r="G63797" s="3336"/>
      <c r="P63797" s="3337"/>
    </row>
    <row r="63798" spans="7:16" s="1634" customFormat="1">
      <c r="G63798" s="3336"/>
      <c r="P63798" s="3337"/>
    </row>
    <row r="63799" spans="7:16" s="1634" customFormat="1">
      <c r="G63799" s="3336"/>
      <c r="P63799" s="3337"/>
    </row>
    <row r="63800" spans="7:16" s="1634" customFormat="1">
      <c r="G63800" s="3336"/>
      <c r="P63800" s="3337"/>
    </row>
    <row r="63801" spans="7:16" s="1634" customFormat="1">
      <c r="G63801" s="3336"/>
      <c r="P63801" s="3337"/>
    </row>
    <row r="63802" spans="7:16" s="1634" customFormat="1">
      <c r="G63802" s="3336"/>
      <c r="P63802" s="3337"/>
    </row>
    <row r="63803" spans="7:16" s="1634" customFormat="1">
      <c r="G63803" s="3336"/>
      <c r="P63803" s="3337"/>
    </row>
    <row r="63804" spans="7:16" s="1634" customFormat="1">
      <c r="G63804" s="3336"/>
      <c r="P63804" s="3337"/>
    </row>
    <row r="63805" spans="7:16" s="1634" customFormat="1">
      <c r="G63805" s="3336"/>
      <c r="P63805" s="3337"/>
    </row>
    <row r="63806" spans="7:16" s="1634" customFormat="1">
      <c r="G63806" s="3336"/>
      <c r="P63806" s="3337"/>
    </row>
    <row r="63807" spans="7:16" s="1634" customFormat="1">
      <c r="G63807" s="3336"/>
      <c r="P63807" s="3337"/>
    </row>
    <row r="63808" spans="7:16" s="1634" customFormat="1">
      <c r="G63808" s="3336"/>
      <c r="P63808" s="3337"/>
    </row>
    <row r="63809" spans="7:16" s="1634" customFormat="1">
      <c r="G63809" s="3336"/>
      <c r="P63809" s="3337"/>
    </row>
    <row r="63810" spans="7:16" s="1634" customFormat="1">
      <c r="G63810" s="3336"/>
      <c r="P63810" s="3337"/>
    </row>
    <row r="63811" spans="7:16" s="1634" customFormat="1">
      <c r="G63811" s="3336"/>
      <c r="P63811" s="3337"/>
    </row>
    <row r="63812" spans="7:16" s="1634" customFormat="1">
      <c r="G63812" s="3336"/>
      <c r="P63812" s="3337"/>
    </row>
    <row r="63813" spans="7:16" s="1634" customFormat="1">
      <c r="G63813" s="3336"/>
      <c r="P63813" s="3337"/>
    </row>
    <row r="63814" spans="7:16" s="1634" customFormat="1">
      <c r="G63814" s="3336"/>
      <c r="P63814" s="3337"/>
    </row>
    <row r="63815" spans="7:16" s="1634" customFormat="1">
      <c r="G63815" s="3336"/>
      <c r="P63815" s="3337"/>
    </row>
    <row r="63816" spans="7:16" s="1634" customFormat="1">
      <c r="G63816" s="3336"/>
      <c r="P63816" s="3337"/>
    </row>
    <row r="63817" spans="7:16" s="1634" customFormat="1">
      <c r="G63817" s="3336"/>
      <c r="P63817" s="3337"/>
    </row>
    <row r="63818" spans="7:16" s="1634" customFormat="1">
      <c r="G63818" s="3336"/>
      <c r="P63818" s="3337"/>
    </row>
    <row r="63819" spans="7:16" s="1634" customFormat="1">
      <c r="G63819" s="3336"/>
      <c r="P63819" s="3337"/>
    </row>
    <row r="63820" spans="7:16" s="1634" customFormat="1">
      <c r="G63820" s="3336"/>
      <c r="P63820" s="3337"/>
    </row>
    <row r="63821" spans="7:16" s="1634" customFormat="1">
      <c r="G63821" s="3336"/>
      <c r="P63821" s="3337"/>
    </row>
    <row r="63822" spans="7:16" s="1634" customFormat="1">
      <c r="G63822" s="3336"/>
      <c r="P63822" s="3337"/>
    </row>
    <row r="63823" spans="7:16" s="1634" customFormat="1">
      <c r="G63823" s="3336"/>
      <c r="P63823" s="3337"/>
    </row>
    <row r="63824" spans="7:16" s="1634" customFormat="1">
      <c r="G63824" s="3336"/>
      <c r="P63824" s="3337"/>
    </row>
    <row r="63825" spans="7:16" s="1634" customFormat="1">
      <c r="G63825" s="3336"/>
      <c r="P63825" s="3337"/>
    </row>
    <row r="63826" spans="7:16" s="1634" customFormat="1">
      <c r="G63826" s="3336"/>
      <c r="P63826" s="3337"/>
    </row>
    <row r="63827" spans="7:16" s="1634" customFormat="1">
      <c r="G63827" s="3336"/>
      <c r="P63827" s="3337"/>
    </row>
    <row r="63828" spans="7:16" s="1634" customFormat="1">
      <c r="G63828" s="3336"/>
      <c r="P63828" s="3337"/>
    </row>
    <row r="63829" spans="7:16" s="1634" customFormat="1">
      <c r="G63829" s="3336"/>
      <c r="P63829" s="3337"/>
    </row>
    <row r="63830" spans="7:16" s="1634" customFormat="1">
      <c r="G63830" s="3336"/>
      <c r="P63830" s="3337"/>
    </row>
    <row r="63831" spans="7:16" s="1634" customFormat="1">
      <c r="G63831" s="3336"/>
      <c r="P63831" s="3337"/>
    </row>
    <row r="63832" spans="7:16" s="1634" customFormat="1">
      <c r="G63832" s="3336"/>
      <c r="P63832" s="3337"/>
    </row>
    <row r="63833" spans="7:16" s="1634" customFormat="1">
      <c r="G63833" s="3336"/>
      <c r="P63833" s="3337"/>
    </row>
    <row r="63834" spans="7:16" s="1634" customFormat="1">
      <c r="G63834" s="3336"/>
      <c r="P63834" s="3337"/>
    </row>
    <row r="63835" spans="7:16" s="1634" customFormat="1">
      <c r="G63835" s="3336"/>
      <c r="P63835" s="3337"/>
    </row>
    <row r="63836" spans="7:16" s="1634" customFormat="1">
      <c r="G63836" s="3336"/>
      <c r="P63836" s="3337"/>
    </row>
    <row r="63837" spans="7:16" s="1634" customFormat="1">
      <c r="G63837" s="3336"/>
      <c r="P63837" s="3337"/>
    </row>
    <row r="63838" spans="7:16" s="1634" customFormat="1">
      <c r="G63838" s="3336"/>
      <c r="P63838" s="3337"/>
    </row>
    <row r="63839" spans="7:16" s="1634" customFormat="1">
      <c r="G63839" s="3336"/>
      <c r="P63839" s="3337"/>
    </row>
    <row r="63840" spans="7:16" s="1634" customFormat="1">
      <c r="G63840" s="3336"/>
      <c r="P63840" s="3337"/>
    </row>
    <row r="63841" spans="7:16" s="1634" customFormat="1">
      <c r="G63841" s="3336"/>
      <c r="P63841" s="3337"/>
    </row>
    <row r="63842" spans="7:16" s="1634" customFormat="1">
      <c r="G63842" s="3336"/>
      <c r="P63842" s="3337"/>
    </row>
    <row r="63843" spans="7:16" s="1634" customFormat="1">
      <c r="G63843" s="3336"/>
      <c r="P63843" s="3337"/>
    </row>
    <row r="63844" spans="7:16" s="1634" customFormat="1">
      <c r="G63844" s="3336"/>
      <c r="P63844" s="3337"/>
    </row>
    <row r="63845" spans="7:16" s="1634" customFormat="1">
      <c r="G63845" s="3336"/>
      <c r="P63845" s="3337"/>
    </row>
    <row r="63846" spans="7:16" s="1634" customFormat="1">
      <c r="G63846" s="3336"/>
      <c r="P63846" s="3337"/>
    </row>
    <row r="63847" spans="7:16" s="1634" customFormat="1">
      <c r="G63847" s="3336"/>
      <c r="P63847" s="3337"/>
    </row>
    <row r="63848" spans="7:16" s="1634" customFormat="1">
      <c r="G63848" s="3336"/>
      <c r="P63848" s="3337"/>
    </row>
    <row r="63849" spans="7:16" s="1634" customFormat="1">
      <c r="G63849" s="3336"/>
      <c r="P63849" s="3337"/>
    </row>
    <row r="63850" spans="7:16" s="1634" customFormat="1">
      <c r="G63850" s="3336"/>
      <c r="P63850" s="3337"/>
    </row>
    <row r="63851" spans="7:16" s="1634" customFormat="1">
      <c r="G63851" s="3336"/>
      <c r="P63851" s="3337"/>
    </row>
    <row r="63852" spans="7:16" s="1634" customFormat="1">
      <c r="G63852" s="3336"/>
      <c r="P63852" s="3337"/>
    </row>
    <row r="63853" spans="7:16" s="1634" customFormat="1">
      <c r="G63853" s="3336"/>
      <c r="P63853" s="3337"/>
    </row>
    <row r="63854" spans="7:16" s="1634" customFormat="1">
      <c r="G63854" s="3336"/>
      <c r="P63854" s="3337"/>
    </row>
    <row r="63855" spans="7:16" s="1634" customFormat="1">
      <c r="G63855" s="3336"/>
      <c r="P63855" s="3337"/>
    </row>
    <row r="63856" spans="7:16" s="1634" customFormat="1">
      <c r="G63856" s="3336"/>
      <c r="P63856" s="3337"/>
    </row>
    <row r="63857" spans="7:16" s="1634" customFormat="1">
      <c r="G63857" s="3336"/>
      <c r="P63857" s="3337"/>
    </row>
    <row r="63858" spans="7:16" s="1634" customFormat="1">
      <c r="G63858" s="3336"/>
      <c r="P63858" s="3337"/>
    </row>
    <row r="63859" spans="7:16" s="1634" customFormat="1">
      <c r="G63859" s="3336"/>
      <c r="P63859" s="3337"/>
    </row>
    <row r="63860" spans="7:16" s="1634" customFormat="1">
      <c r="G63860" s="3336"/>
      <c r="P63860" s="3337"/>
    </row>
    <row r="63861" spans="7:16" s="1634" customFormat="1">
      <c r="G63861" s="3336"/>
      <c r="P63861" s="3337"/>
    </row>
    <row r="63862" spans="7:16" s="1634" customFormat="1">
      <c r="G63862" s="3336"/>
      <c r="P63862" s="3337"/>
    </row>
    <row r="63863" spans="7:16" s="1634" customFormat="1">
      <c r="G63863" s="3336"/>
      <c r="P63863" s="3337"/>
    </row>
    <row r="63864" spans="7:16" s="1634" customFormat="1">
      <c r="G63864" s="3336"/>
      <c r="P63864" s="3337"/>
    </row>
    <row r="63865" spans="7:16" s="1634" customFormat="1">
      <c r="G63865" s="3336"/>
      <c r="P63865" s="3337"/>
    </row>
    <row r="63866" spans="7:16" s="1634" customFormat="1">
      <c r="G63866" s="3336"/>
      <c r="P63866" s="3337"/>
    </row>
    <row r="63867" spans="7:16" s="1634" customFormat="1">
      <c r="G63867" s="3336"/>
      <c r="P63867" s="3337"/>
    </row>
    <row r="63868" spans="7:16" s="1634" customFormat="1">
      <c r="G63868" s="3336"/>
      <c r="P63868" s="3337"/>
    </row>
    <row r="63869" spans="7:16" s="1634" customFormat="1">
      <c r="G63869" s="3336"/>
      <c r="P63869" s="3337"/>
    </row>
    <row r="63870" spans="7:16" s="1634" customFormat="1">
      <c r="G63870" s="3336"/>
      <c r="P63870" s="3337"/>
    </row>
    <row r="63871" spans="7:16" s="1634" customFormat="1">
      <c r="G63871" s="3336"/>
      <c r="P63871" s="3337"/>
    </row>
    <row r="63872" spans="7:16" s="1634" customFormat="1">
      <c r="G63872" s="3336"/>
      <c r="P63872" s="3337"/>
    </row>
    <row r="63873" spans="7:16" s="1634" customFormat="1">
      <c r="G63873" s="3336"/>
      <c r="P63873" s="3337"/>
    </row>
    <row r="63874" spans="7:16" s="1634" customFormat="1">
      <c r="G63874" s="3336"/>
      <c r="P63874" s="3337"/>
    </row>
    <row r="63875" spans="7:16" s="1634" customFormat="1">
      <c r="G63875" s="3336"/>
      <c r="P63875" s="3337"/>
    </row>
    <row r="63876" spans="7:16" s="1634" customFormat="1">
      <c r="G63876" s="3336"/>
      <c r="P63876" s="3337"/>
    </row>
    <row r="63877" spans="7:16" s="1634" customFormat="1">
      <c r="G63877" s="3336"/>
      <c r="P63877" s="3337"/>
    </row>
    <row r="63878" spans="7:16" s="1634" customFormat="1">
      <c r="G63878" s="3336"/>
      <c r="P63878" s="3337"/>
    </row>
    <row r="63879" spans="7:16" s="1634" customFormat="1">
      <c r="G63879" s="3336"/>
      <c r="P63879" s="3337"/>
    </row>
    <row r="63880" spans="7:16" s="1634" customFormat="1">
      <c r="G63880" s="3336"/>
      <c r="P63880" s="3337"/>
    </row>
    <row r="63881" spans="7:16" s="1634" customFormat="1">
      <c r="G63881" s="3336"/>
      <c r="P63881" s="3337"/>
    </row>
    <row r="63882" spans="7:16" s="1634" customFormat="1">
      <c r="G63882" s="3336"/>
      <c r="P63882" s="3337"/>
    </row>
    <row r="63883" spans="7:16" s="1634" customFormat="1">
      <c r="G63883" s="3336"/>
      <c r="P63883" s="3337"/>
    </row>
    <row r="63884" spans="7:16" s="1634" customFormat="1">
      <c r="G63884" s="3336"/>
      <c r="P63884" s="3337"/>
    </row>
    <row r="63885" spans="7:16" s="1634" customFormat="1">
      <c r="G63885" s="3336"/>
      <c r="P63885" s="3337"/>
    </row>
    <row r="63886" spans="7:16" s="1634" customFormat="1">
      <c r="G63886" s="3336"/>
      <c r="P63886" s="3337"/>
    </row>
    <row r="63887" spans="7:16" s="1634" customFormat="1">
      <c r="G63887" s="3336"/>
      <c r="P63887" s="3337"/>
    </row>
    <row r="63888" spans="7:16" s="1634" customFormat="1">
      <c r="G63888" s="3336"/>
      <c r="P63888" s="3337"/>
    </row>
    <row r="63889" spans="7:16" s="1634" customFormat="1">
      <c r="G63889" s="3336"/>
      <c r="P63889" s="3337"/>
    </row>
    <row r="63890" spans="7:16" s="1634" customFormat="1">
      <c r="G63890" s="3336"/>
      <c r="P63890" s="3337"/>
    </row>
    <row r="63891" spans="7:16" s="1634" customFormat="1">
      <c r="G63891" s="3336"/>
      <c r="P63891" s="3337"/>
    </row>
    <row r="63892" spans="7:16" s="1634" customFormat="1">
      <c r="G63892" s="3336"/>
      <c r="P63892" s="3337"/>
    </row>
    <row r="63893" spans="7:16" s="1634" customFormat="1">
      <c r="G63893" s="3336"/>
      <c r="P63893" s="3337"/>
    </row>
    <row r="63894" spans="7:16" s="1634" customFormat="1">
      <c r="G63894" s="3336"/>
      <c r="P63894" s="3337"/>
    </row>
    <row r="63895" spans="7:16" s="1634" customFormat="1">
      <c r="G63895" s="3336"/>
      <c r="P63895" s="3337"/>
    </row>
    <row r="63896" spans="7:16" s="1634" customFormat="1">
      <c r="G63896" s="3336"/>
      <c r="P63896" s="3337"/>
    </row>
    <row r="63897" spans="7:16" s="1634" customFormat="1">
      <c r="G63897" s="3336"/>
      <c r="P63897" s="3337"/>
    </row>
    <row r="63898" spans="7:16" s="1634" customFormat="1">
      <c r="G63898" s="3336"/>
      <c r="P63898" s="3337"/>
    </row>
    <row r="63899" spans="7:16" s="1634" customFormat="1">
      <c r="G63899" s="3336"/>
      <c r="P63899" s="3337"/>
    </row>
    <row r="63900" spans="7:16" s="1634" customFormat="1">
      <c r="G63900" s="3336"/>
      <c r="P63900" s="3337"/>
    </row>
    <row r="63901" spans="7:16" s="1634" customFormat="1">
      <c r="G63901" s="3336"/>
      <c r="P63901" s="3337"/>
    </row>
    <row r="63902" spans="7:16" s="1634" customFormat="1">
      <c r="G63902" s="3336"/>
      <c r="P63902" s="3337"/>
    </row>
    <row r="63903" spans="7:16" s="1634" customFormat="1">
      <c r="G63903" s="3336"/>
      <c r="P63903" s="3337"/>
    </row>
    <row r="63904" spans="7:16" s="1634" customFormat="1">
      <c r="G63904" s="3336"/>
      <c r="P63904" s="3337"/>
    </row>
    <row r="63905" spans="7:16" s="1634" customFormat="1">
      <c r="G63905" s="3336"/>
      <c r="P63905" s="3337"/>
    </row>
    <row r="63906" spans="7:16" s="1634" customFormat="1">
      <c r="G63906" s="3336"/>
      <c r="P63906" s="3337"/>
    </row>
    <row r="63907" spans="7:16" s="1634" customFormat="1">
      <c r="G63907" s="3336"/>
      <c r="P63907" s="3337"/>
    </row>
    <row r="63908" spans="7:16" s="1634" customFormat="1">
      <c r="G63908" s="3336"/>
      <c r="P63908" s="3337"/>
    </row>
    <row r="63909" spans="7:16" s="1634" customFormat="1">
      <c r="G63909" s="3336"/>
      <c r="P63909" s="3337"/>
    </row>
    <row r="63910" spans="7:16" s="1634" customFormat="1">
      <c r="G63910" s="3336"/>
      <c r="P63910" s="3337"/>
    </row>
    <row r="63911" spans="7:16" s="1634" customFormat="1">
      <c r="G63911" s="3336"/>
      <c r="P63911" s="3337"/>
    </row>
    <row r="63912" spans="7:16" s="1634" customFormat="1">
      <c r="G63912" s="3336"/>
      <c r="P63912" s="3337"/>
    </row>
    <row r="63913" spans="7:16" s="1634" customFormat="1">
      <c r="G63913" s="3336"/>
      <c r="P63913" s="3337"/>
    </row>
    <row r="63914" spans="7:16" s="1634" customFormat="1">
      <c r="G63914" s="3336"/>
      <c r="P63914" s="3337"/>
    </row>
    <row r="63915" spans="7:16" s="1634" customFormat="1">
      <c r="G63915" s="3336"/>
      <c r="P63915" s="3337"/>
    </row>
    <row r="63916" spans="7:16" s="1634" customFormat="1">
      <c r="G63916" s="3336"/>
      <c r="P63916" s="3337"/>
    </row>
    <row r="63917" spans="7:16" s="1634" customFormat="1">
      <c r="G63917" s="3336"/>
      <c r="P63917" s="3337"/>
    </row>
    <row r="63918" spans="7:16" s="1634" customFormat="1">
      <c r="G63918" s="3336"/>
      <c r="P63918" s="3337"/>
    </row>
    <row r="63919" spans="7:16" s="1634" customFormat="1">
      <c r="G63919" s="3336"/>
      <c r="P63919" s="3337"/>
    </row>
    <row r="63920" spans="7:16" s="1634" customFormat="1">
      <c r="G63920" s="3336"/>
      <c r="P63920" s="3337"/>
    </row>
    <row r="63921" spans="7:16" s="1634" customFormat="1">
      <c r="G63921" s="3336"/>
      <c r="P63921" s="3337"/>
    </row>
    <row r="63922" spans="7:16" s="1634" customFormat="1">
      <c r="G63922" s="3336"/>
      <c r="P63922" s="3337"/>
    </row>
    <row r="63923" spans="7:16" s="1634" customFormat="1">
      <c r="G63923" s="3336"/>
      <c r="P63923" s="3337"/>
    </row>
    <row r="63924" spans="7:16" s="1634" customFormat="1">
      <c r="G63924" s="3336"/>
      <c r="P63924" s="3337"/>
    </row>
    <row r="63925" spans="7:16" s="1634" customFormat="1">
      <c r="G63925" s="3336"/>
      <c r="P63925" s="3337"/>
    </row>
    <row r="63926" spans="7:16" s="1634" customFormat="1">
      <c r="G63926" s="3336"/>
      <c r="P63926" s="3337"/>
    </row>
    <row r="63927" spans="7:16" s="1634" customFormat="1">
      <c r="G63927" s="3336"/>
      <c r="P63927" s="3337"/>
    </row>
    <row r="63928" spans="7:16" s="1634" customFormat="1">
      <c r="G63928" s="3336"/>
      <c r="P63928" s="3337"/>
    </row>
    <row r="63929" spans="7:16" s="1634" customFormat="1">
      <c r="G63929" s="3336"/>
      <c r="P63929" s="3337"/>
    </row>
    <row r="63930" spans="7:16" s="1634" customFormat="1">
      <c r="G63930" s="3336"/>
      <c r="P63930" s="3337"/>
    </row>
    <row r="63931" spans="7:16" s="1634" customFormat="1">
      <c r="G63931" s="3336"/>
      <c r="P63931" s="3337"/>
    </row>
    <row r="63932" spans="7:16" s="1634" customFormat="1">
      <c r="G63932" s="3336"/>
      <c r="P63932" s="3337"/>
    </row>
    <row r="63933" spans="7:16" s="1634" customFormat="1">
      <c r="G63933" s="3336"/>
      <c r="P63933" s="3337"/>
    </row>
    <row r="63934" spans="7:16" s="1634" customFormat="1">
      <c r="G63934" s="3336"/>
      <c r="P63934" s="3337"/>
    </row>
    <row r="63935" spans="7:16" s="1634" customFormat="1">
      <c r="G63935" s="3336"/>
      <c r="P63935" s="3337"/>
    </row>
    <row r="63936" spans="7:16" s="1634" customFormat="1">
      <c r="G63936" s="3336"/>
      <c r="P63936" s="3337"/>
    </row>
    <row r="63937" spans="7:16" s="1634" customFormat="1">
      <c r="G63937" s="3336"/>
      <c r="P63937" s="3337"/>
    </row>
    <row r="63938" spans="7:16" s="1634" customFormat="1">
      <c r="G63938" s="3336"/>
      <c r="P63938" s="3337"/>
    </row>
    <row r="63939" spans="7:16" s="1634" customFormat="1">
      <c r="G63939" s="3336"/>
      <c r="P63939" s="3337"/>
    </row>
    <row r="63940" spans="7:16" s="1634" customFormat="1">
      <c r="G63940" s="3336"/>
      <c r="P63940" s="3337"/>
    </row>
    <row r="63941" spans="7:16" s="1634" customFormat="1">
      <c r="G63941" s="3336"/>
      <c r="P63941" s="3337"/>
    </row>
    <row r="63942" spans="7:16" s="1634" customFormat="1">
      <c r="G63942" s="3336"/>
      <c r="P63942" s="3337"/>
    </row>
    <row r="63943" spans="7:16" s="1634" customFormat="1">
      <c r="G63943" s="3336"/>
      <c r="P63943" s="3337"/>
    </row>
    <row r="63944" spans="7:16" s="1634" customFormat="1">
      <c r="G63944" s="3336"/>
      <c r="P63944" s="3337"/>
    </row>
    <row r="63945" spans="7:16" s="1634" customFormat="1">
      <c r="G63945" s="3336"/>
      <c r="P63945" s="3337"/>
    </row>
    <row r="63946" spans="7:16" s="1634" customFormat="1">
      <c r="G63946" s="3336"/>
      <c r="P63946" s="3337"/>
    </row>
    <row r="63947" spans="7:16" s="1634" customFormat="1">
      <c r="G63947" s="3336"/>
      <c r="P63947" s="3337"/>
    </row>
    <row r="63948" spans="7:16" s="1634" customFormat="1">
      <c r="G63948" s="3336"/>
      <c r="P63948" s="3337"/>
    </row>
    <row r="63949" spans="7:16" s="1634" customFormat="1">
      <c r="G63949" s="3336"/>
      <c r="P63949" s="3337"/>
    </row>
    <row r="63950" spans="7:16" s="1634" customFormat="1">
      <c r="G63950" s="3336"/>
      <c r="P63950" s="3337"/>
    </row>
    <row r="63951" spans="7:16" s="1634" customFormat="1">
      <c r="G63951" s="3336"/>
      <c r="P63951" s="3337"/>
    </row>
    <row r="63952" spans="7:16" s="1634" customFormat="1">
      <c r="G63952" s="3336"/>
      <c r="P63952" s="3337"/>
    </row>
    <row r="63953" spans="7:16" s="1634" customFormat="1">
      <c r="G63953" s="3336"/>
      <c r="P63953" s="3337"/>
    </row>
    <row r="63954" spans="7:16" s="1634" customFormat="1">
      <c r="G63954" s="3336"/>
      <c r="P63954" s="3337"/>
    </row>
    <row r="63955" spans="7:16" s="1634" customFormat="1">
      <c r="G63955" s="3336"/>
      <c r="P63955" s="3337"/>
    </row>
    <row r="63956" spans="7:16" s="1634" customFormat="1">
      <c r="G63956" s="3336"/>
      <c r="P63956" s="3337"/>
    </row>
    <row r="63957" spans="7:16" s="1634" customFormat="1">
      <c r="G63957" s="3336"/>
      <c r="P63957" s="3337"/>
    </row>
    <row r="63958" spans="7:16" s="1634" customFormat="1">
      <c r="G63958" s="3336"/>
      <c r="P63958" s="3337"/>
    </row>
    <row r="63959" spans="7:16" s="1634" customFormat="1">
      <c r="G63959" s="3336"/>
      <c r="P63959" s="3337"/>
    </row>
    <row r="63960" spans="7:16" s="1634" customFormat="1">
      <c r="G63960" s="3336"/>
      <c r="P63960" s="3337"/>
    </row>
    <row r="63961" spans="7:16" s="1634" customFormat="1">
      <c r="G63961" s="3336"/>
      <c r="P63961" s="3337"/>
    </row>
    <row r="63962" spans="7:16" s="1634" customFormat="1">
      <c r="G63962" s="3336"/>
      <c r="P63962" s="3337"/>
    </row>
    <row r="63963" spans="7:16" s="1634" customFormat="1">
      <c r="G63963" s="3336"/>
      <c r="P63963" s="3337"/>
    </row>
    <row r="63964" spans="7:16" s="1634" customFormat="1">
      <c r="G63964" s="3336"/>
      <c r="P63964" s="3337"/>
    </row>
    <row r="63965" spans="7:16" s="1634" customFormat="1">
      <c r="G63965" s="3336"/>
      <c r="P63965" s="3337"/>
    </row>
    <row r="63966" spans="7:16" s="1634" customFormat="1">
      <c r="G63966" s="3336"/>
      <c r="P63966" s="3337"/>
    </row>
    <row r="63967" spans="7:16" s="1634" customFormat="1">
      <c r="G63967" s="3336"/>
      <c r="P63967" s="3337"/>
    </row>
    <row r="63968" spans="7:16" s="1634" customFormat="1">
      <c r="G63968" s="3336"/>
      <c r="P63968" s="3337"/>
    </row>
    <row r="63969" spans="7:16" s="1634" customFormat="1">
      <c r="G63969" s="3336"/>
      <c r="P63969" s="3337"/>
    </row>
    <row r="63970" spans="7:16" s="1634" customFormat="1">
      <c r="G63970" s="3336"/>
      <c r="P63970" s="3337"/>
    </row>
    <row r="63971" spans="7:16" s="1634" customFormat="1">
      <c r="G63971" s="3336"/>
      <c r="P63971" s="3337"/>
    </row>
    <row r="63972" spans="7:16" s="1634" customFormat="1">
      <c r="G63972" s="3336"/>
      <c r="P63972" s="3337"/>
    </row>
    <row r="63973" spans="7:16" s="1634" customFormat="1">
      <c r="G63973" s="3336"/>
      <c r="P63973" s="3337"/>
    </row>
    <row r="63974" spans="7:16" s="1634" customFormat="1">
      <c r="G63974" s="3336"/>
      <c r="P63974" s="3337"/>
    </row>
    <row r="63975" spans="7:16" s="1634" customFormat="1">
      <c r="G63975" s="3336"/>
      <c r="P63975" s="3337"/>
    </row>
    <row r="63976" spans="7:16" s="1634" customFormat="1">
      <c r="G63976" s="3336"/>
      <c r="P63976" s="3337"/>
    </row>
    <row r="63977" spans="7:16" s="1634" customFormat="1">
      <c r="G63977" s="3336"/>
      <c r="P63977" s="3337"/>
    </row>
    <row r="63978" spans="7:16" s="1634" customFormat="1">
      <c r="G63978" s="3336"/>
      <c r="P63978" s="3337"/>
    </row>
    <row r="63979" spans="7:16" s="1634" customFormat="1">
      <c r="G63979" s="3336"/>
      <c r="P63979" s="3337"/>
    </row>
    <row r="63980" spans="7:16" s="1634" customFormat="1">
      <c r="G63980" s="3336"/>
      <c r="P63980" s="3337"/>
    </row>
    <row r="63981" spans="7:16" s="1634" customFormat="1">
      <c r="G63981" s="3336"/>
      <c r="P63981" s="3337"/>
    </row>
    <row r="63982" spans="7:16" s="1634" customFormat="1">
      <c r="G63982" s="3336"/>
      <c r="P63982" s="3337"/>
    </row>
    <row r="63983" spans="7:16" s="1634" customFormat="1">
      <c r="G63983" s="3336"/>
      <c r="P63983" s="3337"/>
    </row>
    <row r="63984" spans="7:16" s="1634" customFormat="1">
      <c r="G63984" s="3336"/>
      <c r="P63984" s="3337"/>
    </row>
    <row r="63985" spans="7:16" s="1634" customFormat="1">
      <c r="G63985" s="3336"/>
      <c r="P63985" s="3337"/>
    </row>
    <row r="63986" spans="7:16" s="1634" customFormat="1">
      <c r="G63986" s="3336"/>
      <c r="P63986" s="3337"/>
    </row>
    <row r="63987" spans="7:16" s="1634" customFormat="1">
      <c r="G63987" s="3336"/>
      <c r="P63987" s="3337"/>
    </row>
    <row r="63988" spans="7:16" s="1634" customFormat="1">
      <c r="G63988" s="3336"/>
      <c r="P63988" s="3337"/>
    </row>
    <row r="63989" spans="7:16" s="1634" customFormat="1">
      <c r="G63989" s="3336"/>
      <c r="P63989" s="3337"/>
    </row>
    <row r="63990" spans="7:16" s="1634" customFormat="1">
      <c r="G63990" s="3336"/>
      <c r="P63990" s="3337"/>
    </row>
    <row r="63991" spans="7:16" s="1634" customFormat="1">
      <c r="G63991" s="3336"/>
      <c r="P63991" s="3337"/>
    </row>
    <row r="63992" spans="7:16" s="1634" customFormat="1">
      <c r="G63992" s="3336"/>
      <c r="P63992" s="3337"/>
    </row>
    <row r="63993" spans="7:16" s="1634" customFormat="1">
      <c r="G63993" s="3336"/>
      <c r="P63993" s="3337"/>
    </row>
    <row r="63994" spans="7:16" s="1634" customFormat="1">
      <c r="G63994" s="3336"/>
      <c r="P63994" s="3337"/>
    </row>
    <row r="63995" spans="7:16" s="1634" customFormat="1">
      <c r="G63995" s="3336"/>
      <c r="P63995" s="3337"/>
    </row>
    <row r="63996" spans="7:16" s="1634" customFormat="1">
      <c r="G63996" s="3336"/>
      <c r="P63996" s="3337"/>
    </row>
    <row r="63997" spans="7:16" s="1634" customFormat="1">
      <c r="G63997" s="3336"/>
      <c r="P63997" s="3337"/>
    </row>
    <row r="63998" spans="7:16" s="1634" customFormat="1">
      <c r="G63998" s="3336"/>
      <c r="P63998" s="3337"/>
    </row>
    <row r="63999" spans="7:16" s="1634" customFormat="1">
      <c r="G63999" s="3336"/>
      <c r="P63999" s="3337"/>
    </row>
    <row r="64000" spans="7:16" s="1634" customFormat="1">
      <c r="G64000" s="3336"/>
      <c r="P64000" s="3337"/>
    </row>
    <row r="64001" spans="7:16" s="1634" customFormat="1">
      <c r="G64001" s="3336"/>
      <c r="P64001" s="3337"/>
    </row>
    <row r="64002" spans="7:16" s="1634" customFormat="1">
      <c r="G64002" s="3336"/>
      <c r="P64002" s="3337"/>
    </row>
    <row r="64003" spans="7:16" s="1634" customFormat="1">
      <c r="G64003" s="3336"/>
      <c r="P64003" s="3337"/>
    </row>
    <row r="64004" spans="7:16" s="1634" customFormat="1">
      <c r="G64004" s="3336"/>
      <c r="P64004" s="3337"/>
    </row>
    <row r="64005" spans="7:16" s="1634" customFormat="1">
      <c r="G64005" s="3336"/>
      <c r="P64005" s="3337"/>
    </row>
    <row r="64006" spans="7:16" s="1634" customFormat="1">
      <c r="G64006" s="3336"/>
      <c r="P64006" s="3337"/>
    </row>
    <row r="64007" spans="7:16" s="1634" customFormat="1">
      <c r="G64007" s="3336"/>
      <c r="P64007" s="3337"/>
    </row>
    <row r="64008" spans="7:16" s="1634" customFormat="1">
      <c r="G64008" s="3336"/>
      <c r="P64008" s="3337"/>
    </row>
    <row r="64009" spans="7:16" s="1634" customFormat="1">
      <c r="G64009" s="3336"/>
      <c r="P64009" s="3337"/>
    </row>
    <row r="64010" spans="7:16" s="1634" customFormat="1">
      <c r="G64010" s="3336"/>
      <c r="P64010" s="3337"/>
    </row>
    <row r="64011" spans="7:16" s="1634" customFormat="1">
      <c r="G64011" s="3336"/>
      <c r="P64011" s="3337"/>
    </row>
    <row r="64012" spans="7:16" s="1634" customFormat="1">
      <c r="G64012" s="3336"/>
      <c r="P64012" s="3337"/>
    </row>
    <row r="64013" spans="7:16" s="1634" customFormat="1">
      <c r="G64013" s="3336"/>
      <c r="P64013" s="3337"/>
    </row>
    <row r="64014" spans="7:16" s="1634" customFormat="1">
      <c r="G64014" s="3336"/>
      <c r="P64014" s="3337"/>
    </row>
    <row r="64015" spans="7:16" s="1634" customFormat="1">
      <c r="G64015" s="3336"/>
      <c r="P64015" s="3337"/>
    </row>
    <row r="64016" spans="7:16" s="1634" customFormat="1">
      <c r="G64016" s="3336"/>
      <c r="P64016" s="3337"/>
    </row>
    <row r="64017" spans="7:16" s="1634" customFormat="1">
      <c r="G64017" s="3336"/>
      <c r="P64017" s="3337"/>
    </row>
    <row r="64018" spans="7:16" s="1634" customFormat="1">
      <c r="G64018" s="3336"/>
      <c r="P64018" s="3337"/>
    </row>
    <row r="64019" spans="7:16" s="1634" customFormat="1">
      <c r="G64019" s="3336"/>
      <c r="P64019" s="3337"/>
    </row>
    <row r="64020" spans="7:16" s="1634" customFormat="1">
      <c r="G64020" s="3336"/>
      <c r="P64020" s="3337"/>
    </row>
    <row r="64021" spans="7:16" s="1634" customFormat="1">
      <c r="G64021" s="3336"/>
      <c r="P64021" s="3337"/>
    </row>
    <row r="64022" spans="7:16" s="1634" customFormat="1">
      <c r="G64022" s="3336"/>
      <c r="P64022" s="3337"/>
    </row>
    <row r="64023" spans="7:16" s="1634" customFormat="1">
      <c r="G64023" s="3336"/>
      <c r="P64023" s="3337"/>
    </row>
    <row r="64024" spans="7:16" s="1634" customFormat="1">
      <c r="G64024" s="3336"/>
      <c r="P64024" s="3337"/>
    </row>
    <row r="64025" spans="7:16" s="1634" customFormat="1">
      <c r="G64025" s="3336"/>
      <c r="P64025" s="3337"/>
    </row>
    <row r="64026" spans="7:16" s="1634" customFormat="1">
      <c r="G64026" s="3336"/>
      <c r="P64026" s="3337"/>
    </row>
    <row r="64027" spans="7:16" s="1634" customFormat="1">
      <c r="G64027" s="3336"/>
      <c r="P64027" s="3337"/>
    </row>
    <row r="64028" spans="7:16" s="1634" customFormat="1">
      <c r="G64028" s="3336"/>
      <c r="P64028" s="3337"/>
    </row>
    <row r="64029" spans="7:16" s="1634" customFormat="1">
      <c r="G64029" s="3336"/>
      <c r="P64029" s="3337"/>
    </row>
    <row r="64030" spans="7:16" s="1634" customFormat="1">
      <c r="G64030" s="3336"/>
      <c r="P64030" s="3337"/>
    </row>
    <row r="64031" spans="7:16" s="1634" customFormat="1">
      <c r="G64031" s="3336"/>
      <c r="P64031" s="3337"/>
    </row>
    <row r="64032" spans="7:16" s="1634" customFormat="1">
      <c r="G64032" s="3336"/>
      <c r="P64032" s="3337"/>
    </row>
    <row r="64033" spans="7:16" s="1634" customFormat="1">
      <c r="G64033" s="3336"/>
      <c r="P64033" s="3337"/>
    </row>
    <row r="64034" spans="7:16" s="1634" customFormat="1">
      <c r="G64034" s="3336"/>
      <c r="P64034" s="3337"/>
    </row>
    <row r="64035" spans="7:16" s="1634" customFormat="1">
      <c r="G64035" s="3336"/>
      <c r="P64035" s="3337"/>
    </row>
    <row r="64036" spans="7:16" s="1634" customFormat="1">
      <c r="G64036" s="3336"/>
      <c r="P64036" s="3337"/>
    </row>
    <row r="64037" spans="7:16" s="1634" customFormat="1">
      <c r="G64037" s="3336"/>
      <c r="P64037" s="3337"/>
    </row>
    <row r="64038" spans="7:16" s="1634" customFormat="1">
      <c r="G64038" s="3336"/>
      <c r="P64038" s="3337"/>
    </row>
    <row r="64039" spans="7:16" s="1634" customFormat="1">
      <c r="G64039" s="3336"/>
      <c r="P64039" s="3337"/>
    </row>
    <row r="64040" spans="7:16" s="1634" customFormat="1">
      <c r="G64040" s="3336"/>
      <c r="P64040" s="3337"/>
    </row>
    <row r="64041" spans="7:16" s="1634" customFormat="1">
      <c r="G64041" s="3336"/>
      <c r="P64041" s="3337"/>
    </row>
    <row r="64042" spans="7:16" s="1634" customFormat="1">
      <c r="G64042" s="3336"/>
      <c r="P64042" s="3337"/>
    </row>
    <row r="64043" spans="7:16" s="1634" customFormat="1">
      <c r="G64043" s="3336"/>
      <c r="P64043" s="3337"/>
    </row>
    <row r="64044" spans="7:16" s="1634" customFormat="1">
      <c r="G64044" s="3336"/>
      <c r="P64044" s="3337"/>
    </row>
    <row r="64045" spans="7:16" s="1634" customFormat="1">
      <c r="G64045" s="3336"/>
      <c r="P64045" s="3337"/>
    </row>
    <row r="64046" spans="7:16" s="1634" customFormat="1">
      <c r="G64046" s="3336"/>
      <c r="P64046" s="3337"/>
    </row>
    <row r="64047" spans="7:16" s="1634" customFormat="1">
      <c r="G64047" s="3336"/>
      <c r="P64047" s="3337"/>
    </row>
    <row r="64048" spans="7:16" s="1634" customFormat="1">
      <c r="G64048" s="3336"/>
      <c r="P64048" s="3337"/>
    </row>
    <row r="64049" spans="7:16" s="1634" customFormat="1">
      <c r="G64049" s="3336"/>
      <c r="P64049" s="3337"/>
    </row>
    <row r="64050" spans="7:16" s="1634" customFormat="1">
      <c r="G64050" s="3336"/>
      <c r="P64050" s="3337"/>
    </row>
    <row r="64051" spans="7:16" s="1634" customFormat="1">
      <c r="G64051" s="3336"/>
      <c r="P64051" s="3337"/>
    </row>
    <row r="64052" spans="7:16" s="1634" customFormat="1">
      <c r="G64052" s="3336"/>
      <c r="P64052" s="3337"/>
    </row>
    <row r="64053" spans="7:16" s="1634" customFormat="1">
      <c r="G64053" s="3336"/>
      <c r="P64053" s="3337"/>
    </row>
    <row r="64054" spans="7:16" s="1634" customFormat="1">
      <c r="G64054" s="3336"/>
      <c r="P64054" s="3337"/>
    </row>
    <row r="64055" spans="7:16" s="1634" customFormat="1">
      <c r="G64055" s="3336"/>
      <c r="P64055" s="3337"/>
    </row>
    <row r="64056" spans="7:16" s="1634" customFormat="1">
      <c r="G64056" s="3336"/>
      <c r="P64056" s="3337"/>
    </row>
    <row r="64057" spans="7:16" s="1634" customFormat="1">
      <c r="G64057" s="3336"/>
      <c r="P64057" s="3337"/>
    </row>
    <row r="64058" spans="7:16" s="1634" customFormat="1">
      <c r="G64058" s="3336"/>
      <c r="P64058" s="3337"/>
    </row>
    <row r="64059" spans="7:16" s="1634" customFormat="1">
      <c r="G64059" s="3336"/>
      <c r="P64059" s="3337"/>
    </row>
    <row r="64060" spans="7:16" s="1634" customFormat="1">
      <c r="G64060" s="3336"/>
      <c r="P64060" s="3337"/>
    </row>
    <row r="64061" spans="7:16" s="1634" customFormat="1">
      <c r="G64061" s="3336"/>
      <c r="P64061" s="3337"/>
    </row>
    <row r="64062" spans="7:16" s="1634" customFormat="1">
      <c r="G64062" s="3336"/>
      <c r="P64062" s="3337"/>
    </row>
    <row r="64063" spans="7:16" s="1634" customFormat="1">
      <c r="G64063" s="3336"/>
      <c r="P64063" s="3337"/>
    </row>
    <row r="64064" spans="7:16" s="1634" customFormat="1">
      <c r="G64064" s="3336"/>
      <c r="P64064" s="3337"/>
    </row>
    <row r="64065" spans="7:16" s="1634" customFormat="1">
      <c r="G64065" s="3336"/>
      <c r="P64065" s="3337"/>
    </row>
    <row r="64066" spans="7:16" s="1634" customFormat="1">
      <c r="G64066" s="3336"/>
      <c r="P64066" s="3337"/>
    </row>
    <row r="64067" spans="7:16" s="1634" customFormat="1">
      <c r="G64067" s="3336"/>
      <c r="P64067" s="3337"/>
    </row>
    <row r="64068" spans="7:16" s="1634" customFormat="1">
      <c r="G64068" s="3336"/>
      <c r="P64068" s="3337"/>
    </row>
    <row r="64069" spans="7:16" s="1634" customFormat="1">
      <c r="G64069" s="3336"/>
      <c r="P64069" s="3337"/>
    </row>
    <row r="64070" spans="7:16" s="1634" customFormat="1">
      <c r="G64070" s="3336"/>
      <c r="P64070" s="3337"/>
    </row>
    <row r="64071" spans="7:16" s="1634" customFormat="1">
      <c r="G64071" s="3336"/>
      <c r="P64071" s="3337"/>
    </row>
    <row r="64072" spans="7:16" s="1634" customFormat="1">
      <c r="G64072" s="3336"/>
      <c r="P64072" s="3337"/>
    </row>
    <row r="64073" spans="7:16" s="1634" customFormat="1">
      <c r="G64073" s="3336"/>
      <c r="P64073" s="3337"/>
    </row>
    <row r="64074" spans="7:16" s="1634" customFormat="1">
      <c r="G64074" s="3336"/>
      <c r="P64074" s="3337"/>
    </row>
    <row r="64075" spans="7:16" s="1634" customFormat="1">
      <c r="G64075" s="3336"/>
      <c r="P64075" s="3337"/>
    </row>
    <row r="64076" spans="7:16" s="1634" customFormat="1">
      <c r="G64076" s="3336"/>
      <c r="P64076" s="3337"/>
    </row>
    <row r="64077" spans="7:16" s="1634" customFormat="1">
      <c r="G64077" s="3336"/>
      <c r="P64077" s="3337"/>
    </row>
    <row r="64078" spans="7:16" s="1634" customFormat="1">
      <c r="G64078" s="3336"/>
      <c r="P64078" s="3337"/>
    </row>
    <row r="64079" spans="7:16" s="1634" customFormat="1">
      <c r="G64079" s="3336"/>
      <c r="P64079" s="3337"/>
    </row>
    <row r="64080" spans="7:16" s="1634" customFormat="1">
      <c r="G64080" s="3336"/>
      <c r="P64080" s="3337"/>
    </row>
    <row r="64081" spans="7:16" s="1634" customFormat="1">
      <c r="G64081" s="3336"/>
      <c r="P64081" s="3337"/>
    </row>
    <row r="64082" spans="7:16" s="1634" customFormat="1">
      <c r="G64082" s="3336"/>
      <c r="P64082" s="3337"/>
    </row>
    <row r="64083" spans="7:16" s="1634" customFormat="1">
      <c r="G64083" s="3336"/>
      <c r="P64083" s="3337"/>
    </row>
    <row r="64084" spans="7:16" s="1634" customFormat="1">
      <c r="G64084" s="3336"/>
      <c r="P64084" s="3337"/>
    </row>
    <row r="64085" spans="7:16" s="1634" customFormat="1">
      <c r="G64085" s="3336"/>
      <c r="P64085" s="3337"/>
    </row>
    <row r="64086" spans="7:16" s="1634" customFormat="1">
      <c r="G64086" s="3336"/>
      <c r="P64086" s="3337"/>
    </row>
    <row r="64087" spans="7:16" s="1634" customFormat="1">
      <c r="G64087" s="3336"/>
      <c r="P64087" s="3337"/>
    </row>
    <row r="64088" spans="7:16" s="1634" customFormat="1">
      <c r="G64088" s="3336"/>
      <c r="P64088" s="3337"/>
    </row>
    <row r="64089" spans="7:16" s="1634" customFormat="1">
      <c r="G64089" s="3336"/>
      <c r="P64089" s="3337"/>
    </row>
    <row r="64090" spans="7:16" s="1634" customFormat="1">
      <c r="G64090" s="3336"/>
      <c r="P64090" s="3337"/>
    </row>
    <row r="64091" spans="7:16" s="1634" customFormat="1">
      <c r="G64091" s="3336"/>
      <c r="P64091" s="3337"/>
    </row>
    <row r="64092" spans="7:16" s="1634" customFormat="1">
      <c r="G64092" s="3336"/>
      <c r="P64092" s="3337"/>
    </row>
    <row r="64093" spans="7:16" s="1634" customFormat="1">
      <c r="G64093" s="3336"/>
      <c r="P64093" s="3337"/>
    </row>
    <row r="64094" spans="7:16" s="1634" customFormat="1">
      <c r="G64094" s="3336"/>
      <c r="P64094" s="3337"/>
    </row>
    <row r="64095" spans="7:16" s="1634" customFormat="1">
      <c r="G64095" s="3336"/>
      <c r="P64095" s="3337"/>
    </row>
    <row r="64096" spans="7:16" s="1634" customFormat="1">
      <c r="G64096" s="3336"/>
      <c r="P64096" s="3337"/>
    </row>
    <row r="64097" spans="7:16" s="1634" customFormat="1">
      <c r="G64097" s="3336"/>
      <c r="P64097" s="3337"/>
    </row>
    <row r="64098" spans="7:16" s="1634" customFormat="1">
      <c r="G64098" s="3336"/>
      <c r="P64098" s="3337"/>
    </row>
    <row r="64099" spans="7:16" s="1634" customFormat="1">
      <c r="G64099" s="3336"/>
      <c r="P64099" s="3337"/>
    </row>
    <row r="64100" spans="7:16" s="1634" customFormat="1">
      <c r="G64100" s="3336"/>
      <c r="P64100" s="3337"/>
    </row>
    <row r="64101" spans="7:16" s="1634" customFormat="1">
      <c r="G64101" s="3336"/>
      <c r="P64101" s="3337"/>
    </row>
    <row r="64102" spans="7:16" s="1634" customFormat="1">
      <c r="G64102" s="3336"/>
      <c r="P64102" s="3337"/>
    </row>
    <row r="64103" spans="7:16" s="1634" customFormat="1">
      <c r="G64103" s="3336"/>
      <c r="P64103" s="3337"/>
    </row>
    <row r="64104" spans="7:16" s="1634" customFormat="1">
      <c r="G64104" s="3336"/>
      <c r="P64104" s="3337"/>
    </row>
    <row r="64105" spans="7:16" s="1634" customFormat="1">
      <c r="G64105" s="3336"/>
      <c r="P64105" s="3337"/>
    </row>
    <row r="64106" spans="7:16" s="1634" customFormat="1">
      <c r="G64106" s="3336"/>
      <c r="P64106" s="3337"/>
    </row>
    <row r="64107" spans="7:16" s="1634" customFormat="1">
      <c r="G64107" s="3336"/>
      <c r="P64107" s="3337"/>
    </row>
    <row r="64108" spans="7:16" s="1634" customFormat="1">
      <c r="G64108" s="3336"/>
      <c r="P64108" s="3337"/>
    </row>
    <row r="64109" spans="7:16" s="1634" customFormat="1">
      <c r="G64109" s="3336"/>
      <c r="P64109" s="3337"/>
    </row>
    <row r="64110" spans="7:16" s="1634" customFormat="1">
      <c r="G64110" s="3336"/>
      <c r="P64110" s="3337"/>
    </row>
    <row r="64111" spans="7:16" s="1634" customFormat="1">
      <c r="G64111" s="3336"/>
      <c r="P64111" s="3337"/>
    </row>
    <row r="64112" spans="7:16" s="1634" customFormat="1">
      <c r="G64112" s="3336"/>
      <c r="P64112" s="3337"/>
    </row>
    <row r="64113" spans="7:16" s="1634" customFormat="1">
      <c r="G64113" s="3336"/>
      <c r="P64113" s="3337"/>
    </row>
    <row r="64114" spans="7:16" s="1634" customFormat="1">
      <c r="G64114" s="3336"/>
      <c r="P64114" s="3337"/>
    </row>
    <row r="64115" spans="7:16" s="1634" customFormat="1">
      <c r="G64115" s="3336"/>
      <c r="P64115" s="3337"/>
    </row>
    <row r="64116" spans="7:16" s="1634" customFormat="1">
      <c r="G64116" s="3336"/>
      <c r="P64116" s="3337"/>
    </row>
    <row r="64117" spans="7:16" s="1634" customFormat="1">
      <c r="G64117" s="3336"/>
      <c r="P64117" s="3337"/>
    </row>
    <row r="64118" spans="7:16" s="1634" customFormat="1">
      <c r="G64118" s="3336"/>
      <c r="P64118" s="3337"/>
    </row>
    <row r="64119" spans="7:16" s="1634" customFormat="1">
      <c r="G64119" s="3336"/>
      <c r="P64119" s="3337"/>
    </row>
    <row r="64120" spans="7:16" s="1634" customFormat="1">
      <c r="G64120" s="3336"/>
      <c r="P64120" s="3337"/>
    </row>
    <row r="64121" spans="7:16" s="1634" customFormat="1">
      <c r="G64121" s="3336"/>
      <c r="P64121" s="3337"/>
    </row>
    <row r="64122" spans="7:16" s="1634" customFormat="1">
      <c r="G64122" s="3336"/>
      <c r="P64122" s="3337"/>
    </row>
    <row r="64123" spans="7:16" s="1634" customFormat="1">
      <c r="G64123" s="3336"/>
      <c r="P64123" s="3337"/>
    </row>
    <row r="64124" spans="7:16" s="1634" customFormat="1">
      <c r="G64124" s="3336"/>
      <c r="P64124" s="3337"/>
    </row>
    <row r="64125" spans="7:16" s="1634" customFormat="1">
      <c r="G64125" s="3336"/>
      <c r="P64125" s="3337"/>
    </row>
    <row r="64126" spans="7:16" s="1634" customFormat="1">
      <c r="G64126" s="3336"/>
      <c r="P64126" s="3337"/>
    </row>
    <row r="64127" spans="7:16" s="1634" customFormat="1">
      <c r="G64127" s="3336"/>
      <c r="P64127" s="3337"/>
    </row>
    <row r="64128" spans="7:16" s="1634" customFormat="1">
      <c r="G64128" s="3336"/>
      <c r="P64128" s="3337"/>
    </row>
    <row r="64129" spans="7:16" s="1634" customFormat="1">
      <c r="G64129" s="3336"/>
      <c r="P64129" s="3337"/>
    </row>
    <row r="64130" spans="7:16" s="1634" customFormat="1">
      <c r="G64130" s="3336"/>
      <c r="P64130" s="3337"/>
    </row>
    <row r="64131" spans="7:16" s="1634" customFormat="1">
      <c r="G64131" s="3336"/>
      <c r="P64131" s="3337"/>
    </row>
    <row r="64132" spans="7:16" s="1634" customFormat="1">
      <c r="G64132" s="3336"/>
      <c r="P64132" s="3337"/>
    </row>
    <row r="64133" spans="7:16" s="1634" customFormat="1">
      <c r="G64133" s="3336"/>
      <c r="P64133" s="3337"/>
    </row>
    <row r="64134" spans="7:16" s="1634" customFormat="1">
      <c r="G64134" s="3336"/>
      <c r="P64134" s="3337"/>
    </row>
    <row r="64135" spans="7:16" s="1634" customFormat="1">
      <c r="G64135" s="3336"/>
      <c r="P64135" s="3337"/>
    </row>
    <row r="64136" spans="7:16" s="1634" customFormat="1">
      <c r="G64136" s="3336"/>
      <c r="P64136" s="3337"/>
    </row>
    <row r="64137" spans="7:16" s="1634" customFormat="1">
      <c r="G64137" s="3336"/>
      <c r="P64137" s="3337"/>
    </row>
    <row r="64138" spans="7:16" s="1634" customFormat="1">
      <c r="G64138" s="3336"/>
      <c r="P64138" s="3337"/>
    </row>
    <row r="64139" spans="7:16" s="1634" customFormat="1">
      <c r="G64139" s="3336"/>
      <c r="P64139" s="3337"/>
    </row>
    <row r="64140" spans="7:16" s="1634" customFormat="1">
      <c r="G64140" s="3336"/>
      <c r="P64140" s="3337"/>
    </row>
    <row r="64141" spans="7:16" s="1634" customFormat="1">
      <c r="G64141" s="3336"/>
      <c r="P64141" s="3337"/>
    </row>
    <row r="64142" spans="7:16" s="1634" customFormat="1">
      <c r="G64142" s="3336"/>
      <c r="P64142" s="3337"/>
    </row>
    <row r="64143" spans="7:16" s="1634" customFormat="1">
      <c r="G64143" s="3336"/>
      <c r="P64143" s="3337"/>
    </row>
    <row r="64144" spans="7:16" s="1634" customFormat="1">
      <c r="G64144" s="3336"/>
      <c r="P64144" s="3337"/>
    </row>
    <row r="64145" spans="7:16" s="1634" customFormat="1">
      <c r="G64145" s="3336"/>
      <c r="P64145" s="3337"/>
    </row>
    <row r="64146" spans="7:16" s="1634" customFormat="1">
      <c r="G64146" s="3336"/>
      <c r="P64146" s="3337"/>
    </row>
    <row r="64147" spans="7:16" s="1634" customFormat="1">
      <c r="G64147" s="3336"/>
      <c r="P64147" s="3337"/>
    </row>
    <row r="64148" spans="7:16" s="1634" customFormat="1">
      <c r="G64148" s="3336"/>
      <c r="P64148" s="3337"/>
    </row>
    <row r="64149" spans="7:16" s="1634" customFormat="1">
      <c r="G64149" s="3336"/>
      <c r="P64149" s="3337"/>
    </row>
    <row r="64150" spans="7:16" s="1634" customFormat="1">
      <c r="G64150" s="3336"/>
      <c r="P64150" s="3337"/>
    </row>
    <row r="64151" spans="7:16" s="1634" customFormat="1">
      <c r="G64151" s="3336"/>
      <c r="P64151" s="3337"/>
    </row>
    <row r="64152" spans="7:16" s="1634" customFormat="1">
      <c r="G64152" s="3336"/>
      <c r="P64152" s="3337"/>
    </row>
    <row r="64153" spans="7:16" s="1634" customFormat="1">
      <c r="G64153" s="3336"/>
      <c r="P64153" s="3337"/>
    </row>
    <row r="64154" spans="7:16" s="1634" customFormat="1">
      <c r="G64154" s="3336"/>
      <c r="P64154" s="3337"/>
    </row>
    <row r="64155" spans="7:16" s="1634" customFormat="1">
      <c r="G64155" s="3336"/>
      <c r="P64155" s="3337"/>
    </row>
    <row r="64156" spans="7:16" s="1634" customFormat="1">
      <c r="G64156" s="3336"/>
      <c r="P64156" s="3337"/>
    </row>
    <row r="64157" spans="7:16" s="1634" customFormat="1">
      <c r="G64157" s="3336"/>
      <c r="P64157" s="3337"/>
    </row>
    <row r="64158" spans="7:16" s="1634" customFormat="1">
      <c r="G64158" s="3336"/>
      <c r="P64158" s="3337"/>
    </row>
    <row r="64159" spans="7:16" s="1634" customFormat="1">
      <c r="G64159" s="3336"/>
      <c r="P64159" s="3337"/>
    </row>
    <row r="64160" spans="7:16" s="1634" customFormat="1">
      <c r="G64160" s="3336"/>
      <c r="P64160" s="3337"/>
    </row>
    <row r="64161" spans="7:16" s="1634" customFormat="1">
      <c r="G64161" s="3336"/>
      <c r="P64161" s="3337"/>
    </row>
    <row r="64162" spans="7:16" s="1634" customFormat="1">
      <c r="G64162" s="3336"/>
      <c r="P64162" s="3337"/>
    </row>
    <row r="64163" spans="7:16" s="1634" customFormat="1">
      <c r="G64163" s="3336"/>
      <c r="P64163" s="3337"/>
    </row>
    <row r="64164" spans="7:16" s="1634" customFormat="1">
      <c r="G64164" s="3336"/>
      <c r="P64164" s="3337"/>
    </row>
    <row r="64165" spans="7:16" s="1634" customFormat="1">
      <c r="G64165" s="3336"/>
      <c r="P64165" s="3337"/>
    </row>
    <row r="64166" spans="7:16" s="1634" customFormat="1">
      <c r="G64166" s="3336"/>
      <c r="P64166" s="3337"/>
    </row>
    <row r="64167" spans="7:16" s="1634" customFormat="1">
      <c r="G64167" s="3336"/>
      <c r="P64167" s="3337"/>
    </row>
    <row r="64168" spans="7:16" s="1634" customFormat="1">
      <c r="G64168" s="3336"/>
      <c r="P64168" s="3337"/>
    </row>
    <row r="64169" spans="7:16" s="1634" customFormat="1">
      <c r="G64169" s="3336"/>
      <c r="P64169" s="3337"/>
    </row>
    <row r="64170" spans="7:16" s="1634" customFormat="1">
      <c r="G64170" s="3336"/>
      <c r="P64170" s="3337"/>
    </row>
    <row r="64171" spans="7:16" s="1634" customFormat="1">
      <c r="G64171" s="3336"/>
      <c r="P64171" s="3337"/>
    </row>
    <row r="64172" spans="7:16" s="1634" customFormat="1">
      <c r="G64172" s="3336"/>
      <c r="P64172" s="3337"/>
    </row>
    <row r="64173" spans="7:16" s="1634" customFormat="1">
      <c r="G64173" s="3336"/>
      <c r="P64173" s="3337"/>
    </row>
    <row r="64174" spans="7:16" s="1634" customFormat="1">
      <c r="G64174" s="3336"/>
      <c r="P64174" s="3337"/>
    </row>
    <row r="64175" spans="7:16" s="1634" customFormat="1">
      <c r="G64175" s="3336"/>
      <c r="P64175" s="3337"/>
    </row>
    <row r="64176" spans="7:16" s="1634" customFormat="1">
      <c r="G64176" s="3336"/>
      <c r="P64176" s="3337"/>
    </row>
    <row r="64177" spans="7:16" s="1634" customFormat="1">
      <c r="G64177" s="3336"/>
      <c r="P64177" s="3337"/>
    </row>
    <row r="64178" spans="7:16" s="1634" customFormat="1">
      <c r="G64178" s="3336"/>
      <c r="P64178" s="3337"/>
    </row>
    <row r="64179" spans="7:16" s="1634" customFormat="1">
      <c r="G64179" s="3336"/>
      <c r="P64179" s="3337"/>
    </row>
    <row r="64180" spans="7:16" s="1634" customFormat="1">
      <c r="G64180" s="3336"/>
      <c r="P64180" s="3337"/>
    </row>
    <row r="64181" spans="7:16" s="1634" customFormat="1">
      <c r="G64181" s="3336"/>
      <c r="P64181" s="3337"/>
    </row>
    <row r="64182" spans="7:16" s="1634" customFormat="1">
      <c r="G64182" s="3336"/>
      <c r="P64182" s="3337"/>
    </row>
    <row r="64183" spans="7:16" s="1634" customFormat="1">
      <c r="G64183" s="3336"/>
      <c r="P64183" s="3337"/>
    </row>
    <row r="64184" spans="7:16" s="1634" customFormat="1">
      <c r="G64184" s="3336"/>
      <c r="P64184" s="3337"/>
    </row>
    <row r="64185" spans="7:16" s="1634" customFormat="1">
      <c r="G64185" s="3336"/>
      <c r="P64185" s="3337"/>
    </row>
    <row r="64186" spans="7:16" s="1634" customFormat="1">
      <c r="G64186" s="3336"/>
      <c r="P64186" s="3337"/>
    </row>
    <row r="64187" spans="7:16" s="1634" customFormat="1">
      <c r="G64187" s="3336"/>
      <c r="P64187" s="3337"/>
    </row>
    <row r="64188" spans="7:16" s="1634" customFormat="1">
      <c r="G64188" s="3336"/>
      <c r="P64188" s="3337"/>
    </row>
    <row r="64189" spans="7:16" s="1634" customFormat="1">
      <c r="G64189" s="3336"/>
      <c r="P64189" s="3337"/>
    </row>
    <row r="64190" spans="7:16" s="1634" customFormat="1">
      <c r="G64190" s="3336"/>
      <c r="P64190" s="3337"/>
    </row>
    <row r="64191" spans="7:16" s="1634" customFormat="1">
      <c r="G64191" s="3336"/>
      <c r="P64191" s="3337"/>
    </row>
    <row r="64192" spans="7:16" s="1634" customFormat="1">
      <c r="G64192" s="3336"/>
      <c r="P64192" s="3337"/>
    </row>
    <row r="64193" spans="7:16" s="1634" customFormat="1">
      <c r="G64193" s="3336"/>
      <c r="P64193" s="3337"/>
    </row>
    <row r="64194" spans="7:16" s="1634" customFormat="1">
      <c r="G64194" s="3336"/>
      <c r="P64194" s="3337"/>
    </row>
    <row r="64195" spans="7:16" s="1634" customFormat="1">
      <c r="G64195" s="3336"/>
      <c r="P64195" s="3337"/>
    </row>
    <row r="64196" spans="7:16" s="1634" customFormat="1">
      <c r="G64196" s="3336"/>
      <c r="P64196" s="3337"/>
    </row>
    <row r="64197" spans="7:16" s="1634" customFormat="1">
      <c r="G64197" s="3336"/>
      <c r="P64197" s="3337"/>
    </row>
    <row r="64198" spans="7:16" s="1634" customFormat="1">
      <c r="G64198" s="3336"/>
      <c r="P64198" s="3337"/>
    </row>
    <row r="64199" spans="7:16" s="1634" customFormat="1">
      <c r="G64199" s="3336"/>
      <c r="P64199" s="3337"/>
    </row>
    <row r="64200" spans="7:16" s="1634" customFormat="1">
      <c r="G64200" s="3336"/>
      <c r="P64200" s="3337"/>
    </row>
    <row r="64201" spans="7:16" s="1634" customFormat="1">
      <c r="G64201" s="3336"/>
      <c r="P64201" s="3337"/>
    </row>
    <row r="64202" spans="7:16" s="1634" customFormat="1">
      <c r="G64202" s="3336"/>
      <c r="P64202" s="3337"/>
    </row>
    <row r="64203" spans="7:16" s="1634" customFormat="1">
      <c r="G64203" s="3336"/>
      <c r="P64203" s="3337"/>
    </row>
    <row r="64204" spans="7:16" s="1634" customFormat="1">
      <c r="G64204" s="3336"/>
      <c r="P64204" s="3337"/>
    </row>
    <row r="64205" spans="7:16" s="1634" customFormat="1">
      <c r="G64205" s="3336"/>
      <c r="P64205" s="3337"/>
    </row>
    <row r="64206" spans="7:16" s="1634" customFormat="1">
      <c r="G64206" s="3336"/>
      <c r="P64206" s="3337"/>
    </row>
    <row r="64207" spans="7:16" s="1634" customFormat="1">
      <c r="G64207" s="3336"/>
      <c r="P64207" s="3337"/>
    </row>
    <row r="64208" spans="7:16" s="1634" customFormat="1">
      <c r="G64208" s="3336"/>
      <c r="P64208" s="3337"/>
    </row>
    <row r="64209" spans="7:16" s="1634" customFormat="1">
      <c r="G64209" s="3336"/>
      <c r="P64209" s="3337"/>
    </row>
    <row r="64210" spans="7:16" s="1634" customFormat="1">
      <c r="G64210" s="3336"/>
      <c r="P64210" s="3337"/>
    </row>
    <row r="64211" spans="7:16" s="1634" customFormat="1">
      <c r="G64211" s="3336"/>
      <c r="P64211" s="3337"/>
    </row>
    <row r="64212" spans="7:16" s="1634" customFormat="1">
      <c r="G64212" s="3336"/>
      <c r="P64212" s="3337"/>
    </row>
    <row r="64213" spans="7:16" s="1634" customFormat="1">
      <c r="G64213" s="3336"/>
      <c r="P64213" s="3337"/>
    </row>
    <row r="64214" spans="7:16" s="1634" customFormat="1">
      <c r="G64214" s="3336"/>
      <c r="P64214" s="3337"/>
    </row>
    <row r="64215" spans="7:16" s="1634" customFormat="1">
      <c r="G64215" s="3336"/>
      <c r="P64215" s="3337"/>
    </row>
    <row r="64216" spans="7:16" s="1634" customFormat="1">
      <c r="G64216" s="3336"/>
      <c r="P64216" s="3337"/>
    </row>
    <row r="64217" spans="7:16" s="1634" customFormat="1">
      <c r="G64217" s="3336"/>
      <c r="P64217" s="3337"/>
    </row>
    <row r="64218" spans="7:16" s="1634" customFormat="1">
      <c r="G64218" s="3336"/>
      <c r="P64218" s="3337"/>
    </row>
    <row r="64219" spans="7:16" s="1634" customFormat="1">
      <c r="G64219" s="3336"/>
      <c r="P64219" s="3337"/>
    </row>
    <row r="64220" spans="7:16" s="1634" customFormat="1">
      <c r="G64220" s="3336"/>
      <c r="P64220" s="3337"/>
    </row>
    <row r="64221" spans="7:16" s="1634" customFormat="1">
      <c r="G64221" s="3336"/>
      <c r="P64221" s="3337"/>
    </row>
    <row r="64222" spans="7:16" s="1634" customFormat="1">
      <c r="G64222" s="3336"/>
      <c r="P64222" s="3337"/>
    </row>
    <row r="64223" spans="7:16" s="1634" customFormat="1">
      <c r="G64223" s="3336"/>
      <c r="P64223" s="3337"/>
    </row>
    <row r="64224" spans="7:16" s="1634" customFormat="1">
      <c r="G64224" s="3336"/>
      <c r="P64224" s="3337"/>
    </row>
    <row r="64225" spans="7:16" s="1634" customFormat="1">
      <c r="G64225" s="3336"/>
      <c r="P64225" s="3337"/>
    </row>
    <row r="64226" spans="7:16" s="1634" customFormat="1">
      <c r="G64226" s="3336"/>
      <c r="P64226" s="3337"/>
    </row>
    <row r="64227" spans="7:16" s="1634" customFormat="1">
      <c r="G64227" s="3336"/>
      <c r="P64227" s="3337"/>
    </row>
    <row r="64228" spans="7:16" s="1634" customFormat="1">
      <c r="G64228" s="3336"/>
      <c r="P64228" s="3337"/>
    </row>
    <row r="64229" spans="7:16" s="1634" customFormat="1">
      <c r="G64229" s="3336"/>
      <c r="P64229" s="3337"/>
    </row>
    <row r="64230" spans="7:16" s="1634" customFormat="1">
      <c r="G64230" s="3336"/>
      <c r="P64230" s="3337"/>
    </row>
    <row r="64231" spans="7:16" s="1634" customFormat="1">
      <c r="G64231" s="3336"/>
      <c r="P64231" s="3337"/>
    </row>
    <row r="64232" spans="7:16" s="1634" customFormat="1">
      <c r="G64232" s="3336"/>
      <c r="P64232" s="3337"/>
    </row>
    <row r="64233" spans="7:16" s="1634" customFormat="1">
      <c r="G64233" s="3336"/>
      <c r="P64233" s="3337"/>
    </row>
    <row r="64234" spans="7:16" s="1634" customFormat="1">
      <c r="G64234" s="3336"/>
      <c r="P64234" s="3337"/>
    </row>
    <row r="64235" spans="7:16" s="1634" customFormat="1">
      <c r="G64235" s="3336"/>
      <c r="P64235" s="3337"/>
    </row>
    <row r="64236" spans="7:16" s="1634" customFormat="1">
      <c r="G64236" s="3336"/>
      <c r="P64236" s="3337"/>
    </row>
    <row r="64237" spans="7:16" s="1634" customFormat="1">
      <c r="G64237" s="3336"/>
      <c r="P64237" s="3337"/>
    </row>
    <row r="64238" spans="7:16" s="1634" customFormat="1">
      <c r="G64238" s="3336"/>
      <c r="P64238" s="3337"/>
    </row>
    <row r="64239" spans="7:16" s="1634" customFormat="1">
      <c r="G64239" s="3336"/>
      <c r="P64239" s="3337"/>
    </row>
    <row r="64240" spans="7:16" s="1634" customFormat="1">
      <c r="G64240" s="3336"/>
      <c r="P64240" s="3337"/>
    </row>
    <row r="64241" spans="7:16" s="1634" customFormat="1">
      <c r="G64241" s="3336"/>
      <c r="P64241" s="3337"/>
    </row>
    <row r="64242" spans="7:16" s="1634" customFormat="1">
      <c r="G64242" s="3336"/>
      <c r="P64242" s="3337"/>
    </row>
    <row r="64243" spans="7:16" s="1634" customFormat="1">
      <c r="G64243" s="3336"/>
      <c r="P64243" s="3337"/>
    </row>
    <row r="64244" spans="7:16" s="1634" customFormat="1">
      <c r="G64244" s="3336"/>
      <c r="P64244" s="3337"/>
    </row>
    <row r="64245" spans="7:16" s="1634" customFormat="1">
      <c r="G64245" s="3336"/>
      <c r="P64245" s="3337"/>
    </row>
    <row r="64246" spans="7:16" s="1634" customFormat="1">
      <c r="G64246" s="3336"/>
      <c r="P64246" s="3337"/>
    </row>
    <row r="64247" spans="7:16" s="1634" customFormat="1">
      <c r="G64247" s="3336"/>
      <c r="P64247" s="3337"/>
    </row>
    <row r="64248" spans="7:16" s="1634" customFormat="1">
      <c r="G64248" s="3336"/>
      <c r="P64248" s="3337"/>
    </row>
    <row r="64249" spans="7:16" s="1634" customFormat="1">
      <c r="G64249" s="3336"/>
      <c r="P64249" s="3337"/>
    </row>
    <row r="64250" spans="7:16" s="1634" customFormat="1">
      <c r="G64250" s="3336"/>
      <c r="P64250" s="3337"/>
    </row>
    <row r="64251" spans="7:16" s="1634" customFormat="1">
      <c r="G64251" s="3336"/>
      <c r="P64251" s="3337"/>
    </row>
    <row r="64252" spans="7:16" s="1634" customFormat="1">
      <c r="G64252" s="3336"/>
      <c r="P64252" s="3337"/>
    </row>
    <row r="64253" spans="7:16" s="1634" customFormat="1">
      <c r="G64253" s="3336"/>
      <c r="P64253" s="3337"/>
    </row>
    <row r="64254" spans="7:16" s="1634" customFormat="1">
      <c r="G64254" s="3336"/>
      <c r="P64254" s="3337"/>
    </row>
    <row r="64255" spans="7:16" s="1634" customFormat="1">
      <c r="G64255" s="3336"/>
      <c r="P64255" s="3337"/>
    </row>
    <row r="64256" spans="7:16" s="1634" customFormat="1">
      <c r="G64256" s="3336"/>
      <c r="P64256" s="3337"/>
    </row>
    <row r="64257" spans="7:16" s="1634" customFormat="1">
      <c r="G64257" s="3336"/>
      <c r="P64257" s="3337"/>
    </row>
    <row r="64258" spans="7:16" s="1634" customFormat="1">
      <c r="G64258" s="3336"/>
      <c r="P64258" s="3337"/>
    </row>
    <row r="64259" spans="7:16" s="1634" customFormat="1">
      <c r="G64259" s="3336"/>
      <c r="P64259" s="3337"/>
    </row>
    <row r="64260" spans="7:16" s="1634" customFormat="1">
      <c r="G64260" s="3336"/>
      <c r="P64260" s="3337"/>
    </row>
    <row r="64261" spans="7:16" s="1634" customFormat="1">
      <c r="G64261" s="3336"/>
      <c r="P64261" s="3337"/>
    </row>
    <row r="64262" spans="7:16" s="1634" customFormat="1">
      <c r="G64262" s="3336"/>
      <c r="P64262" s="3337"/>
    </row>
    <row r="64263" spans="7:16" s="1634" customFormat="1">
      <c r="G64263" s="3336"/>
      <c r="P64263" s="3337"/>
    </row>
    <row r="64264" spans="7:16" s="1634" customFormat="1">
      <c r="G64264" s="3336"/>
      <c r="P64264" s="3337"/>
    </row>
    <row r="64265" spans="7:16" s="1634" customFormat="1">
      <c r="G64265" s="3336"/>
      <c r="P64265" s="3337"/>
    </row>
    <row r="64266" spans="7:16" s="1634" customFormat="1">
      <c r="G64266" s="3336"/>
      <c r="P64266" s="3337"/>
    </row>
    <row r="64267" spans="7:16" s="1634" customFormat="1">
      <c r="G64267" s="3336"/>
      <c r="P64267" s="3337"/>
    </row>
    <row r="64268" spans="7:16" s="1634" customFormat="1">
      <c r="G64268" s="3336"/>
      <c r="P64268" s="3337"/>
    </row>
    <row r="64269" spans="7:16" s="1634" customFormat="1">
      <c r="G64269" s="3336"/>
      <c r="P64269" s="3337"/>
    </row>
    <row r="64270" spans="7:16" s="1634" customFormat="1">
      <c r="G64270" s="3336"/>
      <c r="P64270" s="3337"/>
    </row>
    <row r="64271" spans="7:16" s="1634" customFormat="1">
      <c r="G64271" s="3336"/>
      <c r="P64271" s="3337"/>
    </row>
    <row r="64272" spans="7:16" s="1634" customFormat="1">
      <c r="G64272" s="3336"/>
      <c r="P64272" s="3337"/>
    </row>
    <row r="64273" spans="7:16" s="1634" customFormat="1">
      <c r="G64273" s="3336"/>
      <c r="P64273" s="3337"/>
    </row>
    <row r="64274" spans="7:16" s="1634" customFormat="1">
      <c r="G64274" s="3336"/>
      <c r="P64274" s="3337"/>
    </row>
    <row r="64275" spans="7:16" s="1634" customFormat="1">
      <c r="G64275" s="3336"/>
      <c r="P64275" s="3337"/>
    </row>
    <row r="64276" spans="7:16" s="1634" customFormat="1">
      <c r="G64276" s="3336"/>
      <c r="P64276" s="3337"/>
    </row>
    <row r="64277" spans="7:16" s="1634" customFormat="1">
      <c r="G64277" s="3336"/>
      <c r="P64277" s="3337"/>
    </row>
    <row r="64278" spans="7:16" s="1634" customFormat="1">
      <c r="G64278" s="3336"/>
      <c r="P64278" s="3337"/>
    </row>
    <row r="64279" spans="7:16" s="1634" customFormat="1">
      <c r="G64279" s="3336"/>
      <c r="P64279" s="3337"/>
    </row>
    <row r="64280" spans="7:16" s="1634" customFormat="1">
      <c r="G64280" s="3336"/>
      <c r="P64280" s="3337"/>
    </row>
    <row r="64281" spans="7:16" s="1634" customFormat="1">
      <c r="G64281" s="3336"/>
      <c r="P64281" s="3337"/>
    </row>
    <row r="64282" spans="7:16" s="1634" customFormat="1">
      <c r="G64282" s="3336"/>
      <c r="P64282" s="3337"/>
    </row>
    <row r="64283" spans="7:16" s="1634" customFormat="1">
      <c r="G64283" s="3336"/>
      <c r="P64283" s="3337"/>
    </row>
    <row r="64284" spans="7:16" s="1634" customFormat="1">
      <c r="G64284" s="3336"/>
      <c r="P64284" s="3337"/>
    </row>
    <row r="64285" spans="7:16" s="1634" customFormat="1">
      <c r="G64285" s="3336"/>
      <c r="P64285" s="3337"/>
    </row>
    <row r="64286" spans="7:16" s="1634" customFormat="1">
      <c r="G64286" s="3336"/>
      <c r="P64286" s="3337"/>
    </row>
    <row r="64287" spans="7:16" s="1634" customFormat="1">
      <c r="G64287" s="3336"/>
      <c r="P64287" s="3337"/>
    </row>
    <row r="64288" spans="7:16" s="1634" customFormat="1">
      <c r="G64288" s="3336"/>
      <c r="P64288" s="3337"/>
    </row>
    <row r="64289" spans="7:16" s="1634" customFormat="1">
      <c r="G64289" s="3336"/>
      <c r="P64289" s="3337"/>
    </row>
    <row r="64290" spans="7:16" s="1634" customFormat="1">
      <c r="G64290" s="3336"/>
      <c r="P64290" s="3337"/>
    </row>
    <row r="64291" spans="7:16" s="1634" customFormat="1">
      <c r="G64291" s="3336"/>
      <c r="P64291" s="3337"/>
    </row>
    <row r="64292" spans="7:16" s="1634" customFormat="1">
      <c r="G64292" s="3336"/>
      <c r="P64292" s="3337"/>
    </row>
    <row r="64293" spans="7:16" s="1634" customFormat="1">
      <c r="G64293" s="3336"/>
      <c r="P64293" s="3337"/>
    </row>
    <row r="64294" spans="7:16" s="1634" customFormat="1">
      <c r="G64294" s="3336"/>
      <c r="P64294" s="3337"/>
    </row>
    <row r="64295" spans="7:16" s="1634" customFormat="1">
      <c r="G64295" s="3336"/>
      <c r="P64295" s="3337"/>
    </row>
    <row r="64296" spans="7:16" s="1634" customFormat="1">
      <c r="G64296" s="3336"/>
      <c r="P64296" s="3337"/>
    </row>
    <row r="64297" spans="7:16" s="1634" customFormat="1">
      <c r="G64297" s="3336"/>
      <c r="P64297" s="3337"/>
    </row>
    <row r="64298" spans="7:16" s="1634" customFormat="1">
      <c r="G64298" s="3336"/>
      <c r="P64298" s="3337"/>
    </row>
    <row r="64299" spans="7:16" s="1634" customFormat="1">
      <c r="G64299" s="3336"/>
      <c r="P64299" s="3337"/>
    </row>
    <row r="64300" spans="7:16" s="1634" customFormat="1">
      <c r="G64300" s="3336"/>
      <c r="P64300" s="3337"/>
    </row>
    <row r="64301" spans="7:16" s="1634" customFormat="1">
      <c r="G64301" s="3336"/>
      <c r="P64301" s="3337"/>
    </row>
    <row r="64302" spans="7:16" s="1634" customFormat="1">
      <c r="G64302" s="3336"/>
      <c r="P64302" s="3337"/>
    </row>
    <row r="64303" spans="7:16" s="1634" customFormat="1">
      <c r="G64303" s="3336"/>
      <c r="P64303" s="3337"/>
    </row>
    <row r="64304" spans="7:16" s="1634" customFormat="1">
      <c r="G64304" s="3336"/>
      <c r="P64304" s="3337"/>
    </row>
    <row r="64305" spans="7:16" s="1634" customFormat="1">
      <c r="G64305" s="3336"/>
      <c r="P64305" s="3337"/>
    </row>
    <row r="64306" spans="7:16" s="1634" customFormat="1">
      <c r="G64306" s="3336"/>
      <c r="P64306" s="3337"/>
    </row>
    <row r="64307" spans="7:16" s="1634" customFormat="1">
      <c r="G64307" s="3336"/>
      <c r="P64307" s="3337"/>
    </row>
    <row r="64308" spans="7:16" s="1634" customFormat="1">
      <c r="G64308" s="3336"/>
      <c r="P64308" s="3337"/>
    </row>
    <row r="64309" spans="7:16" s="1634" customFormat="1">
      <c r="G64309" s="3336"/>
      <c r="P64309" s="3337"/>
    </row>
    <row r="64310" spans="7:16" s="1634" customFormat="1">
      <c r="G64310" s="3336"/>
      <c r="P64310" s="3337"/>
    </row>
    <row r="64311" spans="7:16" s="1634" customFormat="1">
      <c r="G64311" s="3336"/>
      <c r="P64311" s="3337"/>
    </row>
    <row r="64312" spans="7:16" s="1634" customFormat="1">
      <c r="G64312" s="3336"/>
      <c r="P64312" s="3337"/>
    </row>
    <row r="64313" spans="7:16" s="1634" customFormat="1">
      <c r="G64313" s="3336"/>
      <c r="P64313" s="3337"/>
    </row>
    <row r="64314" spans="7:16" s="1634" customFormat="1">
      <c r="G64314" s="3336"/>
      <c r="P64314" s="3337"/>
    </row>
    <row r="64315" spans="7:16" s="1634" customFormat="1">
      <c r="G64315" s="3336"/>
      <c r="P64315" s="3337"/>
    </row>
    <row r="64316" spans="7:16" s="1634" customFormat="1">
      <c r="G64316" s="3336"/>
      <c r="P64316" s="3337"/>
    </row>
    <row r="64317" spans="7:16" s="1634" customFormat="1">
      <c r="G64317" s="3336"/>
      <c r="P64317" s="3337"/>
    </row>
    <row r="64318" spans="7:16" s="1634" customFormat="1">
      <c r="G64318" s="3336"/>
      <c r="P64318" s="3337"/>
    </row>
    <row r="64319" spans="7:16" s="1634" customFormat="1">
      <c r="G64319" s="3336"/>
      <c r="P64319" s="3337"/>
    </row>
    <row r="64320" spans="7:16" s="1634" customFormat="1">
      <c r="G64320" s="3336"/>
      <c r="P64320" s="3337"/>
    </row>
    <row r="64321" spans="7:16" s="1634" customFormat="1">
      <c r="G64321" s="3336"/>
      <c r="P64321" s="3337"/>
    </row>
    <row r="64322" spans="7:16" s="1634" customFormat="1">
      <c r="G64322" s="3336"/>
      <c r="P64322" s="3337"/>
    </row>
    <row r="64323" spans="7:16" s="1634" customFormat="1">
      <c r="G64323" s="3336"/>
      <c r="P64323" s="3337"/>
    </row>
    <row r="64324" spans="7:16" s="1634" customFormat="1">
      <c r="G64324" s="3336"/>
      <c r="P64324" s="3337"/>
    </row>
    <row r="64325" spans="7:16" s="1634" customFormat="1">
      <c r="G64325" s="3336"/>
      <c r="P64325" s="3337"/>
    </row>
    <row r="64326" spans="7:16" s="1634" customFormat="1">
      <c r="G64326" s="3336"/>
      <c r="P64326" s="3337"/>
    </row>
    <row r="64327" spans="7:16" s="1634" customFormat="1">
      <c r="G64327" s="3336"/>
      <c r="P64327" s="3337"/>
    </row>
    <row r="64328" spans="7:16" s="1634" customFormat="1">
      <c r="G64328" s="3336"/>
      <c r="P64328" s="3337"/>
    </row>
    <row r="64329" spans="7:16" s="1634" customFormat="1">
      <c r="G64329" s="3336"/>
      <c r="P64329" s="3337"/>
    </row>
    <row r="64330" spans="7:16" s="1634" customFormat="1">
      <c r="G64330" s="3336"/>
      <c r="P64330" s="3337"/>
    </row>
    <row r="64331" spans="7:16" s="1634" customFormat="1">
      <c r="G64331" s="3336"/>
      <c r="P64331" s="3337"/>
    </row>
    <row r="64332" spans="7:16" s="1634" customFormat="1">
      <c r="G64332" s="3336"/>
      <c r="P64332" s="3337"/>
    </row>
    <row r="64333" spans="7:16" s="1634" customFormat="1">
      <c r="G64333" s="3336"/>
      <c r="P64333" s="3337"/>
    </row>
    <row r="64334" spans="7:16" s="1634" customFormat="1">
      <c r="G64334" s="3336"/>
      <c r="P64334" s="3337"/>
    </row>
    <row r="64335" spans="7:16" s="1634" customFormat="1">
      <c r="G64335" s="3336"/>
      <c r="P64335" s="3337"/>
    </row>
    <row r="64336" spans="7:16" s="1634" customFormat="1">
      <c r="G64336" s="3336"/>
      <c r="P64336" s="3337"/>
    </row>
    <row r="64337" spans="7:16" s="1634" customFormat="1">
      <c r="G64337" s="3336"/>
      <c r="P64337" s="3337"/>
    </row>
    <row r="64338" spans="7:16" s="1634" customFormat="1">
      <c r="G64338" s="3336"/>
      <c r="P64338" s="3337"/>
    </row>
    <row r="64339" spans="7:16" s="1634" customFormat="1">
      <c r="G64339" s="3336"/>
      <c r="P64339" s="3337"/>
    </row>
    <row r="64340" spans="7:16" s="1634" customFormat="1">
      <c r="G64340" s="3336"/>
      <c r="P64340" s="3337"/>
    </row>
    <row r="64341" spans="7:16" s="1634" customFormat="1">
      <c r="G64341" s="3336"/>
      <c r="P64341" s="3337"/>
    </row>
    <row r="64342" spans="7:16" s="1634" customFormat="1">
      <c r="G64342" s="3336"/>
      <c r="P64342" s="3337"/>
    </row>
    <row r="64343" spans="7:16" s="1634" customFormat="1">
      <c r="G64343" s="3336"/>
      <c r="P64343" s="3337"/>
    </row>
    <row r="64344" spans="7:16" s="1634" customFormat="1">
      <c r="G64344" s="3336"/>
      <c r="P64344" s="3337"/>
    </row>
    <row r="64345" spans="7:16" s="1634" customFormat="1">
      <c r="G64345" s="3336"/>
      <c r="P64345" s="3337"/>
    </row>
    <row r="64346" spans="7:16" s="1634" customFormat="1">
      <c r="G64346" s="3336"/>
      <c r="P64346" s="3337"/>
    </row>
    <row r="64347" spans="7:16" s="1634" customFormat="1">
      <c r="G64347" s="3336"/>
      <c r="P64347" s="3337"/>
    </row>
    <row r="64348" spans="7:16" s="1634" customFormat="1">
      <c r="G64348" s="3336"/>
      <c r="P64348" s="3337"/>
    </row>
    <row r="64349" spans="7:16" s="1634" customFormat="1">
      <c r="G64349" s="3336"/>
      <c r="P64349" s="3337"/>
    </row>
    <row r="64350" spans="7:16" s="1634" customFormat="1">
      <c r="G64350" s="3336"/>
      <c r="P64350" s="3337"/>
    </row>
    <row r="64351" spans="7:16" s="1634" customFormat="1">
      <c r="G64351" s="3336"/>
      <c r="P64351" s="3337"/>
    </row>
    <row r="64352" spans="7:16" s="1634" customFormat="1">
      <c r="G64352" s="3336"/>
      <c r="P64352" s="3337"/>
    </row>
    <row r="64353" spans="7:16" s="1634" customFormat="1">
      <c r="G64353" s="3336"/>
      <c r="P64353" s="3337"/>
    </row>
    <row r="64354" spans="7:16" s="1634" customFormat="1">
      <c r="G64354" s="3336"/>
      <c r="P64354" s="3337"/>
    </row>
    <row r="64355" spans="7:16" s="1634" customFormat="1">
      <c r="G64355" s="3336"/>
      <c r="P64355" s="3337"/>
    </row>
    <row r="64356" spans="7:16" s="1634" customFormat="1">
      <c r="G64356" s="3336"/>
      <c r="P64356" s="3337"/>
    </row>
    <row r="64357" spans="7:16" s="1634" customFormat="1">
      <c r="G64357" s="3336"/>
      <c r="P64357" s="3337"/>
    </row>
    <row r="64358" spans="7:16" s="1634" customFormat="1">
      <c r="G64358" s="3336"/>
      <c r="P64358" s="3337"/>
    </row>
    <row r="64359" spans="7:16" s="1634" customFormat="1">
      <c r="G64359" s="3336"/>
      <c r="P64359" s="3337"/>
    </row>
    <row r="64360" spans="7:16" s="1634" customFormat="1">
      <c r="G64360" s="3336"/>
      <c r="P64360" s="3337"/>
    </row>
    <row r="64361" spans="7:16" s="1634" customFormat="1">
      <c r="G64361" s="3336"/>
      <c r="P64361" s="3337"/>
    </row>
    <row r="64362" spans="7:16" s="1634" customFormat="1">
      <c r="G64362" s="3336"/>
      <c r="P64362" s="3337"/>
    </row>
    <row r="64363" spans="7:16" s="1634" customFormat="1">
      <c r="G64363" s="3336"/>
      <c r="P64363" s="3337"/>
    </row>
    <row r="64364" spans="7:16" s="1634" customFormat="1">
      <c r="G64364" s="3336"/>
      <c r="P64364" s="3337"/>
    </row>
    <row r="64365" spans="7:16" s="1634" customFormat="1">
      <c r="G64365" s="3336"/>
      <c r="P64365" s="3337"/>
    </row>
    <row r="64366" spans="7:16" s="1634" customFormat="1">
      <c r="G64366" s="3336"/>
      <c r="P64366" s="3337"/>
    </row>
    <row r="64367" spans="7:16" s="1634" customFormat="1">
      <c r="G64367" s="3336"/>
      <c r="P64367" s="3337"/>
    </row>
    <row r="64368" spans="7:16" s="1634" customFormat="1">
      <c r="G64368" s="3336"/>
      <c r="P64368" s="3337"/>
    </row>
    <row r="64369" spans="7:16" s="1634" customFormat="1">
      <c r="G64369" s="3336"/>
      <c r="P64369" s="3337"/>
    </row>
    <row r="64370" spans="7:16" s="1634" customFormat="1">
      <c r="G64370" s="3336"/>
      <c r="P64370" s="3337"/>
    </row>
    <row r="64371" spans="7:16" s="1634" customFormat="1">
      <c r="G64371" s="3336"/>
      <c r="P64371" s="3337"/>
    </row>
    <row r="64372" spans="7:16" s="1634" customFormat="1">
      <c r="G64372" s="3336"/>
      <c r="P64372" s="3337"/>
    </row>
    <row r="64373" spans="7:16" s="1634" customFormat="1">
      <c r="G64373" s="3336"/>
      <c r="P64373" s="3337"/>
    </row>
    <row r="64374" spans="7:16" s="1634" customFormat="1">
      <c r="G64374" s="3336"/>
      <c r="P64374" s="3337"/>
    </row>
    <row r="64375" spans="7:16" s="1634" customFormat="1">
      <c r="G64375" s="3336"/>
      <c r="P64375" s="3337"/>
    </row>
    <row r="64376" spans="7:16" s="1634" customFormat="1">
      <c r="G64376" s="3336"/>
      <c r="P64376" s="3337"/>
    </row>
    <row r="64377" spans="7:16" s="1634" customFormat="1">
      <c r="G64377" s="3336"/>
      <c r="P64377" s="3337"/>
    </row>
    <row r="64378" spans="7:16" s="1634" customFormat="1">
      <c r="G64378" s="3336"/>
      <c r="P64378" s="3337"/>
    </row>
    <row r="64379" spans="7:16" s="1634" customFormat="1">
      <c r="G64379" s="3336"/>
      <c r="P64379" s="3337"/>
    </row>
    <row r="64380" spans="7:16" s="1634" customFormat="1">
      <c r="G64380" s="3336"/>
      <c r="P64380" s="3337"/>
    </row>
    <row r="64381" spans="7:16" s="1634" customFormat="1">
      <c r="G64381" s="3336"/>
      <c r="P64381" s="3337"/>
    </row>
    <row r="64382" spans="7:16" s="1634" customFormat="1">
      <c r="G64382" s="3336"/>
      <c r="P64382" s="3337"/>
    </row>
    <row r="64383" spans="7:16" s="1634" customFormat="1">
      <c r="G64383" s="3336"/>
      <c r="P64383" s="3337"/>
    </row>
    <row r="64384" spans="7:16" s="1634" customFormat="1">
      <c r="G64384" s="3336"/>
      <c r="P64384" s="3337"/>
    </row>
    <row r="64385" spans="7:16" s="1634" customFormat="1">
      <c r="G64385" s="3336"/>
      <c r="P64385" s="3337"/>
    </row>
    <row r="64386" spans="7:16" s="1634" customFormat="1">
      <c r="G64386" s="3336"/>
      <c r="P64386" s="3337"/>
    </row>
    <row r="64387" spans="7:16" s="1634" customFormat="1">
      <c r="G64387" s="3336"/>
      <c r="P64387" s="3337"/>
    </row>
    <row r="64388" spans="7:16" s="1634" customFormat="1">
      <c r="G64388" s="3336"/>
      <c r="P64388" s="3337"/>
    </row>
    <row r="64389" spans="7:16" s="1634" customFormat="1">
      <c r="G64389" s="3336"/>
      <c r="P64389" s="3337"/>
    </row>
    <row r="64390" spans="7:16" s="1634" customFormat="1">
      <c r="G64390" s="3336"/>
      <c r="P64390" s="3337"/>
    </row>
    <row r="64391" spans="7:16" s="1634" customFormat="1">
      <c r="G64391" s="3336"/>
      <c r="P64391" s="3337"/>
    </row>
    <row r="64392" spans="7:16" s="1634" customFormat="1">
      <c r="G64392" s="3336"/>
      <c r="P64392" s="3337"/>
    </row>
    <row r="64393" spans="7:16" s="1634" customFormat="1">
      <c r="G64393" s="3336"/>
      <c r="P64393" s="3337"/>
    </row>
    <row r="64394" spans="7:16" s="1634" customFormat="1">
      <c r="G64394" s="3336"/>
      <c r="P64394" s="3337"/>
    </row>
    <row r="64395" spans="7:16" s="1634" customFormat="1">
      <c r="G64395" s="3336"/>
      <c r="P64395" s="3337"/>
    </row>
    <row r="64396" spans="7:16" s="1634" customFormat="1">
      <c r="G64396" s="3336"/>
      <c r="P64396" s="3337"/>
    </row>
    <row r="64397" spans="7:16" s="1634" customFormat="1">
      <c r="G64397" s="3336"/>
      <c r="P64397" s="3337"/>
    </row>
    <row r="64398" spans="7:16" s="1634" customFormat="1">
      <c r="G64398" s="3336"/>
      <c r="P64398" s="3337"/>
    </row>
    <row r="64399" spans="7:16" s="1634" customFormat="1">
      <c r="G64399" s="3336"/>
      <c r="P64399" s="3337"/>
    </row>
    <row r="64400" spans="7:16" s="1634" customFormat="1">
      <c r="G64400" s="3336"/>
      <c r="P64400" s="3337"/>
    </row>
    <row r="64401" spans="7:16" s="1634" customFormat="1">
      <c r="G64401" s="3336"/>
      <c r="P64401" s="3337"/>
    </row>
    <row r="64402" spans="7:16" s="1634" customFormat="1">
      <c r="G64402" s="3336"/>
      <c r="P64402" s="3337"/>
    </row>
    <row r="64403" spans="7:16" s="1634" customFormat="1">
      <c r="G64403" s="3336"/>
      <c r="P64403" s="3337"/>
    </row>
    <row r="64404" spans="7:16" s="1634" customFormat="1">
      <c r="G64404" s="3336"/>
      <c r="P64404" s="3337"/>
    </row>
    <row r="64405" spans="7:16" s="1634" customFormat="1">
      <c r="G64405" s="3336"/>
      <c r="P64405" s="3337"/>
    </row>
    <row r="64406" spans="7:16" s="1634" customFormat="1">
      <c r="G64406" s="3336"/>
      <c r="P64406" s="3337"/>
    </row>
    <row r="64407" spans="7:16" s="1634" customFormat="1">
      <c r="G64407" s="3336"/>
      <c r="P64407" s="3337"/>
    </row>
    <row r="64408" spans="7:16" s="1634" customFormat="1">
      <c r="G64408" s="3336"/>
      <c r="P64408" s="3337"/>
    </row>
    <row r="64409" spans="7:16" s="1634" customFormat="1">
      <c r="G64409" s="3336"/>
      <c r="P64409" s="3337"/>
    </row>
    <row r="64410" spans="7:16" s="1634" customFormat="1">
      <c r="G64410" s="3336"/>
      <c r="P64410" s="3337"/>
    </row>
    <row r="64411" spans="7:16" s="1634" customFormat="1">
      <c r="G64411" s="3336"/>
      <c r="P64411" s="3337"/>
    </row>
    <row r="64412" spans="7:16" s="1634" customFormat="1">
      <c r="G64412" s="3336"/>
      <c r="P64412" s="3337"/>
    </row>
    <row r="64413" spans="7:16" s="1634" customFormat="1">
      <c r="G64413" s="3336"/>
      <c r="P64413" s="3337"/>
    </row>
    <row r="64414" spans="7:16" s="1634" customFormat="1">
      <c r="G64414" s="3336"/>
      <c r="P64414" s="3337"/>
    </row>
    <row r="64415" spans="7:16" s="1634" customFormat="1">
      <c r="G64415" s="3336"/>
      <c r="P64415" s="3337"/>
    </row>
    <row r="64416" spans="7:16" s="1634" customFormat="1">
      <c r="G64416" s="3336"/>
      <c r="P64416" s="3337"/>
    </row>
    <row r="64417" spans="7:16" s="1634" customFormat="1">
      <c r="G64417" s="3336"/>
      <c r="P64417" s="3337"/>
    </row>
    <row r="64418" spans="7:16" s="1634" customFormat="1">
      <c r="G64418" s="3336"/>
      <c r="P64418" s="3337"/>
    </row>
    <row r="64419" spans="7:16" s="1634" customFormat="1">
      <c r="G64419" s="3336"/>
      <c r="P64419" s="3337"/>
    </row>
    <row r="64420" spans="7:16" s="1634" customFormat="1">
      <c r="G64420" s="3336"/>
      <c r="P64420" s="3337"/>
    </row>
    <row r="64421" spans="7:16" s="1634" customFormat="1">
      <c r="G64421" s="3336"/>
      <c r="P64421" s="3337"/>
    </row>
    <row r="64422" spans="7:16" s="1634" customFormat="1">
      <c r="G64422" s="3336"/>
      <c r="P64422" s="3337"/>
    </row>
    <row r="64423" spans="7:16" s="1634" customFormat="1">
      <c r="G64423" s="3336"/>
      <c r="P64423" s="3337"/>
    </row>
    <row r="64424" spans="7:16" s="1634" customFormat="1">
      <c r="G64424" s="3336"/>
      <c r="P64424" s="3337"/>
    </row>
    <row r="64425" spans="7:16" s="1634" customFormat="1">
      <c r="G64425" s="3336"/>
      <c r="P64425" s="3337"/>
    </row>
    <row r="64426" spans="7:16" s="1634" customFormat="1">
      <c r="G64426" s="3336"/>
      <c r="P64426" s="3337"/>
    </row>
    <row r="64427" spans="7:16" s="1634" customFormat="1">
      <c r="G64427" s="3336"/>
      <c r="P64427" s="3337"/>
    </row>
    <row r="64428" spans="7:16" s="1634" customFormat="1">
      <c r="G64428" s="3336"/>
      <c r="P64428" s="3337"/>
    </row>
    <row r="64429" spans="7:16" s="1634" customFormat="1">
      <c r="G64429" s="3336"/>
      <c r="P64429" s="3337"/>
    </row>
    <row r="64430" spans="7:16" s="1634" customFormat="1">
      <c r="G64430" s="3336"/>
      <c r="P64430" s="3337"/>
    </row>
    <row r="64431" spans="7:16" s="1634" customFormat="1">
      <c r="G64431" s="3336"/>
      <c r="P64431" s="3337"/>
    </row>
    <row r="64432" spans="7:16" s="1634" customFormat="1">
      <c r="G64432" s="3336"/>
      <c r="P64432" s="3337"/>
    </row>
    <row r="64433" spans="7:16" s="1634" customFormat="1">
      <c r="G64433" s="3336"/>
      <c r="P64433" s="3337"/>
    </row>
    <row r="64434" spans="7:16" s="1634" customFormat="1">
      <c r="G64434" s="3336"/>
      <c r="P64434" s="3337"/>
    </row>
    <row r="64435" spans="7:16" s="1634" customFormat="1">
      <c r="G64435" s="3336"/>
      <c r="P64435" s="3337"/>
    </row>
    <row r="64436" spans="7:16" s="1634" customFormat="1">
      <c r="G64436" s="3336"/>
      <c r="P64436" s="3337"/>
    </row>
    <row r="64437" spans="7:16" s="1634" customFormat="1">
      <c r="G64437" s="3336"/>
      <c r="P64437" s="3337"/>
    </row>
    <row r="64438" spans="7:16" s="1634" customFormat="1">
      <c r="G64438" s="3336"/>
      <c r="P64438" s="3337"/>
    </row>
    <row r="64439" spans="7:16" s="1634" customFormat="1">
      <c r="G64439" s="3336"/>
      <c r="P64439" s="3337"/>
    </row>
    <row r="64440" spans="7:16" s="1634" customFormat="1">
      <c r="G64440" s="3336"/>
      <c r="P64440" s="3337"/>
    </row>
    <row r="64441" spans="7:16" s="1634" customFormat="1">
      <c r="G64441" s="3336"/>
      <c r="P64441" s="3337"/>
    </row>
    <row r="64442" spans="7:16" s="1634" customFormat="1">
      <c r="G64442" s="3336"/>
      <c r="P64442" s="3337"/>
    </row>
    <row r="64443" spans="7:16" s="1634" customFormat="1">
      <c r="G64443" s="3336"/>
      <c r="P64443" s="3337"/>
    </row>
    <row r="64444" spans="7:16" s="1634" customFormat="1">
      <c r="G64444" s="3336"/>
      <c r="P64444" s="3337"/>
    </row>
    <row r="64445" spans="7:16" s="1634" customFormat="1">
      <c r="G64445" s="3336"/>
      <c r="P64445" s="3337"/>
    </row>
    <row r="64446" spans="7:16" s="1634" customFormat="1">
      <c r="G64446" s="3336"/>
      <c r="P64446" s="3337"/>
    </row>
    <row r="64447" spans="7:16" s="1634" customFormat="1">
      <c r="G64447" s="3336"/>
      <c r="P64447" s="3337"/>
    </row>
    <row r="64448" spans="7:16" s="1634" customFormat="1">
      <c r="G64448" s="3336"/>
      <c r="P64448" s="3337"/>
    </row>
    <row r="64449" spans="7:16" s="1634" customFormat="1">
      <c r="G64449" s="3336"/>
      <c r="P64449" s="3337"/>
    </row>
    <row r="64450" spans="7:16" s="1634" customFormat="1">
      <c r="G64450" s="3336"/>
      <c r="P64450" s="3337"/>
    </row>
    <row r="64451" spans="7:16" s="1634" customFormat="1">
      <c r="G64451" s="3336"/>
      <c r="P64451" s="3337"/>
    </row>
    <row r="64452" spans="7:16" s="1634" customFormat="1">
      <c r="G64452" s="3336"/>
      <c r="P64452" s="3337"/>
    </row>
    <row r="64453" spans="7:16" s="1634" customFormat="1">
      <c r="G64453" s="3336"/>
      <c r="P64453" s="3337"/>
    </row>
    <row r="64454" spans="7:16" s="1634" customFormat="1">
      <c r="G64454" s="3336"/>
      <c r="P64454" s="3337"/>
    </row>
    <row r="64455" spans="7:16" s="1634" customFormat="1">
      <c r="G64455" s="3336"/>
      <c r="P64455" s="3337"/>
    </row>
    <row r="64456" spans="7:16" s="1634" customFormat="1">
      <c r="G64456" s="3336"/>
      <c r="P64456" s="3337"/>
    </row>
    <row r="64457" spans="7:16" s="1634" customFormat="1">
      <c r="G64457" s="3336"/>
      <c r="P64457" s="3337"/>
    </row>
    <row r="64458" spans="7:16" s="1634" customFormat="1">
      <c r="G64458" s="3336"/>
      <c r="P64458" s="3337"/>
    </row>
    <row r="64459" spans="7:16" s="1634" customFormat="1">
      <c r="G64459" s="3336"/>
      <c r="P64459" s="3337"/>
    </row>
    <row r="64460" spans="7:16" s="1634" customFormat="1">
      <c r="G64460" s="3336"/>
      <c r="P64460" s="3337"/>
    </row>
    <row r="64461" spans="7:16" s="1634" customFormat="1">
      <c r="G64461" s="3336"/>
      <c r="P64461" s="3337"/>
    </row>
    <row r="64462" spans="7:16" s="1634" customFormat="1">
      <c r="G64462" s="3336"/>
      <c r="P64462" s="3337"/>
    </row>
    <row r="64463" spans="7:16" s="1634" customFormat="1">
      <c r="G64463" s="3336"/>
      <c r="P64463" s="3337"/>
    </row>
    <row r="64464" spans="7:16" s="1634" customFormat="1">
      <c r="G64464" s="3336"/>
      <c r="P64464" s="3337"/>
    </row>
    <row r="64465" spans="7:16" s="1634" customFormat="1">
      <c r="G64465" s="3336"/>
      <c r="P64465" s="3337"/>
    </row>
    <row r="64466" spans="7:16" s="1634" customFormat="1">
      <c r="G64466" s="3336"/>
      <c r="P64466" s="3337"/>
    </row>
    <row r="64467" spans="7:16" s="1634" customFormat="1">
      <c r="G64467" s="3336"/>
      <c r="P64467" s="3337"/>
    </row>
    <row r="64468" spans="7:16" s="1634" customFormat="1">
      <c r="G64468" s="3336"/>
      <c r="P64468" s="3337"/>
    </row>
    <row r="64469" spans="7:16" s="1634" customFormat="1">
      <c r="G64469" s="3336"/>
      <c r="P64469" s="3337"/>
    </row>
    <row r="64470" spans="7:16" s="1634" customFormat="1">
      <c r="G64470" s="3336"/>
      <c r="P64470" s="3337"/>
    </row>
    <row r="64471" spans="7:16" s="1634" customFormat="1">
      <c r="G64471" s="3336"/>
      <c r="P64471" s="3337"/>
    </row>
    <row r="64472" spans="7:16" s="1634" customFormat="1">
      <c r="G64472" s="3336"/>
      <c r="P64472" s="3337"/>
    </row>
    <row r="64473" spans="7:16" s="1634" customFormat="1">
      <c r="G64473" s="3336"/>
      <c r="P64473" s="3337"/>
    </row>
    <row r="64474" spans="7:16" s="1634" customFormat="1">
      <c r="G64474" s="3336"/>
      <c r="P64474" s="3337"/>
    </row>
    <row r="64475" spans="7:16" s="1634" customFormat="1">
      <c r="G64475" s="3336"/>
      <c r="P64475" s="3337"/>
    </row>
    <row r="64476" spans="7:16" s="1634" customFormat="1">
      <c r="G64476" s="3336"/>
      <c r="P64476" s="3337"/>
    </row>
    <row r="64477" spans="7:16" s="1634" customFormat="1">
      <c r="G64477" s="3336"/>
      <c r="P64477" s="3337"/>
    </row>
    <row r="64478" spans="7:16" s="1634" customFormat="1">
      <c r="G64478" s="3336"/>
      <c r="P64478" s="3337"/>
    </row>
    <row r="64479" spans="7:16" s="1634" customFormat="1">
      <c r="G64479" s="3336"/>
      <c r="P64479" s="3337"/>
    </row>
    <row r="64480" spans="7:16" s="1634" customFormat="1">
      <c r="G64480" s="3336"/>
      <c r="P64480" s="3337"/>
    </row>
    <row r="64481" spans="7:16" s="1634" customFormat="1">
      <c r="G64481" s="3336"/>
      <c r="P64481" s="3337"/>
    </row>
    <row r="64482" spans="7:16" s="1634" customFormat="1">
      <c r="G64482" s="3336"/>
      <c r="P64482" s="3337"/>
    </row>
    <row r="64483" spans="7:16" s="1634" customFormat="1">
      <c r="G64483" s="3336"/>
      <c r="P64483" s="3337"/>
    </row>
    <row r="64484" spans="7:16" s="1634" customFormat="1">
      <c r="G64484" s="3336"/>
      <c r="P64484" s="3337"/>
    </row>
    <row r="64485" spans="7:16" s="1634" customFormat="1">
      <c r="G64485" s="3336"/>
      <c r="P64485" s="3337"/>
    </row>
    <row r="64486" spans="7:16" s="1634" customFormat="1">
      <c r="G64486" s="3336"/>
      <c r="P64486" s="3337"/>
    </row>
    <row r="64487" spans="7:16" s="1634" customFormat="1">
      <c r="G64487" s="3336"/>
      <c r="P64487" s="3337"/>
    </row>
    <row r="64488" spans="7:16" s="1634" customFormat="1">
      <c r="G64488" s="3336"/>
      <c r="P64488" s="3337"/>
    </row>
    <row r="64489" spans="7:16" s="1634" customFormat="1">
      <c r="G64489" s="3336"/>
      <c r="P64489" s="3337"/>
    </row>
    <row r="64490" spans="7:16" s="1634" customFormat="1">
      <c r="G64490" s="3336"/>
      <c r="P64490" s="3337"/>
    </row>
    <row r="64491" spans="7:16" s="1634" customFormat="1">
      <c r="G64491" s="3336"/>
      <c r="P64491" s="3337"/>
    </row>
    <row r="64492" spans="7:16" s="1634" customFormat="1">
      <c r="G64492" s="3336"/>
      <c r="P64492" s="3337"/>
    </row>
    <row r="64493" spans="7:16" s="1634" customFormat="1">
      <c r="G64493" s="3336"/>
      <c r="P64493" s="3337"/>
    </row>
    <row r="64494" spans="7:16" s="1634" customFormat="1">
      <c r="G64494" s="3336"/>
      <c r="P64494" s="3337"/>
    </row>
    <row r="64495" spans="7:16" s="1634" customFormat="1">
      <c r="G64495" s="3336"/>
      <c r="P64495" s="3337"/>
    </row>
    <row r="64496" spans="7:16" s="1634" customFormat="1">
      <c r="G64496" s="3336"/>
      <c r="P64496" s="3337"/>
    </row>
    <row r="64497" spans="7:16" s="1634" customFormat="1">
      <c r="G64497" s="3336"/>
      <c r="P64497" s="3337"/>
    </row>
    <row r="64498" spans="7:16" s="1634" customFormat="1">
      <c r="G64498" s="3336"/>
      <c r="P64498" s="3337"/>
    </row>
    <row r="64499" spans="7:16" s="1634" customFormat="1">
      <c r="G64499" s="3336"/>
      <c r="P64499" s="3337"/>
    </row>
    <row r="64500" spans="7:16" s="1634" customFormat="1">
      <c r="G64500" s="3336"/>
      <c r="P64500" s="3337"/>
    </row>
    <row r="64501" spans="7:16" s="1634" customFormat="1">
      <c r="G64501" s="3336"/>
      <c r="P64501" s="3337"/>
    </row>
    <row r="64502" spans="7:16" s="1634" customFormat="1">
      <c r="G64502" s="3336"/>
      <c r="P64502" s="3337"/>
    </row>
    <row r="64503" spans="7:16" s="1634" customFormat="1">
      <c r="G64503" s="3336"/>
      <c r="P64503" s="3337"/>
    </row>
    <row r="64504" spans="7:16" s="1634" customFormat="1">
      <c r="G64504" s="3336"/>
      <c r="P64504" s="3337"/>
    </row>
    <row r="64505" spans="7:16" s="1634" customFormat="1">
      <c r="G64505" s="3336"/>
      <c r="P64505" s="3337"/>
    </row>
    <row r="64506" spans="7:16" s="1634" customFormat="1">
      <c r="G64506" s="3336"/>
      <c r="P64506" s="3337"/>
    </row>
    <row r="64507" spans="7:16" s="1634" customFormat="1">
      <c r="G64507" s="3336"/>
      <c r="P64507" s="3337"/>
    </row>
    <row r="64508" spans="7:16" s="1634" customFormat="1">
      <c r="G64508" s="3336"/>
      <c r="P64508" s="3337"/>
    </row>
    <row r="64509" spans="7:16" s="1634" customFormat="1">
      <c r="G64509" s="3336"/>
      <c r="P64509" s="3337"/>
    </row>
    <row r="64510" spans="7:16" s="1634" customFormat="1">
      <c r="G64510" s="3336"/>
      <c r="P64510" s="3337"/>
    </row>
    <row r="64511" spans="7:16" s="1634" customFormat="1">
      <c r="G64511" s="3336"/>
      <c r="P64511" s="3337"/>
    </row>
    <row r="64512" spans="7:16" s="1634" customFormat="1">
      <c r="G64512" s="3336"/>
      <c r="P64512" s="3337"/>
    </row>
    <row r="64513" spans="7:16" s="1634" customFormat="1">
      <c r="G64513" s="3336"/>
      <c r="P64513" s="3337"/>
    </row>
    <row r="64514" spans="7:16" s="1634" customFormat="1">
      <c r="G64514" s="3336"/>
      <c r="P64514" s="3337"/>
    </row>
    <row r="64515" spans="7:16" s="1634" customFormat="1">
      <c r="G64515" s="3336"/>
      <c r="P64515" s="3337"/>
    </row>
    <row r="64516" spans="7:16" s="1634" customFormat="1">
      <c r="G64516" s="3336"/>
      <c r="P64516" s="3337"/>
    </row>
    <row r="64517" spans="7:16" s="1634" customFormat="1">
      <c r="G64517" s="3336"/>
      <c r="P64517" s="3337"/>
    </row>
    <row r="64518" spans="7:16" s="1634" customFormat="1">
      <c r="G64518" s="3336"/>
      <c r="P64518" s="3337"/>
    </row>
    <row r="64519" spans="7:16" s="1634" customFormat="1">
      <c r="G64519" s="3336"/>
      <c r="P64519" s="3337"/>
    </row>
    <row r="64520" spans="7:16" s="1634" customFormat="1">
      <c r="G64520" s="3336"/>
      <c r="P64520" s="3337"/>
    </row>
    <row r="64521" spans="7:16" s="1634" customFormat="1">
      <c r="G64521" s="3336"/>
      <c r="P64521" s="3337"/>
    </row>
    <row r="64522" spans="7:16" s="1634" customFormat="1">
      <c r="G64522" s="3336"/>
      <c r="P64522" s="3337"/>
    </row>
    <row r="64523" spans="7:16" s="1634" customFormat="1">
      <c r="G64523" s="3336"/>
      <c r="P64523" s="3337"/>
    </row>
    <row r="64524" spans="7:16" s="1634" customFormat="1">
      <c r="G64524" s="3336"/>
      <c r="P64524" s="3337"/>
    </row>
    <row r="64525" spans="7:16" s="1634" customFormat="1">
      <c r="G64525" s="3336"/>
      <c r="P64525" s="3337"/>
    </row>
    <row r="64526" spans="7:16" s="1634" customFormat="1">
      <c r="G64526" s="3336"/>
      <c r="P64526" s="3337"/>
    </row>
    <row r="64527" spans="7:16" s="1634" customFormat="1">
      <c r="G64527" s="3336"/>
      <c r="P64527" s="3337"/>
    </row>
    <row r="64528" spans="7:16" s="1634" customFormat="1">
      <c r="G64528" s="3336"/>
      <c r="P64528" s="3337"/>
    </row>
    <row r="64529" spans="7:16" s="1634" customFormat="1">
      <c r="G64529" s="3336"/>
      <c r="P64529" s="3337"/>
    </row>
    <row r="64530" spans="7:16" s="1634" customFormat="1">
      <c r="G64530" s="3336"/>
      <c r="P64530" s="3337"/>
    </row>
    <row r="64531" spans="7:16" s="1634" customFormat="1">
      <c r="G64531" s="3336"/>
      <c r="P64531" s="3337"/>
    </row>
    <row r="64532" spans="7:16" s="1634" customFormat="1">
      <c r="G64532" s="3336"/>
      <c r="P64532" s="3337"/>
    </row>
    <row r="64533" spans="7:16" s="1634" customFormat="1">
      <c r="G64533" s="3336"/>
      <c r="P64533" s="3337"/>
    </row>
    <row r="64534" spans="7:16" s="1634" customFormat="1">
      <c r="G64534" s="3336"/>
      <c r="P64534" s="3337"/>
    </row>
    <row r="64535" spans="7:16" s="1634" customFormat="1">
      <c r="G64535" s="3336"/>
      <c r="P64535" s="3337"/>
    </row>
    <row r="64536" spans="7:16" s="1634" customFormat="1">
      <c r="G64536" s="3336"/>
      <c r="P64536" s="3337"/>
    </row>
    <row r="64537" spans="7:16" s="1634" customFormat="1">
      <c r="G64537" s="3336"/>
      <c r="P64537" s="3337"/>
    </row>
    <row r="64538" spans="7:16" s="1634" customFormat="1">
      <c r="G64538" s="3336"/>
      <c r="P64538" s="3337"/>
    </row>
    <row r="64539" spans="7:16" s="1634" customFormat="1">
      <c r="G64539" s="3336"/>
      <c r="P64539" s="3337"/>
    </row>
    <row r="64540" spans="7:16" s="1634" customFormat="1">
      <c r="G64540" s="3336"/>
      <c r="P64540" s="3337"/>
    </row>
    <row r="64541" spans="7:16" s="1634" customFormat="1">
      <c r="G64541" s="3336"/>
      <c r="P64541" s="3337"/>
    </row>
    <row r="64542" spans="7:16" s="1634" customFormat="1">
      <c r="G64542" s="3336"/>
      <c r="P64542" s="3337"/>
    </row>
    <row r="64543" spans="7:16" s="1634" customFormat="1">
      <c r="G64543" s="3336"/>
      <c r="P64543" s="3337"/>
    </row>
    <row r="64544" spans="7:16" s="1634" customFormat="1">
      <c r="G64544" s="3336"/>
      <c r="P64544" s="3337"/>
    </row>
    <row r="64545" spans="7:16" s="1634" customFormat="1">
      <c r="G64545" s="3336"/>
      <c r="P64545" s="3337"/>
    </row>
    <row r="64546" spans="7:16" s="1634" customFormat="1">
      <c r="G64546" s="3336"/>
      <c r="P64546" s="3337"/>
    </row>
    <row r="64547" spans="7:16" s="1634" customFormat="1">
      <c r="G64547" s="3336"/>
      <c r="P64547" s="3337"/>
    </row>
    <row r="64548" spans="7:16" s="1634" customFormat="1">
      <c r="G64548" s="3336"/>
      <c r="P64548" s="3337"/>
    </row>
    <row r="64549" spans="7:16" s="1634" customFormat="1">
      <c r="G64549" s="3336"/>
      <c r="P64549" s="3337"/>
    </row>
    <row r="64550" spans="7:16" s="1634" customFormat="1">
      <c r="G64550" s="3336"/>
      <c r="P64550" s="3337"/>
    </row>
    <row r="64551" spans="7:16" s="1634" customFormat="1">
      <c r="G64551" s="3336"/>
      <c r="P64551" s="3337"/>
    </row>
    <row r="64552" spans="7:16" s="1634" customFormat="1">
      <c r="G64552" s="3336"/>
      <c r="P64552" s="3337"/>
    </row>
    <row r="64553" spans="7:16" s="1634" customFormat="1">
      <c r="G64553" s="3336"/>
      <c r="P64553" s="3337"/>
    </row>
    <row r="64554" spans="7:16" s="1634" customFormat="1">
      <c r="G64554" s="3336"/>
      <c r="P64554" s="3337"/>
    </row>
    <row r="64555" spans="7:16" s="1634" customFormat="1">
      <c r="G64555" s="3336"/>
      <c r="P64555" s="3337"/>
    </row>
    <row r="64556" spans="7:16" s="1634" customFormat="1">
      <c r="G64556" s="3336"/>
      <c r="P64556" s="3337"/>
    </row>
    <row r="64557" spans="7:16" s="1634" customFormat="1">
      <c r="G64557" s="3336"/>
      <c r="P64557" s="3337"/>
    </row>
    <row r="64558" spans="7:16" s="1634" customFormat="1">
      <c r="G64558" s="3336"/>
      <c r="P64558" s="3337"/>
    </row>
    <row r="64559" spans="7:16" s="1634" customFormat="1">
      <c r="G64559" s="3336"/>
      <c r="P64559" s="3337"/>
    </row>
    <row r="64560" spans="7:16" s="1634" customFormat="1">
      <c r="G64560" s="3336"/>
      <c r="P64560" s="3337"/>
    </row>
    <row r="64561" spans="7:16" s="1634" customFormat="1">
      <c r="G64561" s="3336"/>
      <c r="P64561" s="3337"/>
    </row>
    <row r="64562" spans="7:16" s="1634" customFormat="1">
      <c r="G64562" s="3336"/>
      <c r="P64562" s="3337"/>
    </row>
    <row r="64563" spans="7:16" s="1634" customFormat="1">
      <c r="G64563" s="3336"/>
      <c r="P64563" s="3337"/>
    </row>
    <row r="64564" spans="7:16" s="1634" customFormat="1">
      <c r="G64564" s="3336"/>
      <c r="P64564" s="3337"/>
    </row>
    <row r="64565" spans="7:16" s="1634" customFormat="1">
      <c r="G64565" s="3336"/>
      <c r="P64565" s="3337"/>
    </row>
    <row r="64566" spans="7:16" s="1634" customFormat="1">
      <c r="G64566" s="3336"/>
      <c r="P64566" s="3337"/>
    </row>
    <row r="64567" spans="7:16" s="1634" customFormat="1">
      <c r="G64567" s="3336"/>
      <c r="P64567" s="3337"/>
    </row>
    <row r="64568" spans="7:16" s="1634" customFormat="1">
      <c r="G64568" s="3336"/>
      <c r="P64568" s="3337"/>
    </row>
    <row r="64569" spans="7:16" s="1634" customFormat="1">
      <c r="G64569" s="3336"/>
      <c r="P64569" s="3337"/>
    </row>
    <row r="64570" spans="7:16" s="1634" customFormat="1">
      <c r="G64570" s="3336"/>
      <c r="P64570" s="3337"/>
    </row>
    <row r="64571" spans="7:16" s="1634" customFormat="1">
      <c r="G64571" s="3336"/>
      <c r="P64571" s="3337"/>
    </row>
    <row r="64572" spans="7:16" s="1634" customFormat="1">
      <c r="G64572" s="3336"/>
      <c r="P64572" s="3337"/>
    </row>
    <row r="64573" spans="7:16" s="1634" customFormat="1">
      <c r="G64573" s="3336"/>
      <c r="P64573" s="3337"/>
    </row>
    <row r="64574" spans="7:16" s="1634" customFormat="1">
      <c r="G64574" s="3336"/>
      <c r="P64574" s="3337"/>
    </row>
    <row r="64575" spans="7:16" s="1634" customFormat="1">
      <c r="G64575" s="3336"/>
      <c r="P64575" s="3337"/>
    </row>
    <row r="64576" spans="7:16" s="1634" customFormat="1">
      <c r="G64576" s="3336"/>
      <c r="P64576" s="3337"/>
    </row>
    <row r="64577" spans="7:16" s="1634" customFormat="1">
      <c r="G64577" s="3336"/>
      <c r="P64577" s="3337"/>
    </row>
    <row r="64578" spans="7:16" s="1634" customFormat="1">
      <c r="G64578" s="3336"/>
      <c r="P64578" s="3337"/>
    </row>
    <row r="64579" spans="7:16" s="1634" customFormat="1">
      <c r="G64579" s="3336"/>
      <c r="P64579" s="3337"/>
    </row>
    <row r="64580" spans="7:16" s="1634" customFormat="1">
      <c r="G64580" s="3336"/>
      <c r="P64580" s="3337"/>
    </row>
    <row r="64581" spans="7:16" s="1634" customFormat="1">
      <c r="G64581" s="3336"/>
      <c r="P64581" s="3337"/>
    </row>
    <row r="64582" spans="7:16" s="1634" customFormat="1">
      <c r="G64582" s="3336"/>
      <c r="P64582" s="3337"/>
    </row>
    <row r="64583" spans="7:16" s="1634" customFormat="1">
      <c r="G64583" s="3336"/>
      <c r="P64583" s="3337"/>
    </row>
    <row r="64584" spans="7:16" s="1634" customFormat="1">
      <c r="G64584" s="3336"/>
      <c r="P64584" s="3337"/>
    </row>
    <row r="64585" spans="7:16" s="1634" customFormat="1">
      <c r="G64585" s="3336"/>
      <c r="P64585" s="3337"/>
    </row>
    <row r="64586" spans="7:16" s="1634" customFormat="1">
      <c r="G64586" s="3336"/>
      <c r="P64586" s="3337"/>
    </row>
    <row r="64587" spans="7:16" s="1634" customFormat="1">
      <c r="G64587" s="3336"/>
      <c r="P64587" s="3337"/>
    </row>
    <row r="64588" spans="7:16" s="1634" customFormat="1">
      <c r="G64588" s="3336"/>
      <c r="P64588" s="3337"/>
    </row>
    <row r="64589" spans="7:16" s="1634" customFormat="1">
      <c r="G64589" s="3336"/>
      <c r="P64589" s="3337"/>
    </row>
    <row r="64590" spans="7:16" s="1634" customFormat="1">
      <c r="G64590" s="3336"/>
      <c r="P64590" s="3337"/>
    </row>
    <row r="64591" spans="7:16" s="1634" customFormat="1">
      <c r="G64591" s="3336"/>
      <c r="P64591" s="3337"/>
    </row>
    <row r="64592" spans="7:16" s="1634" customFormat="1">
      <c r="G64592" s="3336"/>
      <c r="P64592" s="3337"/>
    </row>
    <row r="64593" spans="7:16" s="1634" customFormat="1">
      <c r="G64593" s="3336"/>
      <c r="P64593" s="3337"/>
    </row>
    <row r="64594" spans="7:16" s="1634" customFormat="1">
      <c r="G64594" s="3336"/>
      <c r="P64594" s="3337"/>
    </row>
    <row r="64595" spans="7:16" s="1634" customFormat="1">
      <c r="G64595" s="3336"/>
      <c r="P64595" s="3337"/>
    </row>
    <row r="64596" spans="7:16" s="1634" customFormat="1">
      <c r="G64596" s="3336"/>
      <c r="P64596" s="3337"/>
    </row>
    <row r="64597" spans="7:16" s="1634" customFormat="1">
      <c r="G64597" s="3336"/>
      <c r="P64597" s="3337"/>
    </row>
    <row r="64598" spans="7:16" s="1634" customFormat="1">
      <c r="G64598" s="3336"/>
      <c r="P64598" s="3337"/>
    </row>
    <row r="64599" spans="7:16" s="1634" customFormat="1">
      <c r="G64599" s="3336"/>
      <c r="P64599" s="3337"/>
    </row>
    <row r="64600" spans="7:16" s="1634" customFormat="1">
      <c r="G64600" s="3336"/>
      <c r="P64600" s="3337"/>
    </row>
    <row r="64601" spans="7:16" s="1634" customFormat="1">
      <c r="G64601" s="3336"/>
      <c r="P64601" s="3337"/>
    </row>
    <row r="64602" spans="7:16" s="1634" customFormat="1">
      <c r="G64602" s="3336"/>
      <c r="P64602" s="3337"/>
    </row>
    <row r="64603" spans="7:16" s="1634" customFormat="1">
      <c r="G64603" s="3336"/>
      <c r="P64603" s="3337"/>
    </row>
    <row r="64604" spans="7:16" s="1634" customFormat="1">
      <c r="G64604" s="3336"/>
      <c r="P64604" s="3337"/>
    </row>
    <row r="64605" spans="7:16" s="1634" customFormat="1">
      <c r="G64605" s="3336"/>
      <c r="P64605" s="3337"/>
    </row>
    <row r="64606" spans="7:16" s="1634" customFormat="1">
      <c r="G64606" s="3336"/>
      <c r="P64606" s="3337"/>
    </row>
    <row r="64607" spans="7:16" s="1634" customFormat="1">
      <c r="G64607" s="3336"/>
      <c r="P64607" s="3337"/>
    </row>
    <row r="64608" spans="7:16" s="1634" customFormat="1">
      <c r="G64608" s="3336"/>
      <c r="P64608" s="3337"/>
    </row>
    <row r="64609" spans="7:16" s="1634" customFormat="1">
      <c r="G64609" s="3336"/>
      <c r="P64609" s="3337"/>
    </row>
    <row r="64610" spans="7:16" s="1634" customFormat="1">
      <c r="G64610" s="3336"/>
      <c r="P64610" s="3337"/>
    </row>
    <row r="64611" spans="7:16" s="1634" customFormat="1">
      <c r="G64611" s="3336"/>
      <c r="P64611" s="3337"/>
    </row>
    <row r="64612" spans="7:16" s="1634" customFormat="1">
      <c r="G64612" s="3336"/>
      <c r="P64612" s="3337"/>
    </row>
    <row r="64613" spans="7:16" s="1634" customFormat="1">
      <c r="G64613" s="3336"/>
      <c r="P64613" s="3337"/>
    </row>
    <row r="64614" spans="7:16" s="1634" customFormat="1">
      <c r="G64614" s="3336"/>
      <c r="P64614" s="3337"/>
    </row>
    <row r="64615" spans="7:16" s="1634" customFormat="1">
      <c r="G64615" s="3336"/>
      <c r="P64615" s="3337"/>
    </row>
    <row r="64616" spans="7:16" s="1634" customFormat="1">
      <c r="G64616" s="3336"/>
      <c r="P64616" s="3337"/>
    </row>
    <row r="64617" spans="7:16" s="1634" customFormat="1">
      <c r="G64617" s="3336"/>
      <c r="P64617" s="3337"/>
    </row>
    <row r="64618" spans="7:16" s="1634" customFormat="1">
      <c r="G64618" s="3336"/>
      <c r="P64618" s="3337"/>
    </row>
    <row r="64619" spans="7:16" s="1634" customFormat="1">
      <c r="G64619" s="3336"/>
      <c r="P64619" s="3337"/>
    </row>
    <row r="64620" spans="7:16" s="1634" customFormat="1">
      <c r="G64620" s="3336"/>
      <c r="P64620" s="3337"/>
    </row>
    <row r="64621" spans="7:16" s="1634" customFormat="1">
      <c r="G64621" s="3336"/>
      <c r="P64621" s="3337"/>
    </row>
    <row r="64622" spans="7:16" s="1634" customFormat="1">
      <c r="G64622" s="3336"/>
      <c r="P64622" s="3337"/>
    </row>
    <row r="64623" spans="7:16" s="1634" customFormat="1">
      <c r="G64623" s="3336"/>
      <c r="P64623" s="3337"/>
    </row>
    <row r="64624" spans="7:16" s="1634" customFormat="1">
      <c r="G64624" s="3336"/>
      <c r="P64624" s="3337"/>
    </row>
    <row r="64625" spans="7:16" s="1634" customFormat="1">
      <c r="G64625" s="3336"/>
      <c r="P64625" s="3337"/>
    </row>
    <row r="64626" spans="7:16" s="1634" customFormat="1">
      <c r="G64626" s="3336"/>
      <c r="P64626" s="3337"/>
    </row>
    <row r="64627" spans="7:16" s="1634" customFormat="1">
      <c r="G64627" s="3336"/>
      <c r="P64627" s="3337"/>
    </row>
    <row r="64628" spans="7:16" s="1634" customFormat="1">
      <c r="G64628" s="3336"/>
      <c r="P64628" s="3337"/>
    </row>
    <row r="64629" spans="7:16" s="1634" customFormat="1">
      <c r="G64629" s="3336"/>
      <c r="P64629" s="3337"/>
    </row>
    <row r="64630" spans="7:16" s="1634" customFormat="1">
      <c r="G64630" s="3336"/>
      <c r="P64630" s="3337"/>
    </row>
    <row r="64631" spans="7:16" s="1634" customFormat="1">
      <c r="G64631" s="3336"/>
      <c r="P64631" s="3337"/>
    </row>
    <row r="64632" spans="7:16" s="1634" customFormat="1">
      <c r="G64632" s="3336"/>
      <c r="P64632" s="3337"/>
    </row>
    <row r="64633" spans="7:16" s="1634" customFormat="1">
      <c r="G64633" s="3336"/>
      <c r="P64633" s="3337"/>
    </row>
    <row r="64634" spans="7:16" s="1634" customFormat="1">
      <c r="G64634" s="3336"/>
      <c r="P64634" s="3337"/>
    </row>
    <row r="64635" spans="7:16" s="1634" customFormat="1">
      <c r="G64635" s="3336"/>
      <c r="P64635" s="3337"/>
    </row>
    <row r="64636" spans="7:16" s="1634" customFormat="1">
      <c r="G64636" s="3336"/>
      <c r="P64636" s="3337"/>
    </row>
    <row r="64637" spans="7:16" s="1634" customFormat="1">
      <c r="G64637" s="3336"/>
      <c r="P64637" s="3337"/>
    </row>
    <row r="64638" spans="7:16" s="1634" customFormat="1">
      <c r="G64638" s="3336"/>
      <c r="P64638" s="3337"/>
    </row>
    <row r="64639" spans="7:16" s="1634" customFormat="1">
      <c r="G64639" s="3336"/>
      <c r="P64639" s="3337"/>
    </row>
    <row r="64640" spans="7:16" s="1634" customFormat="1">
      <c r="G64640" s="3336"/>
      <c r="P64640" s="3337"/>
    </row>
    <row r="64641" spans="7:16" s="1634" customFormat="1">
      <c r="G64641" s="3336"/>
      <c r="P64641" s="3337"/>
    </row>
    <row r="64642" spans="7:16" s="1634" customFormat="1">
      <c r="G64642" s="3336"/>
      <c r="P64642" s="3337"/>
    </row>
    <row r="64643" spans="7:16" s="1634" customFormat="1">
      <c r="G64643" s="3336"/>
      <c r="P64643" s="3337"/>
    </row>
    <row r="64644" spans="7:16" s="1634" customFormat="1">
      <c r="G64644" s="3336"/>
      <c r="P64644" s="3337"/>
    </row>
    <row r="64645" spans="7:16" s="1634" customFormat="1">
      <c r="G64645" s="3336"/>
      <c r="P64645" s="3337"/>
    </row>
    <row r="64646" spans="7:16" s="1634" customFormat="1">
      <c r="G64646" s="3336"/>
      <c r="P64646" s="3337"/>
    </row>
    <row r="64647" spans="7:16" s="1634" customFormat="1">
      <c r="G64647" s="3336"/>
      <c r="P64647" s="3337"/>
    </row>
    <row r="64648" spans="7:16" s="1634" customFormat="1">
      <c r="G64648" s="3336"/>
      <c r="P64648" s="3337"/>
    </row>
    <row r="64649" spans="7:16" s="1634" customFormat="1">
      <c r="G64649" s="3336"/>
      <c r="P64649" s="3337"/>
    </row>
    <row r="64650" spans="7:16" s="1634" customFormat="1">
      <c r="G64650" s="3336"/>
      <c r="P64650" s="3337"/>
    </row>
    <row r="64651" spans="7:16" s="1634" customFormat="1">
      <c r="G64651" s="3336"/>
      <c r="P64651" s="3337"/>
    </row>
    <row r="64652" spans="7:16" s="1634" customFormat="1">
      <c r="G64652" s="3336"/>
      <c r="P64652" s="3337"/>
    </row>
    <row r="64653" spans="7:16" s="1634" customFormat="1">
      <c r="G64653" s="3336"/>
      <c r="P64653" s="3337"/>
    </row>
    <row r="64654" spans="7:16" s="1634" customFormat="1">
      <c r="G64654" s="3336"/>
      <c r="P64654" s="3337"/>
    </row>
    <row r="64655" spans="7:16" s="1634" customFormat="1">
      <c r="G64655" s="3336"/>
      <c r="P64655" s="3337"/>
    </row>
    <row r="64656" spans="7:16" s="1634" customFormat="1">
      <c r="G64656" s="3336"/>
      <c r="P64656" s="3337"/>
    </row>
    <row r="64657" spans="7:16" s="1634" customFormat="1">
      <c r="G64657" s="3336"/>
      <c r="P64657" s="3337"/>
    </row>
    <row r="64658" spans="7:16" s="1634" customFormat="1">
      <c r="G64658" s="3336"/>
      <c r="P64658" s="3337"/>
    </row>
    <row r="64659" spans="7:16" s="1634" customFormat="1">
      <c r="G64659" s="3336"/>
      <c r="P64659" s="3337"/>
    </row>
    <row r="64660" spans="7:16" s="1634" customFormat="1">
      <c r="G64660" s="3336"/>
      <c r="P64660" s="3337"/>
    </row>
    <row r="64661" spans="7:16" s="1634" customFormat="1">
      <c r="G64661" s="3336"/>
      <c r="P64661" s="3337"/>
    </row>
    <row r="64662" spans="7:16" s="1634" customFormat="1">
      <c r="G64662" s="3336"/>
      <c r="P64662" s="3337"/>
    </row>
    <row r="64663" spans="7:16" s="1634" customFormat="1">
      <c r="G64663" s="3336"/>
      <c r="P64663" s="3337"/>
    </row>
    <row r="64664" spans="7:16" s="1634" customFormat="1">
      <c r="G64664" s="3336"/>
      <c r="P64664" s="3337"/>
    </row>
    <row r="64665" spans="7:16" s="1634" customFormat="1">
      <c r="G64665" s="3336"/>
      <c r="P64665" s="3337"/>
    </row>
    <row r="64666" spans="7:16" s="1634" customFormat="1">
      <c r="G64666" s="3336"/>
      <c r="P64666" s="3337"/>
    </row>
    <row r="64667" spans="7:16" s="1634" customFormat="1">
      <c r="G64667" s="3336"/>
      <c r="P64667" s="3337"/>
    </row>
    <row r="64668" spans="7:16" s="1634" customFormat="1">
      <c r="G64668" s="3336"/>
      <c r="P64668" s="3337"/>
    </row>
    <row r="64669" spans="7:16" s="1634" customFormat="1">
      <c r="G64669" s="3336"/>
      <c r="P64669" s="3337"/>
    </row>
    <row r="64670" spans="7:16" s="1634" customFormat="1">
      <c r="G64670" s="3336"/>
      <c r="P64670" s="3337"/>
    </row>
    <row r="64671" spans="7:16" s="1634" customFormat="1">
      <c r="G64671" s="3336"/>
      <c r="P64671" s="3337"/>
    </row>
    <row r="64672" spans="7:16" s="1634" customFormat="1">
      <c r="G64672" s="3336"/>
      <c r="P64672" s="3337"/>
    </row>
    <row r="64673" spans="7:16" s="1634" customFormat="1">
      <c r="G64673" s="3336"/>
      <c r="P64673" s="3337"/>
    </row>
    <row r="64674" spans="7:16" s="1634" customFormat="1">
      <c r="G64674" s="3336"/>
      <c r="P64674" s="3337"/>
    </row>
    <row r="64675" spans="7:16" s="1634" customFormat="1">
      <c r="G64675" s="3336"/>
      <c r="P64675" s="3337"/>
    </row>
    <row r="64676" spans="7:16" s="1634" customFormat="1">
      <c r="G64676" s="3336"/>
      <c r="P64676" s="3337"/>
    </row>
    <row r="64677" spans="7:16" s="1634" customFormat="1">
      <c r="G64677" s="3336"/>
      <c r="P64677" s="3337"/>
    </row>
    <row r="64678" spans="7:16" s="1634" customFormat="1">
      <c r="G64678" s="3336"/>
      <c r="P64678" s="3337"/>
    </row>
    <row r="64679" spans="7:16" s="1634" customFormat="1">
      <c r="G64679" s="3336"/>
      <c r="P64679" s="3337"/>
    </row>
    <row r="64680" spans="7:16" s="1634" customFormat="1">
      <c r="G64680" s="3336"/>
      <c r="P64680" s="3337"/>
    </row>
    <row r="64681" spans="7:16" s="1634" customFormat="1">
      <c r="G64681" s="3336"/>
      <c r="P64681" s="3337"/>
    </row>
    <row r="64682" spans="7:16" s="1634" customFormat="1">
      <c r="G64682" s="3336"/>
      <c r="P64682" s="3337"/>
    </row>
    <row r="64683" spans="7:16" s="1634" customFormat="1">
      <c r="G64683" s="3336"/>
      <c r="P64683" s="3337"/>
    </row>
    <row r="64684" spans="7:16" s="1634" customFormat="1">
      <c r="G64684" s="3336"/>
      <c r="P64684" s="3337"/>
    </row>
    <row r="64685" spans="7:16" s="1634" customFormat="1">
      <c r="G64685" s="3336"/>
      <c r="P64685" s="3337"/>
    </row>
    <row r="64686" spans="7:16" s="1634" customFormat="1">
      <c r="G64686" s="3336"/>
      <c r="P64686" s="3337"/>
    </row>
    <row r="64687" spans="7:16" s="1634" customFormat="1">
      <c r="G64687" s="3336"/>
      <c r="P64687" s="3337"/>
    </row>
    <row r="64688" spans="7:16" s="1634" customFormat="1">
      <c r="G64688" s="3336"/>
      <c r="P64688" s="3337"/>
    </row>
    <row r="64689" spans="7:16" s="1634" customFormat="1">
      <c r="G64689" s="3336"/>
      <c r="P64689" s="3337"/>
    </row>
    <row r="64690" spans="7:16" s="1634" customFormat="1">
      <c r="G64690" s="3336"/>
      <c r="P64690" s="3337"/>
    </row>
    <row r="64691" spans="7:16" s="1634" customFormat="1">
      <c r="G64691" s="3336"/>
      <c r="P64691" s="3337"/>
    </row>
    <row r="64692" spans="7:16" s="1634" customFormat="1">
      <c r="G64692" s="3336"/>
      <c r="P64692" s="3337"/>
    </row>
    <row r="64693" spans="7:16" s="1634" customFormat="1">
      <c r="G64693" s="3336"/>
      <c r="P64693" s="3337"/>
    </row>
    <row r="64694" spans="7:16" s="1634" customFormat="1">
      <c r="G64694" s="3336"/>
      <c r="P64694" s="3337"/>
    </row>
    <row r="64695" spans="7:16" s="1634" customFormat="1">
      <c r="G64695" s="3336"/>
      <c r="P64695" s="3337"/>
    </row>
    <row r="64696" spans="7:16" s="1634" customFormat="1">
      <c r="G64696" s="3336"/>
      <c r="P64696" s="3337"/>
    </row>
    <row r="64697" spans="7:16" s="1634" customFormat="1">
      <c r="G64697" s="3336"/>
      <c r="P64697" s="3337"/>
    </row>
    <row r="64698" spans="7:16" s="1634" customFormat="1">
      <c r="G64698" s="3336"/>
      <c r="P64698" s="3337"/>
    </row>
    <row r="64699" spans="7:16" s="1634" customFormat="1">
      <c r="G64699" s="3336"/>
      <c r="P64699" s="3337"/>
    </row>
    <row r="64700" spans="7:16" s="1634" customFormat="1">
      <c r="G64700" s="3336"/>
      <c r="P64700" s="3337"/>
    </row>
    <row r="64701" spans="7:16" s="1634" customFormat="1">
      <c r="G64701" s="3336"/>
      <c r="P64701" s="3337"/>
    </row>
    <row r="64702" spans="7:16" s="1634" customFormat="1">
      <c r="G64702" s="3336"/>
      <c r="P64702" s="3337"/>
    </row>
    <row r="64703" spans="7:16" s="1634" customFormat="1">
      <c r="G64703" s="3336"/>
      <c r="P64703" s="3337"/>
    </row>
    <row r="64704" spans="7:16" s="1634" customFormat="1">
      <c r="G64704" s="3336"/>
      <c r="P64704" s="3337"/>
    </row>
    <row r="64705" spans="7:16" s="1634" customFormat="1">
      <c r="G64705" s="3336"/>
      <c r="P64705" s="3337"/>
    </row>
    <row r="64706" spans="7:16" s="1634" customFormat="1">
      <c r="G64706" s="3336"/>
      <c r="P64706" s="3337"/>
    </row>
    <row r="64707" spans="7:16" s="1634" customFormat="1">
      <c r="G64707" s="3336"/>
      <c r="P64707" s="3337"/>
    </row>
    <row r="64708" spans="7:16" s="1634" customFormat="1">
      <c r="G64708" s="3336"/>
      <c r="P64708" s="3337"/>
    </row>
    <row r="64709" spans="7:16" s="1634" customFormat="1">
      <c r="G64709" s="3336"/>
      <c r="P64709" s="3337"/>
    </row>
    <row r="64710" spans="7:16" s="1634" customFormat="1">
      <c r="G64710" s="3336"/>
      <c r="P64710" s="3337"/>
    </row>
    <row r="64711" spans="7:16" s="1634" customFormat="1">
      <c r="G64711" s="3336"/>
      <c r="P64711" s="3337"/>
    </row>
    <row r="64712" spans="7:16" s="1634" customFormat="1">
      <c r="G64712" s="3336"/>
      <c r="P64712" s="3337"/>
    </row>
    <row r="64713" spans="7:16" s="1634" customFormat="1">
      <c r="G64713" s="3336"/>
      <c r="P64713" s="3337"/>
    </row>
    <row r="64714" spans="7:16" s="1634" customFormat="1">
      <c r="G64714" s="3336"/>
      <c r="P64714" s="3337"/>
    </row>
    <row r="64715" spans="7:16" s="1634" customFormat="1">
      <c r="G64715" s="3336"/>
      <c r="P64715" s="3337"/>
    </row>
    <row r="64716" spans="7:16" s="1634" customFormat="1">
      <c r="G64716" s="3336"/>
      <c r="P64716" s="3337"/>
    </row>
    <row r="64717" spans="7:16" s="1634" customFormat="1">
      <c r="G64717" s="3336"/>
      <c r="P64717" s="3337"/>
    </row>
    <row r="64718" spans="7:16" s="1634" customFormat="1">
      <c r="G64718" s="3336"/>
      <c r="P64718" s="3337"/>
    </row>
    <row r="64719" spans="7:16" s="1634" customFormat="1">
      <c r="G64719" s="3336"/>
      <c r="P64719" s="3337"/>
    </row>
    <row r="64720" spans="7:16" s="1634" customFormat="1">
      <c r="G64720" s="3336"/>
      <c r="P64720" s="3337"/>
    </row>
    <row r="64721" spans="7:16" s="1634" customFormat="1">
      <c r="G64721" s="3336"/>
      <c r="P64721" s="3337"/>
    </row>
    <row r="64722" spans="7:16" s="1634" customFormat="1">
      <c r="G64722" s="3336"/>
      <c r="P64722" s="3337"/>
    </row>
    <row r="64723" spans="7:16" s="1634" customFormat="1">
      <c r="G64723" s="3336"/>
      <c r="P64723" s="3337"/>
    </row>
    <row r="64724" spans="7:16" s="1634" customFormat="1">
      <c r="G64724" s="3336"/>
      <c r="P64724" s="3337"/>
    </row>
    <row r="64725" spans="7:16" s="1634" customFormat="1">
      <c r="G64725" s="3336"/>
      <c r="P64725" s="3337"/>
    </row>
    <row r="64726" spans="7:16" s="1634" customFormat="1">
      <c r="G64726" s="3336"/>
      <c r="P64726" s="3337"/>
    </row>
    <row r="64727" spans="7:16" s="1634" customFormat="1">
      <c r="G64727" s="3336"/>
      <c r="P64727" s="3337"/>
    </row>
    <row r="64728" spans="7:16" s="1634" customFormat="1">
      <c r="G64728" s="3336"/>
      <c r="P64728" s="3337"/>
    </row>
    <row r="64729" spans="7:16" s="1634" customFormat="1">
      <c r="G64729" s="3336"/>
      <c r="P64729" s="3337"/>
    </row>
    <row r="64730" spans="7:16" s="1634" customFormat="1">
      <c r="G64730" s="3336"/>
      <c r="P64730" s="3337"/>
    </row>
    <row r="64731" spans="7:16" s="1634" customFormat="1">
      <c r="G64731" s="3336"/>
      <c r="P64731" s="3337"/>
    </row>
    <row r="64732" spans="7:16" s="1634" customFormat="1">
      <c r="G64732" s="3336"/>
      <c r="P64732" s="3337"/>
    </row>
    <row r="64733" spans="7:16" s="1634" customFormat="1">
      <c r="G64733" s="3336"/>
      <c r="P64733" s="3337"/>
    </row>
    <row r="64734" spans="7:16" s="1634" customFormat="1">
      <c r="G64734" s="3336"/>
      <c r="P64734" s="3337"/>
    </row>
    <row r="64735" spans="7:16" s="1634" customFormat="1">
      <c r="G64735" s="3336"/>
      <c r="P64735" s="3337"/>
    </row>
    <row r="64736" spans="7:16" s="1634" customFormat="1">
      <c r="G64736" s="3336"/>
      <c r="P64736" s="3337"/>
    </row>
    <row r="64737" spans="7:16" s="1634" customFormat="1">
      <c r="G64737" s="3336"/>
      <c r="P64737" s="3337"/>
    </row>
    <row r="64738" spans="7:16" s="1634" customFormat="1">
      <c r="G64738" s="3336"/>
      <c r="P64738" s="3337"/>
    </row>
    <row r="64739" spans="7:16" s="1634" customFormat="1">
      <c r="G64739" s="3336"/>
      <c r="P64739" s="3337"/>
    </row>
    <row r="64740" spans="7:16" s="1634" customFormat="1">
      <c r="G64740" s="3336"/>
      <c r="P64740" s="3337"/>
    </row>
    <row r="64741" spans="7:16" s="1634" customFormat="1">
      <c r="G64741" s="3336"/>
      <c r="P64741" s="3337"/>
    </row>
    <row r="64742" spans="7:16" s="1634" customFormat="1">
      <c r="G64742" s="3336"/>
      <c r="P64742" s="3337"/>
    </row>
    <row r="64743" spans="7:16" s="1634" customFormat="1">
      <c r="G64743" s="3336"/>
      <c r="P64743" s="3337"/>
    </row>
    <row r="64744" spans="7:16" s="1634" customFormat="1">
      <c r="G64744" s="3336"/>
      <c r="P64744" s="3337"/>
    </row>
    <row r="64745" spans="7:16" s="1634" customFormat="1">
      <c r="G64745" s="3336"/>
      <c r="P64745" s="3337"/>
    </row>
    <row r="64746" spans="7:16" s="1634" customFormat="1">
      <c r="G64746" s="3336"/>
      <c r="P64746" s="3337"/>
    </row>
    <row r="64747" spans="7:16" s="1634" customFormat="1">
      <c r="G64747" s="3336"/>
      <c r="P64747" s="3337"/>
    </row>
    <row r="64748" spans="7:16" s="1634" customFormat="1">
      <c r="G64748" s="3336"/>
      <c r="P64748" s="3337"/>
    </row>
    <row r="64749" spans="7:16" s="1634" customFormat="1">
      <c r="G64749" s="3336"/>
      <c r="P64749" s="3337"/>
    </row>
    <row r="64750" spans="7:16" s="1634" customFormat="1">
      <c r="G64750" s="3336"/>
      <c r="P64750" s="3337"/>
    </row>
    <row r="64751" spans="7:16" s="1634" customFormat="1">
      <c r="G64751" s="3336"/>
      <c r="P64751" s="3337"/>
    </row>
    <row r="64752" spans="7:16" s="1634" customFormat="1">
      <c r="G64752" s="3336"/>
      <c r="P64752" s="3337"/>
    </row>
    <row r="64753" spans="7:16" s="1634" customFormat="1">
      <c r="G64753" s="3336"/>
      <c r="P64753" s="3337"/>
    </row>
    <row r="64754" spans="7:16" s="1634" customFormat="1">
      <c r="G64754" s="3336"/>
      <c r="P64754" s="3337"/>
    </row>
    <row r="64755" spans="7:16" s="1634" customFormat="1">
      <c r="G64755" s="3336"/>
      <c r="P64755" s="3337"/>
    </row>
    <row r="64756" spans="7:16" s="1634" customFormat="1">
      <c r="G64756" s="3336"/>
      <c r="P64756" s="3337"/>
    </row>
    <row r="64757" spans="7:16" s="1634" customFormat="1">
      <c r="G64757" s="3336"/>
      <c r="P64757" s="3337"/>
    </row>
    <row r="64758" spans="7:16" s="1634" customFormat="1">
      <c r="G64758" s="3336"/>
      <c r="P64758" s="3337"/>
    </row>
    <row r="64759" spans="7:16" s="1634" customFormat="1">
      <c r="G64759" s="3336"/>
      <c r="P64759" s="3337"/>
    </row>
    <row r="64760" spans="7:16" s="1634" customFormat="1">
      <c r="G64760" s="3336"/>
      <c r="P64760" s="3337"/>
    </row>
    <row r="64761" spans="7:16" s="1634" customFormat="1">
      <c r="G64761" s="3336"/>
      <c r="P64761" s="3337"/>
    </row>
    <row r="64762" spans="7:16" s="1634" customFormat="1">
      <c r="G64762" s="3336"/>
      <c r="P64762" s="3337"/>
    </row>
    <row r="64763" spans="7:16" s="1634" customFormat="1">
      <c r="G64763" s="3336"/>
      <c r="P64763" s="3337"/>
    </row>
    <row r="64764" spans="7:16" s="1634" customFormat="1">
      <c r="G64764" s="3336"/>
      <c r="P64764" s="3337"/>
    </row>
    <row r="64765" spans="7:16" s="1634" customFormat="1">
      <c r="G64765" s="3336"/>
      <c r="P64765" s="3337"/>
    </row>
    <row r="64766" spans="7:16" s="1634" customFormat="1">
      <c r="G64766" s="3336"/>
      <c r="P64766" s="3337"/>
    </row>
    <row r="64767" spans="7:16" s="1634" customFormat="1">
      <c r="G64767" s="3336"/>
      <c r="P64767" s="3337"/>
    </row>
    <row r="64768" spans="7:16" s="1634" customFormat="1">
      <c r="G64768" s="3336"/>
      <c r="P64768" s="3337"/>
    </row>
    <row r="64769" spans="7:16" s="1634" customFormat="1">
      <c r="G64769" s="3336"/>
      <c r="P64769" s="3337"/>
    </row>
    <row r="64770" spans="7:16" s="1634" customFormat="1">
      <c r="G64770" s="3336"/>
      <c r="P64770" s="3337"/>
    </row>
    <row r="64771" spans="7:16" s="1634" customFormat="1">
      <c r="G64771" s="3336"/>
      <c r="P64771" s="3337"/>
    </row>
    <row r="64772" spans="7:16" s="1634" customFormat="1">
      <c r="G64772" s="3336"/>
      <c r="P64772" s="3337"/>
    </row>
    <row r="64773" spans="7:16" s="1634" customFormat="1">
      <c r="G64773" s="3336"/>
      <c r="P64773" s="3337"/>
    </row>
    <row r="64774" spans="7:16" s="1634" customFormat="1">
      <c r="G64774" s="3336"/>
      <c r="P64774" s="3337"/>
    </row>
    <row r="64775" spans="7:16" s="1634" customFormat="1">
      <c r="G64775" s="3336"/>
      <c r="P64775" s="3337"/>
    </row>
    <row r="64776" spans="7:16" s="1634" customFormat="1">
      <c r="G64776" s="3336"/>
      <c r="P64776" s="3337"/>
    </row>
    <row r="64777" spans="7:16" s="1634" customFormat="1">
      <c r="G64777" s="3336"/>
      <c r="P64777" s="3337"/>
    </row>
    <row r="64778" spans="7:16" s="1634" customFormat="1">
      <c r="G64778" s="3336"/>
      <c r="P64778" s="3337"/>
    </row>
    <row r="64779" spans="7:16" s="1634" customFormat="1">
      <c r="G64779" s="3336"/>
      <c r="P64779" s="3337"/>
    </row>
    <row r="64780" spans="7:16" s="1634" customFormat="1">
      <c r="G64780" s="3336"/>
      <c r="P64780" s="3337"/>
    </row>
    <row r="64781" spans="7:16" s="1634" customFormat="1">
      <c r="G64781" s="3336"/>
      <c r="P64781" s="3337"/>
    </row>
    <row r="64782" spans="7:16" s="1634" customFormat="1">
      <c r="G64782" s="3336"/>
      <c r="P64782" s="3337"/>
    </row>
    <row r="64783" spans="7:16" s="1634" customFormat="1">
      <c r="G64783" s="3336"/>
      <c r="P64783" s="3337"/>
    </row>
    <row r="64784" spans="7:16" s="1634" customFormat="1">
      <c r="G64784" s="3336"/>
      <c r="P64784" s="3337"/>
    </row>
    <row r="64785" spans="7:16" s="1634" customFormat="1">
      <c r="G64785" s="3336"/>
      <c r="P64785" s="3337"/>
    </row>
    <row r="64786" spans="7:16" s="1634" customFormat="1">
      <c r="G64786" s="3336"/>
      <c r="P64786" s="3337"/>
    </row>
    <row r="64787" spans="7:16" s="1634" customFormat="1">
      <c r="G64787" s="3336"/>
      <c r="P64787" s="3337"/>
    </row>
    <row r="64788" spans="7:16" s="1634" customFormat="1">
      <c r="G64788" s="3336"/>
      <c r="P64788" s="3337"/>
    </row>
    <row r="64789" spans="7:16" s="1634" customFormat="1">
      <c r="G64789" s="3336"/>
      <c r="P64789" s="3337"/>
    </row>
    <row r="64790" spans="7:16" s="1634" customFormat="1">
      <c r="G64790" s="3336"/>
      <c r="P64790" s="3337"/>
    </row>
    <row r="64791" spans="7:16" s="1634" customFormat="1">
      <c r="G64791" s="3336"/>
      <c r="P64791" s="3337"/>
    </row>
    <row r="64792" spans="7:16" s="1634" customFormat="1">
      <c r="G64792" s="3336"/>
      <c r="P64792" s="3337"/>
    </row>
    <row r="64793" spans="7:16" s="1634" customFormat="1">
      <c r="G64793" s="3336"/>
      <c r="P64793" s="3337"/>
    </row>
    <row r="64794" spans="7:16" s="1634" customFormat="1">
      <c r="G64794" s="3336"/>
      <c r="P64794" s="3337"/>
    </row>
    <row r="64795" spans="7:16" s="1634" customFormat="1">
      <c r="G64795" s="3336"/>
      <c r="P64795" s="3337"/>
    </row>
    <row r="64796" spans="7:16" s="1634" customFormat="1">
      <c r="G64796" s="3336"/>
      <c r="P64796" s="3337"/>
    </row>
    <row r="64797" spans="7:16" s="1634" customFormat="1">
      <c r="G64797" s="3336"/>
      <c r="P64797" s="3337"/>
    </row>
    <row r="64798" spans="7:16" s="1634" customFormat="1">
      <c r="G64798" s="3336"/>
      <c r="P64798" s="3337"/>
    </row>
    <row r="64799" spans="7:16" s="1634" customFormat="1">
      <c r="G64799" s="3336"/>
      <c r="P64799" s="3337"/>
    </row>
    <row r="64800" spans="7:16" s="1634" customFormat="1">
      <c r="G64800" s="3336"/>
      <c r="P64800" s="3337"/>
    </row>
    <row r="64801" spans="7:16" s="1634" customFormat="1">
      <c r="G64801" s="3336"/>
      <c r="P64801" s="3337"/>
    </row>
    <row r="64802" spans="7:16" s="1634" customFormat="1">
      <c r="G64802" s="3336"/>
      <c r="P64802" s="3337"/>
    </row>
    <row r="64803" spans="7:16" s="1634" customFormat="1">
      <c r="G64803" s="3336"/>
      <c r="P64803" s="3337"/>
    </row>
    <row r="64804" spans="7:16" s="1634" customFormat="1">
      <c r="G64804" s="3336"/>
      <c r="P64804" s="3337"/>
    </row>
    <row r="64805" spans="7:16" s="1634" customFormat="1">
      <c r="G64805" s="3336"/>
      <c r="P64805" s="3337"/>
    </row>
    <row r="64806" spans="7:16" s="1634" customFormat="1">
      <c r="G64806" s="3336"/>
      <c r="P64806" s="3337"/>
    </row>
    <row r="64807" spans="7:16" s="1634" customFormat="1">
      <c r="G64807" s="3336"/>
      <c r="P64807" s="3337"/>
    </row>
    <row r="64808" spans="7:16" s="1634" customFormat="1">
      <c r="G64808" s="3336"/>
      <c r="P64808" s="3337"/>
    </row>
    <row r="64809" spans="7:16" s="1634" customFormat="1">
      <c r="G64809" s="3336"/>
      <c r="P64809" s="3337"/>
    </row>
    <row r="64810" spans="7:16" s="1634" customFormat="1">
      <c r="G64810" s="3336"/>
      <c r="P64810" s="3337"/>
    </row>
    <row r="64811" spans="7:16" s="1634" customFormat="1">
      <c r="G64811" s="3336"/>
      <c r="P64811" s="3337"/>
    </row>
    <row r="64812" spans="7:16" s="1634" customFormat="1">
      <c r="G64812" s="3336"/>
      <c r="P64812" s="3337"/>
    </row>
    <row r="64813" spans="7:16" s="1634" customFormat="1">
      <c r="G64813" s="3336"/>
      <c r="P64813" s="3337"/>
    </row>
    <row r="64814" spans="7:16" s="1634" customFormat="1">
      <c r="G64814" s="3336"/>
      <c r="P64814" s="3337"/>
    </row>
    <row r="64815" spans="7:16" s="1634" customFormat="1">
      <c r="G64815" s="3336"/>
      <c r="P64815" s="3337"/>
    </row>
    <row r="64816" spans="7:16" s="1634" customFormat="1">
      <c r="G64816" s="3336"/>
      <c r="P64816" s="3337"/>
    </row>
    <row r="64817" spans="7:16" s="1634" customFormat="1">
      <c r="G64817" s="3336"/>
      <c r="P64817" s="3337"/>
    </row>
    <row r="64818" spans="7:16" s="1634" customFormat="1">
      <c r="G64818" s="3336"/>
      <c r="P64818" s="3337"/>
    </row>
    <row r="64819" spans="7:16" s="1634" customFormat="1">
      <c r="G64819" s="3336"/>
      <c r="P64819" s="3337"/>
    </row>
    <row r="64820" spans="7:16" s="1634" customFormat="1">
      <c r="G64820" s="3336"/>
      <c r="P64820" s="3337"/>
    </row>
    <row r="64821" spans="7:16" s="1634" customFormat="1">
      <c r="G64821" s="3336"/>
      <c r="P64821" s="3337"/>
    </row>
    <row r="64822" spans="7:16" s="1634" customFormat="1">
      <c r="G64822" s="3336"/>
      <c r="P64822" s="3337"/>
    </row>
    <row r="64823" spans="7:16" s="1634" customFormat="1">
      <c r="G64823" s="3336"/>
      <c r="P64823" s="3337"/>
    </row>
    <row r="64824" spans="7:16" s="1634" customFormat="1">
      <c r="G64824" s="3336"/>
      <c r="P64824" s="3337"/>
    </row>
    <row r="64825" spans="7:16" s="1634" customFormat="1">
      <c r="G64825" s="3336"/>
      <c r="P64825" s="3337"/>
    </row>
    <row r="64826" spans="7:16" s="1634" customFormat="1">
      <c r="G64826" s="3336"/>
      <c r="P64826" s="3337"/>
    </row>
    <row r="64827" spans="7:16" s="1634" customFormat="1">
      <c r="G64827" s="3336"/>
      <c r="P64827" s="3337"/>
    </row>
    <row r="64828" spans="7:16" s="1634" customFormat="1">
      <c r="G64828" s="3336"/>
      <c r="P64828" s="3337"/>
    </row>
    <row r="64829" spans="7:16" s="1634" customFormat="1">
      <c r="G64829" s="3336"/>
      <c r="P64829" s="3337"/>
    </row>
    <row r="64830" spans="7:16" s="1634" customFormat="1">
      <c r="G64830" s="3336"/>
      <c r="P64830" s="3337"/>
    </row>
    <row r="64831" spans="7:16" s="1634" customFormat="1">
      <c r="G64831" s="3336"/>
      <c r="P64831" s="3337"/>
    </row>
    <row r="64832" spans="7:16" s="1634" customFormat="1">
      <c r="G64832" s="3336"/>
      <c r="P64832" s="3337"/>
    </row>
    <row r="64833" spans="7:16" s="1634" customFormat="1">
      <c r="G64833" s="3336"/>
      <c r="P64833" s="3337"/>
    </row>
    <row r="64834" spans="7:16" s="1634" customFormat="1">
      <c r="G64834" s="3336"/>
      <c r="P64834" s="3337"/>
    </row>
    <row r="64835" spans="7:16" s="1634" customFormat="1">
      <c r="G64835" s="3336"/>
      <c r="P64835" s="3337"/>
    </row>
    <row r="64836" spans="7:16" s="1634" customFormat="1">
      <c r="G64836" s="3336"/>
      <c r="P64836" s="3337"/>
    </row>
    <row r="64837" spans="7:16" s="1634" customFormat="1">
      <c r="G64837" s="3336"/>
      <c r="P64837" s="3337"/>
    </row>
    <row r="64838" spans="7:16" s="1634" customFormat="1">
      <c r="G64838" s="3336"/>
      <c r="P64838" s="3337"/>
    </row>
    <row r="64839" spans="7:16" s="1634" customFormat="1">
      <c r="G64839" s="3336"/>
      <c r="P64839" s="3337"/>
    </row>
    <row r="64840" spans="7:16" s="1634" customFormat="1">
      <c r="G64840" s="3336"/>
      <c r="P64840" s="3337"/>
    </row>
    <row r="64841" spans="7:16" s="1634" customFormat="1">
      <c r="G64841" s="3336"/>
      <c r="P64841" s="3337"/>
    </row>
    <row r="64842" spans="7:16" s="1634" customFormat="1">
      <c r="G64842" s="3336"/>
      <c r="P64842" s="3337"/>
    </row>
    <row r="64843" spans="7:16" s="1634" customFormat="1">
      <c r="G64843" s="3336"/>
      <c r="P64843" s="3337"/>
    </row>
    <row r="64844" spans="7:16" s="1634" customFormat="1">
      <c r="G64844" s="3336"/>
      <c r="P64844" s="3337"/>
    </row>
    <row r="64845" spans="7:16" s="1634" customFormat="1">
      <c r="G64845" s="3336"/>
      <c r="P64845" s="3337"/>
    </row>
    <row r="64846" spans="7:16" s="1634" customFormat="1">
      <c r="G64846" s="3336"/>
      <c r="P64846" s="3337"/>
    </row>
    <row r="64847" spans="7:16" s="1634" customFormat="1">
      <c r="G64847" s="3336"/>
      <c r="P64847" s="3337"/>
    </row>
    <row r="64848" spans="7:16" s="1634" customFormat="1">
      <c r="G64848" s="3336"/>
      <c r="P64848" s="3337"/>
    </row>
    <row r="64849" spans="7:16" s="1634" customFormat="1">
      <c r="G64849" s="3336"/>
      <c r="P64849" s="3337"/>
    </row>
    <row r="64850" spans="7:16" s="1634" customFormat="1">
      <c r="G64850" s="3336"/>
      <c r="P64850" s="3337"/>
    </row>
    <row r="64851" spans="7:16" s="1634" customFormat="1">
      <c r="G64851" s="3336"/>
      <c r="P64851" s="3337"/>
    </row>
    <row r="64852" spans="7:16" s="1634" customFormat="1">
      <c r="G64852" s="3336"/>
      <c r="P64852" s="3337"/>
    </row>
    <row r="64853" spans="7:16" s="1634" customFormat="1">
      <c r="G64853" s="3336"/>
      <c r="P64853" s="3337"/>
    </row>
    <row r="64854" spans="7:16" s="1634" customFormat="1">
      <c r="G64854" s="3336"/>
      <c r="P64854" s="3337"/>
    </row>
    <row r="64855" spans="7:16" s="1634" customFormat="1">
      <c r="G64855" s="3336"/>
      <c r="P64855" s="3337"/>
    </row>
    <row r="64856" spans="7:16" s="1634" customFormat="1">
      <c r="G64856" s="3336"/>
      <c r="P64856" s="3337"/>
    </row>
    <row r="64857" spans="7:16" s="1634" customFormat="1">
      <c r="G64857" s="3336"/>
      <c r="P64857" s="3337"/>
    </row>
    <row r="64858" spans="7:16" s="1634" customFormat="1">
      <c r="G64858" s="3336"/>
      <c r="P64858" s="3337"/>
    </row>
    <row r="64859" spans="7:16" s="1634" customFormat="1">
      <c r="G64859" s="3336"/>
      <c r="P64859" s="3337"/>
    </row>
    <row r="64860" spans="7:16" s="1634" customFormat="1">
      <c r="G64860" s="3336"/>
      <c r="P64860" s="3337"/>
    </row>
    <row r="64861" spans="7:16" s="1634" customFormat="1">
      <c r="G64861" s="3336"/>
      <c r="P64861" s="3337"/>
    </row>
    <row r="64862" spans="7:16" s="1634" customFormat="1">
      <c r="G64862" s="3336"/>
      <c r="P64862" s="3337"/>
    </row>
    <row r="64863" spans="7:16" s="1634" customFormat="1">
      <c r="G64863" s="3336"/>
      <c r="P64863" s="3337"/>
    </row>
    <row r="64864" spans="7:16" s="1634" customFormat="1">
      <c r="G64864" s="3336"/>
      <c r="P64864" s="3337"/>
    </row>
    <row r="64865" spans="7:16" s="1634" customFormat="1">
      <c r="G64865" s="3336"/>
      <c r="P64865" s="3337"/>
    </row>
    <row r="64866" spans="7:16" s="1634" customFormat="1">
      <c r="G64866" s="3336"/>
      <c r="P64866" s="3337"/>
    </row>
    <row r="64867" spans="7:16" s="1634" customFormat="1">
      <c r="G64867" s="3336"/>
      <c r="P64867" s="3337"/>
    </row>
    <row r="64868" spans="7:16" s="1634" customFormat="1">
      <c r="G64868" s="3336"/>
      <c r="P64868" s="3337"/>
    </row>
    <row r="64869" spans="7:16" s="1634" customFormat="1">
      <c r="G64869" s="3336"/>
      <c r="P64869" s="3337"/>
    </row>
    <row r="64870" spans="7:16" s="1634" customFormat="1">
      <c r="G64870" s="3336"/>
      <c r="P64870" s="3337"/>
    </row>
    <row r="64871" spans="7:16" s="1634" customFormat="1">
      <c r="G64871" s="3336"/>
      <c r="P64871" s="3337"/>
    </row>
    <row r="64872" spans="7:16" s="1634" customFormat="1">
      <c r="G64872" s="3336"/>
      <c r="P64872" s="3337"/>
    </row>
    <row r="64873" spans="7:16" s="1634" customFormat="1">
      <c r="G64873" s="3336"/>
      <c r="P64873" s="3337"/>
    </row>
    <row r="64874" spans="7:16" s="1634" customFormat="1">
      <c r="G64874" s="3336"/>
      <c r="P64874" s="3337"/>
    </row>
    <row r="64875" spans="7:16" s="1634" customFormat="1">
      <c r="G64875" s="3336"/>
      <c r="P64875" s="3337"/>
    </row>
    <row r="64876" spans="7:16" s="1634" customFormat="1">
      <c r="G64876" s="3336"/>
      <c r="P64876" s="3337"/>
    </row>
    <row r="64877" spans="7:16" s="1634" customFormat="1">
      <c r="G64877" s="3336"/>
      <c r="P64877" s="3337"/>
    </row>
    <row r="64878" spans="7:16" s="1634" customFormat="1">
      <c r="G64878" s="3336"/>
      <c r="P64878" s="3337"/>
    </row>
    <row r="64879" spans="7:16" s="1634" customFormat="1">
      <c r="G64879" s="3336"/>
      <c r="P64879" s="3337"/>
    </row>
    <row r="64880" spans="7:16" s="1634" customFormat="1">
      <c r="G64880" s="3336"/>
      <c r="P64880" s="3337"/>
    </row>
    <row r="64881" spans="7:16" s="1634" customFormat="1">
      <c r="G64881" s="3336"/>
      <c r="P64881" s="3337"/>
    </row>
    <row r="64882" spans="7:16" s="1634" customFormat="1">
      <c r="G64882" s="3336"/>
      <c r="P64882" s="3337"/>
    </row>
    <row r="64883" spans="7:16" s="1634" customFormat="1">
      <c r="G64883" s="3336"/>
      <c r="P64883" s="3337"/>
    </row>
    <row r="64884" spans="7:16" s="1634" customFormat="1">
      <c r="G64884" s="3336"/>
      <c r="P64884" s="3337"/>
    </row>
    <row r="64885" spans="7:16" s="1634" customFormat="1">
      <c r="G64885" s="3336"/>
      <c r="P64885" s="3337"/>
    </row>
    <row r="64886" spans="7:16" s="1634" customFormat="1">
      <c r="G64886" s="3336"/>
      <c r="P64886" s="3337"/>
    </row>
    <row r="64887" spans="7:16" s="1634" customFormat="1">
      <c r="G64887" s="3336"/>
      <c r="P64887" s="3337"/>
    </row>
    <row r="64888" spans="7:16" s="1634" customFormat="1">
      <c r="G64888" s="3336"/>
      <c r="P64888" s="3337"/>
    </row>
    <row r="64889" spans="7:16" s="1634" customFormat="1">
      <c r="G64889" s="3336"/>
      <c r="P64889" s="3337"/>
    </row>
    <row r="64890" spans="7:16" s="1634" customFormat="1">
      <c r="G64890" s="3336"/>
      <c r="P64890" s="3337"/>
    </row>
    <row r="64891" spans="7:16" s="1634" customFormat="1">
      <c r="G64891" s="3336"/>
      <c r="P64891" s="3337"/>
    </row>
    <row r="64892" spans="7:16" s="1634" customFormat="1">
      <c r="G64892" s="3336"/>
      <c r="P64892" s="3337"/>
    </row>
    <row r="64893" spans="7:16" s="1634" customFormat="1">
      <c r="G64893" s="3336"/>
      <c r="P64893" s="3337"/>
    </row>
    <row r="64894" spans="7:16" s="1634" customFormat="1">
      <c r="G64894" s="3336"/>
      <c r="P64894" s="3337"/>
    </row>
    <row r="64895" spans="7:16" s="1634" customFormat="1">
      <c r="G64895" s="3336"/>
      <c r="P64895" s="3337"/>
    </row>
    <row r="64896" spans="7:16" s="1634" customFormat="1">
      <c r="G64896" s="3336"/>
      <c r="P64896" s="3337"/>
    </row>
    <row r="64897" spans="7:16" s="1634" customFormat="1">
      <c r="G64897" s="3336"/>
      <c r="P64897" s="3337"/>
    </row>
    <row r="64898" spans="7:16" s="1634" customFormat="1">
      <c r="G64898" s="3336"/>
      <c r="P64898" s="3337"/>
    </row>
    <row r="64899" spans="7:16" s="1634" customFormat="1">
      <c r="G64899" s="3336"/>
      <c r="P64899" s="3337"/>
    </row>
    <row r="64900" spans="7:16" s="1634" customFormat="1">
      <c r="G64900" s="3336"/>
      <c r="P64900" s="3337"/>
    </row>
    <row r="64901" spans="7:16" s="1634" customFormat="1">
      <c r="G64901" s="3336"/>
      <c r="P64901" s="3337"/>
    </row>
    <row r="64902" spans="7:16" s="1634" customFormat="1">
      <c r="G64902" s="3336"/>
      <c r="P64902" s="3337"/>
    </row>
    <row r="64903" spans="7:16" s="1634" customFormat="1">
      <c r="G64903" s="3336"/>
      <c r="P64903" s="3337"/>
    </row>
    <row r="64904" spans="7:16" s="1634" customFormat="1">
      <c r="G64904" s="3336"/>
      <c r="P64904" s="3337"/>
    </row>
    <row r="64905" spans="7:16" s="1634" customFormat="1">
      <c r="G64905" s="3336"/>
      <c r="P64905" s="3337"/>
    </row>
    <row r="64906" spans="7:16" s="1634" customFormat="1">
      <c r="G64906" s="3336"/>
      <c r="P64906" s="3337"/>
    </row>
    <row r="64907" spans="7:16" s="1634" customFormat="1">
      <c r="G64907" s="3336"/>
      <c r="P64907" s="3337"/>
    </row>
    <row r="64908" spans="7:16" s="1634" customFormat="1">
      <c r="G64908" s="3336"/>
      <c r="P64908" s="3337"/>
    </row>
    <row r="64909" spans="7:16" s="1634" customFormat="1">
      <c r="G64909" s="3336"/>
      <c r="P64909" s="3337"/>
    </row>
    <row r="64910" spans="7:16" s="1634" customFormat="1">
      <c r="G64910" s="3336"/>
      <c r="P64910" s="3337"/>
    </row>
    <row r="64911" spans="7:16" s="1634" customFormat="1">
      <c r="G64911" s="3336"/>
      <c r="P64911" s="3337"/>
    </row>
    <row r="64912" spans="7:16" s="1634" customFormat="1">
      <c r="G64912" s="3336"/>
      <c r="P64912" s="3337"/>
    </row>
    <row r="64913" spans="7:16" s="1634" customFormat="1">
      <c r="G64913" s="3336"/>
      <c r="P64913" s="3337"/>
    </row>
    <row r="64914" spans="7:16" s="1634" customFormat="1">
      <c r="G64914" s="3336"/>
      <c r="P64914" s="3337"/>
    </row>
    <row r="64915" spans="7:16" s="1634" customFormat="1">
      <c r="G64915" s="3336"/>
      <c r="P64915" s="3337"/>
    </row>
    <row r="64916" spans="7:16" s="1634" customFormat="1">
      <c r="G64916" s="3336"/>
      <c r="P64916" s="3337"/>
    </row>
    <row r="64917" spans="7:16" s="1634" customFormat="1">
      <c r="G64917" s="3336"/>
      <c r="P64917" s="3337"/>
    </row>
    <row r="64918" spans="7:16" s="1634" customFormat="1">
      <c r="G64918" s="3336"/>
      <c r="P64918" s="3337"/>
    </row>
    <row r="64919" spans="7:16" s="1634" customFormat="1">
      <c r="G64919" s="3336"/>
      <c r="P64919" s="3337"/>
    </row>
    <row r="64920" spans="7:16" s="1634" customFormat="1">
      <c r="G64920" s="3336"/>
      <c r="P64920" s="3337"/>
    </row>
    <row r="64921" spans="7:16" s="1634" customFormat="1">
      <c r="G64921" s="3336"/>
      <c r="P64921" s="3337"/>
    </row>
    <row r="64922" spans="7:16" s="1634" customFormat="1">
      <c r="G64922" s="3336"/>
      <c r="P64922" s="3337"/>
    </row>
    <row r="64923" spans="7:16" s="1634" customFormat="1">
      <c r="G64923" s="3336"/>
      <c r="P64923" s="3337"/>
    </row>
    <row r="64924" spans="7:16" s="1634" customFormat="1">
      <c r="G64924" s="3336"/>
      <c r="P64924" s="3337"/>
    </row>
    <row r="64925" spans="7:16" s="1634" customFormat="1">
      <c r="G64925" s="3336"/>
      <c r="P64925" s="3337"/>
    </row>
    <row r="64926" spans="7:16" s="1634" customFormat="1">
      <c r="G64926" s="3336"/>
      <c r="P64926" s="3337"/>
    </row>
    <row r="64927" spans="7:16" s="1634" customFormat="1">
      <c r="G64927" s="3336"/>
      <c r="P64927" s="3337"/>
    </row>
    <row r="64928" spans="7:16" s="1634" customFormat="1">
      <c r="G64928" s="3336"/>
      <c r="P64928" s="3337"/>
    </row>
    <row r="64929" spans="7:16" s="1634" customFormat="1">
      <c r="G64929" s="3336"/>
      <c r="P64929" s="3337"/>
    </row>
    <row r="64930" spans="7:16" s="1634" customFormat="1">
      <c r="G64930" s="3336"/>
      <c r="P64930" s="3337"/>
    </row>
    <row r="64931" spans="7:16" s="1634" customFormat="1">
      <c r="G64931" s="3336"/>
      <c r="P64931" s="3337"/>
    </row>
    <row r="64932" spans="7:16" s="1634" customFormat="1">
      <c r="G64932" s="3336"/>
      <c r="P64932" s="3337"/>
    </row>
    <row r="64933" spans="7:16" s="1634" customFormat="1">
      <c r="G64933" s="3336"/>
      <c r="P64933" s="3337"/>
    </row>
    <row r="64934" spans="7:16" s="1634" customFormat="1">
      <c r="G64934" s="3336"/>
      <c r="P64934" s="3337"/>
    </row>
    <row r="64935" spans="7:16" s="1634" customFormat="1">
      <c r="G64935" s="3336"/>
      <c r="P64935" s="3337"/>
    </row>
    <row r="64936" spans="7:16" s="1634" customFormat="1">
      <c r="G64936" s="3336"/>
      <c r="P64936" s="3337"/>
    </row>
    <row r="64937" spans="7:16" s="1634" customFormat="1">
      <c r="G64937" s="3336"/>
      <c r="P64937" s="3337"/>
    </row>
    <row r="64938" spans="7:16" s="1634" customFormat="1">
      <c r="G64938" s="3336"/>
      <c r="P64938" s="3337"/>
    </row>
    <row r="64939" spans="7:16" s="1634" customFormat="1">
      <c r="G64939" s="3336"/>
      <c r="P64939" s="3337"/>
    </row>
    <row r="64940" spans="7:16" s="1634" customFormat="1">
      <c r="G64940" s="3336"/>
      <c r="P64940" s="3337"/>
    </row>
    <row r="64941" spans="7:16" s="1634" customFormat="1">
      <c r="G64941" s="3336"/>
      <c r="P64941" s="3337"/>
    </row>
    <row r="64942" spans="7:16" s="1634" customFormat="1">
      <c r="G64942" s="3336"/>
      <c r="P64942" s="3337"/>
    </row>
    <row r="64943" spans="7:16" s="1634" customFormat="1">
      <c r="G64943" s="3336"/>
      <c r="P64943" s="3337"/>
    </row>
    <row r="64944" spans="7:16" s="1634" customFormat="1">
      <c r="G64944" s="3336"/>
      <c r="P64944" s="3337"/>
    </row>
    <row r="64945" spans="7:16" s="1634" customFormat="1">
      <c r="G64945" s="3336"/>
      <c r="P64945" s="3337"/>
    </row>
    <row r="64946" spans="7:16" s="1634" customFormat="1">
      <c r="G64946" s="3336"/>
      <c r="P64946" s="3337"/>
    </row>
    <row r="64947" spans="7:16" s="1634" customFormat="1">
      <c r="G64947" s="3336"/>
      <c r="P64947" s="3337"/>
    </row>
    <row r="64948" spans="7:16" s="1634" customFormat="1">
      <c r="G64948" s="3336"/>
      <c r="P64948" s="3337"/>
    </row>
    <row r="64949" spans="7:16" s="1634" customFormat="1">
      <c r="G64949" s="3336"/>
      <c r="P64949" s="3337"/>
    </row>
    <row r="64950" spans="7:16" s="1634" customFormat="1">
      <c r="G64950" s="3336"/>
      <c r="P64950" s="3337"/>
    </row>
    <row r="64951" spans="7:16" s="1634" customFormat="1">
      <c r="G64951" s="3336"/>
      <c r="P64951" s="3337"/>
    </row>
    <row r="64952" spans="7:16" s="1634" customFormat="1">
      <c r="G64952" s="3336"/>
      <c r="P64952" s="3337"/>
    </row>
    <row r="64953" spans="7:16" s="1634" customFormat="1">
      <c r="G64953" s="3336"/>
      <c r="P64953" s="3337"/>
    </row>
    <row r="64954" spans="7:16" s="1634" customFormat="1">
      <c r="G64954" s="3336"/>
      <c r="P64954" s="3337"/>
    </row>
    <row r="64955" spans="7:16" s="1634" customFormat="1">
      <c r="G64955" s="3336"/>
      <c r="P64955" s="3337"/>
    </row>
    <row r="64956" spans="7:16" s="1634" customFormat="1">
      <c r="G64956" s="3336"/>
      <c r="P64956" s="3337"/>
    </row>
    <row r="64957" spans="7:16" s="1634" customFormat="1">
      <c r="G64957" s="3336"/>
      <c r="P64957" s="3337"/>
    </row>
    <row r="64958" spans="7:16" s="1634" customFormat="1">
      <c r="G64958" s="3336"/>
      <c r="P64958" s="3337"/>
    </row>
    <row r="64959" spans="7:16" s="1634" customFormat="1">
      <c r="G64959" s="3336"/>
      <c r="P64959" s="3337"/>
    </row>
    <row r="64960" spans="7:16" s="1634" customFormat="1">
      <c r="G64960" s="3336"/>
      <c r="P64960" s="3337"/>
    </row>
    <row r="64961" spans="7:16" s="1634" customFormat="1">
      <c r="G64961" s="3336"/>
      <c r="P64961" s="3337"/>
    </row>
    <row r="64962" spans="7:16" s="1634" customFormat="1">
      <c r="G64962" s="3336"/>
      <c r="P64962" s="3337"/>
    </row>
    <row r="64963" spans="7:16" s="1634" customFormat="1">
      <c r="G64963" s="3336"/>
      <c r="P64963" s="3337"/>
    </row>
    <row r="64964" spans="7:16" s="1634" customFormat="1">
      <c r="G64964" s="3336"/>
      <c r="P64964" s="3337"/>
    </row>
    <row r="64965" spans="7:16" s="1634" customFormat="1">
      <c r="G64965" s="3336"/>
      <c r="P64965" s="3337"/>
    </row>
    <row r="64966" spans="7:16" s="1634" customFormat="1">
      <c r="G64966" s="3336"/>
      <c r="P64966" s="3337"/>
    </row>
    <row r="64967" spans="7:16" s="1634" customFormat="1">
      <c r="G64967" s="3336"/>
      <c r="P64967" s="3337"/>
    </row>
    <row r="64968" spans="7:16" s="1634" customFormat="1">
      <c r="G64968" s="3336"/>
      <c r="P64968" s="3337"/>
    </row>
    <row r="64969" spans="7:16" s="1634" customFormat="1">
      <c r="G64969" s="3336"/>
      <c r="P64969" s="3337"/>
    </row>
    <row r="64970" spans="7:16" s="1634" customFormat="1">
      <c r="G64970" s="3336"/>
      <c r="P64970" s="3337"/>
    </row>
    <row r="64971" spans="7:16" s="1634" customFormat="1">
      <c r="G64971" s="3336"/>
      <c r="P64971" s="3337"/>
    </row>
    <row r="64972" spans="7:16" s="1634" customFormat="1">
      <c r="G64972" s="3336"/>
      <c r="P64972" s="3337"/>
    </row>
    <row r="64973" spans="7:16" s="1634" customFormat="1">
      <c r="G64973" s="3336"/>
      <c r="P64973" s="3337"/>
    </row>
    <row r="64974" spans="7:16" s="1634" customFormat="1">
      <c r="G64974" s="3336"/>
      <c r="P64974" s="3337"/>
    </row>
    <row r="64975" spans="7:16" s="1634" customFormat="1">
      <c r="G64975" s="3336"/>
      <c r="P64975" s="3337"/>
    </row>
    <row r="64976" spans="7:16" s="1634" customFormat="1">
      <c r="G64976" s="3336"/>
      <c r="P64976" s="3337"/>
    </row>
    <row r="64977" spans="7:16" s="1634" customFormat="1">
      <c r="G64977" s="3336"/>
      <c r="P64977" s="3337"/>
    </row>
    <row r="64978" spans="7:16" s="1634" customFormat="1">
      <c r="G64978" s="3336"/>
      <c r="P64978" s="3337"/>
    </row>
    <row r="64979" spans="7:16" s="1634" customFormat="1">
      <c r="G64979" s="3336"/>
      <c r="P64979" s="3337"/>
    </row>
    <row r="64980" spans="7:16" s="1634" customFormat="1">
      <c r="G64980" s="3336"/>
      <c r="P64980" s="3337"/>
    </row>
    <row r="64981" spans="7:16" s="1634" customFormat="1">
      <c r="G64981" s="3336"/>
      <c r="P64981" s="3337"/>
    </row>
    <row r="64982" spans="7:16" s="1634" customFormat="1">
      <c r="G64982" s="3336"/>
      <c r="P64982" s="3337"/>
    </row>
    <row r="64983" spans="7:16" s="1634" customFormat="1">
      <c r="G64983" s="3336"/>
      <c r="P64983" s="3337"/>
    </row>
    <row r="64984" spans="7:16" s="1634" customFormat="1">
      <c r="G64984" s="3336"/>
      <c r="P64984" s="3337"/>
    </row>
    <row r="64985" spans="7:16" s="1634" customFormat="1">
      <c r="G64985" s="3336"/>
      <c r="P64985" s="3337"/>
    </row>
    <row r="64986" spans="7:16" s="1634" customFormat="1">
      <c r="G64986" s="3336"/>
      <c r="P64986" s="3337"/>
    </row>
    <row r="64987" spans="7:16" s="1634" customFormat="1">
      <c r="G64987" s="3336"/>
      <c r="P64987" s="3337"/>
    </row>
    <row r="64988" spans="7:16" s="1634" customFormat="1">
      <c r="G64988" s="3336"/>
      <c r="P64988" s="3337"/>
    </row>
    <row r="64989" spans="7:16" s="1634" customFormat="1">
      <c r="G64989" s="3336"/>
      <c r="P64989" s="3337"/>
    </row>
    <row r="64990" spans="7:16" s="1634" customFormat="1">
      <c r="G64990" s="3336"/>
      <c r="P64990" s="3337"/>
    </row>
    <row r="64991" spans="7:16" s="1634" customFormat="1">
      <c r="G64991" s="3336"/>
      <c r="P64991" s="3337"/>
    </row>
    <row r="64992" spans="7:16" s="1634" customFormat="1">
      <c r="G64992" s="3336"/>
      <c r="P64992" s="3337"/>
    </row>
    <row r="64993" spans="7:16" s="1634" customFormat="1">
      <c r="G64993" s="3336"/>
      <c r="P64993" s="3337"/>
    </row>
    <row r="64994" spans="7:16" s="1634" customFormat="1">
      <c r="G64994" s="3336"/>
      <c r="P64994" s="3337"/>
    </row>
    <row r="64995" spans="7:16" s="1634" customFormat="1">
      <c r="G64995" s="3336"/>
      <c r="P64995" s="3337"/>
    </row>
    <row r="64996" spans="7:16" s="1634" customFormat="1">
      <c r="G64996" s="3336"/>
      <c r="P64996" s="3337"/>
    </row>
    <row r="64997" spans="7:16" s="1634" customFormat="1">
      <c r="G64997" s="3336"/>
      <c r="P64997" s="3337"/>
    </row>
    <row r="64998" spans="7:16" s="1634" customFormat="1">
      <c r="G64998" s="3336"/>
      <c r="P64998" s="3337"/>
    </row>
    <row r="64999" spans="7:16" s="1634" customFormat="1">
      <c r="G64999" s="3336"/>
      <c r="P64999" s="3337"/>
    </row>
    <row r="65000" spans="7:16" s="1634" customFormat="1">
      <c r="G65000" s="3336"/>
      <c r="P65000" s="3337"/>
    </row>
    <row r="65001" spans="7:16" s="1634" customFormat="1">
      <c r="G65001" s="3336"/>
      <c r="P65001" s="3337"/>
    </row>
    <row r="65002" spans="7:16" s="1634" customFormat="1">
      <c r="G65002" s="3336"/>
      <c r="P65002" s="3337"/>
    </row>
    <row r="65003" spans="7:16" s="1634" customFormat="1">
      <c r="G65003" s="3336"/>
      <c r="P65003" s="3337"/>
    </row>
    <row r="65004" spans="7:16" s="1634" customFormat="1">
      <c r="G65004" s="3336"/>
      <c r="P65004" s="3337"/>
    </row>
    <row r="65005" spans="7:16" s="1634" customFormat="1">
      <c r="G65005" s="3336"/>
      <c r="P65005" s="3337"/>
    </row>
    <row r="65006" spans="7:16" s="1634" customFormat="1">
      <c r="G65006" s="3336"/>
      <c r="P65006" s="3337"/>
    </row>
    <row r="65007" spans="7:16" s="1634" customFormat="1">
      <c r="G65007" s="3336"/>
      <c r="P65007" s="3337"/>
    </row>
    <row r="65008" spans="7:16" s="1634" customFormat="1">
      <c r="G65008" s="3336"/>
      <c r="P65008" s="3337"/>
    </row>
    <row r="65009" spans="7:16" s="1634" customFormat="1">
      <c r="G65009" s="3336"/>
      <c r="P65009" s="3337"/>
    </row>
    <row r="65010" spans="7:16" s="1634" customFormat="1">
      <c r="G65010" s="3336"/>
      <c r="P65010" s="3337"/>
    </row>
    <row r="65011" spans="7:16" s="1634" customFormat="1">
      <c r="G65011" s="3336"/>
      <c r="P65011" s="3337"/>
    </row>
    <row r="65012" spans="7:16" s="1634" customFormat="1">
      <c r="G65012" s="3336"/>
      <c r="P65012" s="3337"/>
    </row>
    <row r="65013" spans="7:16" s="1634" customFormat="1">
      <c r="G65013" s="3336"/>
      <c r="P65013" s="3337"/>
    </row>
    <row r="65014" spans="7:16" s="1634" customFormat="1">
      <c r="G65014" s="3336"/>
      <c r="P65014" s="3337"/>
    </row>
    <row r="65015" spans="7:16" s="1634" customFormat="1">
      <c r="G65015" s="3336"/>
      <c r="P65015" s="3337"/>
    </row>
    <row r="65016" spans="7:16" s="1634" customFormat="1">
      <c r="G65016" s="3336"/>
      <c r="P65016" s="3337"/>
    </row>
    <row r="65017" spans="7:16" s="1634" customFormat="1">
      <c r="G65017" s="3336"/>
      <c r="P65017" s="3337"/>
    </row>
    <row r="65018" spans="7:16" s="1634" customFormat="1">
      <c r="G65018" s="3336"/>
      <c r="P65018" s="3337"/>
    </row>
    <row r="65019" spans="7:16" s="1634" customFormat="1">
      <c r="G65019" s="3336"/>
      <c r="P65019" s="3337"/>
    </row>
    <row r="65020" spans="7:16" s="1634" customFormat="1">
      <c r="G65020" s="3336"/>
      <c r="P65020" s="3337"/>
    </row>
    <row r="65021" spans="7:16" s="1634" customFormat="1">
      <c r="G65021" s="3336"/>
      <c r="P65021" s="3337"/>
    </row>
    <row r="65022" spans="7:16" s="1634" customFormat="1">
      <c r="G65022" s="3336"/>
      <c r="P65022" s="3337"/>
    </row>
    <row r="65023" spans="7:16" s="1634" customFormat="1">
      <c r="G65023" s="3336"/>
      <c r="P65023" s="3337"/>
    </row>
    <row r="65024" spans="7:16" s="1634" customFormat="1">
      <c r="G65024" s="3336"/>
      <c r="P65024" s="3337"/>
    </row>
    <row r="65025" spans="7:16" s="1634" customFormat="1">
      <c r="G65025" s="3336"/>
      <c r="P65025" s="3337"/>
    </row>
    <row r="65026" spans="7:16" s="1634" customFormat="1">
      <c r="G65026" s="3336"/>
      <c r="P65026" s="3337"/>
    </row>
    <row r="65027" spans="7:16" s="1634" customFormat="1">
      <c r="G65027" s="3336"/>
      <c r="P65027" s="3337"/>
    </row>
    <row r="65028" spans="7:16" s="1634" customFormat="1">
      <c r="G65028" s="3336"/>
      <c r="P65028" s="3337"/>
    </row>
    <row r="65029" spans="7:16" s="1634" customFormat="1">
      <c r="G65029" s="3336"/>
      <c r="P65029" s="3337"/>
    </row>
    <row r="65030" spans="7:16" s="1634" customFormat="1">
      <c r="G65030" s="3336"/>
      <c r="P65030" s="3337"/>
    </row>
    <row r="65031" spans="7:16" s="1634" customFormat="1">
      <c r="G65031" s="3336"/>
      <c r="P65031" s="3337"/>
    </row>
    <row r="65032" spans="7:16" s="1634" customFormat="1">
      <c r="G65032" s="3336"/>
      <c r="P65032" s="3337"/>
    </row>
    <row r="65033" spans="7:16" s="1634" customFormat="1">
      <c r="G65033" s="3336"/>
      <c r="P65033" s="3337"/>
    </row>
    <row r="65034" spans="7:16" s="1634" customFormat="1">
      <c r="G65034" s="3336"/>
      <c r="P65034" s="3337"/>
    </row>
    <row r="65035" spans="7:16" s="1634" customFormat="1">
      <c r="G65035" s="3336"/>
      <c r="P65035" s="3337"/>
    </row>
    <row r="65036" spans="7:16" s="1634" customFormat="1">
      <c r="G65036" s="3336"/>
      <c r="P65036" s="3337"/>
    </row>
    <row r="65037" spans="7:16" s="1634" customFormat="1">
      <c r="G65037" s="3336"/>
      <c r="P65037" s="3337"/>
    </row>
    <row r="65038" spans="7:16" s="1634" customFormat="1">
      <c r="G65038" s="3336"/>
      <c r="P65038" s="3337"/>
    </row>
    <row r="65039" spans="7:16" s="1634" customFormat="1">
      <c r="G65039" s="3336"/>
      <c r="P65039" s="3337"/>
    </row>
    <row r="65040" spans="7:16" s="1634" customFormat="1">
      <c r="G65040" s="3336"/>
      <c r="P65040" s="3337"/>
    </row>
    <row r="65041" spans="7:16" s="1634" customFormat="1">
      <c r="G65041" s="3336"/>
      <c r="P65041" s="3337"/>
    </row>
    <row r="65042" spans="7:16" s="1634" customFormat="1">
      <c r="G65042" s="3336"/>
      <c r="P65042" s="3337"/>
    </row>
    <row r="65043" spans="7:16" s="1634" customFormat="1">
      <c r="G65043" s="3336"/>
      <c r="P65043" s="3337"/>
    </row>
    <row r="65044" spans="7:16" s="1634" customFormat="1">
      <c r="G65044" s="3336"/>
      <c r="P65044" s="3337"/>
    </row>
    <row r="65045" spans="7:16" s="1634" customFormat="1">
      <c r="G65045" s="3336"/>
      <c r="P65045" s="3337"/>
    </row>
    <row r="65046" spans="7:16" s="1634" customFormat="1">
      <c r="G65046" s="3336"/>
      <c r="P65046" s="3337"/>
    </row>
    <row r="65047" spans="7:16" s="1634" customFormat="1">
      <c r="G65047" s="3336"/>
      <c r="P65047" s="3337"/>
    </row>
    <row r="65048" spans="7:16" s="1634" customFormat="1">
      <c r="G65048" s="3336"/>
      <c r="P65048" s="3337"/>
    </row>
    <row r="65049" spans="7:16" s="1634" customFormat="1">
      <c r="G65049" s="3336"/>
      <c r="P65049" s="3337"/>
    </row>
    <row r="65050" spans="7:16" s="1634" customFormat="1">
      <c r="G65050" s="3336"/>
      <c r="P65050" s="3337"/>
    </row>
    <row r="65051" spans="7:16" s="1634" customFormat="1">
      <c r="G65051" s="3336"/>
      <c r="P65051" s="3337"/>
    </row>
    <row r="65052" spans="7:16" s="1634" customFormat="1">
      <c r="G65052" s="3336"/>
      <c r="P65052" s="3337"/>
    </row>
    <row r="65053" spans="7:16" s="1634" customFormat="1">
      <c r="G65053" s="3336"/>
      <c r="P65053" s="3337"/>
    </row>
    <row r="65054" spans="7:16" s="1634" customFormat="1">
      <c r="G65054" s="3336"/>
      <c r="P65054" s="3337"/>
    </row>
    <row r="65055" spans="7:16" s="1634" customFormat="1">
      <c r="G65055" s="3336"/>
      <c r="P65055" s="3337"/>
    </row>
    <row r="65056" spans="7:16" s="1634" customFormat="1">
      <c r="G65056" s="3336"/>
      <c r="P65056" s="3337"/>
    </row>
    <row r="65057" spans="7:16" s="1634" customFormat="1">
      <c r="G65057" s="3336"/>
      <c r="P65057" s="3337"/>
    </row>
    <row r="65058" spans="7:16" s="1634" customFormat="1">
      <c r="G65058" s="3336"/>
      <c r="P65058" s="3337"/>
    </row>
    <row r="65059" spans="7:16" s="1634" customFormat="1">
      <c r="G65059" s="3336"/>
      <c r="P65059" s="3337"/>
    </row>
    <row r="65060" spans="7:16" s="1634" customFormat="1">
      <c r="G65060" s="3336"/>
      <c r="P65060" s="3337"/>
    </row>
    <row r="65061" spans="7:16" s="1634" customFormat="1">
      <c r="G65061" s="3336"/>
      <c r="P65061" s="3337"/>
    </row>
    <row r="65062" spans="7:16" s="1634" customFormat="1">
      <c r="G65062" s="3336"/>
      <c r="P65062" s="3337"/>
    </row>
    <row r="65063" spans="7:16" s="1634" customFormat="1">
      <c r="G65063" s="3336"/>
      <c r="P65063" s="3337"/>
    </row>
    <row r="65064" spans="7:16" s="1634" customFormat="1">
      <c r="G65064" s="3336"/>
      <c r="P65064" s="3337"/>
    </row>
    <row r="65065" spans="7:16" s="1634" customFormat="1">
      <c r="G65065" s="3336"/>
      <c r="P65065" s="3337"/>
    </row>
    <row r="65066" spans="7:16" s="1634" customFormat="1">
      <c r="G65066" s="3336"/>
      <c r="P65066" s="3337"/>
    </row>
    <row r="65067" spans="7:16" s="1634" customFormat="1">
      <c r="G65067" s="3336"/>
      <c r="P65067" s="3337"/>
    </row>
    <row r="65068" spans="7:16" s="1634" customFormat="1">
      <c r="G65068" s="3336"/>
      <c r="P65068" s="3337"/>
    </row>
    <row r="65069" spans="7:16" s="1634" customFormat="1">
      <c r="G65069" s="3336"/>
      <c r="P65069" s="3337"/>
    </row>
    <row r="65070" spans="7:16" s="1634" customFormat="1">
      <c r="G65070" s="3336"/>
      <c r="P65070" s="3337"/>
    </row>
    <row r="65071" spans="7:16" s="1634" customFormat="1">
      <c r="G65071" s="3336"/>
      <c r="P65071" s="3337"/>
    </row>
    <row r="65072" spans="7:16" s="1634" customFormat="1">
      <c r="G65072" s="3336"/>
      <c r="P65072" s="3337"/>
    </row>
    <row r="65073" spans="7:16" s="1634" customFormat="1">
      <c r="G65073" s="3336"/>
      <c r="P65073" s="3337"/>
    </row>
    <row r="65074" spans="7:16" s="1634" customFormat="1">
      <c r="G65074" s="3336"/>
      <c r="P65074" s="3337"/>
    </row>
    <row r="65075" spans="7:16" s="1634" customFormat="1">
      <c r="G65075" s="3336"/>
      <c r="P65075" s="3337"/>
    </row>
    <row r="65076" spans="7:16" s="1634" customFormat="1">
      <c r="G65076" s="3336"/>
      <c r="P65076" s="3337"/>
    </row>
    <row r="65077" spans="7:16" s="1634" customFormat="1">
      <c r="G65077" s="3336"/>
      <c r="P65077" s="3337"/>
    </row>
    <row r="65078" spans="7:16" s="1634" customFormat="1">
      <c r="G65078" s="3336"/>
      <c r="P65078" s="3337"/>
    </row>
    <row r="65079" spans="7:16" s="1634" customFormat="1">
      <c r="G65079" s="3336"/>
      <c r="P65079" s="3337"/>
    </row>
    <row r="65080" spans="7:16" s="1634" customFormat="1">
      <c r="G65080" s="3336"/>
      <c r="P65080" s="3337"/>
    </row>
    <row r="65081" spans="7:16" s="1634" customFormat="1">
      <c r="G65081" s="3336"/>
      <c r="P65081" s="3337"/>
    </row>
    <row r="65082" spans="7:16" s="1634" customFormat="1">
      <c r="G65082" s="3336"/>
      <c r="P65082" s="3337"/>
    </row>
    <row r="65083" spans="7:16" s="1634" customFormat="1">
      <c r="G65083" s="3336"/>
      <c r="P65083" s="3337"/>
    </row>
    <row r="65084" spans="7:16" s="1634" customFormat="1">
      <c r="G65084" s="3336"/>
      <c r="P65084" s="3337"/>
    </row>
    <row r="65085" spans="7:16" s="1634" customFormat="1">
      <c r="G65085" s="3336"/>
      <c r="P65085" s="3337"/>
    </row>
    <row r="65086" spans="7:16" s="1634" customFormat="1">
      <c r="G65086" s="3336"/>
      <c r="P65086" s="3337"/>
    </row>
    <row r="65087" spans="7:16" s="1634" customFormat="1">
      <c r="G65087" s="3336"/>
      <c r="P65087" s="3337"/>
    </row>
    <row r="65088" spans="7:16" s="1634" customFormat="1">
      <c r="G65088" s="3336"/>
      <c r="P65088" s="3337"/>
    </row>
    <row r="65089" spans="7:16" s="1634" customFormat="1">
      <c r="G65089" s="3336"/>
      <c r="P65089" s="3337"/>
    </row>
    <row r="65090" spans="7:16" s="1634" customFormat="1">
      <c r="G65090" s="3336"/>
      <c r="P65090" s="3337"/>
    </row>
    <row r="65091" spans="7:16" s="1634" customFormat="1">
      <c r="G65091" s="3336"/>
      <c r="P65091" s="3337"/>
    </row>
    <row r="65092" spans="7:16" s="1634" customFormat="1">
      <c r="G65092" s="3336"/>
      <c r="P65092" s="3337"/>
    </row>
    <row r="65093" spans="7:16" s="1634" customFormat="1">
      <c r="G65093" s="3336"/>
      <c r="P65093" s="3337"/>
    </row>
    <row r="65094" spans="7:16" s="1634" customFormat="1">
      <c r="G65094" s="3336"/>
      <c r="P65094" s="3337"/>
    </row>
    <row r="65095" spans="7:16" s="1634" customFormat="1">
      <c r="G65095" s="3336"/>
      <c r="P65095" s="3337"/>
    </row>
    <row r="65096" spans="7:16" s="1634" customFormat="1">
      <c r="G65096" s="3336"/>
      <c r="P65096" s="3337"/>
    </row>
    <row r="65097" spans="7:16" s="1634" customFormat="1">
      <c r="G65097" s="3336"/>
      <c r="P65097" s="3337"/>
    </row>
    <row r="65098" spans="7:16" s="1634" customFormat="1">
      <c r="G65098" s="3336"/>
      <c r="P65098" s="3337"/>
    </row>
    <row r="65099" spans="7:16" s="1634" customFormat="1">
      <c r="G65099" s="3336"/>
      <c r="P65099" s="3337"/>
    </row>
    <row r="65100" spans="7:16" s="1634" customFormat="1">
      <c r="G65100" s="3336"/>
      <c r="P65100" s="3337"/>
    </row>
    <row r="65101" spans="7:16" s="1634" customFormat="1">
      <c r="G65101" s="3336"/>
      <c r="P65101" s="3337"/>
    </row>
    <row r="65102" spans="7:16" s="1634" customFormat="1">
      <c r="G65102" s="3336"/>
      <c r="P65102" s="3337"/>
    </row>
    <row r="65103" spans="7:16" s="1634" customFormat="1">
      <c r="G65103" s="3336"/>
      <c r="P65103" s="3337"/>
    </row>
    <row r="65104" spans="7:16" s="1634" customFormat="1">
      <c r="G65104" s="3336"/>
      <c r="P65104" s="3337"/>
    </row>
    <row r="65105" spans="7:16" s="1634" customFormat="1">
      <c r="G65105" s="3336"/>
      <c r="P65105" s="3337"/>
    </row>
    <row r="65106" spans="7:16" s="1634" customFormat="1">
      <c r="G65106" s="3336"/>
      <c r="P65106" s="3337"/>
    </row>
    <row r="65107" spans="7:16" s="1634" customFormat="1">
      <c r="G65107" s="3336"/>
      <c r="P65107" s="3337"/>
    </row>
    <row r="65108" spans="7:16" s="1634" customFormat="1">
      <c r="G65108" s="3336"/>
      <c r="P65108" s="3337"/>
    </row>
    <row r="65109" spans="7:16" s="1634" customFormat="1">
      <c r="G65109" s="3336"/>
      <c r="P65109" s="3337"/>
    </row>
    <row r="65110" spans="7:16" s="1634" customFormat="1">
      <c r="G65110" s="3336"/>
      <c r="P65110" s="3337"/>
    </row>
    <row r="65111" spans="7:16" s="1634" customFormat="1">
      <c r="G65111" s="3336"/>
      <c r="P65111" s="3337"/>
    </row>
    <row r="65112" spans="7:16" s="1634" customFormat="1">
      <c r="G65112" s="3336"/>
      <c r="P65112" s="3337"/>
    </row>
    <row r="65113" spans="7:16" s="1634" customFormat="1">
      <c r="G65113" s="3336"/>
      <c r="P65113" s="3337"/>
    </row>
    <row r="65114" spans="7:16" s="1634" customFormat="1">
      <c r="G65114" s="3336"/>
      <c r="P65114" s="3337"/>
    </row>
    <row r="65115" spans="7:16" s="1634" customFormat="1">
      <c r="G65115" s="3336"/>
      <c r="P65115" s="3337"/>
    </row>
    <row r="65116" spans="7:16" s="1634" customFormat="1">
      <c r="G65116" s="3336"/>
      <c r="P65116" s="3337"/>
    </row>
    <row r="65117" spans="7:16" s="1634" customFormat="1">
      <c r="G65117" s="3336"/>
      <c r="P65117" s="3337"/>
    </row>
    <row r="65118" spans="7:16" s="1634" customFormat="1">
      <c r="G65118" s="3336"/>
      <c r="P65118" s="3337"/>
    </row>
    <row r="65119" spans="7:16" s="1634" customFormat="1">
      <c r="G65119" s="3336"/>
      <c r="P65119" s="3337"/>
    </row>
    <row r="65120" spans="7:16" s="1634" customFormat="1">
      <c r="G65120" s="3336"/>
      <c r="P65120" s="3337"/>
    </row>
    <row r="65121" spans="7:16" s="1634" customFormat="1">
      <c r="G65121" s="3336"/>
      <c r="P65121" s="3337"/>
    </row>
    <row r="65122" spans="7:16" s="1634" customFormat="1">
      <c r="G65122" s="3336"/>
      <c r="P65122" s="3337"/>
    </row>
    <row r="65123" spans="7:16" s="1634" customFormat="1">
      <c r="G65123" s="3336"/>
      <c r="P65123" s="3337"/>
    </row>
    <row r="65124" spans="7:16" s="1634" customFormat="1">
      <c r="G65124" s="3336"/>
      <c r="P65124" s="3337"/>
    </row>
    <row r="65125" spans="7:16" s="1634" customFormat="1">
      <c r="G65125" s="3336"/>
      <c r="P65125" s="3337"/>
    </row>
    <row r="65126" spans="7:16" s="1634" customFormat="1">
      <c r="G65126" s="3336"/>
      <c r="P65126" s="3337"/>
    </row>
    <row r="65127" spans="7:16" s="1634" customFormat="1">
      <c r="G65127" s="3336"/>
      <c r="P65127" s="3337"/>
    </row>
    <row r="65128" spans="7:16" s="1634" customFormat="1">
      <c r="G65128" s="3336"/>
      <c r="P65128" s="3337"/>
    </row>
    <row r="65129" spans="7:16" s="1634" customFormat="1">
      <c r="G65129" s="3336"/>
      <c r="P65129" s="3337"/>
    </row>
    <row r="65130" spans="7:16" s="1634" customFormat="1">
      <c r="G65130" s="3336"/>
      <c r="P65130" s="3337"/>
    </row>
    <row r="65131" spans="7:16" s="1634" customFormat="1">
      <c r="G65131" s="3336"/>
      <c r="P65131" s="3337"/>
    </row>
    <row r="65132" spans="7:16" s="1634" customFormat="1">
      <c r="G65132" s="3336"/>
      <c r="P65132" s="3337"/>
    </row>
    <row r="65133" spans="7:16" s="1634" customFormat="1">
      <c r="G65133" s="3336"/>
      <c r="P65133" s="3337"/>
    </row>
    <row r="65134" spans="7:16" s="1634" customFormat="1">
      <c r="G65134" s="3336"/>
      <c r="P65134" s="3337"/>
    </row>
    <row r="65135" spans="7:16" s="1634" customFormat="1">
      <c r="G65135" s="3336"/>
      <c r="P65135" s="3337"/>
    </row>
    <row r="65136" spans="7:16" s="1634" customFormat="1">
      <c r="G65136" s="3336"/>
      <c r="P65136" s="3337"/>
    </row>
    <row r="65137" spans="7:16" s="1634" customFormat="1">
      <c r="G65137" s="3336"/>
      <c r="P65137" s="3337"/>
    </row>
    <row r="65138" spans="7:16" s="1634" customFormat="1">
      <c r="G65138" s="3336"/>
      <c r="P65138" s="3337"/>
    </row>
    <row r="65139" spans="7:16" s="1634" customFormat="1">
      <c r="G65139" s="3336"/>
      <c r="P65139" s="3337"/>
    </row>
    <row r="65140" spans="7:16" s="1634" customFormat="1">
      <c r="G65140" s="3336"/>
      <c r="P65140" s="3337"/>
    </row>
    <row r="65141" spans="7:16" s="1634" customFormat="1">
      <c r="G65141" s="3336"/>
      <c r="P65141" s="3337"/>
    </row>
    <row r="65142" spans="7:16" s="1634" customFormat="1">
      <c r="G65142" s="3336"/>
      <c r="P65142" s="3337"/>
    </row>
    <row r="65143" spans="7:16" s="1634" customFormat="1">
      <c r="G65143" s="3336"/>
      <c r="P65143" s="3337"/>
    </row>
    <row r="65144" spans="7:16" s="1634" customFormat="1">
      <c r="G65144" s="3336"/>
      <c r="P65144" s="3337"/>
    </row>
    <row r="65145" spans="7:16" s="1634" customFormat="1">
      <c r="G65145" s="3336"/>
      <c r="P65145" s="3337"/>
    </row>
    <row r="65146" spans="7:16" s="1634" customFormat="1">
      <c r="G65146" s="3336"/>
      <c r="P65146" s="3337"/>
    </row>
    <row r="65147" spans="7:16" s="1634" customFormat="1">
      <c r="G65147" s="3336"/>
      <c r="P65147" s="3337"/>
    </row>
    <row r="65148" spans="7:16" s="1634" customFormat="1">
      <c r="G65148" s="3336"/>
      <c r="P65148" s="3337"/>
    </row>
    <row r="65149" spans="7:16" s="1634" customFormat="1">
      <c r="G65149" s="3336"/>
      <c r="P65149" s="3337"/>
    </row>
    <row r="65150" spans="7:16" s="1634" customFormat="1">
      <c r="G65150" s="3336"/>
      <c r="P65150" s="3337"/>
    </row>
    <row r="65151" spans="7:16" s="1634" customFormat="1">
      <c r="G65151" s="3336"/>
      <c r="P65151" s="3337"/>
    </row>
    <row r="65152" spans="7:16" s="1634" customFormat="1">
      <c r="G65152" s="3336"/>
      <c r="P65152" s="3337"/>
    </row>
    <row r="65153" spans="7:16" s="1634" customFormat="1">
      <c r="G65153" s="3336"/>
      <c r="P65153" s="3337"/>
    </row>
    <row r="65154" spans="7:16" s="1634" customFormat="1">
      <c r="G65154" s="3336"/>
      <c r="P65154" s="3337"/>
    </row>
    <row r="65155" spans="7:16" s="1634" customFormat="1">
      <c r="G65155" s="3336"/>
      <c r="P65155" s="3337"/>
    </row>
    <row r="65156" spans="7:16" s="1634" customFormat="1">
      <c r="G65156" s="3336"/>
      <c r="P65156" s="3337"/>
    </row>
    <row r="65157" spans="7:16" s="1634" customFormat="1">
      <c r="G65157" s="3336"/>
      <c r="P65157" s="3337"/>
    </row>
    <row r="65158" spans="7:16" s="1634" customFormat="1">
      <c r="G65158" s="3336"/>
      <c r="P65158" s="3337"/>
    </row>
    <row r="65159" spans="7:16" s="1634" customFormat="1">
      <c r="G65159" s="3336"/>
      <c r="P65159" s="3337"/>
    </row>
    <row r="65160" spans="7:16" s="1634" customFormat="1">
      <c r="G65160" s="3336"/>
      <c r="P65160" s="3337"/>
    </row>
    <row r="65161" spans="7:16" s="1634" customFormat="1">
      <c r="G65161" s="3336"/>
      <c r="P65161" s="3337"/>
    </row>
    <row r="65162" spans="7:16" s="1634" customFormat="1">
      <c r="G65162" s="3336"/>
      <c r="P65162" s="3337"/>
    </row>
    <row r="65163" spans="7:16" s="1634" customFormat="1">
      <c r="G65163" s="3336"/>
      <c r="P65163" s="3337"/>
    </row>
    <row r="65164" spans="7:16" s="1634" customFormat="1">
      <c r="G65164" s="3336"/>
      <c r="P65164" s="3337"/>
    </row>
    <row r="65165" spans="7:16" s="1634" customFormat="1">
      <c r="G65165" s="3336"/>
      <c r="P65165" s="3337"/>
    </row>
    <row r="65166" spans="7:16" s="1634" customFormat="1">
      <c r="G65166" s="3336"/>
      <c r="P65166" s="3337"/>
    </row>
    <row r="65167" spans="7:16" s="1634" customFormat="1">
      <c r="G65167" s="3336"/>
      <c r="P65167" s="3337"/>
    </row>
    <row r="65168" spans="7:16" s="1634" customFormat="1">
      <c r="G65168" s="3336"/>
      <c r="P65168" s="3337"/>
    </row>
    <row r="65169" spans="7:16" s="1634" customFormat="1">
      <c r="G65169" s="3336"/>
      <c r="P65169" s="3337"/>
    </row>
    <row r="65170" spans="7:16" s="1634" customFormat="1">
      <c r="G65170" s="3336"/>
      <c r="P65170" s="3337"/>
    </row>
    <row r="65171" spans="7:16" s="1634" customFormat="1">
      <c r="G65171" s="3336"/>
      <c r="P65171" s="3337"/>
    </row>
    <row r="65172" spans="7:16" s="1634" customFormat="1">
      <c r="G65172" s="3336"/>
      <c r="P65172" s="3337"/>
    </row>
    <row r="65173" spans="7:16" s="1634" customFormat="1">
      <c r="G65173" s="3336"/>
      <c r="P65173" s="3337"/>
    </row>
    <row r="65174" spans="7:16" s="1634" customFormat="1">
      <c r="G65174" s="3336"/>
      <c r="P65174" s="3337"/>
    </row>
    <row r="65175" spans="7:16" s="1634" customFormat="1">
      <c r="G65175" s="3336"/>
      <c r="P65175" s="3337"/>
    </row>
    <row r="65176" spans="7:16" s="1634" customFormat="1">
      <c r="G65176" s="3336"/>
      <c r="P65176" s="3337"/>
    </row>
    <row r="65177" spans="7:16" s="1634" customFormat="1">
      <c r="G65177" s="3336"/>
      <c r="P65177" s="3337"/>
    </row>
    <row r="65178" spans="7:16" s="1634" customFormat="1">
      <c r="G65178" s="3336"/>
      <c r="P65178" s="3337"/>
    </row>
    <row r="65179" spans="7:16" s="1634" customFormat="1">
      <c r="G65179" s="3336"/>
      <c r="P65179" s="3337"/>
    </row>
    <row r="65180" spans="7:16" s="1634" customFormat="1">
      <c r="G65180" s="3336"/>
      <c r="P65180" s="3337"/>
    </row>
    <row r="65181" spans="7:16" s="1634" customFormat="1">
      <c r="G65181" s="3336"/>
      <c r="P65181" s="3337"/>
    </row>
    <row r="65182" spans="7:16" s="1634" customFormat="1">
      <c r="G65182" s="3336"/>
      <c r="P65182" s="3337"/>
    </row>
    <row r="65183" spans="7:16" s="1634" customFormat="1">
      <c r="G65183" s="3336"/>
      <c r="P65183" s="3337"/>
    </row>
    <row r="65184" spans="7:16" s="1634" customFormat="1">
      <c r="G65184" s="3336"/>
      <c r="P65184" s="3337"/>
    </row>
    <row r="65185" spans="7:16" s="1634" customFormat="1">
      <c r="G65185" s="3336"/>
      <c r="P65185" s="3337"/>
    </row>
    <row r="65186" spans="7:16" s="1634" customFormat="1">
      <c r="G65186" s="3336"/>
      <c r="P65186" s="3337"/>
    </row>
    <row r="65187" spans="7:16" s="1634" customFormat="1">
      <c r="G65187" s="3336"/>
      <c r="P65187" s="3337"/>
    </row>
    <row r="65188" spans="7:16" s="1634" customFormat="1">
      <c r="G65188" s="3336"/>
      <c r="P65188" s="3337"/>
    </row>
    <row r="65189" spans="7:16" s="1634" customFormat="1">
      <c r="G65189" s="3336"/>
      <c r="P65189" s="3337"/>
    </row>
    <row r="65190" spans="7:16" s="1634" customFormat="1">
      <c r="G65190" s="3336"/>
      <c r="P65190" s="3337"/>
    </row>
    <row r="65191" spans="7:16" s="1634" customFormat="1">
      <c r="G65191" s="3336"/>
      <c r="P65191" s="3337"/>
    </row>
    <row r="65192" spans="7:16" s="1634" customFormat="1">
      <c r="G65192" s="3336"/>
      <c r="P65192" s="3337"/>
    </row>
    <row r="65193" spans="7:16" s="1634" customFormat="1">
      <c r="G65193" s="3336"/>
      <c r="P65193" s="3337"/>
    </row>
    <row r="65194" spans="7:16" s="1634" customFormat="1">
      <c r="G65194" s="3336"/>
      <c r="P65194" s="3337"/>
    </row>
    <row r="65195" spans="7:16" s="1634" customFormat="1">
      <c r="G65195" s="3336"/>
      <c r="P65195" s="3337"/>
    </row>
    <row r="65196" spans="7:16" s="1634" customFormat="1">
      <c r="G65196" s="3336"/>
      <c r="P65196" s="3337"/>
    </row>
    <row r="65197" spans="7:16" s="1634" customFormat="1">
      <c r="G65197" s="3336"/>
      <c r="P65197" s="3337"/>
    </row>
    <row r="65198" spans="7:16" s="1634" customFormat="1">
      <c r="G65198" s="3336"/>
      <c r="P65198" s="3337"/>
    </row>
    <row r="65199" spans="7:16" s="1634" customFormat="1">
      <c r="G65199" s="3336"/>
      <c r="P65199" s="3337"/>
    </row>
    <row r="65200" spans="7:16" s="1634" customFormat="1">
      <c r="G65200" s="3336"/>
      <c r="P65200" s="3337"/>
    </row>
    <row r="65201" spans="7:16" s="1634" customFormat="1">
      <c r="G65201" s="3336"/>
      <c r="P65201" s="3337"/>
    </row>
    <row r="65202" spans="7:16" s="1634" customFormat="1">
      <c r="G65202" s="3336"/>
      <c r="P65202" s="3337"/>
    </row>
    <row r="65203" spans="7:16" s="1634" customFormat="1">
      <c r="G65203" s="3336"/>
      <c r="P65203" s="3337"/>
    </row>
    <row r="65204" spans="7:16" s="1634" customFormat="1">
      <c r="G65204" s="3336"/>
      <c r="P65204" s="3337"/>
    </row>
    <row r="65205" spans="7:16" s="1634" customFormat="1">
      <c r="G65205" s="3336"/>
      <c r="P65205" s="3337"/>
    </row>
    <row r="65206" spans="7:16" s="1634" customFormat="1">
      <c r="G65206" s="3336"/>
      <c r="P65206" s="3337"/>
    </row>
    <row r="65207" spans="7:16" s="1634" customFormat="1">
      <c r="G65207" s="3336"/>
      <c r="P65207" s="3337"/>
    </row>
    <row r="65208" spans="7:16" s="1634" customFormat="1">
      <c r="G65208" s="3336"/>
      <c r="P65208" s="3337"/>
    </row>
    <row r="65209" spans="7:16" s="1634" customFormat="1">
      <c r="G65209" s="3336"/>
      <c r="P65209" s="3337"/>
    </row>
    <row r="65210" spans="7:16" s="1634" customFormat="1">
      <c r="G65210" s="3336"/>
      <c r="P65210" s="3337"/>
    </row>
    <row r="65211" spans="7:16" s="1634" customFormat="1">
      <c r="G65211" s="3336"/>
      <c r="P65211" s="3337"/>
    </row>
    <row r="65212" spans="7:16" s="1634" customFormat="1">
      <c r="G65212" s="3336"/>
      <c r="P65212" s="3337"/>
    </row>
    <row r="65213" spans="7:16" s="1634" customFormat="1">
      <c r="G65213" s="3336"/>
      <c r="P65213" s="3337"/>
    </row>
    <row r="65214" spans="7:16" s="1634" customFormat="1">
      <c r="G65214" s="3336"/>
      <c r="P65214" s="3337"/>
    </row>
    <row r="65215" spans="7:16" s="1634" customFormat="1">
      <c r="G65215" s="3336"/>
      <c r="P65215" s="3337"/>
    </row>
    <row r="65216" spans="7:16" s="1634" customFormat="1">
      <c r="G65216" s="3336"/>
      <c r="P65216" s="3337"/>
    </row>
    <row r="65217" spans="7:16" s="1634" customFormat="1">
      <c r="G65217" s="3336"/>
      <c r="P65217" s="3337"/>
    </row>
    <row r="65218" spans="7:16" s="1634" customFormat="1">
      <c r="G65218" s="3336"/>
      <c r="P65218" s="3337"/>
    </row>
    <row r="65219" spans="7:16" s="1634" customFormat="1">
      <c r="G65219" s="3336"/>
      <c r="P65219" s="3337"/>
    </row>
    <row r="65220" spans="7:16" s="1634" customFormat="1">
      <c r="G65220" s="3336"/>
      <c r="P65220" s="3337"/>
    </row>
    <row r="65221" spans="7:16" s="1634" customFormat="1">
      <c r="G65221" s="3336"/>
      <c r="P65221" s="3337"/>
    </row>
    <row r="65222" spans="7:16" s="1634" customFormat="1">
      <c r="G65222" s="3336"/>
      <c r="P65222" s="3337"/>
    </row>
    <row r="65223" spans="7:16" s="1634" customFormat="1">
      <c r="G65223" s="3336"/>
      <c r="P65223" s="3337"/>
    </row>
    <row r="65224" spans="7:16" s="1634" customFormat="1">
      <c r="G65224" s="3336"/>
      <c r="P65224" s="3337"/>
    </row>
    <row r="65225" spans="7:16" s="1634" customFormat="1">
      <c r="G65225" s="3336"/>
      <c r="P65225" s="3337"/>
    </row>
    <row r="65226" spans="7:16" s="1634" customFormat="1">
      <c r="G65226" s="3336"/>
      <c r="P65226" s="3337"/>
    </row>
    <row r="65227" spans="7:16" s="1634" customFormat="1">
      <c r="G65227" s="3336"/>
      <c r="P65227" s="3337"/>
    </row>
    <row r="65228" spans="7:16" s="1634" customFormat="1">
      <c r="G65228" s="3336"/>
      <c r="P65228" s="3337"/>
    </row>
    <row r="65229" spans="7:16" s="1634" customFormat="1">
      <c r="G65229" s="3336"/>
      <c r="P65229" s="3337"/>
    </row>
    <row r="65230" spans="7:16" s="1634" customFormat="1">
      <c r="G65230" s="3336"/>
      <c r="P65230" s="3337"/>
    </row>
    <row r="65231" spans="7:16" s="1634" customFormat="1">
      <c r="G65231" s="3336"/>
      <c r="P65231" s="3337"/>
    </row>
    <row r="65232" spans="7:16" s="1634" customFormat="1">
      <c r="G65232" s="3336"/>
      <c r="P65232" s="3337"/>
    </row>
    <row r="65233" spans="7:16" s="1634" customFormat="1">
      <c r="G65233" s="3336"/>
      <c r="P65233" s="3337"/>
    </row>
    <row r="65234" spans="7:16" s="1634" customFormat="1">
      <c r="G65234" s="3336"/>
      <c r="P65234" s="3337"/>
    </row>
    <row r="65235" spans="7:16" s="1634" customFormat="1">
      <c r="G65235" s="3336"/>
      <c r="P65235" s="3337"/>
    </row>
    <row r="65236" spans="7:16" s="1634" customFormat="1">
      <c r="G65236" s="3336"/>
      <c r="P65236" s="3337"/>
    </row>
    <row r="65237" spans="7:16" s="1634" customFormat="1">
      <c r="G65237" s="3336"/>
      <c r="P65237" s="3337"/>
    </row>
    <row r="65238" spans="7:16" s="1634" customFormat="1">
      <c r="G65238" s="3336"/>
      <c r="P65238" s="3337"/>
    </row>
    <row r="65239" spans="7:16" s="1634" customFormat="1">
      <c r="G65239" s="3336"/>
      <c r="P65239" s="3337"/>
    </row>
    <row r="65240" spans="7:16" s="1634" customFormat="1">
      <c r="G65240" s="3336"/>
      <c r="P65240" s="3337"/>
    </row>
    <row r="65241" spans="7:16" s="1634" customFormat="1">
      <c r="G65241" s="3336"/>
      <c r="P65241" s="3337"/>
    </row>
    <row r="65242" spans="7:16" s="1634" customFormat="1">
      <c r="G65242" s="3336"/>
      <c r="P65242" s="3337"/>
    </row>
    <row r="65243" spans="7:16" s="1634" customFormat="1">
      <c r="G65243" s="3336"/>
      <c r="P65243" s="3337"/>
    </row>
    <row r="65244" spans="7:16" s="1634" customFormat="1">
      <c r="G65244" s="3336"/>
      <c r="P65244" s="3337"/>
    </row>
    <row r="65245" spans="7:16" s="1634" customFormat="1">
      <c r="G65245" s="3336"/>
      <c r="P65245" s="3337"/>
    </row>
    <row r="65246" spans="7:16" s="1634" customFormat="1">
      <c r="G65246" s="3336"/>
      <c r="P65246" s="3337"/>
    </row>
    <row r="65247" spans="7:16" s="1634" customFormat="1">
      <c r="G65247" s="3336"/>
      <c r="P65247" s="3337"/>
    </row>
    <row r="65248" spans="7:16" s="1634" customFormat="1">
      <c r="G65248" s="3336"/>
      <c r="P65248" s="3337"/>
    </row>
    <row r="65249" spans="7:16" s="1634" customFormat="1">
      <c r="G65249" s="3336"/>
      <c r="P65249" s="3337"/>
    </row>
    <row r="65250" spans="7:16" s="1634" customFormat="1">
      <c r="G65250" s="3336"/>
      <c r="P65250" s="3337"/>
    </row>
    <row r="65251" spans="7:16" s="1634" customFormat="1">
      <c r="G65251" s="3336"/>
      <c r="P65251" s="3337"/>
    </row>
    <row r="65252" spans="7:16" s="1634" customFormat="1">
      <c r="G65252" s="3336"/>
      <c r="P65252" s="3337"/>
    </row>
    <row r="65253" spans="7:16" s="1634" customFormat="1">
      <c r="G65253" s="3336"/>
      <c r="P65253" s="3337"/>
    </row>
    <row r="65254" spans="7:16" s="1634" customFormat="1">
      <c r="G65254" s="3336"/>
      <c r="P65254" s="3337"/>
    </row>
    <row r="65255" spans="7:16" s="1634" customFormat="1">
      <c r="G65255" s="3336"/>
      <c r="P65255" s="3337"/>
    </row>
    <row r="65256" spans="7:16" s="1634" customFormat="1">
      <c r="G65256" s="3336"/>
      <c r="P65256" s="3337"/>
    </row>
    <row r="65257" spans="7:16" s="1634" customFormat="1">
      <c r="G65257" s="3336"/>
      <c r="P65257" s="3337"/>
    </row>
    <row r="65258" spans="7:16" s="1634" customFormat="1">
      <c r="G65258" s="3336"/>
      <c r="P65258" s="3337"/>
    </row>
    <row r="65259" spans="7:16" s="1634" customFormat="1">
      <c r="G65259" s="3336"/>
      <c r="P65259" s="3337"/>
    </row>
    <row r="65260" spans="7:16" s="1634" customFormat="1">
      <c r="G65260" s="3336"/>
      <c r="P65260" s="3337"/>
    </row>
    <row r="65261" spans="7:16" s="1634" customFormat="1">
      <c r="G65261" s="3336"/>
      <c r="P65261" s="3337"/>
    </row>
    <row r="65262" spans="7:16" s="1634" customFormat="1">
      <c r="G65262" s="3336"/>
      <c r="P65262" s="3337"/>
    </row>
    <row r="65263" spans="7:16" s="1634" customFormat="1">
      <c r="G65263" s="3336"/>
      <c r="P65263" s="3337"/>
    </row>
    <row r="65264" spans="7:16" s="1634" customFormat="1">
      <c r="G65264" s="3336"/>
      <c r="P65264" s="3337"/>
    </row>
    <row r="65265" spans="7:16" s="1634" customFormat="1">
      <c r="G65265" s="3336"/>
      <c r="P65265" s="3337"/>
    </row>
    <row r="65266" spans="7:16" s="1634" customFormat="1">
      <c r="G65266" s="3336"/>
      <c r="P65266" s="3337"/>
    </row>
    <row r="65267" spans="7:16" s="1634" customFormat="1">
      <c r="G65267" s="3336"/>
      <c r="P65267" s="3337"/>
    </row>
    <row r="65268" spans="7:16" s="1634" customFormat="1">
      <c r="G65268" s="3336"/>
      <c r="P65268" s="3337"/>
    </row>
    <row r="65269" spans="7:16" s="1634" customFormat="1">
      <c r="G65269" s="3336"/>
      <c r="P65269" s="3337"/>
    </row>
    <row r="65270" spans="7:16" s="1634" customFormat="1">
      <c r="G65270" s="3336"/>
      <c r="P65270" s="3337"/>
    </row>
    <row r="65271" spans="7:16" s="1634" customFormat="1">
      <c r="G65271" s="3336"/>
      <c r="P65271" s="3337"/>
    </row>
    <row r="65272" spans="7:16" s="1634" customFormat="1">
      <c r="G65272" s="3336"/>
      <c r="P65272" s="3337"/>
    </row>
    <row r="65273" spans="7:16" s="1634" customFormat="1">
      <c r="G65273" s="3336"/>
      <c r="P65273" s="3337"/>
    </row>
    <row r="65274" spans="7:16" s="1634" customFormat="1">
      <c r="G65274" s="3336"/>
      <c r="P65274" s="3337"/>
    </row>
    <row r="65275" spans="7:16" s="1634" customFormat="1">
      <c r="G65275" s="3336"/>
      <c r="P65275" s="3337"/>
    </row>
    <row r="65276" spans="7:16" s="1634" customFormat="1">
      <c r="G65276" s="3336"/>
      <c r="P65276" s="3337"/>
    </row>
    <row r="65277" spans="7:16" s="1634" customFormat="1">
      <c r="G65277" s="3336"/>
      <c r="P65277" s="3337"/>
    </row>
    <row r="65278" spans="7:16" s="1634" customFormat="1">
      <c r="G65278" s="3336"/>
      <c r="P65278" s="3337"/>
    </row>
    <row r="65279" spans="7:16" s="1634" customFormat="1">
      <c r="G65279" s="3336"/>
      <c r="P65279" s="3337"/>
    </row>
    <row r="65280" spans="7:16" s="1634" customFormat="1">
      <c r="G65280" s="3336"/>
      <c r="P65280" s="3337"/>
    </row>
    <row r="65281" spans="7:16" s="1634" customFormat="1">
      <c r="G65281" s="3336"/>
      <c r="P65281" s="3337"/>
    </row>
    <row r="65282" spans="7:16" s="1634" customFormat="1">
      <c r="G65282" s="3336"/>
      <c r="P65282" s="3337"/>
    </row>
    <row r="65283" spans="7:16" s="1634" customFormat="1">
      <c r="G65283" s="3336"/>
      <c r="P65283" s="3337"/>
    </row>
    <row r="65284" spans="7:16" s="1634" customFormat="1">
      <c r="G65284" s="3336"/>
      <c r="P65284" s="3337"/>
    </row>
    <row r="65285" spans="7:16" s="1634" customFormat="1">
      <c r="G65285" s="3336"/>
      <c r="P65285" s="3337"/>
    </row>
    <row r="65286" spans="7:16" s="1634" customFormat="1">
      <c r="G65286" s="3336"/>
      <c r="P65286" s="3337"/>
    </row>
    <row r="65287" spans="7:16" s="1634" customFormat="1">
      <c r="G65287" s="3336"/>
      <c r="P65287" s="3337"/>
    </row>
    <row r="65288" spans="7:16" s="1634" customFormat="1">
      <c r="G65288" s="3336"/>
      <c r="P65288" s="3337"/>
    </row>
    <row r="65289" spans="7:16" s="1634" customFormat="1">
      <c r="G65289" s="3336"/>
      <c r="P65289" s="3337"/>
    </row>
    <row r="65290" spans="7:16" s="1634" customFormat="1">
      <c r="G65290" s="3336"/>
      <c r="P65290" s="3337"/>
    </row>
    <row r="65291" spans="7:16" s="1634" customFormat="1">
      <c r="G65291" s="3336"/>
      <c r="P65291" s="3337"/>
    </row>
    <row r="65292" spans="7:16" s="1634" customFormat="1">
      <c r="G65292" s="3336"/>
      <c r="P65292" s="3337"/>
    </row>
    <row r="65293" spans="7:16" s="1634" customFormat="1">
      <c r="G65293" s="3336"/>
      <c r="P65293" s="3337"/>
    </row>
    <row r="65294" spans="7:16" s="1634" customFormat="1">
      <c r="G65294" s="3336"/>
      <c r="P65294" s="3337"/>
    </row>
    <row r="65295" spans="7:16" s="1634" customFormat="1">
      <c r="G65295" s="3336"/>
      <c r="P65295" s="3337"/>
    </row>
    <row r="65296" spans="7:16" s="1634" customFormat="1">
      <c r="G65296" s="3336"/>
      <c r="P65296" s="3337"/>
    </row>
    <row r="65297" spans="7:16" s="1634" customFormat="1">
      <c r="G65297" s="3336"/>
      <c r="P65297" s="3337"/>
    </row>
    <row r="65298" spans="7:16" s="1634" customFormat="1">
      <c r="G65298" s="3336"/>
      <c r="P65298" s="3337"/>
    </row>
    <row r="65299" spans="7:16" s="1634" customFormat="1">
      <c r="G65299" s="3336"/>
      <c r="P65299" s="3337"/>
    </row>
    <row r="65300" spans="7:16" s="1634" customFormat="1">
      <c r="G65300" s="3336"/>
      <c r="P65300" s="3337"/>
    </row>
    <row r="65301" spans="7:16" s="1634" customFormat="1">
      <c r="G65301" s="3336"/>
      <c r="P65301" s="3337"/>
    </row>
    <row r="65302" spans="7:16" s="1634" customFormat="1">
      <c r="G65302" s="3336"/>
      <c r="P65302" s="3337"/>
    </row>
    <row r="65303" spans="7:16" s="1634" customFormat="1">
      <c r="G65303" s="3336"/>
      <c r="P65303" s="3337"/>
    </row>
    <row r="65304" spans="7:16" s="1634" customFormat="1">
      <c r="G65304" s="3336"/>
      <c r="P65304" s="3337"/>
    </row>
    <row r="65305" spans="7:16" s="1634" customFormat="1">
      <c r="G65305" s="3336"/>
      <c r="P65305" s="3337"/>
    </row>
    <row r="65306" spans="7:16" s="1634" customFormat="1">
      <c r="G65306" s="3336"/>
      <c r="P65306" s="3337"/>
    </row>
    <row r="65307" spans="7:16" s="1634" customFormat="1">
      <c r="G65307" s="3336"/>
      <c r="P65307" s="3337"/>
    </row>
    <row r="65308" spans="7:16" s="1634" customFormat="1">
      <c r="G65308" s="3336"/>
      <c r="P65308" s="3337"/>
    </row>
    <row r="65309" spans="7:16" s="1634" customFormat="1">
      <c r="G65309" s="3336"/>
      <c r="P65309" s="3337"/>
    </row>
    <row r="65310" spans="7:16" s="1634" customFormat="1">
      <c r="G65310" s="3336"/>
      <c r="P65310" s="3337"/>
    </row>
    <row r="65311" spans="7:16" s="1634" customFormat="1">
      <c r="G65311" s="3336"/>
      <c r="P65311" s="3337"/>
    </row>
    <row r="65312" spans="7:16" s="1634" customFormat="1">
      <c r="G65312" s="3336"/>
      <c r="P65312" s="3337"/>
    </row>
    <row r="65313" spans="7:16" s="1634" customFormat="1">
      <c r="G65313" s="3336"/>
      <c r="P65313" s="3337"/>
    </row>
    <row r="65314" spans="7:16" s="1634" customFormat="1">
      <c r="G65314" s="3336"/>
      <c r="P65314" s="3337"/>
    </row>
    <row r="65315" spans="7:16" s="1634" customFormat="1">
      <c r="G65315" s="3336"/>
      <c r="P65315" s="3337"/>
    </row>
    <row r="65316" spans="7:16" s="1634" customFormat="1">
      <c r="G65316" s="3336"/>
      <c r="P65316" s="3337"/>
    </row>
    <row r="65317" spans="7:16" s="1634" customFormat="1">
      <c r="G65317" s="3336"/>
      <c r="P65317" s="3337"/>
    </row>
    <row r="65318" spans="7:16" s="1634" customFormat="1">
      <c r="G65318" s="3336"/>
      <c r="P65318" s="3337"/>
    </row>
    <row r="65319" spans="7:16" s="1634" customFormat="1">
      <c r="G65319" s="3336"/>
      <c r="P65319" s="3337"/>
    </row>
    <row r="65320" spans="7:16" s="1634" customFormat="1">
      <c r="G65320" s="3336"/>
      <c r="P65320" s="3337"/>
    </row>
    <row r="65321" spans="7:16" s="1634" customFormat="1">
      <c r="G65321" s="3336"/>
      <c r="P65321" s="3337"/>
    </row>
    <row r="65322" spans="7:16" s="1634" customFormat="1">
      <c r="G65322" s="3336"/>
      <c r="P65322" s="3337"/>
    </row>
    <row r="65323" spans="7:16" s="1634" customFormat="1">
      <c r="G65323" s="3336"/>
      <c r="P65323" s="3337"/>
    </row>
    <row r="65324" spans="7:16" s="1634" customFormat="1">
      <c r="G65324" s="3336"/>
      <c r="P65324" s="3337"/>
    </row>
    <row r="65325" spans="7:16" s="1634" customFormat="1">
      <c r="G65325" s="3336"/>
      <c r="P65325" s="3337"/>
    </row>
    <row r="65326" spans="7:16" s="1634" customFormat="1">
      <c r="G65326" s="3336"/>
      <c r="P65326" s="3337"/>
    </row>
    <row r="65327" spans="7:16" s="1634" customFormat="1">
      <c r="G65327" s="3336"/>
      <c r="P65327" s="3337"/>
    </row>
    <row r="65328" spans="7:16" s="1634" customFormat="1">
      <c r="G65328" s="3336"/>
      <c r="P65328" s="3337"/>
    </row>
    <row r="65329" spans="7:16" s="1634" customFormat="1">
      <c r="G65329" s="3336"/>
      <c r="P65329" s="3337"/>
    </row>
    <row r="65330" spans="7:16" s="1634" customFormat="1">
      <c r="G65330" s="3336"/>
      <c r="P65330" s="3337"/>
    </row>
    <row r="65331" spans="7:16" s="1634" customFormat="1">
      <c r="G65331" s="3336"/>
      <c r="P65331" s="3337"/>
    </row>
    <row r="65332" spans="7:16" s="1634" customFormat="1">
      <c r="G65332" s="3336"/>
      <c r="P65332" s="3337"/>
    </row>
    <row r="65333" spans="7:16" s="1634" customFormat="1">
      <c r="G65333" s="3336"/>
      <c r="P65333" s="3337"/>
    </row>
    <row r="65334" spans="7:16" s="1634" customFormat="1">
      <c r="G65334" s="3336"/>
      <c r="P65334" s="3337"/>
    </row>
    <row r="65335" spans="7:16" s="1634" customFormat="1">
      <c r="G65335" s="3336"/>
      <c r="P65335" s="3337"/>
    </row>
    <row r="65336" spans="7:16" s="1634" customFormat="1">
      <c r="G65336" s="3336"/>
      <c r="P65336" s="3337"/>
    </row>
    <row r="65337" spans="7:16" s="1634" customFormat="1">
      <c r="G65337" s="3336"/>
      <c r="P65337" s="3337"/>
    </row>
    <row r="65338" spans="7:16" s="1634" customFormat="1">
      <c r="G65338" s="3336"/>
      <c r="P65338" s="3337"/>
    </row>
    <row r="65339" spans="7:16" s="1634" customFormat="1">
      <c r="G65339" s="3336"/>
      <c r="P65339" s="3337"/>
    </row>
    <row r="65340" spans="7:16" s="1634" customFormat="1">
      <c r="G65340" s="3336"/>
      <c r="P65340" s="3337"/>
    </row>
    <row r="65341" spans="7:16" s="1634" customFormat="1">
      <c r="G65341" s="3336"/>
      <c r="P65341" s="3337"/>
    </row>
    <row r="65342" spans="7:16" s="1634" customFormat="1">
      <c r="G65342" s="3336"/>
      <c r="P65342" s="3337"/>
    </row>
    <row r="65343" spans="7:16" s="1634" customFormat="1">
      <c r="G65343" s="3336"/>
      <c r="P65343" s="3337"/>
    </row>
    <row r="65344" spans="7:16" s="1634" customFormat="1">
      <c r="G65344" s="3336"/>
      <c r="P65344" s="3337"/>
    </row>
    <row r="65345" spans="7:16" s="1634" customFormat="1">
      <c r="G65345" s="3336"/>
      <c r="P65345" s="3337"/>
    </row>
    <row r="65346" spans="7:16" s="1634" customFormat="1">
      <c r="G65346" s="3336"/>
      <c r="P65346" s="3337"/>
    </row>
    <row r="65347" spans="7:16" s="1634" customFormat="1">
      <c r="G65347" s="3336"/>
      <c r="P65347" s="3337"/>
    </row>
    <row r="65348" spans="7:16" s="1634" customFormat="1">
      <c r="G65348" s="3336"/>
      <c r="P65348" s="3337"/>
    </row>
    <row r="65349" spans="7:16" s="1634" customFormat="1">
      <c r="G65349" s="3336"/>
      <c r="P65349" s="3337"/>
    </row>
    <row r="65350" spans="7:16" s="1634" customFormat="1">
      <c r="G65350" s="3336"/>
      <c r="P65350" s="3337"/>
    </row>
    <row r="65351" spans="7:16" s="1634" customFormat="1">
      <c r="G65351" s="3336"/>
      <c r="P65351" s="3337"/>
    </row>
    <row r="65352" spans="7:16" s="1634" customFormat="1">
      <c r="G65352" s="3336"/>
      <c r="P65352" s="3337"/>
    </row>
    <row r="65353" spans="7:16" s="1634" customFormat="1">
      <c r="G65353" s="3336"/>
      <c r="P65353" s="3337"/>
    </row>
    <row r="65354" spans="7:16" s="1634" customFormat="1">
      <c r="G65354" s="3336"/>
      <c r="P65354" s="3337"/>
    </row>
    <row r="65355" spans="7:16" s="1634" customFormat="1">
      <c r="G65355" s="3336"/>
      <c r="P65355" s="3337"/>
    </row>
    <row r="65356" spans="7:16" s="1634" customFormat="1">
      <c r="G65356" s="3336"/>
      <c r="P65356" s="3337"/>
    </row>
    <row r="65357" spans="7:16" s="1634" customFormat="1">
      <c r="G65357" s="3336"/>
      <c r="P65357" s="3337"/>
    </row>
    <row r="65358" spans="7:16" s="1634" customFormat="1">
      <c r="G65358" s="3336"/>
      <c r="P65358" s="3337"/>
    </row>
    <row r="65359" spans="7:16" s="1634" customFormat="1">
      <c r="G65359" s="3336"/>
      <c r="P65359" s="3337"/>
    </row>
    <row r="65360" spans="7:16" s="1634" customFormat="1">
      <c r="G65360" s="3336"/>
      <c r="P65360" s="3337"/>
    </row>
    <row r="65361" spans="7:16" s="1634" customFormat="1">
      <c r="G65361" s="3336"/>
      <c r="P65361" s="3337"/>
    </row>
    <row r="65362" spans="7:16" s="1634" customFormat="1">
      <c r="G65362" s="3336"/>
      <c r="P65362" s="3337"/>
    </row>
    <row r="65363" spans="7:16" s="1634" customFormat="1">
      <c r="G65363" s="3336"/>
      <c r="P65363" s="3337"/>
    </row>
    <row r="65364" spans="7:16" s="1634" customFormat="1">
      <c r="G65364" s="3336"/>
      <c r="P65364" s="3337"/>
    </row>
    <row r="65365" spans="7:16" s="1634" customFormat="1">
      <c r="G65365" s="3336"/>
      <c r="P65365" s="3337"/>
    </row>
    <row r="65366" spans="7:16" s="1634" customFormat="1">
      <c r="G65366" s="3336"/>
      <c r="P65366" s="3337"/>
    </row>
    <row r="65367" spans="7:16" s="1634" customFormat="1">
      <c r="G65367" s="3336"/>
      <c r="P65367" s="3337"/>
    </row>
    <row r="65368" spans="7:16" s="1634" customFormat="1">
      <c r="G65368" s="3336"/>
      <c r="P65368" s="3337"/>
    </row>
    <row r="65369" spans="7:16" s="1634" customFormat="1">
      <c r="G65369" s="3336"/>
      <c r="P65369" s="3337"/>
    </row>
    <row r="65370" spans="7:16" s="1634" customFormat="1">
      <c r="G65370" s="3336"/>
      <c r="P65370" s="3337"/>
    </row>
    <row r="65371" spans="7:16" s="1634" customFormat="1">
      <c r="G65371" s="3336"/>
      <c r="P65371" s="3337"/>
    </row>
    <row r="65372" spans="7:16" s="1634" customFormat="1">
      <c r="G65372" s="3336"/>
      <c r="P65372" s="3337"/>
    </row>
    <row r="65373" spans="7:16" s="1634" customFormat="1">
      <c r="G65373" s="3336"/>
      <c r="P65373" s="3337"/>
    </row>
    <row r="65374" spans="7:16" s="1634" customFormat="1">
      <c r="G65374" s="3336"/>
      <c r="P65374" s="3337"/>
    </row>
    <row r="65375" spans="7:16" s="1634" customFormat="1">
      <c r="G65375" s="3336"/>
      <c r="P65375" s="3337"/>
    </row>
    <row r="65376" spans="7:16" s="1634" customFormat="1">
      <c r="G65376" s="3336"/>
      <c r="P65376" s="3337"/>
    </row>
    <row r="65377" spans="7:16" s="1634" customFormat="1">
      <c r="G65377" s="3336"/>
      <c r="P65377" s="3337"/>
    </row>
    <row r="65378" spans="7:16" s="1634" customFormat="1">
      <c r="G65378" s="3336"/>
      <c r="P65378" s="3337"/>
    </row>
    <row r="65379" spans="7:16" s="1634" customFormat="1">
      <c r="G65379" s="3336"/>
      <c r="P65379" s="3337"/>
    </row>
    <row r="65380" spans="7:16" s="1634" customFormat="1">
      <c r="G65380" s="3336"/>
      <c r="P65380" s="3337"/>
    </row>
    <row r="65381" spans="7:16" s="1634" customFormat="1">
      <c r="G65381" s="3336"/>
      <c r="P65381" s="3337"/>
    </row>
    <row r="65382" spans="7:16" s="1634" customFormat="1">
      <c r="G65382" s="3336"/>
      <c r="P65382" s="3337"/>
    </row>
    <row r="65383" spans="7:16" s="1634" customFormat="1">
      <c r="G65383" s="3336"/>
      <c r="P65383" s="3337"/>
    </row>
    <row r="65384" spans="7:16" s="1634" customFormat="1">
      <c r="G65384" s="3336"/>
      <c r="P65384" s="3337"/>
    </row>
    <row r="65385" spans="7:16" s="1634" customFormat="1">
      <c r="G65385" s="3336"/>
      <c r="P65385" s="3337"/>
    </row>
    <row r="65386" spans="7:16" s="1634" customFormat="1">
      <c r="G65386" s="3336"/>
      <c r="P65386" s="3337"/>
    </row>
    <row r="65387" spans="7:16" s="1634" customFormat="1">
      <c r="G65387" s="3336"/>
      <c r="P65387" s="3337"/>
    </row>
    <row r="65388" spans="7:16" s="1634" customFormat="1">
      <c r="G65388" s="3336"/>
      <c r="P65388" s="3337"/>
    </row>
    <row r="65389" spans="7:16" s="1634" customFormat="1">
      <c r="G65389" s="3336"/>
      <c r="P65389" s="3337"/>
    </row>
    <row r="65390" spans="7:16" s="1634" customFormat="1">
      <c r="G65390" s="3336"/>
      <c r="P65390" s="3337"/>
    </row>
    <row r="65391" spans="7:16" s="1634" customFormat="1">
      <c r="G65391" s="3336"/>
      <c r="P65391" s="3337"/>
    </row>
    <row r="65392" spans="7:16" s="1634" customFormat="1">
      <c r="G65392" s="3336"/>
      <c r="P65392" s="3337"/>
    </row>
    <row r="65393" spans="7:16" s="1634" customFormat="1">
      <c r="G65393" s="3336"/>
      <c r="P65393" s="3337"/>
    </row>
    <row r="65394" spans="7:16" s="1634" customFormat="1">
      <c r="G65394" s="3336"/>
      <c r="P65394" s="3337"/>
    </row>
    <row r="65395" spans="7:16" s="1634" customFormat="1">
      <c r="G65395" s="3336"/>
      <c r="P65395" s="3337"/>
    </row>
    <row r="65396" spans="7:16" s="1634" customFormat="1">
      <c r="G65396" s="3336"/>
      <c r="P65396" s="3337"/>
    </row>
    <row r="65397" spans="7:16" s="1634" customFormat="1">
      <c r="G65397" s="3336"/>
      <c r="P65397" s="3337"/>
    </row>
    <row r="65398" spans="7:16" s="1634" customFormat="1">
      <c r="G65398" s="3336"/>
      <c r="P65398" s="3337"/>
    </row>
    <row r="65399" spans="7:16" s="1634" customFormat="1">
      <c r="G65399" s="3336"/>
      <c r="P65399" s="3337"/>
    </row>
    <row r="65400" spans="7:16" s="1634" customFormat="1">
      <c r="G65400" s="3336"/>
      <c r="P65400" s="3337"/>
    </row>
    <row r="65401" spans="7:16" s="1634" customFormat="1">
      <c r="G65401" s="3336"/>
      <c r="P65401" s="3337"/>
    </row>
    <row r="65402" spans="7:16" s="1634" customFormat="1">
      <c r="G65402" s="3336"/>
      <c r="P65402" s="3337"/>
    </row>
    <row r="65403" spans="7:16" s="1634" customFormat="1">
      <c r="G65403" s="3336"/>
      <c r="P65403" s="3337"/>
    </row>
    <row r="65404" spans="7:16" s="1634" customFormat="1">
      <c r="G65404" s="3336"/>
      <c r="P65404" s="3337"/>
    </row>
    <row r="65405" spans="7:16" s="1634" customFormat="1">
      <c r="G65405" s="3336"/>
      <c r="P65405" s="3337"/>
    </row>
    <row r="65406" spans="7:16" s="1634" customFormat="1">
      <c r="G65406" s="3336"/>
      <c r="P65406" s="3337"/>
    </row>
    <row r="65407" spans="7:16" s="1634" customFormat="1">
      <c r="G65407" s="3336"/>
      <c r="P65407" s="3337"/>
    </row>
    <row r="65408" spans="7:16" s="1634" customFormat="1">
      <c r="G65408" s="3336"/>
      <c r="P65408" s="3337"/>
    </row>
    <row r="65409" spans="7:16" s="1634" customFormat="1">
      <c r="G65409" s="3336"/>
      <c r="P65409" s="3337"/>
    </row>
    <row r="65410" spans="7:16" s="1634" customFormat="1">
      <c r="G65410" s="3336"/>
      <c r="P65410" s="3337"/>
    </row>
    <row r="65411" spans="7:16" s="1634" customFormat="1">
      <c r="G65411" s="3336"/>
      <c r="P65411" s="3337"/>
    </row>
    <row r="65412" spans="7:16" s="1634" customFormat="1">
      <c r="G65412" s="3336"/>
      <c r="P65412" s="3337"/>
    </row>
    <row r="65413" spans="7:16" s="1634" customFormat="1">
      <c r="G65413" s="3336"/>
      <c r="P65413" s="3337"/>
    </row>
    <row r="65414" spans="7:16" s="1634" customFormat="1">
      <c r="G65414" s="3336"/>
      <c r="P65414" s="3337"/>
    </row>
    <row r="65415" spans="7:16" s="1634" customFormat="1">
      <c r="G65415" s="3336"/>
      <c r="P65415" s="3337"/>
    </row>
    <row r="65416" spans="7:16" s="1634" customFormat="1">
      <c r="G65416" s="3336"/>
      <c r="P65416" s="3337"/>
    </row>
    <row r="65417" spans="7:16" s="1634" customFormat="1">
      <c r="G65417" s="3336"/>
      <c r="P65417" s="3337"/>
    </row>
    <row r="65418" spans="7:16" s="1634" customFormat="1">
      <c r="G65418" s="3336"/>
      <c r="P65418" s="3337"/>
    </row>
    <row r="65419" spans="7:16" s="1634" customFormat="1">
      <c r="G65419" s="3336"/>
      <c r="P65419" s="3337"/>
    </row>
    <row r="65420" spans="7:16" s="1634" customFormat="1">
      <c r="G65420" s="3336"/>
      <c r="P65420" s="3337"/>
    </row>
    <row r="65421" spans="7:16" s="1634" customFormat="1">
      <c r="G65421" s="3336"/>
      <c r="P65421" s="3337"/>
    </row>
    <row r="65422" spans="7:16" s="1634" customFormat="1">
      <c r="G65422" s="3336"/>
      <c r="P65422" s="3337"/>
    </row>
    <row r="65423" spans="7:16" s="1634" customFormat="1">
      <c r="G65423" s="3336"/>
      <c r="P65423" s="3337"/>
    </row>
    <row r="65424" spans="7:16" s="1634" customFormat="1">
      <c r="G65424" s="3336"/>
      <c r="P65424" s="3337"/>
    </row>
    <row r="65425" spans="7:16" s="1634" customFormat="1">
      <c r="G65425" s="3336"/>
      <c r="P65425" s="3337"/>
    </row>
    <row r="65426" spans="7:16" s="1634" customFormat="1">
      <c r="G65426" s="3336"/>
      <c r="P65426" s="3337"/>
    </row>
    <row r="65427" spans="7:16" s="1634" customFormat="1">
      <c r="G65427" s="3336"/>
      <c r="P65427" s="3337"/>
    </row>
    <row r="65428" spans="7:16" s="1634" customFormat="1">
      <c r="G65428" s="3336"/>
      <c r="P65428" s="3337"/>
    </row>
    <row r="65429" spans="7:16" s="1634" customFormat="1">
      <c r="G65429" s="3336"/>
      <c r="P65429" s="3337"/>
    </row>
    <row r="65430" spans="7:16" s="1634" customFormat="1">
      <c r="G65430" s="3336"/>
      <c r="P65430" s="3337"/>
    </row>
    <row r="65431" spans="7:16" s="1634" customFormat="1">
      <c r="G65431" s="3336"/>
      <c r="P65431" s="3337"/>
    </row>
    <row r="65432" spans="7:16" s="1634" customFormat="1">
      <c r="G65432" s="3336"/>
      <c r="P65432" s="3337"/>
    </row>
    <row r="65433" spans="7:16" s="1634" customFormat="1">
      <c r="G65433" s="3336"/>
      <c r="P65433" s="3337"/>
    </row>
    <row r="65434" spans="7:16" s="1634" customFormat="1">
      <c r="G65434" s="3336"/>
      <c r="P65434" s="3337"/>
    </row>
    <row r="65435" spans="7:16" s="1634" customFormat="1">
      <c r="G65435" s="3336"/>
      <c r="P65435" s="3337"/>
    </row>
    <row r="65436" spans="7:16" s="1634" customFormat="1">
      <c r="G65436" s="3336"/>
      <c r="P65436" s="3337"/>
    </row>
    <row r="65437" spans="7:16" s="1634" customFormat="1">
      <c r="G65437" s="3336"/>
      <c r="P65437" s="3337"/>
    </row>
    <row r="65438" spans="7:16" s="1634" customFormat="1">
      <c r="G65438" s="3336"/>
      <c r="P65438" s="3337"/>
    </row>
    <row r="65439" spans="7:16" s="1634" customFormat="1">
      <c r="G65439" s="3336"/>
      <c r="P65439" s="3337"/>
    </row>
    <row r="65440" spans="7:16" s="1634" customFormat="1">
      <c r="G65440" s="3336"/>
      <c r="P65440" s="3337"/>
    </row>
    <row r="65441" spans="7:16" s="1634" customFormat="1">
      <c r="G65441" s="3336"/>
      <c r="P65441" s="3337"/>
    </row>
    <row r="65442" spans="7:16" s="1634" customFormat="1">
      <c r="G65442" s="3336"/>
      <c r="P65442" s="3337"/>
    </row>
    <row r="65443" spans="7:16" s="1634" customFormat="1">
      <c r="G65443" s="3336"/>
      <c r="P65443" s="3337"/>
    </row>
    <row r="65444" spans="7:16" s="1634" customFormat="1">
      <c r="G65444" s="3336"/>
      <c r="P65444" s="3337"/>
    </row>
    <row r="65445" spans="7:16" s="1634" customFormat="1">
      <c r="G65445" s="3336"/>
      <c r="P65445" s="3337"/>
    </row>
    <row r="65446" spans="7:16" s="1634" customFormat="1">
      <c r="G65446" s="3336"/>
      <c r="P65446" s="3337"/>
    </row>
    <row r="65447" spans="7:16" s="1634" customFormat="1">
      <c r="G65447" s="3336"/>
      <c r="P65447" s="3337"/>
    </row>
    <row r="65448" spans="7:16" s="1634" customFormat="1">
      <c r="G65448" s="3336"/>
      <c r="P65448" s="3337"/>
    </row>
    <row r="65449" spans="7:16" s="1634" customFormat="1">
      <c r="G65449" s="3336"/>
      <c r="P65449" s="3337"/>
    </row>
    <row r="65450" spans="7:16" s="1634" customFormat="1">
      <c r="G65450" s="3336"/>
      <c r="P65450" s="3337"/>
    </row>
    <row r="65451" spans="7:16" s="1634" customFormat="1">
      <c r="G65451" s="3336"/>
      <c r="P65451" s="3337"/>
    </row>
    <row r="65452" spans="7:16" s="1634" customFormat="1">
      <c r="G65452" s="3336"/>
      <c r="P65452" s="3337"/>
    </row>
    <row r="65453" spans="7:16" s="1634" customFormat="1">
      <c r="G65453" s="3336"/>
      <c r="P65453" s="3337"/>
    </row>
    <row r="65454" spans="7:16" s="1634" customFormat="1">
      <c r="G65454" s="3336"/>
      <c r="P65454" s="3337"/>
    </row>
    <row r="65455" spans="7:16" s="1634" customFormat="1">
      <c r="G65455" s="3336"/>
      <c r="P65455" s="3337"/>
    </row>
    <row r="65456" spans="7:16" s="1634" customFormat="1">
      <c r="G65456" s="3336"/>
      <c r="P65456" s="3337"/>
    </row>
    <row r="65457" spans="7:16" s="1634" customFormat="1">
      <c r="G65457" s="3336"/>
      <c r="P65457" s="3337"/>
    </row>
    <row r="65458" spans="7:16" s="1634" customFormat="1">
      <c r="G65458" s="3336"/>
      <c r="P65458" s="3337"/>
    </row>
    <row r="65459" spans="7:16" s="1634" customFormat="1">
      <c r="G65459" s="3336"/>
      <c r="P65459" s="3337"/>
    </row>
    <row r="65460" spans="7:16" s="1634" customFormat="1">
      <c r="G65460" s="3336"/>
      <c r="P65460" s="3337"/>
    </row>
    <row r="65461" spans="7:16" s="1634" customFormat="1">
      <c r="G65461" s="3336"/>
      <c r="P65461" s="3337"/>
    </row>
    <row r="65462" spans="7:16" s="1634" customFormat="1">
      <c r="G65462" s="3336"/>
      <c r="P65462" s="3337"/>
    </row>
    <row r="65463" spans="7:16" s="1634" customFormat="1">
      <c r="G65463" s="3336"/>
      <c r="P65463" s="3337"/>
    </row>
    <row r="65464" spans="7:16" s="1634" customFormat="1">
      <c r="G65464" s="3336"/>
      <c r="P65464" s="3337"/>
    </row>
    <row r="65465" spans="7:16" s="1634" customFormat="1">
      <c r="G65465" s="3336"/>
      <c r="P65465" s="3337"/>
    </row>
    <row r="65466" spans="7:16" s="1634" customFormat="1">
      <c r="G65466" s="3336"/>
      <c r="P65466" s="3337"/>
    </row>
    <row r="65467" spans="7:16" s="1634" customFormat="1">
      <c r="G65467" s="3336"/>
      <c r="P65467" s="3337"/>
    </row>
    <row r="65468" spans="7:16" s="1634" customFormat="1">
      <c r="G65468" s="3336"/>
      <c r="P65468" s="3337"/>
    </row>
    <row r="65469" spans="7:16" s="1634" customFormat="1">
      <c r="G65469" s="3336"/>
      <c r="P65469" s="3337"/>
    </row>
    <row r="65470" spans="7:16" s="1634" customFormat="1">
      <c r="G65470" s="3336"/>
      <c r="P65470" s="3337"/>
    </row>
    <row r="65471" spans="7:16" s="1634" customFormat="1">
      <c r="G65471" s="3336"/>
      <c r="P65471" s="3337"/>
    </row>
    <row r="65472" spans="7:16" s="1634" customFormat="1">
      <c r="G65472" s="3336"/>
      <c r="P65472" s="3337"/>
    </row>
    <row r="65473" spans="7:16" s="1634" customFormat="1">
      <c r="G65473" s="3336"/>
      <c r="P65473" s="3337"/>
    </row>
    <row r="65474" spans="7:16" s="1634" customFormat="1">
      <c r="G65474" s="3336"/>
      <c r="P65474" s="3337"/>
    </row>
    <row r="65475" spans="7:16" s="1634" customFormat="1">
      <c r="G65475" s="3336"/>
      <c r="P65475" s="3337"/>
    </row>
    <row r="65476" spans="7:16" s="1634" customFormat="1">
      <c r="G65476" s="3336"/>
      <c r="P65476" s="3337"/>
    </row>
    <row r="65477" spans="7:16" s="1634" customFormat="1">
      <c r="G65477" s="3336"/>
      <c r="P65477" s="3337"/>
    </row>
    <row r="65478" spans="7:16" s="1634" customFormat="1">
      <c r="G65478" s="3336"/>
      <c r="P65478" s="3337"/>
    </row>
    <row r="65479" spans="7:16" s="1634" customFormat="1">
      <c r="G65479" s="3336"/>
      <c r="P65479" s="3337"/>
    </row>
    <row r="65480" spans="7:16" s="1634" customFormat="1">
      <c r="G65480" s="3336"/>
      <c r="P65480" s="3337"/>
    </row>
    <row r="65481" spans="7:16" s="1634" customFormat="1">
      <c r="G65481" s="3336"/>
      <c r="P65481" s="3337"/>
    </row>
    <row r="65482" spans="7:16" s="1634" customFormat="1">
      <c r="G65482" s="3336"/>
      <c r="P65482" s="3337"/>
    </row>
    <row r="65483" spans="7:16" s="1634" customFormat="1">
      <c r="G65483" s="3336"/>
      <c r="P65483" s="3337"/>
    </row>
    <row r="65484" spans="7:16" s="1634" customFormat="1">
      <c r="G65484" s="3336"/>
      <c r="P65484" s="3337"/>
    </row>
    <row r="65485" spans="7:16" s="1634" customFormat="1">
      <c r="G65485" s="3336"/>
      <c r="P65485" s="3337"/>
    </row>
    <row r="65486" spans="7:16" s="1634" customFormat="1">
      <c r="G65486" s="3336"/>
      <c r="P65486" s="3337"/>
    </row>
    <row r="65487" spans="7:16" s="1634" customFormat="1">
      <c r="G65487" s="3336"/>
      <c r="P65487" s="3337"/>
    </row>
    <row r="65488" spans="7:16" s="1634" customFormat="1">
      <c r="G65488" s="3336"/>
      <c r="P65488" s="3337"/>
    </row>
    <row r="65489" spans="7:16" s="1634" customFormat="1">
      <c r="G65489" s="3336"/>
      <c r="P65489" s="3337"/>
    </row>
    <row r="65490" spans="7:16" s="1634" customFormat="1">
      <c r="G65490" s="3336"/>
      <c r="P65490" s="3337"/>
    </row>
    <row r="65491" spans="7:16" s="1634" customFormat="1">
      <c r="G65491" s="3336"/>
      <c r="P65491" s="3337"/>
    </row>
    <row r="65492" spans="7:16" s="1634" customFormat="1">
      <c r="G65492" s="3336"/>
      <c r="P65492" s="3337"/>
    </row>
    <row r="65493" spans="7:16" s="1634" customFormat="1">
      <c r="G65493" s="3336"/>
      <c r="P65493" s="3337"/>
    </row>
    <row r="65494" spans="7:16" s="1634" customFormat="1">
      <c r="G65494" s="3336"/>
      <c r="P65494" s="3337"/>
    </row>
    <row r="65495" spans="7:16" s="1634" customFormat="1">
      <c r="G65495" s="3336"/>
      <c r="P65495" s="3337"/>
    </row>
    <row r="65496" spans="7:16" s="1634" customFormat="1">
      <c r="G65496" s="3336"/>
      <c r="P65496" s="3337"/>
    </row>
    <row r="65497" spans="7:16" s="1634" customFormat="1">
      <c r="G65497" s="3336"/>
      <c r="P65497" s="3337"/>
    </row>
    <row r="65498" spans="7:16" s="1634" customFormat="1">
      <c r="G65498" s="3336"/>
      <c r="P65498" s="3337"/>
    </row>
    <row r="65499" spans="7:16" s="1634" customFormat="1">
      <c r="G65499" s="3336"/>
      <c r="P65499" s="3337"/>
    </row>
    <row r="65500" spans="7:16" s="1634" customFormat="1">
      <c r="G65500" s="3336"/>
      <c r="P65500" s="3337"/>
    </row>
    <row r="65501" spans="7:16" s="1634" customFormat="1">
      <c r="G65501" s="3336"/>
      <c r="P65501" s="3337"/>
    </row>
    <row r="65502" spans="7:16" s="1634" customFormat="1">
      <c r="G65502" s="3336"/>
      <c r="P65502" s="3337"/>
    </row>
    <row r="65503" spans="7:16" s="1634" customFormat="1">
      <c r="G65503" s="3336"/>
      <c r="P65503" s="3337"/>
    </row>
    <row r="65504" spans="7:16" s="1634" customFormat="1">
      <c r="G65504" s="3336"/>
      <c r="P65504" s="3337"/>
    </row>
    <row r="65505" spans="7:16" s="1634" customFormat="1">
      <c r="G65505" s="3336"/>
      <c r="P65505" s="3337"/>
    </row>
    <row r="65506" spans="7:16" s="1634" customFormat="1">
      <c r="G65506" s="3336"/>
      <c r="P65506" s="3337"/>
    </row>
    <row r="65507" spans="7:16" s="1634" customFormat="1">
      <c r="G65507" s="3336"/>
      <c r="P65507" s="3337"/>
    </row>
    <row r="65508" spans="7:16" s="1634" customFormat="1">
      <c r="G65508" s="3336"/>
      <c r="P65508" s="3337"/>
    </row>
    <row r="65509" spans="7:16" s="1634" customFormat="1">
      <c r="G65509" s="3336"/>
      <c r="P65509" s="3337"/>
    </row>
    <row r="65510" spans="7:16" s="1634" customFormat="1">
      <c r="G65510" s="3336"/>
      <c r="P65510" s="3337"/>
    </row>
    <row r="65511" spans="7:16" s="1634" customFormat="1">
      <c r="G65511" s="3336"/>
      <c r="P65511" s="3337"/>
    </row>
    <row r="65512" spans="7:16" s="1634" customFormat="1">
      <c r="G65512" s="3336"/>
      <c r="P65512" s="3337"/>
    </row>
    <row r="65513" spans="7:16" s="1634" customFormat="1">
      <c r="G65513" s="3336"/>
      <c r="P65513" s="3337"/>
    </row>
    <row r="65514" spans="7:16" s="1634" customFormat="1">
      <c r="G65514" s="3336"/>
      <c r="P65514" s="3337"/>
    </row>
    <row r="65515" spans="7:16" s="1634" customFormat="1">
      <c r="G65515" s="3336"/>
      <c r="P65515" s="3337"/>
    </row>
    <row r="65516" spans="7:16" s="1634" customFormat="1">
      <c r="G65516" s="3336"/>
      <c r="P65516" s="3337"/>
    </row>
    <row r="65517" spans="7:16" s="1634" customFormat="1">
      <c r="G65517" s="3336"/>
      <c r="P65517" s="3337"/>
    </row>
    <row r="65518" spans="7:16" s="1634" customFormat="1">
      <c r="G65518" s="3336"/>
      <c r="P65518" s="3337"/>
    </row>
    <row r="65519" spans="7:16" s="1634" customFormat="1">
      <c r="G65519" s="3336"/>
      <c r="P65519" s="3337"/>
    </row>
    <row r="65520" spans="7:16" s="1634" customFormat="1">
      <c r="G65520" s="3336"/>
      <c r="P65520" s="3337"/>
    </row>
  </sheetData>
  <phoneticPr fontId="14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1632</v>
      </c>
      <c r="B2" s="3484" t="s">
        <v>1633</v>
      </c>
      <c r="C2" s="3484" t="s">
        <v>1634</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6">
      <c r="A3" s="3485"/>
      <c r="B3" s="3485"/>
      <c r="C3" s="3485"/>
      <c r="D3" s="1043" t="s">
        <v>1629</v>
      </c>
      <c r="E3" s="1043" t="s">
        <v>1635</v>
      </c>
      <c r="F3" s="1043" t="s">
        <v>1629</v>
      </c>
      <c r="G3" s="1043" t="s">
        <v>1630</v>
      </c>
      <c r="H3" s="1043" t="s">
        <v>1629</v>
      </c>
      <c r="I3" s="1043" t="s">
        <v>1630</v>
      </c>
    </row>
    <row r="4" spans="1:9" ht="30">
      <c r="A4" s="1971" t="str">
        <f>项目基本情况!S2</f>
        <v>出让国有建设用地使用权及在建建筑物房地产</v>
      </c>
      <c r="B4" s="1043">
        <f>项目基本情况!C17</f>
        <v>75681.680000000008</v>
      </c>
      <c r="C4" s="1043">
        <f>项目基本情况!C18</f>
        <v>26957.93</v>
      </c>
      <c r="D4" s="1043">
        <f ca="1">结果表!D118</f>
        <v>15334</v>
      </c>
      <c r="E4" s="1043">
        <f ca="1">结果表!E118</f>
        <v>2026</v>
      </c>
      <c r="F4" s="1043">
        <f ca="1">结果表!F118</f>
        <v>6112</v>
      </c>
      <c r="G4" s="1043">
        <f ca="1">结果表!G118</f>
        <v>808</v>
      </c>
      <c r="H4" s="1043">
        <f ca="1">结果表!H118</f>
        <v>21446</v>
      </c>
      <c r="I4" s="1043">
        <f ca="1">结果表!I118</f>
        <v>2834</v>
      </c>
    </row>
    <row r="5" spans="1:9" ht="30" customHeight="1">
      <c r="A5" s="3485" t="s">
        <v>1631</v>
      </c>
      <c r="B5" s="3485"/>
      <c r="C5" s="3485"/>
      <c r="D5" s="3486" t="str">
        <f ca="1">结果表!D119</f>
        <v>壹亿伍仟叁佰叁拾肆万元整</v>
      </c>
      <c r="E5" s="3486"/>
      <c r="F5" s="3486" t="str">
        <f ca="1">结果表!F119</f>
        <v>陆仟壹佰壹拾贰万元整</v>
      </c>
      <c r="G5" s="3486"/>
      <c r="H5" s="3486" t="str">
        <f ca="1">结果表!H119</f>
        <v>贰亿壹仟肆佰肆拾陆万元整</v>
      </c>
      <c r="I5" s="3486"/>
    </row>
    <row r="6" spans="1:9" ht="15.6">
      <c r="A6" s="3487" t="str">
        <f>结果表!A120</f>
        <v>估价师知悉的法定优先受偿款</v>
      </c>
      <c r="B6" s="3487"/>
      <c r="C6" s="3487"/>
      <c r="D6" s="3487">
        <f>结果表!D120</f>
        <v>0</v>
      </c>
      <c r="E6" s="3487"/>
      <c r="F6" s="3487"/>
      <c r="G6" s="3487"/>
      <c r="H6" s="3487"/>
      <c r="I6" s="3487"/>
    </row>
    <row r="7" spans="1:9" ht="15">
      <c r="A7" s="3485" t="s">
        <v>1631</v>
      </c>
      <c r="B7" s="3485"/>
      <c r="C7" s="3485"/>
      <c r="D7" s="3488" t="str">
        <f>结果表!D121</f>
        <v>零元整</v>
      </c>
      <c r="E7" s="3489"/>
      <c r="F7" s="3489"/>
      <c r="G7" s="3489"/>
      <c r="H7" s="3489"/>
      <c r="I7" s="3490"/>
    </row>
    <row r="8" spans="1:9" ht="15.6">
      <c r="A8" s="3487" t="str">
        <f>结果表!A122</f>
        <v>房地产抵押价值</v>
      </c>
      <c r="B8" s="3487"/>
      <c r="C8" s="3487"/>
      <c r="D8" s="3487">
        <f ca="1">结果表!D122</f>
        <v>21446</v>
      </c>
      <c r="E8" s="3487"/>
      <c r="F8" s="3487"/>
      <c r="G8" s="3487"/>
      <c r="H8" s="3487"/>
      <c r="I8" s="3487"/>
    </row>
    <row r="9" spans="1:9" ht="15">
      <c r="A9" s="3485" t="s">
        <v>1631</v>
      </c>
      <c r="B9" s="3485"/>
      <c r="C9" s="3485"/>
      <c r="D9" s="3486" t="str">
        <f ca="1">结果表!D123</f>
        <v>贰亿壹仟肆佰肆拾陆万元整</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5" t="s">
        <v>1631</v>
      </c>
      <c r="B11" s="3485"/>
      <c r="C11" s="3485"/>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1631</v>
      </c>
      <c r="B13" s="3491"/>
      <c r="C13" s="3491"/>
      <c r="D13" s="3492" t="e">
        <f>结果表!D127</f>
        <v>#VALUE!</v>
      </c>
      <c r="E13" s="3492"/>
      <c r="F13" s="3492"/>
      <c r="G13" s="3492"/>
      <c r="H13" s="3492"/>
      <c r="I13" s="3492"/>
    </row>
    <row r="14" spans="1:9" ht="14.4" thickTop="1">
      <c r="A14" s="3493" t="s">
        <v>1636</v>
      </c>
      <c r="B14" s="3493"/>
      <c r="C14" s="3493"/>
      <c r="D14" s="3493"/>
      <c r="E14" s="3493"/>
      <c r="F14" s="3493"/>
      <c r="G14" s="3493"/>
      <c r="H14" s="3493"/>
      <c r="I14" s="3493"/>
    </row>
    <row r="16" spans="1:9" ht="17.399999999999999">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25"/>
  <sheetViews>
    <sheetView workbookViewId="0">
      <selection activeCell="F16" sqref="F16"/>
    </sheetView>
  </sheetViews>
  <sheetFormatPr defaultColWidth="10" defaultRowHeight="19.5" customHeight="1"/>
  <cols>
    <col min="1" max="1" width="5.6640625" style="3360" customWidth="1"/>
    <col min="2" max="2" width="20" style="3360" customWidth="1"/>
    <col min="3" max="4" width="14.6640625" style="3360" customWidth="1"/>
    <col min="5" max="5" width="11.88671875" style="3381" customWidth="1"/>
    <col min="6" max="6" width="13" style="3360" customWidth="1"/>
    <col min="7" max="7" width="17.33203125" style="3360" customWidth="1"/>
    <col min="8" max="8" width="13" style="3360" customWidth="1"/>
    <col min="9" max="9" width="22.21875" style="3360" customWidth="1"/>
    <col min="10" max="16384" width="10" style="3360"/>
  </cols>
  <sheetData>
    <row r="1" spans="1:10" ht="19.5" customHeight="1" thickBot="1">
      <c r="B1" s="3361" t="s">
        <v>3282</v>
      </c>
      <c r="C1" s="3362" t="s">
        <v>3048</v>
      </c>
      <c r="D1" s="3363" t="s">
        <v>3283</v>
      </c>
      <c r="E1" s="3364">
        <f>SUM(E3:E4)</f>
        <v>78000</v>
      </c>
      <c r="F1" s="3365">
        <f>F3+F4</f>
        <v>15</v>
      </c>
    </row>
    <row r="2" spans="1:10" ht="21.6">
      <c r="B2" s="3366" t="s">
        <v>3284</v>
      </c>
      <c r="C2" s="3367" t="s">
        <v>3285</v>
      </c>
      <c r="D2" s="3368" t="s">
        <v>3286</v>
      </c>
      <c r="E2" s="3368" t="s">
        <v>3287</v>
      </c>
      <c r="F2" s="3369" t="s">
        <v>3288</v>
      </c>
      <c r="G2" s="3370" t="s">
        <v>3286</v>
      </c>
      <c r="H2" s="3371" t="s">
        <v>3289</v>
      </c>
      <c r="I2" s="3372" t="s">
        <v>3290</v>
      </c>
    </row>
    <row r="3" spans="1:10" ht="19.5" customHeight="1">
      <c r="B3" s="3366" t="s">
        <v>3291</v>
      </c>
      <c r="C3" s="3373">
        <f>D3*10000/E3</f>
        <v>1912</v>
      </c>
      <c r="D3" s="3363">
        <f>D11-D4</f>
        <v>9560</v>
      </c>
      <c r="E3" s="3374">
        <v>50000</v>
      </c>
      <c r="F3" s="3375">
        <v>14</v>
      </c>
      <c r="G3" s="3376">
        <f>D11-G4</f>
        <v>10560</v>
      </c>
      <c r="H3" s="3377">
        <f>ROUND(G3*10000/E3,0)</f>
        <v>2112</v>
      </c>
    </row>
    <row r="4" spans="1:10" ht="19.5" customHeight="1" thickBot="1">
      <c r="B4" s="3378" t="s">
        <v>3292</v>
      </c>
      <c r="C4" s="3379">
        <f>D4*10000/E4</f>
        <v>2157.1428571428573</v>
      </c>
      <c r="D4" s="3380">
        <f>ROUND(D7+(D8+D9)*E4/E1+D13,0)</f>
        <v>6040</v>
      </c>
      <c r="E4" s="3381">
        <v>28000</v>
      </c>
      <c r="F4" s="3382">
        <v>1</v>
      </c>
      <c r="G4" s="3383">
        <f>ROUND((D6+D9)*E4/E1+D13,0)</f>
        <v>5040</v>
      </c>
      <c r="H4" s="3384">
        <f>ROUND(G4*10000/E4,0)</f>
        <v>1800</v>
      </c>
    </row>
    <row r="5" spans="1:10" ht="19.5" customHeight="1">
      <c r="A5" s="3385" t="s">
        <v>3293</v>
      </c>
      <c r="B5" s="3386" t="s">
        <v>3294</v>
      </c>
      <c r="C5" s="3387" t="s">
        <v>3295</v>
      </c>
      <c r="D5" s="3387" t="s">
        <v>3286</v>
      </c>
      <c r="E5" s="3388" t="s">
        <v>3296</v>
      </c>
      <c r="F5" s="3387" t="s">
        <v>3297</v>
      </c>
      <c r="G5" s="3368" t="s">
        <v>3298</v>
      </c>
      <c r="H5" s="3368" t="s">
        <v>3299</v>
      </c>
      <c r="I5" s="3389" t="s">
        <v>3300</v>
      </c>
    </row>
    <row r="6" spans="1:10" ht="19.5" customHeight="1">
      <c r="A6" s="3390" t="s">
        <v>3301</v>
      </c>
      <c r="B6" s="3391" t="s">
        <v>3302</v>
      </c>
      <c r="C6" s="3392">
        <f>C7+C8</f>
        <v>1200</v>
      </c>
      <c r="D6" s="3392">
        <f>D7+D8</f>
        <v>9360</v>
      </c>
      <c r="E6" s="3393">
        <f>E7+E8</f>
        <v>0.6</v>
      </c>
      <c r="F6" s="3368">
        <f>F7+F8</f>
        <v>1248</v>
      </c>
      <c r="G6" s="3368"/>
      <c r="H6" s="3394">
        <f>H7*E7+H8*E8</f>
        <v>8.0000000000000016E-2</v>
      </c>
      <c r="I6" s="3395"/>
    </row>
    <row r="7" spans="1:10" s="3404" customFormat="1" ht="19.5" customHeight="1">
      <c r="A7" s="3396" t="s">
        <v>3303</v>
      </c>
      <c r="B7" s="3397" t="s">
        <v>3304</v>
      </c>
      <c r="C7" s="3398">
        <f>ROUND($C$11*E7,0)</f>
        <v>200</v>
      </c>
      <c r="D7" s="3398">
        <f>$D$11*E7</f>
        <v>1560</v>
      </c>
      <c r="E7" s="3399">
        <v>0.1</v>
      </c>
      <c r="F7" s="3400">
        <f>ROUND(D7*H7,0)</f>
        <v>1248</v>
      </c>
      <c r="G7" s="3401" t="s">
        <v>3305</v>
      </c>
      <c r="H7" s="3402">
        <f>12/15</f>
        <v>0.8</v>
      </c>
      <c r="I7" s="3403"/>
    </row>
    <row r="8" spans="1:10" s="3404" customFormat="1" ht="19.5" customHeight="1">
      <c r="A8" s="3396" t="s">
        <v>3306</v>
      </c>
      <c r="B8" s="3397" t="s">
        <v>3307</v>
      </c>
      <c r="C8" s="3398">
        <f t="shared" ref="C8:C10" si="0">ROUND($C$11*E8,0)</f>
        <v>1000</v>
      </c>
      <c r="D8" s="3398">
        <f>$D$11*E8</f>
        <v>7800</v>
      </c>
      <c r="E8" s="3399">
        <v>0.5</v>
      </c>
      <c r="F8" s="3400">
        <f t="shared" ref="F8:F10" si="1">ROUND(D8*H8,0)</f>
        <v>0</v>
      </c>
      <c r="G8" s="3405" t="s">
        <v>3308</v>
      </c>
      <c r="H8" s="3406">
        <f>(工程进度!J10+工程进度!J14+工程进度!J15+工程进度!J17+工程进度!J18+工程进度!J19+工程进度!J21)/SUM(工程进度!E10,工程进度!E14,工程进度!E15,工程进度!E17,工程进度!E18,工程进度!E19,工程进度!E21)</f>
        <v>0</v>
      </c>
      <c r="I8" s="3407" t="str">
        <f>"地下造价总额占比为"&amp;TEXT(D4/D11,"0.0%")</f>
        <v>地下造价总额占比为38.7%</v>
      </c>
      <c r="J8" s="3408" t="s">
        <v>3309</v>
      </c>
    </row>
    <row r="9" spans="1:10" ht="19.5" customHeight="1">
      <c r="A9" s="3390" t="s">
        <v>3310</v>
      </c>
      <c r="B9" s="3366" t="s">
        <v>3311</v>
      </c>
      <c r="C9" s="3409">
        <f t="shared" si="0"/>
        <v>600</v>
      </c>
      <c r="D9" s="3409">
        <f>$D$11*E9</f>
        <v>4680</v>
      </c>
      <c r="E9" s="3410">
        <v>0.3</v>
      </c>
      <c r="F9" s="3363">
        <f t="shared" si="1"/>
        <v>374</v>
      </c>
      <c r="G9" s="3411"/>
      <c r="H9" s="3412">
        <f>(H7*E7+H8*E8)</f>
        <v>8.0000000000000016E-2</v>
      </c>
      <c r="I9" s="3413"/>
    </row>
    <row r="10" spans="1:10" ht="19.5" customHeight="1">
      <c r="A10" s="3390" t="s">
        <v>3312</v>
      </c>
      <c r="B10" s="3361" t="s">
        <v>3313</v>
      </c>
      <c r="C10" s="3409">
        <f t="shared" si="0"/>
        <v>200</v>
      </c>
      <c r="D10" s="3409">
        <f>$D$11*E10</f>
        <v>1560</v>
      </c>
      <c r="E10" s="3410">
        <v>0.1</v>
      </c>
      <c r="F10" s="3363">
        <f t="shared" si="1"/>
        <v>0</v>
      </c>
      <c r="G10" s="3414"/>
      <c r="H10" s="3415">
        <v>0</v>
      </c>
      <c r="I10" s="3416"/>
    </row>
    <row r="11" spans="1:10" s="3423" customFormat="1" ht="19.5" customHeight="1" thickBot="1">
      <c r="A11" s="3845" t="s">
        <v>3314</v>
      </c>
      <c r="B11" s="3846"/>
      <c r="C11" s="3417">
        <v>2000</v>
      </c>
      <c r="D11" s="3418">
        <f>ROUND(C11*$E$1/10000,0)</f>
        <v>15600</v>
      </c>
      <c r="E11" s="3419">
        <f>SUM(E7:E10)</f>
        <v>0.99999999999999989</v>
      </c>
      <c r="F11" s="3418">
        <f>SUM(F7:F10,0)</f>
        <v>1622</v>
      </c>
      <c r="G11" s="3420"/>
      <c r="H11" s="3421">
        <f>ROUND(H7*E7+H8*E8+H9*E9+H10*E10,3)</f>
        <v>0.104</v>
      </c>
      <c r="I11" s="3422"/>
    </row>
    <row r="13" spans="1:10" ht="19.5" customHeight="1">
      <c r="B13" s="3363" t="s">
        <v>3315</v>
      </c>
      <c r="C13" s="3374">
        <v>0</v>
      </c>
      <c r="D13" s="3363">
        <f>ROUND(C13*E4/10000,0)</f>
        <v>0</v>
      </c>
    </row>
    <row r="15" spans="1:10" ht="19.5" customHeight="1">
      <c r="B15" s="3424" t="s">
        <v>3316</v>
      </c>
    </row>
    <row r="16" spans="1:10" ht="19.5" customHeight="1">
      <c r="A16" s="3360">
        <v>1</v>
      </c>
      <c r="B16" s="3360" t="s">
        <v>3317</v>
      </c>
    </row>
    <row r="17" spans="1:5" ht="19.5" customHeight="1">
      <c r="A17" s="3360">
        <v>2</v>
      </c>
      <c r="B17" s="3360" t="s">
        <v>3318</v>
      </c>
    </row>
    <row r="18" spans="1:5" ht="19.5" customHeight="1">
      <c r="A18" s="3360">
        <v>3</v>
      </c>
      <c r="B18" s="3360" t="s">
        <v>3319</v>
      </c>
    </row>
    <row r="19" spans="1:5" ht="19.5" customHeight="1">
      <c r="A19" s="3360">
        <v>4</v>
      </c>
      <c r="B19" s="3360" t="s">
        <v>3320</v>
      </c>
    </row>
    <row r="20" spans="1:5" ht="19.5" customHeight="1">
      <c r="A20" s="3360">
        <v>5</v>
      </c>
      <c r="B20" s="3360" t="s">
        <v>3321</v>
      </c>
      <c r="E20" s="3360"/>
    </row>
    <row r="22" spans="1:5" ht="19.5" customHeight="1">
      <c r="B22" s="3424" t="s">
        <v>3299</v>
      </c>
    </row>
    <row r="23" spans="1:5" ht="19.5" customHeight="1">
      <c r="A23" s="3360">
        <v>1</v>
      </c>
      <c r="B23" s="3360" t="s">
        <v>3322</v>
      </c>
    </row>
    <row r="24" spans="1:5" ht="19.5" customHeight="1">
      <c r="A24" s="3360">
        <v>2</v>
      </c>
      <c r="B24" s="3360" t="s">
        <v>3323</v>
      </c>
    </row>
    <row r="25" spans="1:5" ht="19.5" customHeight="1">
      <c r="A25" s="3360">
        <v>3</v>
      </c>
      <c r="B25" s="3360" t="s">
        <v>3324</v>
      </c>
    </row>
  </sheetData>
  <sheetProtection formatCells="0" formatColumns="0" formatRows="0"/>
  <mergeCells count="1">
    <mergeCell ref="A11:B11"/>
  </mergeCells>
  <phoneticPr fontId="142" type="noConversion"/>
  <dataValidations count="1">
    <dataValidation type="list" allowBlank="1" showInputMessage="1" showErrorMessage="1" sqref="C1">
      <formula1>"钢混,砖混,钢"</formula1>
    </dataValidation>
  </dataValidations>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3" sqref="M23"/>
    </sheetView>
  </sheetViews>
  <sheetFormatPr defaultRowHeight="14.4"/>
  <sheetData/>
  <phoneticPr fontId="14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U23"/>
  <sheetViews>
    <sheetView tabSelected="1" workbookViewId="0">
      <selection activeCell="F8" sqref="F8"/>
    </sheetView>
  </sheetViews>
  <sheetFormatPr defaultRowHeight="14.4"/>
  <cols>
    <col min="2" max="2" width="21.33203125" bestFit="1" customWidth="1"/>
    <col min="4" max="4" width="17.21875" customWidth="1"/>
    <col min="6" max="6" width="24" customWidth="1"/>
  </cols>
  <sheetData>
    <row r="5" spans="2:21">
      <c r="B5" s="3453">
        <v>3583</v>
      </c>
      <c r="C5" s="3454">
        <v>433</v>
      </c>
      <c r="D5" s="3454">
        <v>0</v>
      </c>
      <c r="E5" s="3454">
        <v>0</v>
      </c>
      <c r="F5" s="3454">
        <v>3583</v>
      </c>
      <c r="G5" s="3454">
        <v>433</v>
      </c>
    </row>
    <row r="6" spans="2:21">
      <c r="B6" s="3455">
        <v>15334</v>
      </c>
      <c r="C6" s="3456">
        <v>2026</v>
      </c>
      <c r="D6" s="3456">
        <v>6112</v>
      </c>
      <c r="E6" s="3456">
        <v>808</v>
      </c>
      <c r="F6" s="3456">
        <v>21446</v>
      </c>
      <c r="G6" s="3456">
        <v>2834</v>
      </c>
    </row>
    <row r="7" spans="2:21">
      <c r="B7">
        <f>B5+B6</f>
        <v>18917</v>
      </c>
      <c r="D7">
        <f t="shared" ref="D7:F7" si="0">D5+D6</f>
        <v>6112</v>
      </c>
      <c r="F7">
        <f t="shared" si="0"/>
        <v>25029</v>
      </c>
    </row>
    <row r="8" spans="2:21" ht="15" thickBot="1">
      <c r="B8" s="3457">
        <f>B7*10000</f>
        <v>189170000</v>
      </c>
      <c r="D8" s="3457">
        <f>D7*10000</f>
        <v>61120000</v>
      </c>
      <c r="F8" s="3457">
        <f>F7*10000</f>
        <v>250290000</v>
      </c>
    </row>
    <row r="9" spans="2:21" ht="25.8" thickBot="1">
      <c r="L9" s="3458" t="s">
        <v>3402</v>
      </c>
      <c r="M9" s="3459" t="s">
        <v>3403</v>
      </c>
      <c r="N9" s="3460" t="s">
        <v>40</v>
      </c>
      <c r="O9" s="3460" t="s">
        <v>3404</v>
      </c>
      <c r="P9" s="3459" t="s">
        <v>3405</v>
      </c>
      <c r="Q9" s="3459" t="s">
        <v>3406</v>
      </c>
      <c r="R9" s="3459" t="s">
        <v>3407</v>
      </c>
      <c r="S9" s="3459" t="s">
        <v>3408</v>
      </c>
      <c r="T9" s="3459" t="s">
        <v>3409</v>
      </c>
      <c r="U9" s="3460" t="s">
        <v>3410</v>
      </c>
    </row>
    <row r="10" spans="2:21" ht="15" thickBot="1">
      <c r="L10" s="3461">
        <v>1</v>
      </c>
      <c r="M10" s="3462" t="s">
        <v>3411</v>
      </c>
      <c r="N10" s="3463">
        <f>SUM(O10:T10)</f>
        <v>6989.48</v>
      </c>
      <c r="O10" s="3463">
        <v>5494.67</v>
      </c>
      <c r="P10" s="3462">
        <v>249.75</v>
      </c>
      <c r="Q10" s="3462"/>
      <c r="R10" s="3462">
        <v>0</v>
      </c>
      <c r="S10" s="3462">
        <v>1245.06</v>
      </c>
      <c r="T10" s="3462">
        <v>0</v>
      </c>
      <c r="U10" s="3464" t="s">
        <v>3040</v>
      </c>
    </row>
    <row r="11" spans="2:21" ht="15" thickBot="1">
      <c r="L11" s="3461">
        <v>2</v>
      </c>
      <c r="M11" s="3462" t="s">
        <v>3412</v>
      </c>
      <c r="N11" s="3463">
        <f t="shared" ref="N11:N22" si="1">SUM(O11:T11)</f>
        <v>6589.42</v>
      </c>
      <c r="O11" s="3463">
        <v>5550.59</v>
      </c>
      <c r="P11" s="3462">
        <v>0</v>
      </c>
      <c r="Q11" s="3462">
        <v>0</v>
      </c>
      <c r="R11" s="3462">
        <v>0</v>
      </c>
      <c r="S11" s="3462">
        <v>1038.83</v>
      </c>
      <c r="T11" s="3462">
        <v>0</v>
      </c>
      <c r="U11" s="3464" t="s">
        <v>3040</v>
      </c>
    </row>
    <row r="12" spans="2:21" ht="15" thickBot="1">
      <c r="L12" s="3461">
        <v>3</v>
      </c>
      <c r="M12" s="3462" t="s">
        <v>3413</v>
      </c>
      <c r="N12" s="3463">
        <f t="shared" si="1"/>
        <v>7194.37</v>
      </c>
      <c r="O12" s="3463">
        <v>6065.45</v>
      </c>
      <c r="P12" s="3462">
        <v>0</v>
      </c>
      <c r="Q12" s="3462">
        <v>0</v>
      </c>
      <c r="R12" s="3462">
        <v>0</v>
      </c>
      <c r="S12" s="3462">
        <v>1128.92</v>
      </c>
      <c r="T12" s="3462">
        <v>0</v>
      </c>
      <c r="U12" s="3464" t="s">
        <v>3040</v>
      </c>
    </row>
    <row r="13" spans="2:21" ht="15" thickBot="1">
      <c r="L13" s="3461">
        <v>4</v>
      </c>
      <c r="M13" s="3462" t="s">
        <v>3414</v>
      </c>
      <c r="N13" s="3463">
        <f t="shared" si="1"/>
        <v>6589.42</v>
      </c>
      <c r="O13" s="3463">
        <v>5550.59</v>
      </c>
      <c r="P13" s="3462">
        <v>0</v>
      </c>
      <c r="Q13" s="3462">
        <v>0</v>
      </c>
      <c r="R13" s="3462">
        <v>0</v>
      </c>
      <c r="S13" s="3462">
        <v>1038.83</v>
      </c>
      <c r="T13" s="3462">
        <v>0</v>
      </c>
      <c r="U13" s="3464" t="s">
        <v>3040</v>
      </c>
    </row>
    <row r="14" spans="2:21" ht="15" thickBot="1">
      <c r="L14" s="3461">
        <v>5</v>
      </c>
      <c r="M14" s="3462" t="s">
        <v>3415</v>
      </c>
      <c r="N14" s="3463">
        <f t="shared" si="1"/>
        <v>6656.29</v>
      </c>
      <c r="O14" s="3463">
        <v>5527.37</v>
      </c>
      <c r="P14" s="3462">
        <v>0</v>
      </c>
      <c r="Q14" s="3462">
        <v>0</v>
      </c>
      <c r="R14" s="3462">
        <v>0</v>
      </c>
      <c r="S14" s="3462">
        <v>1128.92</v>
      </c>
      <c r="T14" s="3462">
        <v>0</v>
      </c>
      <c r="U14" s="3464" t="s">
        <v>3040</v>
      </c>
    </row>
    <row r="15" spans="2:21" ht="15" thickBot="1">
      <c r="L15" s="3461"/>
      <c r="M15" s="3462" t="s">
        <v>3416</v>
      </c>
      <c r="N15" s="3463">
        <f t="shared" si="1"/>
        <v>5923.3600000000006</v>
      </c>
      <c r="O15" s="3463">
        <v>4888.7700000000004</v>
      </c>
      <c r="P15" s="3462">
        <v>370.81</v>
      </c>
      <c r="Q15" s="3462">
        <v>0</v>
      </c>
      <c r="R15" s="3462">
        <v>0</v>
      </c>
      <c r="S15" s="3462">
        <v>663.78</v>
      </c>
      <c r="T15" s="3462">
        <v>0</v>
      </c>
      <c r="U15" s="3464" t="s">
        <v>3040</v>
      </c>
    </row>
    <row r="16" spans="2:21" ht="15" thickBot="1">
      <c r="L16" s="3461"/>
      <c r="M16" s="3462" t="s">
        <v>3417</v>
      </c>
      <c r="N16" s="3463">
        <f t="shared" si="1"/>
        <v>5576.9699999999993</v>
      </c>
      <c r="O16" s="3463">
        <v>4451.2299999999996</v>
      </c>
      <c r="P16" s="3462">
        <v>0</v>
      </c>
      <c r="Q16" s="3462">
        <v>0</v>
      </c>
      <c r="R16" s="3462">
        <v>0</v>
      </c>
      <c r="S16" s="3462">
        <v>1125.74</v>
      </c>
      <c r="T16" s="3462">
        <v>0</v>
      </c>
      <c r="U16" s="3464" t="s">
        <v>3040</v>
      </c>
    </row>
    <row r="17" spans="12:21" ht="15" thickBot="1">
      <c r="L17" s="3461"/>
      <c r="M17" s="3462" t="s">
        <v>3418</v>
      </c>
      <c r="N17" s="3463">
        <f t="shared" si="1"/>
        <v>0</v>
      </c>
      <c r="O17" s="3463">
        <v>0</v>
      </c>
      <c r="P17" s="3462">
        <v>0</v>
      </c>
      <c r="Q17" s="3462">
        <v>0</v>
      </c>
      <c r="R17" s="3462">
        <v>0</v>
      </c>
      <c r="S17" s="3462"/>
      <c r="T17" s="3462"/>
      <c r="U17" s="3464" t="s">
        <v>3040</v>
      </c>
    </row>
    <row r="18" spans="12:21" ht="15" thickBot="1">
      <c r="L18" s="3461"/>
      <c r="M18" s="3462" t="s">
        <v>3419</v>
      </c>
      <c r="N18" s="3463">
        <f t="shared" si="1"/>
        <v>475.91</v>
      </c>
      <c r="O18" s="3463">
        <v>0</v>
      </c>
      <c r="P18" s="3462">
        <v>434.17</v>
      </c>
      <c r="Q18" s="3462">
        <v>0</v>
      </c>
      <c r="R18" s="3462">
        <v>0</v>
      </c>
      <c r="S18" s="3462">
        <v>41.74</v>
      </c>
      <c r="T18" s="3462">
        <v>0</v>
      </c>
      <c r="U18" s="3464" t="s">
        <v>3040</v>
      </c>
    </row>
    <row r="19" spans="12:21" ht="15" thickBot="1">
      <c r="L19" s="3461"/>
      <c r="M19" s="3462" t="s">
        <v>3420</v>
      </c>
      <c r="N19" s="3463">
        <f t="shared" si="1"/>
        <v>475.91</v>
      </c>
      <c r="O19" s="3463">
        <v>0</v>
      </c>
      <c r="P19" s="3462">
        <v>435.31</v>
      </c>
      <c r="Q19" s="3462">
        <v>0</v>
      </c>
      <c r="R19" s="3462">
        <v>0</v>
      </c>
      <c r="S19" s="3462">
        <v>40.6</v>
      </c>
      <c r="T19" s="3462">
        <v>0</v>
      </c>
      <c r="U19" s="3464" t="s">
        <v>3040</v>
      </c>
    </row>
    <row r="20" spans="12:21" ht="15" thickBot="1">
      <c r="L20" s="3461"/>
      <c r="M20" s="3462" t="s">
        <v>3421</v>
      </c>
      <c r="N20" s="3463">
        <f t="shared" si="1"/>
        <v>802.63</v>
      </c>
      <c r="O20" s="3463">
        <v>0</v>
      </c>
      <c r="P20" s="3462">
        <v>802.63</v>
      </c>
      <c r="Q20" s="3462">
        <v>0</v>
      </c>
      <c r="R20" s="3462">
        <v>0</v>
      </c>
      <c r="S20" s="3462">
        <v>0</v>
      </c>
      <c r="T20" s="3462">
        <v>0</v>
      </c>
      <c r="U20" s="3464" t="s">
        <v>3040</v>
      </c>
    </row>
    <row r="21" spans="12:21" ht="15" thickBot="1">
      <c r="L21" s="3461"/>
      <c r="M21" s="3465" t="s">
        <v>3035</v>
      </c>
      <c r="N21" s="3463">
        <f t="shared" si="1"/>
        <v>28390.01</v>
      </c>
      <c r="O21" s="3463">
        <v>0</v>
      </c>
      <c r="P21" s="3462">
        <v>0</v>
      </c>
      <c r="Q21" s="3462">
        <v>0</v>
      </c>
      <c r="R21" s="3462">
        <v>28390.01</v>
      </c>
      <c r="S21" s="3462">
        <v>0</v>
      </c>
      <c r="T21" s="3462">
        <v>0</v>
      </c>
      <c r="U21" s="3464" t="s">
        <v>3035</v>
      </c>
    </row>
    <row r="22" spans="12:21" ht="15" thickBot="1">
      <c r="L22" s="3461"/>
      <c r="M22" s="3465" t="s">
        <v>3037</v>
      </c>
      <c r="N22" s="3463">
        <f t="shared" si="1"/>
        <v>17.91</v>
      </c>
      <c r="O22" s="3463">
        <v>0</v>
      </c>
      <c r="P22" s="3462">
        <v>0</v>
      </c>
      <c r="Q22" s="3462">
        <v>0</v>
      </c>
      <c r="R22" s="3462">
        <v>0</v>
      </c>
      <c r="S22" s="3462">
        <v>17.91</v>
      </c>
      <c r="T22" s="3462">
        <v>0</v>
      </c>
      <c r="U22" s="3464" t="s">
        <v>3037</v>
      </c>
    </row>
    <row r="23" spans="12:21" ht="15" thickBot="1">
      <c r="L23" s="3466" t="s">
        <v>37</v>
      </c>
      <c r="M23" s="3462"/>
      <c r="N23" s="3463">
        <f>SUM(N10:N22)</f>
        <v>75681.680000000008</v>
      </c>
      <c r="O23" s="3463">
        <f>SUM(O10:O22)</f>
        <v>37528.67</v>
      </c>
      <c r="P23" s="3463">
        <f t="shared" ref="P23:T23" si="2">SUM(P10:P22)</f>
        <v>2292.67</v>
      </c>
      <c r="Q23" s="3463">
        <f t="shared" si="2"/>
        <v>0</v>
      </c>
      <c r="R23" s="3463">
        <f t="shared" si="2"/>
        <v>28390.01</v>
      </c>
      <c r="S23" s="3463">
        <f t="shared" si="2"/>
        <v>7470.329999999999</v>
      </c>
      <c r="T23" s="3463">
        <f t="shared" si="2"/>
        <v>0</v>
      </c>
      <c r="U23" s="3463" t="s">
        <v>70</v>
      </c>
    </row>
  </sheetData>
  <phoneticPr fontId="14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494" t="s">
        <v>1653</v>
      </c>
      <c r="B1" s="3494"/>
      <c r="C1" s="3494"/>
      <c r="D1" s="3494"/>
    </row>
    <row r="2" spans="1:4" ht="17.399999999999999">
      <c r="A2" s="3495" t="s">
        <v>1637</v>
      </c>
      <c r="B2" s="3495"/>
      <c r="C2" s="3495"/>
      <c r="D2" s="3495"/>
    </row>
    <row r="3" spans="1:4" ht="17.399999999999999">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f>项目基本情况!D4</f>
        <v>0</v>
      </c>
      <c r="B5" s="1977">
        <f>项目基本情况!E4</f>
        <v>0</v>
      </c>
      <c r="C5" s="1980"/>
      <c r="D5" s="1979" t="s">
        <v>1642</v>
      </c>
    </row>
    <row r="6" spans="1:4" ht="17.399999999999999">
      <c r="A6" s="3495" t="s">
        <v>1643</v>
      </c>
      <c r="B6" s="3495"/>
      <c r="C6" s="3495"/>
      <c r="D6" s="3495"/>
    </row>
    <row r="7" spans="1:4" ht="17.399999999999999">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7.399999999999999">
      <c r="A10" s="1982" t="s">
        <v>1645</v>
      </c>
      <c r="B10" s="728"/>
      <c r="C10" s="728"/>
      <c r="D10" s="728"/>
    </row>
    <row r="11" spans="1:4" ht="30" customHeight="1">
      <c r="A11" s="3496" t="s">
        <v>1646</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1647</v>
      </c>
      <c r="B16" s="3500"/>
      <c r="C16" s="3500"/>
      <c r="D16" s="3500"/>
    </row>
    <row r="17" spans="1:4" ht="144" customHeight="1">
      <c r="A17" s="3500" t="s">
        <v>1648</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1649</v>
      </c>
      <c r="B22" s="3502"/>
      <c r="C22" s="3502"/>
      <c r="D22" s="3502"/>
    </row>
    <row r="23" spans="1:4">
      <c r="A23" s="1983"/>
      <c r="B23" s="1955"/>
      <c r="C23" s="1955"/>
      <c r="D23" s="1955"/>
    </row>
    <row r="24" spans="1:4">
      <c r="A24" s="1983"/>
      <c r="B24" s="1955"/>
      <c r="C24" s="1955"/>
      <c r="D24" s="1955"/>
    </row>
    <row r="25" spans="1:4" ht="17.399999999999999">
      <c r="A25" s="1984" t="s">
        <v>1650</v>
      </c>
    </row>
    <row r="26" spans="1:4" ht="17.399999999999999">
      <c r="A26" s="1953"/>
    </row>
    <row r="27" spans="1:4" ht="17.399999999999999">
      <c r="A27" s="1953" t="s">
        <v>1651</v>
      </c>
    </row>
    <row r="30" spans="1:4" ht="17.399999999999999">
      <c r="D30" s="1984" t="s">
        <v>1652</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866</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1" customWidth="1"/>
    <col min="2" max="16384" width="14.44140625" style="1973"/>
  </cols>
  <sheetData>
    <row r="1" spans="1:7" s="1988" customFormat="1" ht="17.399999999999999">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4.4">
      <c r="A15" s="3508" t="s">
        <v>1660</v>
      </c>
      <c r="B15" s="3503" t="s">
        <v>136</v>
      </c>
      <c r="C15" s="3504"/>
    </row>
    <row r="16" spans="1:7" ht="14.4">
      <c r="A16" s="3509"/>
      <c r="B16" s="3503" t="s">
        <v>69</v>
      </c>
      <c r="C16" s="3504"/>
    </row>
    <row r="17" spans="1:3" ht="14.4">
      <c r="A17" s="3509"/>
      <c r="B17" s="3506" t="s">
        <v>1661</v>
      </c>
      <c r="C17" s="1998" t="s">
        <v>1660</v>
      </c>
    </row>
    <row r="18" spans="1:3" ht="14.4">
      <c r="A18" s="3509"/>
      <c r="B18" s="3506"/>
      <c r="C18" s="1998" t="s">
        <v>1662</v>
      </c>
    </row>
    <row r="19" spans="1:3" ht="14.4">
      <c r="A19" s="3509"/>
      <c r="B19" s="3506"/>
      <c r="C19" s="1998" t="s">
        <v>1663</v>
      </c>
    </row>
    <row r="20" spans="1:3" ht="14.4">
      <c r="A20" s="3510"/>
      <c r="B20" s="3505" t="s">
        <v>1664</v>
      </c>
      <c r="C20" s="3504"/>
    </row>
    <row r="21" spans="1:3" ht="14.4">
      <c r="A21" s="1999" t="s">
        <v>1665</v>
      </c>
      <c r="B21" s="2000"/>
      <c r="C21" s="2001"/>
    </row>
    <row r="22" spans="1:3" ht="14.4">
      <c r="A22" s="3507" t="s">
        <v>1666</v>
      </c>
      <c r="B22" s="3505" t="s">
        <v>1667</v>
      </c>
      <c r="C22" s="3504"/>
    </row>
    <row r="23" spans="1:3" ht="14.4">
      <c r="A23" s="3507"/>
      <c r="B23" s="3505" t="s">
        <v>1668</v>
      </c>
      <c r="C23" s="3504"/>
    </row>
    <row r="24" spans="1:3" ht="14.4">
      <c r="A24" s="3507"/>
      <c r="B24" s="3505" t="s">
        <v>1669</v>
      </c>
      <c r="C24" s="3504"/>
    </row>
    <row r="25" spans="1:3" ht="14.4">
      <c r="A25" s="3507"/>
      <c r="B25" s="3506" t="s">
        <v>1670</v>
      </c>
      <c r="C25" s="1998" t="s">
        <v>1671</v>
      </c>
    </row>
    <row r="26" spans="1:3" ht="14.4">
      <c r="A26" s="3507"/>
      <c r="B26" s="3506"/>
      <c r="C26" s="1998" t="s">
        <v>1672</v>
      </c>
    </row>
    <row r="27" spans="1:3" ht="14.4">
      <c r="A27" s="3507"/>
      <c r="B27" s="3506"/>
      <c r="C27" s="1998" t="s">
        <v>1673</v>
      </c>
    </row>
    <row r="28" spans="1:3" ht="14.4">
      <c r="A28" s="3507"/>
      <c r="B28" s="3506"/>
      <c r="C28" s="1998" t="s">
        <v>1674</v>
      </c>
    </row>
    <row r="29" spans="1:3" ht="14.4">
      <c r="A29" s="3507"/>
      <c r="B29" s="3506"/>
      <c r="C29" s="1998" t="s">
        <v>1675</v>
      </c>
    </row>
    <row r="30" spans="1:3" ht="14.4">
      <c r="A30" s="3507"/>
      <c r="B30" s="3506"/>
      <c r="C30" s="1998" t="s">
        <v>1676</v>
      </c>
    </row>
    <row r="31" spans="1:3" ht="14.4">
      <c r="A31" s="3507"/>
      <c r="B31" s="3506"/>
      <c r="C31" s="1998" t="s">
        <v>1677</v>
      </c>
    </row>
    <row r="32" spans="1:3" ht="14.4">
      <c r="A32" s="3507"/>
      <c r="B32" s="3506"/>
      <c r="C32" s="1998" t="s">
        <v>1678</v>
      </c>
    </row>
    <row r="33" spans="1:3" ht="14.4">
      <c r="A33" s="3507"/>
      <c r="B33" s="3506"/>
      <c r="C33" s="1998" t="s">
        <v>1679</v>
      </c>
    </row>
    <row r="34" spans="1:3">
      <c r="A34" s="2002" t="s">
        <v>76</v>
      </c>
    </row>
    <row r="37" spans="1:3">
      <c r="A37" s="2002" t="s">
        <v>1680</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824</v>
      </c>
      <c r="B2" s="1017">
        <f ca="1">TODAY()</f>
        <v>43689</v>
      </c>
      <c r="C2" s="1018" t="s">
        <v>825</v>
      </c>
      <c r="D2" s="1018"/>
    </row>
    <row r="3" spans="1:6" ht="24" customHeight="1">
      <c r="A3" s="1019" t="s">
        <v>826</v>
      </c>
      <c r="B3" s="1020" t="s">
        <v>827</v>
      </c>
      <c r="C3" s="2345" t="s">
        <v>828</v>
      </c>
      <c r="D3" s="2348" t="s">
        <v>829</v>
      </c>
      <c r="E3" s="1021" t="s">
        <v>830</v>
      </c>
      <c r="F3" s="1020" t="s">
        <v>828</v>
      </c>
    </row>
    <row r="4" spans="1:6" ht="24" customHeight="1">
      <c r="A4" s="1701" t="s">
        <v>831</v>
      </c>
      <c r="B4" s="1021">
        <f ca="1">IF(C4&lt;B2,"已过期",1119970066)</f>
        <v>1119970066</v>
      </c>
      <c r="C4" s="2346">
        <v>43849</v>
      </c>
      <c r="D4" s="2349" t="s">
        <v>831</v>
      </c>
      <c r="E4" s="1021">
        <f ca="1">IF(F4&lt;B2,"已过期",96010014)</f>
        <v>96010014</v>
      </c>
      <c r="F4" s="1029">
        <v>47118</v>
      </c>
    </row>
    <row r="5" spans="1:6" ht="24" customHeight="1">
      <c r="A5" s="1701" t="s">
        <v>832</v>
      </c>
      <c r="B5" s="1021">
        <f ca="1">IF(C5&lt;B2,"已过期",1119970074)</f>
        <v>1119970074</v>
      </c>
      <c r="C5" s="2346">
        <v>43849</v>
      </c>
      <c r="D5" s="2349" t="s">
        <v>832</v>
      </c>
      <c r="E5" s="1021">
        <f ca="1">IF(F5&lt;B2,"已过期",2002110027)</f>
        <v>2002110027</v>
      </c>
      <c r="F5" s="1029">
        <v>46752</v>
      </c>
    </row>
    <row r="6" spans="1:6" ht="24" customHeight="1">
      <c r="A6" s="1701" t="s">
        <v>833</v>
      </c>
      <c r="B6" s="1021">
        <f ca="1">IF(C6&lt;B2,"已过期",1119970111)</f>
        <v>1119970111</v>
      </c>
      <c r="C6" s="2346">
        <v>43849</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43814</v>
      </c>
      <c r="D13" s="2349" t="s">
        <v>839</v>
      </c>
      <c r="E13" s="1021">
        <f ca="1">IF(F13&lt;B2,"已过期",2014110011)</f>
        <v>2014110011</v>
      </c>
      <c r="F13" s="1029">
        <v>49302</v>
      </c>
    </row>
    <row r="14" spans="1:6" ht="24" customHeight="1">
      <c r="A14" s="1701" t="s">
        <v>2999</v>
      </c>
      <c r="B14" s="1021">
        <f ca="1">IF(C14&lt;B2,"已过期",1120040230)</f>
        <v>1120040230</v>
      </c>
      <c r="C14" s="2346">
        <v>43835</v>
      </c>
      <c r="D14" s="2349" t="s">
        <v>2999</v>
      </c>
      <c r="E14" s="1021">
        <f ca="1">IF(F14&lt;B2,"已过期",98030020)</f>
        <v>98030020</v>
      </c>
      <c r="F14" s="1029">
        <v>47118</v>
      </c>
    </row>
    <row r="15" spans="1:6" ht="24" customHeight="1">
      <c r="A15" s="1702" t="s">
        <v>3000</v>
      </c>
      <c r="B15" s="1021">
        <f ca="1">IF(C15&lt;B2,"已过期",1120070085)</f>
        <v>1120070085</v>
      </c>
      <c r="C15" s="2346">
        <v>43814</v>
      </c>
      <c r="D15" s="2350" t="s">
        <v>3000</v>
      </c>
      <c r="E15" s="1021">
        <f ca="1">IF(F15&lt;B2,"已过期",2004110128)</f>
        <v>2004110128</v>
      </c>
      <c r="F15" s="1022">
        <v>47118</v>
      </c>
    </row>
    <row r="16" spans="1:6" ht="24" customHeight="1">
      <c r="A16" s="1701" t="s">
        <v>3001</v>
      </c>
      <c r="B16" s="1021">
        <f ca="1">IF(C16&lt;B2,"已过期",1120140022)</f>
        <v>1120140022</v>
      </c>
      <c r="C16" s="2928">
        <v>44029</v>
      </c>
      <c r="D16" s="2349" t="s">
        <v>3001</v>
      </c>
      <c r="E16" s="1021">
        <f ca="1">IF(F16&lt;B2,"已过期",2008110059)</f>
        <v>2008110059</v>
      </c>
      <c r="F16" s="1029">
        <v>47177</v>
      </c>
    </row>
    <row r="17" spans="1:7" ht="24" customHeight="1">
      <c r="A17" s="1701"/>
      <c r="B17" s="1021"/>
      <c r="C17" s="2346"/>
      <c r="D17" s="2349" t="s">
        <v>3002</v>
      </c>
      <c r="E17" s="1021">
        <f ca="1">IF(F17&lt;B2,"已过期",2014110076)</f>
        <v>2014110076</v>
      </c>
      <c r="F17" s="1029">
        <v>49302</v>
      </c>
    </row>
    <row r="18" spans="1:7" ht="24" customHeight="1">
      <c r="A18" s="1701"/>
      <c r="B18" s="1021"/>
      <c r="C18" s="2346"/>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c r="B23" s="1021"/>
      <c r="C23" s="2346"/>
      <c r="D23" s="2349"/>
      <c r="E23" s="1021"/>
      <c r="F23" s="1021"/>
    </row>
    <row r="24" spans="1:7" s="1023" customFormat="1" ht="24" customHeight="1">
      <c r="A24" s="1702" t="s">
        <v>1325</v>
      </c>
      <c r="B24" s="1702" t="s">
        <v>1325</v>
      </c>
      <c r="C24" s="2347" t="s">
        <v>1325</v>
      </c>
      <c r="D24" s="2350" t="s">
        <v>1325</v>
      </c>
      <c r="E24" s="1702" t="s">
        <v>1325</v>
      </c>
      <c r="F24" s="1702" t="s">
        <v>1325</v>
      </c>
    </row>
    <row r="25" spans="1:7" ht="24" customHeight="1">
      <c r="A25" s="3511" t="s">
        <v>842</v>
      </c>
      <c r="B25" s="3511"/>
      <c r="C25" s="3511"/>
      <c r="D25" s="3511"/>
      <c r="E25" s="3511"/>
      <c r="F25" s="3511"/>
      <c r="G25" s="3511"/>
    </row>
    <row r="26" spans="1:7" s="1024" customFormat="1" ht="24" customHeight="1">
      <c r="A26" s="3512" t="s">
        <v>843</v>
      </c>
      <c r="B26" s="3512"/>
      <c r="C26" s="3513"/>
      <c r="D26" s="3514" t="s">
        <v>844</v>
      </c>
      <c r="E26" s="3512"/>
      <c r="F26" s="3512"/>
    </row>
    <row r="27" spans="1:7" s="1026" customFormat="1" ht="24" customHeight="1">
      <c r="A27" s="1025" t="s">
        <v>845</v>
      </c>
      <c r="B27" s="1020" t="s">
        <v>846</v>
      </c>
      <c r="C27" s="2345" t="s">
        <v>847</v>
      </c>
      <c r="D27" s="2353" t="s">
        <v>845</v>
      </c>
      <c r="E27" s="1020" t="s">
        <v>846</v>
      </c>
      <c r="F27" s="1020" t="s">
        <v>847</v>
      </c>
    </row>
    <row r="28" spans="1:7" s="1026" customFormat="1" ht="24" customHeight="1">
      <c r="A28" s="1027" t="s">
        <v>848</v>
      </c>
      <c r="B28" s="1028" t="s">
        <v>849</v>
      </c>
      <c r="C28" s="2351">
        <v>43725</v>
      </c>
      <c r="D28" s="2354" t="s">
        <v>850</v>
      </c>
      <c r="E28" s="1027" t="s">
        <v>851</v>
      </c>
      <c r="F28" s="1057">
        <v>44377</v>
      </c>
    </row>
    <row r="29" spans="1:7" s="1026" customFormat="1" ht="24" customHeight="1">
      <c r="A29" s="1027"/>
      <c r="B29" s="1027"/>
      <c r="C29" s="2352"/>
      <c r="D29" s="2354" t="s">
        <v>852</v>
      </c>
      <c r="E29" s="1201" t="s">
        <v>3006</v>
      </c>
      <c r="F29" s="1202">
        <v>43646</v>
      </c>
    </row>
    <row r="30" spans="1:7" ht="24" customHeight="1">
      <c r="C30" s="1030"/>
      <c r="D30" s="1030"/>
    </row>
  </sheetData>
  <sheetProtection sheet="1" objects="1" scenarios="1"/>
  <mergeCells count="3">
    <mergeCell ref="A25:G25"/>
    <mergeCell ref="A26:C26"/>
    <mergeCell ref="D26:F26"/>
  </mergeCells>
  <phoneticPr fontId="85" type="noConversion"/>
  <conditionalFormatting sqref="C28">
    <cfRule type="expression" dxfId="240" priority="88">
      <formula>AND($C28-TODAY()&lt;30,TODAY()&lt;$C28)</formula>
    </cfRule>
  </conditionalFormatting>
  <conditionalFormatting sqref="C28 F4">
    <cfRule type="cellIs" dxfId="239" priority="90" stopIfTrue="1" operator="lessThan">
      <formula>$B$2</formula>
    </cfRule>
  </conditionalFormatting>
  <conditionalFormatting sqref="C5">
    <cfRule type="expression" dxfId="238" priority="85">
      <formula>AND($C5-TODAY()&lt;30,TODAY()&lt;$C5)</formula>
    </cfRule>
  </conditionalFormatting>
  <conditionalFormatting sqref="C5 F5">
    <cfRule type="cellIs" dxfId="237" priority="86" stopIfTrue="1" operator="lessThan">
      <formula>$B$2</formula>
    </cfRule>
  </conditionalFormatting>
  <conditionalFormatting sqref="F6 F8 F10">
    <cfRule type="cellIs" dxfId="236" priority="84" stopIfTrue="1" operator="lessThan">
      <formula>$B$2</formula>
    </cfRule>
  </conditionalFormatting>
  <conditionalFormatting sqref="C4:C11 C13 C23 C17:C21">
    <cfRule type="expression" dxfId="235" priority="82">
      <formula>AND($C4-TODAY()&lt;30,TODAY()&lt;$C4)</formula>
    </cfRule>
  </conditionalFormatting>
  <conditionalFormatting sqref="F7 F9 F11 C4:C11 C13 C23 C17:C21">
    <cfRule type="cellIs" dxfId="234" priority="83" stopIfTrue="1" operator="lessThan">
      <formula>$B$2</formula>
    </cfRule>
  </conditionalFormatting>
  <conditionalFormatting sqref="C18">
    <cfRule type="expression" dxfId="233" priority="72">
      <formula>AND($C18-TODAY()&lt;30,TODAY()&lt;$C18)</formula>
    </cfRule>
  </conditionalFormatting>
  <conditionalFormatting sqref="C18">
    <cfRule type="cellIs" dxfId="232" priority="73" stopIfTrue="1" operator="lessThan">
      <formula>$B$2</formula>
    </cfRule>
  </conditionalFormatting>
  <conditionalFormatting sqref="C20">
    <cfRule type="expression" dxfId="231" priority="70">
      <formula>AND($C20-TODAY()&lt;30,TODAY()&lt;$C20)</formula>
    </cfRule>
  </conditionalFormatting>
  <conditionalFormatting sqref="C20">
    <cfRule type="cellIs" dxfId="230" priority="71" stopIfTrue="1" operator="lessThan">
      <formula>$B$2</formula>
    </cfRule>
  </conditionalFormatting>
  <conditionalFormatting sqref="C17">
    <cfRule type="expression" dxfId="229" priority="64">
      <formula>AND($C17-TODAY()&lt;30,TODAY()&lt;$C17)</formula>
    </cfRule>
  </conditionalFormatting>
  <conditionalFormatting sqref="C17">
    <cfRule type="cellIs" dxfId="228" priority="65" stopIfTrue="1" operator="lessThan">
      <formula>$B$2</formula>
    </cfRule>
  </conditionalFormatting>
  <conditionalFormatting sqref="C19">
    <cfRule type="expression" dxfId="227" priority="62">
      <formula>AND($C19-TODAY()&lt;30,TODAY()&lt;$C19)</formula>
    </cfRule>
  </conditionalFormatting>
  <conditionalFormatting sqref="C19">
    <cfRule type="cellIs" dxfId="226" priority="63" stopIfTrue="1" operator="lessThan">
      <formula>$B$2</formula>
    </cfRule>
  </conditionalFormatting>
  <conditionalFormatting sqref="C21">
    <cfRule type="expression" dxfId="225" priority="60">
      <formula>AND($C21-TODAY()&lt;30,TODAY()&lt;$C21)</formula>
    </cfRule>
  </conditionalFormatting>
  <conditionalFormatting sqref="C21">
    <cfRule type="cellIs" dxfId="224" priority="61" stopIfTrue="1" operator="lessThan">
      <formula>$B$2</formula>
    </cfRule>
  </conditionalFormatting>
  <conditionalFormatting sqref="C23">
    <cfRule type="expression" dxfId="223" priority="58">
      <formula>AND($C23-TODAY()&lt;30,TODAY()&lt;$C23)</formula>
    </cfRule>
  </conditionalFormatting>
  <conditionalFormatting sqref="C23">
    <cfRule type="cellIs" dxfId="222" priority="59" stopIfTrue="1" operator="lessThan">
      <formula>$B$2</formula>
    </cfRule>
  </conditionalFormatting>
  <conditionalFormatting sqref="F18">
    <cfRule type="cellIs" dxfId="221" priority="55" stopIfTrue="1" operator="lessThan">
      <formula>$B$2</formula>
    </cfRule>
  </conditionalFormatting>
  <conditionalFormatting sqref="F22">
    <cfRule type="cellIs" dxfId="220" priority="54" stopIfTrue="1" operator="lessThan">
      <formula>$B$2</formula>
    </cfRule>
  </conditionalFormatting>
  <conditionalFormatting sqref="F21">
    <cfRule type="cellIs" dxfId="219" priority="53" stopIfTrue="1" operator="lessThan">
      <formula>$B$2</formula>
    </cfRule>
  </conditionalFormatting>
  <conditionalFormatting sqref="B4:B11 E4:E11 B17:B23 E18:E23 B13 E13">
    <cfRule type="cellIs" dxfId="218" priority="51" stopIfTrue="1" operator="equal">
      <formula>"已过期"</formula>
    </cfRule>
  </conditionalFormatting>
  <conditionalFormatting sqref="A24:F24">
    <cfRule type="cellIs" dxfId="217" priority="47" stopIfTrue="1" operator="equal">
      <formula>"已过期"</formula>
    </cfRule>
  </conditionalFormatting>
  <conditionalFormatting sqref="F28">
    <cfRule type="expression" dxfId="216" priority="45">
      <formula>AND($E28-TODAY()&lt;30,TODAY()&lt;$E28)</formula>
    </cfRule>
  </conditionalFormatting>
  <conditionalFormatting sqref="F28">
    <cfRule type="cellIs" dxfId="215" priority="46" stopIfTrue="1" operator="lessThan">
      <formula>$B$2</formula>
    </cfRule>
  </conditionalFormatting>
  <conditionalFormatting sqref="F29">
    <cfRule type="expression" dxfId="214" priority="41" stopIfTrue="1">
      <formula>AND($E29-TODAY()&lt;30,TODAY()&lt;$E29)</formula>
    </cfRule>
  </conditionalFormatting>
  <conditionalFormatting sqref="F29">
    <cfRule type="cellIs" dxfId="213" priority="42" stopIfTrue="1" operator="lessThan">
      <formula>$B$2</formula>
    </cfRule>
  </conditionalFormatting>
  <conditionalFormatting sqref="F13">
    <cfRule type="cellIs" dxfId="212" priority="34" stopIfTrue="1" operator="lessThan">
      <formula>$B$2</formula>
    </cfRule>
  </conditionalFormatting>
  <conditionalFormatting sqref="C12">
    <cfRule type="expression" dxfId="211" priority="32">
      <formula>AND($C12-TODAY()&lt;30,TODAY()&lt;$C12)</formula>
    </cfRule>
  </conditionalFormatting>
  <conditionalFormatting sqref="C12">
    <cfRule type="cellIs" dxfId="210" priority="33" stopIfTrue="1" operator="lessThan">
      <formula>$B$2</formula>
    </cfRule>
  </conditionalFormatting>
  <conditionalFormatting sqref="C12">
    <cfRule type="expression" dxfId="209" priority="30">
      <formula>AND($C12-TODAY()&lt;30,TODAY()&lt;$C12)</formula>
    </cfRule>
  </conditionalFormatting>
  <conditionalFormatting sqref="C12">
    <cfRule type="cellIs" dxfId="208" priority="31" stopIfTrue="1" operator="lessThan">
      <formula>$B$2</formula>
    </cfRule>
  </conditionalFormatting>
  <conditionalFormatting sqref="B12">
    <cfRule type="cellIs" dxfId="207" priority="29" stopIfTrue="1" operator="equal">
      <formula>"已过期"</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C22">
    <cfRule type="expression" dxfId="204" priority="25">
      <formula>AND($C22-TODAY()&lt;30,TODAY()&lt;$C22)</formula>
    </cfRule>
  </conditionalFormatting>
  <conditionalFormatting sqref="C22">
    <cfRule type="cellIs" dxfId="203" priority="26" stopIfTrue="1" operator="lessThan">
      <formula>$B$2</formula>
    </cfRule>
  </conditionalFormatting>
  <conditionalFormatting sqref="C22">
    <cfRule type="expression" dxfId="202" priority="23">
      <formula>AND($C22-TODAY()&lt;30,TODAY()&lt;$C22)</formula>
    </cfRule>
  </conditionalFormatting>
  <conditionalFormatting sqref="C22">
    <cfRule type="cellIs" dxfId="201" priority="24" stopIfTrue="1" operator="lessThan">
      <formula>$B$2</formula>
    </cfRule>
  </conditionalFormatting>
  <conditionalFormatting sqref="C16">
    <cfRule type="expression" dxfId="200" priority="21">
      <formula>AND($C16-TODAY()&lt;30,TODAY()&lt;$C16)</formula>
    </cfRule>
  </conditionalFormatting>
  <conditionalFormatting sqref="C16">
    <cfRule type="cellIs" dxfId="199" priority="22" stopIfTrue="1" operator="lessThan">
      <formula>$B$2</formula>
    </cfRule>
  </conditionalFormatting>
  <conditionalFormatting sqref="C16">
    <cfRule type="expression" dxfId="198" priority="19">
      <formula>AND($C16-TODAY()&lt;30,TODAY()&lt;$C16)</formula>
    </cfRule>
  </conditionalFormatting>
  <conditionalFormatting sqref="C16">
    <cfRule type="cellIs" dxfId="197" priority="20" stopIfTrue="1" operator="lessThan">
      <formula>$B$2</formula>
    </cfRule>
  </conditionalFormatting>
  <conditionalFormatting sqref="B16">
    <cfRule type="cellIs" dxfId="196" priority="18" stopIfTrue="1" operator="equal">
      <formula>"已过期"</formula>
    </cfRule>
  </conditionalFormatting>
  <conditionalFormatting sqref="C14:C15">
    <cfRule type="expression" dxfId="195" priority="16">
      <formula>AND($C14-TODAY()&lt;30,TODAY()&lt;$C14)</formula>
    </cfRule>
  </conditionalFormatting>
  <conditionalFormatting sqref="C14:C15">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C15">
    <cfRule type="expression" dxfId="191" priority="12">
      <formula>AND($C15-TODAY()&lt;30,TODAY()&lt;$C15)</formula>
    </cfRule>
  </conditionalFormatting>
  <conditionalFormatting sqref="C15">
    <cfRule type="cellIs" dxfId="190" priority="13" stopIfTrue="1" operator="lessThan">
      <formula>$B$2</formula>
    </cfRule>
  </conditionalFormatting>
  <conditionalFormatting sqref="B14">
    <cfRule type="cellIs" dxfId="189" priority="11" stopIfTrue="1" operator="equal">
      <formula>"已过期"</formula>
    </cfRule>
  </conditionalFormatting>
  <conditionalFormatting sqref="B15">
    <cfRule type="cellIs" dxfId="188" priority="10" stopIfTrue="1" operator="equal">
      <formula>"已过期"</formula>
    </cfRule>
  </conditionalFormatting>
  <conditionalFormatting sqref="A15">
    <cfRule type="cellIs" dxfId="187" priority="9" stopIfTrue="1" operator="equal">
      <formula>"已过期"</formula>
    </cfRule>
  </conditionalFormatting>
  <conditionalFormatting sqref="C15">
    <cfRule type="expression" dxfId="186" priority="8">
      <formula>AND($C15-TODAY()&lt;30,TODAY()&lt;$C15)</formula>
    </cfRule>
  </conditionalFormatting>
  <conditionalFormatting sqref="F16">
    <cfRule type="cellIs" dxfId="185" priority="7" stopIfTrue="1" operator="lessThan">
      <formula>$B$2</formula>
    </cfRule>
  </conditionalFormatting>
  <conditionalFormatting sqref="E16 E14">
    <cfRule type="cellIs" dxfId="184" priority="6" stopIfTrue="1" operator="equal">
      <formula>"已过期"</formula>
    </cfRule>
  </conditionalFormatting>
  <conditionalFormatting sqref="E15">
    <cfRule type="cellIs" dxfId="183" priority="5" stopIfTrue="1" operator="equal">
      <formula>"已过期"</formula>
    </cfRule>
  </conditionalFormatting>
  <conditionalFormatting sqref="D15">
    <cfRule type="cellIs" dxfId="182" priority="4" stopIfTrue="1" operator="equal">
      <formula>"已过期"</formula>
    </cfRule>
  </conditionalFormatting>
  <conditionalFormatting sqref="F17">
    <cfRule type="cellIs" dxfId="181" priority="3" stopIfTrue="1" operator="lessThan">
      <formula>$B$2</formula>
    </cfRule>
  </conditionalFormatting>
  <conditionalFormatting sqref="E17">
    <cfRule type="cellIs" dxfId="180" priority="2" stopIfTrue="1" operator="equal">
      <formula>"已过期"</formula>
    </cfRule>
  </conditionalFormatting>
  <conditionalFormatting sqref="F14">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 (元)</vt:lpstr>
      <vt:lpstr>比较法-住宅、综合</vt:lpstr>
      <vt:lpstr>成本法</vt:lpstr>
      <vt:lpstr>假设开发法</vt:lpstr>
      <vt:lpstr>比较法-住宅</vt:lpstr>
      <vt:lpstr>比较法-保障房</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收益法-地下车库</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vt:lpstr>
      <vt:lpstr>土地案例</vt:lpstr>
      <vt:lpstr>工程形象进度</vt:lpstr>
      <vt:lpstr>住宅案例</vt:lpstr>
      <vt:lpstr>Sheet1</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'比较法-住宅、综合'!套工交易情况</vt:lpstr>
      <vt:lpstr>套工交易情况</vt:lpstr>
      <vt:lpstr>套工土地级别</vt:lpstr>
      <vt:lpstr>套工用途</vt:lpstr>
      <vt:lpstr>套工宗地开发程度</vt:lpstr>
      <vt:lpstr>套工宗地形状</vt:lpstr>
      <vt:lpstr>'比较法-住宅、综合'!套综道路等级</vt:lpstr>
      <vt:lpstr>套综道路等级</vt:lpstr>
      <vt:lpstr>'比较法-住宅、综合'!套综工程地质条件</vt:lpstr>
      <vt:lpstr>套综工程地质条件</vt:lpstr>
      <vt:lpstr>'比较法-住宅、综合'!套综交易情况</vt:lpstr>
      <vt:lpstr>套综交易情况</vt:lpstr>
      <vt:lpstr>'比较法-住宅、综合'!套综临街宽度及深度</vt:lpstr>
      <vt:lpstr>套综临街宽度及深度</vt:lpstr>
      <vt:lpstr>'比较法-住宅、综合'!套综土地级别</vt:lpstr>
      <vt:lpstr>套综土地级别</vt:lpstr>
      <vt:lpstr>'比较法-住宅、综合'!套综用途</vt:lpstr>
      <vt:lpstr>套综用途</vt:lpstr>
      <vt:lpstr>'比较法-住宅、综合'!套综宗地内开发程度</vt:lpstr>
      <vt:lpstr>套综宗地内开发程度</vt:lpstr>
      <vt:lpstr>'比较法-住宅、综合'!套综宗地形状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'比较法-保障房'!住宅朝向</vt:lpstr>
      <vt:lpstr>住宅朝向</vt:lpstr>
      <vt:lpstr>'比较法-保障房'!住宅房型</vt:lpstr>
      <vt:lpstr>住宅房型</vt:lpstr>
      <vt:lpstr>'比较法-保障房'!住宅公共部分装修</vt:lpstr>
      <vt:lpstr>住宅公共部分装修</vt:lpstr>
      <vt:lpstr>'比较法-保障房'!住宅基础设施水平</vt:lpstr>
      <vt:lpstr>住宅基础设施水平</vt:lpstr>
      <vt:lpstr>'比较法-保障房'!住宅建筑结构</vt:lpstr>
      <vt:lpstr>住宅建筑结构</vt:lpstr>
      <vt:lpstr>'比较法-保障房'!住宅建筑类型</vt:lpstr>
      <vt:lpstr>住宅建筑类型</vt:lpstr>
      <vt:lpstr>'比较法-保障房'!住宅建筑品质</vt:lpstr>
      <vt:lpstr>住宅建筑品质</vt:lpstr>
      <vt:lpstr>'比较法-保障房'!住宅交易情况</vt:lpstr>
      <vt:lpstr>住宅交易情况</vt:lpstr>
      <vt:lpstr>'比较法-保障房'!住宅楼层</vt:lpstr>
      <vt:lpstr>住宅楼层</vt:lpstr>
      <vt:lpstr>'比较法-保障房'!住宅内部装修</vt:lpstr>
      <vt:lpstr>住宅内部装修</vt:lpstr>
      <vt:lpstr>'比较法-保障房'!住宅物业管理</vt:lpstr>
      <vt:lpstr>住宅物业管理</vt:lpstr>
      <vt:lpstr>'比较法-保障房'!住宅用途</vt:lpstr>
      <vt:lpstr>住宅用途</vt:lpstr>
      <vt:lpstr>'比较法-保障房'!住宅主力户型面积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2019-08-12T03:36:23Z</dcterms:modified>
</cp:coreProperties>
</file>